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3.xml" ContentType="application/vnd.openxmlformats-officedocument.spreadsheetml.comments+xml"/>
  <Override PartName="/xl/drawings/drawing4.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9.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2.xml" ContentType="application/vnd.openxmlformats-officedocument.drawing+xml"/>
  <Override PartName="/xl/comments22.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D:\THINH\OneDrive - spcevn\06. 2025\00. DANG BAO DAU THAU\11. XAY LAP CHONG QUA TAI CTA, NB, TPVT\"/>
    </mc:Choice>
  </mc:AlternateContent>
  <xr:revisionPtr revIDLastSave="0" documentId="13_ncr:1_{01115CBE-D747-4711-813E-B38E3CB2F534}" xr6:coauthVersionLast="47" xr6:coauthVersionMax="47" xr10:uidLastSave="{00000000-0000-0000-0000-000000000000}"/>
  <bookViews>
    <workbookView xWindow="-120" yWindow="-120" windowWidth="29040" windowHeight="15840" tabRatio="934" firstSheet="48" activeTab="48" xr2:uid="{00000000-000D-0000-FFFF-FFFF00000000}"/>
  </bookViews>
  <sheets>
    <sheet name="NL" sheetId="95" state="hidden" r:id="rId1"/>
    <sheet name="dongia" sheetId="96" state="hidden" r:id="rId2"/>
    <sheet name="co khi" sheetId="98" state="hidden" r:id="rId3"/>
    <sheet name="Tinh toan" sheetId="94" state="hidden" r:id="rId4"/>
    <sheet name="Bia" sheetId="92" state="hidden" r:id="rId5"/>
    <sheet name="I.TDT" sheetId="21" state="hidden" r:id="rId6"/>
    <sheet name="II.ThopXD,TB,A,DP" sheetId="43" state="hidden" r:id="rId7"/>
    <sheet name="II.1.ThopTA" sheetId="70" state="hidden" r:id="rId8"/>
    <sheet name="II.1.1.vlTA" sheetId="33" state="hidden" r:id="rId9"/>
    <sheet name="II.1.2.xdTA" sheetId="108" state="hidden" r:id="rId10"/>
    <sheet name="II.1.3.ldvlTA" sheetId="107" state="hidden" r:id="rId11"/>
    <sheet name="II.1.4.ldtbTA" sheetId="45" state="hidden" r:id="rId12"/>
    <sheet name="II.1.5.nc+mtcTA" sheetId="46" state="hidden" r:id="rId13"/>
    <sheet name="II.1.6.chitietDDTT" sheetId="47" state="hidden" r:id="rId14"/>
    <sheet name="tkeTA HH" sheetId="91" state="hidden" r:id="rId15"/>
    <sheet name="tkeTA_hh" sheetId="113" state="hidden" r:id="rId16"/>
    <sheet name="tkeTA" sheetId="72" state="hidden" r:id="rId17"/>
    <sheet name="tkeTA2" sheetId="114" state="hidden" r:id="rId18"/>
    <sheet name="vcTA" sheetId="73" state="hidden" r:id="rId19"/>
    <sheet name="II.2.ThopHA" sheetId="88" state="hidden" r:id="rId20"/>
    <sheet name="II.2.1.vtHA" sheetId="106" state="hidden" r:id="rId21"/>
    <sheet name="II.2.2.xdHA" sheetId="54" state="hidden" r:id="rId22"/>
    <sheet name="II.2.3.ldvlHA" sheetId="104" state="hidden" r:id="rId23"/>
    <sheet name="II.2.4.ldtbHA" sheetId="105" state="hidden" r:id="rId24"/>
    <sheet name="II.2.5.nc+mtcHA" sheetId="55" state="hidden" r:id="rId25"/>
    <sheet name="II.2.6.chitietHA" sheetId="75" state="hidden" r:id="rId26"/>
    <sheet name="tkeHA HH" sheetId="100" state="hidden" r:id="rId27"/>
    <sheet name="tkeHA" sheetId="79" state="hidden" r:id="rId28"/>
    <sheet name="vcHA" sheetId="80" state="hidden" r:id="rId29"/>
    <sheet name="II.3.ThopTRAM" sheetId="56" state="hidden" r:id="rId30"/>
    <sheet name="II.3.1.vltram" sheetId="102" state="hidden" r:id="rId31"/>
    <sheet name="II.3.2.xdtram" sheetId="57" state="hidden" r:id="rId32"/>
    <sheet name="II.3.3.ldtbtram" sheetId="58" state="hidden" r:id="rId33"/>
    <sheet name="II.3.4.ldvltram" sheetId="103" state="hidden" r:id="rId34"/>
    <sheet name="II.3.5.nc+mtcTRAM" sheetId="59" state="hidden" r:id="rId35"/>
    <sheet name="II.3.6.chitiettram" sheetId="77" state="hidden" r:id="rId36"/>
    <sheet name="TkeTR_hh" sheetId="110" state="hidden" r:id="rId37"/>
    <sheet name="TkeTR" sheetId="111" state="hidden" r:id="rId38"/>
    <sheet name="vcTR" sheetId="78" state="hidden" r:id="rId39"/>
    <sheet name="II.9.tuvan" sheetId="65" state="hidden" r:id="rId40"/>
    <sheet name="HĐ" sheetId="82" state="hidden" r:id="rId41"/>
    <sheet name="Ch.Cong" sheetId="84" state="hidden" r:id="rId42"/>
    <sheet name="DPT" sheetId="81" state="hidden" r:id="rId43"/>
    <sheet name="Khao sat" sheetId="101" state="hidden" r:id="rId44"/>
    <sheet name="II.10.Chuyengia" sheetId="112" state="hidden" r:id="rId45"/>
    <sheet name="Sheet7" sheetId="121" state="hidden" r:id="rId46"/>
    <sheet name="MBA" sheetId="119" state="hidden" r:id="rId47"/>
    <sheet name="XL" sheetId="118" state="hidden" r:id="rId48"/>
    <sheet name="VTTB" sheetId="117" r:id="rId49"/>
    <sheet name="KT" sheetId="115" state="hidden" r:id="rId50"/>
    <sheet name="CAP" sheetId="116" state="hidden" r:id="rId51"/>
    <sheet name="Noi suy" sheetId="109" state="hidden" r:id="rId52"/>
    <sheet name="Cuoc VC" sheetId="99" state="hidden" r:id="rId53"/>
    <sheet name="XXXXXXXX" sheetId="90" state="veryHidden" r:id="rId54"/>
    <sheet name="Sheet2" sheetId="123" state="hidden" r:id="rId55"/>
    <sheet name="XAYLAP" sheetId="124" state="hidden" r:id="rId56"/>
  </sheets>
  <externalReferences>
    <externalReference r:id="rId57"/>
    <externalReference r:id="rId58"/>
  </externalReferences>
  <definedNames>
    <definedName name="_xlnm._FilterDatabase" localSheetId="40" hidden="1">HĐ!$BC$1:$BC$743</definedName>
    <definedName name="_xlnm._FilterDatabase" localSheetId="39" hidden="1">'II.9.tuvan'!$B$1:$R$61</definedName>
    <definedName name="_xlnm._FilterDatabase" localSheetId="0" hidden="1">NL!$BB$8:$BI$8</definedName>
    <definedName name="DGVLNCMTC">[1]DGTONG!$B$6:$J$2474</definedName>
    <definedName name="GTNHAP3P">'[1]3P.XDM'!$G$3:$IU$5</definedName>
    <definedName name="_xlnm.Print_Area" localSheetId="4">Bia!$B$2:$M$256</definedName>
    <definedName name="_xlnm.Print_Area" localSheetId="50">CAP!$A$1:$I$27</definedName>
    <definedName name="_xlnm.Print_Area" localSheetId="41">'Ch.Cong'!$B$2:$AN$68</definedName>
    <definedName name="_xlnm.Print_Area" localSheetId="42">DPT!$B$2:$L$53</definedName>
    <definedName name="_xlnm.Print_Area" localSheetId="40">HĐ!$B$2:$BB$582</definedName>
    <definedName name="_xlnm.Print_Area" localSheetId="10">'II.1.3.ldvlTA'!$B$1:$J$20</definedName>
    <definedName name="_xlnm.Print_Area" localSheetId="11">'II.1.4.ldtbTA'!$B$1:$J$20</definedName>
    <definedName name="_xlnm.Print_Area" localSheetId="13">'II.1.6.chitietDDTT'!$B$1:$R$318</definedName>
    <definedName name="_xlnm.Print_Area" localSheetId="7">'II.1.ThopTA'!$A$1:$H$35</definedName>
    <definedName name="_xlnm.Print_Area" localSheetId="44">'II.10.Chuyengia'!$A$1:$F$39</definedName>
    <definedName name="_xlnm.Print_Area" localSheetId="20">'II.2.1.vtHA'!$B$1:$J$15</definedName>
    <definedName name="_xlnm.Print_Area" localSheetId="21">'II.2.2.xdHA'!$B$1:$J$19</definedName>
    <definedName name="_xlnm.Print_Area" localSheetId="22">'II.2.3.ldvlHA'!$B$1:$J$20</definedName>
    <definedName name="_xlnm.Print_Area" localSheetId="25">'II.2.6.chitietHA'!$B$1:$R$211</definedName>
    <definedName name="_xlnm.Print_Area" localSheetId="19">'II.2.ThopHA'!$A$1:$H$35</definedName>
    <definedName name="_xlnm.Print_Area" localSheetId="32">'II.3.3.ldtbtram'!$A$1:$J$26</definedName>
    <definedName name="_xlnm.Print_Area" localSheetId="35">'II.3.6.chitiettram'!$B$1:$R$65</definedName>
    <definedName name="_xlnm.Print_Area" localSheetId="29">'II.3.ThopTRAM'!$A$1:$H$34</definedName>
    <definedName name="_xlnm.Print_Area" localSheetId="39">'II.9.tuvan'!$B$1:$N$61</definedName>
    <definedName name="_xlnm.Print_Area" localSheetId="6">'II.ThopXD,TB,A,DP'!$A$1:$H$33</definedName>
    <definedName name="_xlnm.Print_Area" localSheetId="49">KT!$A$1:$I$21</definedName>
    <definedName name="_xlnm.Print_Area" localSheetId="3">'Tinh toan'!$B$2:$AL$573</definedName>
    <definedName name="_xlnm.Print_Area" localSheetId="27">tkeHA!$A$1:$BM$252</definedName>
    <definedName name="_xlnm.Print_Area" localSheetId="26">'tkeHA HH'!$A$1:$AJ$92</definedName>
    <definedName name="_xlnm.Print_Area" localSheetId="16">tkeTA!$A$1:$BF$80</definedName>
    <definedName name="_xlnm.Print_Area" localSheetId="37">TkeTR!$A$1:$AQ$11</definedName>
    <definedName name="_xlnm.Print_Area" localSheetId="36">TkeTR_hh!$A$1:$AP$9</definedName>
    <definedName name="_xlnm.Print_Area" localSheetId="28">vcHA!$B$2:$H$21</definedName>
    <definedName name="_xlnm.Print_Area" localSheetId="18">vcTA!$B$4:$H$22</definedName>
    <definedName name="_xlnm.Print_Area" localSheetId="38">vcTR!$C$2:$I$21</definedName>
    <definedName name="_xlnm.Print_Area" localSheetId="48">VTTB!$A$1:$I$48</definedName>
    <definedName name="_xlnm.Print_Area" localSheetId="55">XAYLAP!$A$3:$L$52</definedName>
    <definedName name="_xlnm.Print_Area" localSheetId="47">XL!$A$2:$L$43</definedName>
    <definedName name="_xlnm.Print_Titles" localSheetId="12">'II.1.5.nc+mtcTA'!$5:$7</definedName>
    <definedName name="_xlnm.Print_Titles" localSheetId="13">'II.1.6.chitietDDTT'!$5:$8</definedName>
    <definedName name="_xlnm.Print_Titles" localSheetId="44">'II.10.Chuyengia'!$21:$22</definedName>
    <definedName name="_xlnm.Print_Titles" localSheetId="25">'II.2.6.chitietHA'!$5:$7</definedName>
    <definedName name="_xlnm.Print_Titles" localSheetId="35">'II.3.6.chitiettram'!$5:$7</definedName>
    <definedName name="_xlnm.Print_Titles" localSheetId="27">tkeHA!$3:$4</definedName>
    <definedName name="_xlnm.Print_Titles" localSheetId="26">'tkeHA HH'!$3:$4</definedName>
    <definedName name="_xlnm.Print_Titles" localSheetId="16">tkeTA!$3:$4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117" l="1"/>
  <c r="A11" i="117" s="1"/>
  <c r="A12" i="117" s="1"/>
  <c r="A13" i="117" s="1"/>
  <c r="A14" i="117" s="1"/>
  <c r="A15" i="117" s="1"/>
  <c r="A16" i="117" s="1"/>
  <c r="A17" i="117" s="1"/>
  <c r="A18" i="117" s="1"/>
  <c r="A19" i="117" s="1"/>
  <c r="A20" i="117" s="1"/>
  <c r="A21" i="117" s="1"/>
  <c r="A22" i="117" s="1"/>
  <c r="A23" i="117" s="1"/>
  <c r="A24" i="117" s="1"/>
  <c r="A25" i="117" s="1"/>
  <c r="A26" i="117" s="1"/>
  <c r="A27" i="117" s="1"/>
  <c r="A28" i="117" s="1"/>
  <c r="A29" i="117" s="1"/>
  <c r="A30" i="117" s="1"/>
  <c r="A31" i="117" s="1"/>
  <c r="A32" i="117" s="1"/>
  <c r="A33" i="117" s="1"/>
  <c r="A34" i="117" s="1"/>
  <c r="A35" i="117" s="1"/>
  <c r="A36" i="117" s="1"/>
  <c r="A37" i="117" s="1"/>
  <c r="A38" i="117" s="1"/>
  <c r="A39" i="117" s="1"/>
  <c r="A40" i="117" s="1"/>
  <c r="A41" i="117" s="1"/>
  <c r="A42" i="117" s="1"/>
  <c r="A43" i="117" s="1"/>
  <c r="A44" i="117" s="1"/>
  <c r="A45" i="117" s="1"/>
  <c r="A46" i="117" s="1"/>
  <c r="E155" i="117"/>
  <c r="D152" i="117"/>
  <c r="E164" i="117"/>
  <c r="D164" i="117"/>
  <c r="B164" i="117"/>
  <c r="E163" i="117"/>
  <c r="D163" i="117"/>
  <c r="B163" i="117"/>
  <c r="E162" i="117"/>
  <c r="D162" i="117"/>
  <c r="B162" i="117"/>
  <c r="F166" i="117"/>
  <c r="E161" i="117"/>
  <c r="D161" i="117"/>
  <c r="B161" i="117"/>
  <c r="E160" i="117"/>
  <c r="D160" i="117"/>
  <c r="B160" i="117"/>
  <c r="E159" i="117"/>
  <c r="D159" i="117"/>
  <c r="C159" i="117"/>
  <c r="C160" i="117" s="1"/>
  <c r="C161" i="117" s="1"/>
  <c r="B159" i="117"/>
  <c r="E158" i="117"/>
  <c r="D158" i="117"/>
  <c r="B158" i="117"/>
  <c r="E157" i="117"/>
  <c r="D157" i="117"/>
  <c r="B157" i="117"/>
  <c r="E156" i="117"/>
  <c r="D156" i="117"/>
  <c r="B156" i="117"/>
  <c r="E154" i="117"/>
  <c r="D154" i="117"/>
  <c r="B154" i="117"/>
  <c r="E153" i="117"/>
  <c r="C153" i="117"/>
  <c r="C154" i="117" s="1"/>
  <c r="C155" i="117" s="1"/>
  <c r="C156" i="117" s="1"/>
  <c r="C157" i="117" s="1"/>
  <c r="C158" i="117" s="1"/>
  <c r="B153" i="117"/>
  <c r="E152" i="117"/>
  <c r="C152" i="117"/>
  <c r="B152" i="117"/>
  <c r="E151" i="117"/>
  <c r="D151" i="117"/>
  <c r="B151" i="117"/>
  <c r="E150" i="117"/>
  <c r="B150" i="117"/>
  <c r="E149" i="117"/>
  <c r="D149" i="117"/>
  <c r="C149" i="117"/>
  <c r="B149" i="117"/>
  <c r="E148" i="117"/>
  <c r="D148" i="117"/>
  <c r="B148" i="117"/>
  <c r="E147" i="117"/>
  <c r="D147" i="117"/>
  <c r="B147" i="117"/>
  <c r="E146" i="117"/>
  <c r="D146" i="117"/>
  <c r="B146" i="117"/>
  <c r="E145" i="117"/>
  <c r="B145" i="117"/>
  <c r="E144" i="117"/>
  <c r="D144" i="117"/>
  <c r="B144" i="117"/>
  <c r="A144" i="117"/>
  <c r="A145" i="117" s="1"/>
  <c r="A146" i="117" s="1"/>
  <c r="A147" i="117" s="1"/>
  <c r="A148" i="117" s="1"/>
  <c r="A149" i="117" s="1"/>
  <c r="A150" i="117" s="1"/>
  <c r="A151" i="117" s="1"/>
  <c r="A152" i="117" s="1"/>
  <c r="A153" i="117" s="1"/>
  <c r="A154" i="117" s="1"/>
  <c r="A155" i="117" s="1"/>
  <c r="A156" i="117" s="1"/>
  <c r="A157" i="117" s="1"/>
  <c r="A158" i="117" s="1"/>
  <c r="A159" i="117" s="1"/>
  <c r="A160" i="117" s="1"/>
  <c r="A161" i="117" s="1"/>
  <c r="A162" i="117" s="1"/>
  <c r="A163" i="117" s="1"/>
  <c r="A164" i="117" s="1"/>
  <c r="A165" i="117" s="1"/>
  <c r="A166" i="117" s="1"/>
  <c r="A167" i="117" s="1"/>
  <c r="A168" i="117" s="1"/>
  <c r="A169" i="117" s="1"/>
  <c r="A170" i="117" s="1"/>
  <c r="A171" i="117" s="1"/>
  <c r="E143" i="117"/>
  <c r="D143" i="117"/>
  <c r="C143" i="117"/>
  <c r="C144" i="117" s="1"/>
  <c r="C145" i="117" s="1"/>
  <c r="C146" i="117" s="1"/>
  <c r="C147" i="117" s="1"/>
  <c r="C148" i="117" s="1"/>
  <c r="C150" i="117" s="1"/>
  <c r="C151" i="117" s="1"/>
  <c r="B143" i="117"/>
  <c r="D145" i="117" l="1"/>
  <c r="F145" i="117" s="1"/>
  <c r="D150" i="117"/>
  <c r="F150" i="117" s="1"/>
  <c r="B155" i="117"/>
  <c r="D155" i="117"/>
  <c r="F155" i="117" s="1"/>
  <c r="D153" i="117"/>
  <c r="F153" i="117" s="1"/>
  <c r="F162" i="117"/>
  <c r="F164" i="117"/>
  <c r="C162" i="117"/>
  <c r="F163" i="117"/>
  <c r="F161" i="117"/>
  <c r="F160" i="117"/>
  <c r="F158" i="117"/>
  <c r="F159" i="117"/>
  <c r="F157" i="117"/>
  <c r="F156" i="117"/>
  <c r="F154" i="117"/>
  <c r="F152" i="117"/>
  <c r="F151" i="117"/>
  <c r="F147" i="117"/>
  <c r="F149" i="117"/>
  <c r="F146" i="117"/>
  <c r="F148" i="117"/>
  <c r="F143" i="117"/>
  <c r="F144" i="117"/>
  <c r="C163" i="117" l="1"/>
  <c r="F165" i="117"/>
  <c r="F167" i="117" s="1"/>
  <c r="C164" i="117" l="1"/>
  <c r="A11" i="115" l="1"/>
  <c r="K8" i="117" l="1"/>
  <c r="E7" i="115"/>
  <c r="A125" i="117" l="1"/>
  <c r="A126" i="117" s="1"/>
  <c r="A127" i="117" s="1"/>
  <c r="A128" i="117" s="1"/>
  <c r="A129" i="117" s="1"/>
  <c r="A130" i="117" s="1"/>
  <c r="A131" i="117" s="1"/>
  <c r="A132" i="117" s="1"/>
  <c r="A133" i="117" s="1"/>
  <c r="A134" i="117" s="1"/>
  <c r="A135" i="117" s="1"/>
  <c r="A136" i="117" s="1"/>
  <c r="F13" i="116"/>
  <c r="F12" i="116"/>
  <c r="F11" i="116"/>
  <c r="F10" i="116"/>
  <c r="F9" i="116"/>
  <c r="F8" i="116" l="1"/>
  <c r="F31" i="116" l="1"/>
  <c r="N31" i="124"/>
  <c r="O19" i="118"/>
  <c r="M25" i="118"/>
  <c r="M39" i="118" s="1"/>
  <c r="G27" i="118"/>
  <c r="B8" i="123"/>
  <c r="E71" i="123"/>
  <c r="D62" i="123"/>
  <c r="I10" i="123"/>
  <c r="E7" i="123"/>
  <c r="E9" i="123" s="1"/>
  <c r="G9" i="123" s="1"/>
  <c r="M68" i="118"/>
  <c r="M58" i="118"/>
  <c r="H194" i="116"/>
  <c r="H193" i="116"/>
  <c r="H191" i="116"/>
  <c r="H182" i="116"/>
  <c r="H181" i="116"/>
  <c r="H180" i="116"/>
  <c r="H178" i="116"/>
  <c r="H174" i="116"/>
  <c r="H175" i="116"/>
  <c r="H176" i="116"/>
  <c r="H177" i="116"/>
  <c r="H179" i="116"/>
  <c r="H183" i="116"/>
  <c r="H184" i="116"/>
  <c r="H185" i="116"/>
  <c r="H186" i="116"/>
  <c r="H187" i="116"/>
  <c r="H188" i="116"/>
  <c r="H189" i="116"/>
  <c r="H190" i="116"/>
  <c r="H192" i="116"/>
  <c r="H195" i="116"/>
  <c r="H196" i="116"/>
  <c r="H173" i="116"/>
  <c r="G13" i="119"/>
  <c r="F9" i="119"/>
  <c r="F8" i="119"/>
  <c r="F7" i="119"/>
  <c r="F6" i="119" s="1"/>
  <c r="A8" i="119"/>
  <c r="A9" i="119" s="1"/>
  <c r="X16" i="121"/>
  <c r="X17" i="121"/>
  <c r="X19" i="121"/>
  <c r="X20" i="121"/>
  <c r="X21" i="121"/>
  <c r="X22" i="121"/>
  <c r="X23" i="121"/>
  <c r="X24" i="121"/>
  <c r="X25" i="121"/>
  <c r="X26" i="121"/>
  <c r="X27" i="121"/>
  <c r="X28" i="121"/>
  <c r="X29" i="121"/>
  <c r="X30" i="121"/>
  <c r="X31" i="121"/>
  <c r="X32" i="121"/>
  <c r="X33" i="121"/>
  <c r="X34" i="121"/>
  <c r="X35" i="121"/>
  <c r="X38" i="121"/>
  <c r="X40" i="121"/>
  <c r="X41" i="121"/>
  <c r="X42" i="121"/>
  <c r="X43" i="121"/>
  <c r="X44" i="121"/>
  <c r="X48" i="121"/>
  <c r="X49" i="121"/>
  <c r="X50" i="121"/>
  <c r="X51" i="121"/>
  <c r="X52" i="121"/>
  <c r="X53" i="121"/>
  <c r="X54" i="121"/>
  <c r="X55" i="121"/>
  <c r="X56" i="121"/>
  <c r="X57" i="121"/>
  <c r="X58" i="121"/>
  <c r="G7" i="115"/>
  <c r="W39" i="121"/>
  <c r="X39" i="121"/>
  <c r="V18" i="121"/>
  <c r="X18" i="121" s="1"/>
  <c r="U13" i="121"/>
  <c r="U59" i="121" s="1"/>
  <c r="T36" i="121"/>
  <c r="X36" i="121" s="1"/>
  <c r="T12" i="121"/>
  <c r="X12" i="121" s="1"/>
  <c r="S15" i="121"/>
  <c r="X15" i="121" s="1"/>
  <c r="R37" i="121"/>
  <c r="X37" i="121" s="1"/>
  <c r="R14" i="121"/>
  <c r="X14" i="121" s="1"/>
  <c r="Q59" i="121"/>
  <c r="P59" i="121"/>
  <c r="O59" i="121"/>
  <c r="N59" i="121"/>
  <c r="M59" i="121"/>
  <c r="L59" i="121"/>
  <c r="K59" i="121"/>
  <c r="H152" i="116"/>
  <c r="H151" i="116"/>
  <c r="H150" i="116"/>
  <c r="H149" i="116"/>
  <c r="H148" i="116"/>
  <c r="H147" i="116"/>
  <c r="H146" i="116"/>
  <c r="H145" i="116"/>
  <c r="H144" i="116"/>
  <c r="H143" i="116"/>
  <c r="H142" i="116"/>
  <c r="H141" i="116"/>
  <c r="H140" i="116"/>
  <c r="H139" i="116"/>
  <c r="H138" i="116"/>
  <c r="H137" i="116"/>
  <c r="H136" i="116"/>
  <c r="H135" i="116"/>
  <c r="H134" i="116"/>
  <c r="H133" i="116"/>
  <c r="H132" i="116"/>
  <c r="G38" i="119"/>
  <c r="L33" i="119" s="1"/>
  <c r="L32" i="119" s="1"/>
  <c r="L31" i="119" s="1"/>
  <c r="L30" i="119" s="1"/>
  <c r="J30" i="119" s="1"/>
  <c r="L29" i="119" s="1"/>
  <c r="L28" i="119" s="1"/>
  <c r="L27" i="119" s="1"/>
  <c r="L26" i="119" s="1"/>
  <c r="L25" i="119" s="1"/>
  <c r="AH60" i="121"/>
  <c r="AG60" i="121"/>
  <c r="AF60" i="121"/>
  <c r="AE60" i="121"/>
  <c r="AD60" i="121"/>
  <c r="I60" i="121"/>
  <c r="E60" i="121"/>
  <c r="D60" i="121"/>
  <c r="G60" i="121"/>
  <c r="F60" i="121"/>
  <c r="H60" i="121"/>
  <c r="C8" i="109"/>
  <c r="J188" i="109" s="1"/>
  <c r="C15" i="92"/>
  <c r="C19" i="92"/>
  <c r="C9" i="109"/>
  <c r="J342" i="109" s="1"/>
  <c r="G28" i="43"/>
  <c r="F12" i="21"/>
  <c r="I181" i="75" s="1"/>
  <c r="N156" i="75" s="1"/>
  <c r="Q153" i="75" s="1"/>
  <c r="Q146" i="75" s="1"/>
  <c r="N152" i="75" s="1"/>
  <c r="N149" i="75" s="1"/>
  <c r="N148" i="75" s="1"/>
  <c r="Q144" i="75" s="1"/>
  <c r="Q140" i="75" s="1"/>
  <c r="P144" i="75" s="1"/>
  <c r="P140" i="75" s="1"/>
  <c r="N143" i="75" s="1"/>
  <c r="N142" i="75" s="1"/>
  <c r="N141" i="75" s="1"/>
  <c r="N140" i="75" s="1"/>
  <c r="P68" i="47"/>
  <c r="R67" i="47" s="1"/>
  <c r="Q67" i="47" s="1"/>
  <c r="P67" i="47" s="1"/>
  <c r="R66" i="47" s="1"/>
  <c r="Q66" i="47" s="1"/>
  <c r="P66" i="47" s="1"/>
  <c r="N65" i="47" s="1"/>
  <c r="N64" i="47" s="1"/>
  <c r="N63" i="47" s="1"/>
  <c r="N62" i="47" s="1"/>
  <c r="R59" i="47" s="1"/>
  <c r="Q59" i="47" s="1"/>
  <c r="P59" i="47" s="1"/>
  <c r="R58" i="47" s="1"/>
  <c r="Q58" i="47" s="1"/>
  <c r="P58" i="47" s="1"/>
  <c r="D32" i="43"/>
  <c r="J32" i="43"/>
  <c r="N163" i="47"/>
  <c r="N186" i="47"/>
  <c r="N188" i="47"/>
  <c r="N190" i="47"/>
  <c r="G192" i="47"/>
  <c r="N192" i="47" s="1"/>
  <c r="G204" i="47"/>
  <c r="N210" i="47"/>
  <c r="N212" i="47"/>
  <c r="N238" i="47"/>
  <c r="N243" i="47"/>
  <c r="N248" i="47"/>
  <c r="G291" i="47"/>
  <c r="G292" i="47"/>
  <c r="O162" i="47"/>
  <c r="O163" i="47"/>
  <c r="O164" i="47"/>
  <c r="J54" i="47"/>
  <c r="O54" i="47" s="1"/>
  <c r="O50" i="47"/>
  <c r="O51" i="47"/>
  <c r="O52" i="47"/>
  <c r="O53" i="47"/>
  <c r="O55" i="47"/>
  <c r="O56" i="47"/>
  <c r="O57" i="47"/>
  <c r="O58" i="47"/>
  <c r="O59" i="47"/>
  <c r="P21" i="47"/>
  <c r="P34" i="47"/>
  <c r="P47" i="47"/>
  <c r="P177" i="47"/>
  <c r="P173" i="47" s="1"/>
  <c r="G257" i="47"/>
  <c r="G258" i="47"/>
  <c r="G259" i="47"/>
  <c r="G260" i="47"/>
  <c r="P342" i="47"/>
  <c r="P341" i="47" s="1"/>
  <c r="P348" i="47"/>
  <c r="Q235" i="47"/>
  <c r="Q223" i="47" s="1"/>
  <c r="Q336" i="47"/>
  <c r="Q335" i="47" s="1"/>
  <c r="Q348" i="47"/>
  <c r="R159" i="47"/>
  <c r="R153" i="47" s="1"/>
  <c r="R183" i="47"/>
  <c r="R179" i="47" s="1"/>
  <c r="R327" i="47"/>
  <c r="R326" i="47" s="1"/>
  <c r="R339" i="47"/>
  <c r="R338" i="47" s="1"/>
  <c r="R349" i="47"/>
  <c r="D31" i="43"/>
  <c r="D30" i="43"/>
  <c r="D27" i="43"/>
  <c r="N94" i="75"/>
  <c r="N102" i="75"/>
  <c r="G112" i="75"/>
  <c r="N117" i="75"/>
  <c r="N118" i="75"/>
  <c r="N119" i="75"/>
  <c r="N120" i="75"/>
  <c r="N121" i="75"/>
  <c r="N122" i="75"/>
  <c r="N123" i="75"/>
  <c r="N124" i="75"/>
  <c r="N125" i="75"/>
  <c r="N126" i="75"/>
  <c r="N147" i="75"/>
  <c r="N150" i="75"/>
  <c r="N151" i="75"/>
  <c r="N157" i="75"/>
  <c r="G10" i="75"/>
  <c r="G11" i="75"/>
  <c r="G12" i="75"/>
  <c r="O12" i="75" s="1"/>
  <c r="G13" i="75"/>
  <c r="N15" i="75"/>
  <c r="N16" i="75"/>
  <c r="N17" i="75"/>
  <c r="G23" i="75"/>
  <c r="O23" i="75" s="1"/>
  <c r="G24" i="75"/>
  <c r="G25" i="75"/>
  <c r="G26" i="75"/>
  <c r="N26" i="75" s="1"/>
  <c r="N28" i="75"/>
  <c r="N37" i="75"/>
  <c r="N38" i="75"/>
  <c r="N47" i="75"/>
  <c r="N50" i="75"/>
  <c r="N51" i="75"/>
  <c r="N52" i="75"/>
  <c r="N60" i="75"/>
  <c r="N78" i="75"/>
  <c r="N79" i="75"/>
  <c r="P18" i="75"/>
  <c r="P20" i="75"/>
  <c r="P31" i="75"/>
  <c r="P41" i="75"/>
  <c r="P53" i="75"/>
  <c r="P55" i="75"/>
  <c r="P66" i="75"/>
  <c r="P74" i="75"/>
  <c r="P80" i="75"/>
  <c r="P82" i="75"/>
  <c r="P86" i="75"/>
  <c r="Q32" i="75"/>
  <c r="Q40" i="75"/>
  <c r="Q42" i="75"/>
  <c r="Q55" i="75"/>
  <c r="Q66" i="75"/>
  <c r="Q75" i="75"/>
  <c r="Q85" i="75"/>
  <c r="R19" i="75"/>
  <c r="R31" i="75"/>
  <c r="R33" i="75"/>
  <c r="R40" i="75"/>
  <c r="R54" i="75"/>
  <c r="R73" i="75"/>
  <c r="R75" i="75"/>
  <c r="R81" i="75"/>
  <c r="R85" i="75"/>
  <c r="P95" i="75"/>
  <c r="P103" i="75"/>
  <c r="P127" i="75"/>
  <c r="P116" i="75" s="1"/>
  <c r="G135" i="75"/>
  <c r="G136" i="75"/>
  <c r="Q136" i="75" s="1"/>
  <c r="G137" i="75"/>
  <c r="G138" i="75"/>
  <c r="Q138" i="75" s="1"/>
  <c r="P153" i="75"/>
  <c r="P146" i="75" s="1"/>
  <c r="P158" i="75"/>
  <c r="P155" i="75" s="1"/>
  <c r="P195" i="75"/>
  <c r="P194" i="75" s="1"/>
  <c r="P198" i="75"/>
  <c r="P197" i="75" s="1"/>
  <c r="P201" i="75"/>
  <c r="P200" i="75" s="1"/>
  <c r="P204" i="75"/>
  <c r="P203" i="75" s="1"/>
  <c r="Q95" i="75"/>
  <c r="Q99" i="75"/>
  <c r="Q114" i="75"/>
  <c r="Q105" i="75" s="1"/>
  <c r="Q158" i="75"/>
  <c r="Q155" i="75" s="1"/>
  <c r="Q195" i="75"/>
  <c r="Q194" i="75" s="1"/>
  <c r="Q198" i="75"/>
  <c r="Q197" i="75" s="1"/>
  <c r="Q201" i="75"/>
  <c r="Q200" i="75" s="1"/>
  <c r="Q204" i="75"/>
  <c r="Q203" i="75" s="1"/>
  <c r="R91" i="75"/>
  <c r="R99" i="75"/>
  <c r="R114" i="75"/>
  <c r="R105" i="75" s="1"/>
  <c r="R144" i="75"/>
  <c r="R140" i="75" s="1"/>
  <c r="R153" i="75"/>
  <c r="R146" i="75" s="1"/>
  <c r="R158" i="75"/>
  <c r="R155" i="75" s="1"/>
  <c r="R195" i="75"/>
  <c r="R194" i="75" s="1"/>
  <c r="R198" i="75"/>
  <c r="R197" i="75" s="1"/>
  <c r="R201" i="75"/>
  <c r="R200" i="75" s="1"/>
  <c r="R204" i="75"/>
  <c r="R203" i="75" s="1"/>
  <c r="N25" i="77"/>
  <c r="N26" i="77"/>
  <c r="N27" i="77"/>
  <c r="N28" i="77"/>
  <c r="N29" i="77"/>
  <c r="N34" i="77"/>
  <c r="N35" i="77"/>
  <c r="N36" i="77"/>
  <c r="N37" i="77"/>
  <c r="N38" i="77"/>
  <c r="N39" i="77"/>
  <c r="N40" i="77"/>
  <c r="N48" i="77"/>
  <c r="N49" i="77"/>
  <c r="N50" i="77"/>
  <c r="N54" i="77"/>
  <c r="N55" i="77"/>
  <c r="N56" i="77"/>
  <c r="N57" i="77"/>
  <c r="N58" i="77"/>
  <c r="G59" i="77"/>
  <c r="N59" i="77" s="1"/>
  <c r="N63" i="77"/>
  <c r="N62" i="77" s="1"/>
  <c r="N67" i="77"/>
  <c r="N68" i="77"/>
  <c r="N69" i="77"/>
  <c r="N70" i="77"/>
  <c r="N71" i="77"/>
  <c r="N72" i="77"/>
  <c r="N73" i="77"/>
  <c r="N74" i="77"/>
  <c r="O11" i="77"/>
  <c r="O10" i="77" s="1"/>
  <c r="O12" i="77"/>
  <c r="O34" i="77"/>
  <c r="O35" i="77"/>
  <c r="O36" i="77"/>
  <c r="O37" i="77"/>
  <c r="O38" i="77"/>
  <c r="O39" i="77"/>
  <c r="O40" i="77"/>
  <c r="G41" i="77"/>
  <c r="Q41" i="77" s="1"/>
  <c r="G42" i="77"/>
  <c r="R42" i="77" s="1"/>
  <c r="G43" i="77"/>
  <c r="Q43" i="77" s="1"/>
  <c r="G44" i="77"/>
  <c r="O44" i="77" s="1"/>
  <c r="P11" i="77"/>
  <c r="P12" i="77"/>
  <c r="Q11" i="77"/>
  <c r="Q12" i="77"/>
  <c r="R11" i="77"/>
  <c r="R12" i="77"/>
  <c r="P51" i="77"/>
  <c r="P47" i="77" s="1"/>
  <c r="P60" i="77"/>
  <c r="P53" i="77" s="1"/>
  <c r="G64" i="77"/>
  <c r="P64" i="77" s="1"/>
  <c r="P62" i="77" s="1"/>
  <c r="P75" i="77"/>
  <c r="G76" i="77"/>
  <c r="R76" i="77" s="1"/>
  <c r="G77" i="77"/>
  <c r="R77" i="77" s="1"/>
  <c r="G78" i="77"/>
  <c r="G79" i="77"/>
  <c r="Q51" i="77"/>
  <c r="Q47" i="77" s="1"/>
  <c r="Q60" i="77"/>
  <c r="Q53" i="77" s="1"/>
  <c r="Q75" i="77"/>
  <c r="R51" i="77"/>
  <c r="R47" i="77" s="1"/>
  <c r="R60" i="77"/>
  <c r="R53" i="77" s="1"/>
  <c r="R75" i="77"/>
  <c r="N16" i="77"/>
  <c r="N17" i="77"/>
  <c r="N18" i="77"/>
  <c r="P19" i="77"/>
  <c r="P20" i="77"/>
  <c r="P21" i="77"/>
  <c r="Q19" i="77"/>
  <c r="Q15" i="77" s="1"/>
  <c r="Q20" i="77"/>
  <c r="Q21" i="77"/>
  <c r="R19" i="77"/>
  <c r="R20" i="77"/>
  <c r="R21" i="77"/>
  <c r="K28" i="56"/>
  <c r="O85" i="75"/>
  <c r="O86" i="75"/>
  <c r="A21" i="75"/>
  <c r="A22" i="75" s="1"/>
  <c r="O20" i="75"/>
  <c r="O19" i="75"/>
  <c r="O18" i="75"/>
  <c r="O17" i="75"/>
  <c r="O16" i="75"/>
  <c r="O15" i="75"/>
  <c r="J14" i="75"/>
  <c r="O14" i="75" s="1"/>
  <c r="O11" i="75"/>
  <c r="B9" i="75"/>
  <c r="C9" i="55" s="1"/>
  <c r="Q243" i="79"/>
  <c r="R243" i="79"/>
  <c r="S243" i="79"/>
  <c r="T243" i="79"/>
  <c r="U243" i="79"/>
  <c r="V243" i="79"/>
  <c r="Q228" i="79"/>
  <c r="R228" i="79"/>
  <c r="S228" i="79"/>
  <c r="R180" i="79"/>
  <c r="R140" i="79"/>
  <c r="D243" i="79"/>
  <c r="E243" i="79"/>
  <c r="F243" i="79"/>
  <c r="H243" i="79"/>
  <c r="I243" i="79"/>
  <c r="J243" i="79"/>
  <c r="K243" i="79"/>
  <c r="L243" i="79"/>
  <c r="M243" i="79"/>
  <c r="N243" i="79"/>
  <c r="O243" i="79"/>
  <c r="P243" i="79"/>
  <c r="W243" i="79"/>
  <c r="X243" i="79"/>
  <c r="Y243" i="79"/>
  <c r="Z243" i="79"/>
  <c r="AA243" i="79"/>
  <c r="AB243" i="79"/>
  <c r="AC243" i="79"/>
  <c r="AD243" i="79"/>
  <c r="AE243" i="79"/>
  <c r="AF243" i="79"/>
  <c r="AG243" i="79"/>
  <c r="AH243" i="79"/>
  <c r="AI243" i="79"/>
  <c r="AJ243" i="79"/>
  <c r="AK243" i="79"/>
  <c r="AL243" i="79"/>
  <c r="AM243" i="79"/>
  <c r="AN243" i="79"/>
  <c r="AO243" i="79"/>
  <c r="AP243" i="79"/>
  <c r="AQ243" i="79"/>
  <c r="AR243" i="79"/>
  <c r="AS243" i="79"/>
  <c r="AT243" i="79"/>
  <c r="AU243" i="79"/>
  <c r="AV243" i="79"/>
  <c r="AW243" i="79"/>
  <c r="AX243" i="79"/>
  <c r="AY243" i="79"/>
  <c r="AZ243" i="79"/>
  <c r="BA243" i="79"/>
  <c r="BB243" i="79"/>
  <c r="BC243" i="79"/>
  <c r="BD243" i="79"/>
  <c r="BE243" i="79"/>
  <c r="BF243" i="79"/>
  <c r="BG243" i="79"/>
  <c r="BH243" i="79"/>
  <c r="BI243" i="79"/>
  <c r="BJ243" i="79"/>
  <c r="BL243" i="79"/>
  <c r="C243" i="79"/>
  <c r="B10" i="47"/>
  <c r="A22" i="47"/>
  <c r="A23" i="47" s="1"/>
  <c r="B23" i="47" s="1"/>
  <c r="B89" i="47"/>
  <c r="A93" i="47"/>
  <c r="O262" i="47"/>
  <c r="N329" i="47"/>
  <c r="B329" i="47"/>
  <c r="B326" i="47"/>
  <c r="A332" i="47"/>
  <c r="B332" i="47" s="1"/>
  <c r="N335" i="47"/>
  <c r="N338" i="47"/>
  <c r="N341" i="47"/>
  <c r="N344" i="47"/>
  <c r="N347" i="47"/>
  <c r="N351" i="47"/>
  <c r="O351" i="47"/>
  <c r="D133" i="72"/>
  <c r="D135" i="72" s="1"/>
  <c r="O85" i="47"/>
  <c r="O84" i="47" s="1"/>
  <c r="O86" i="47"/>
  <c r="Z104" i="72"/>
  <c r="X133" i="72"/>
  <c r="Y133" i="72"/>
  <c r="Z133" i="72"/>
  <c r="AA133" i="72"/>
  <c r="AB133" i="72"/>
  <c r="AC133" i="72"/>
  <c r="AD133" i="72"/>
  <c r="AF133" i="72"/>
  <c r="AH133" i="72"/>
  <c r="Y104" i="72"/>
  <c r="Y135" i="72" s="1"/>
  <c r="G209" i="47" s="1"/>
  <c r="AA104" i="72"/>
  <c r="AB104" i="72"/>
  <c r="AC104" i="72"/>
  <c r="L104" i="72"/>
  <c r="O104" i="72"/>
  <c r="P104" i="72"/>
  <c r="T104" i="72"/>
  <c r="V104" i="72"/>
  <c r="W104" i="72"/>
  <c r="AD104" i="72"/>
  <c r="AD135" i="72" s="1"/>
  <c r="AF104" i="72"/>
  <c r="AF135" i="72" s="1"/>
  <c r="G275" i="47" s="1"/>
  <c r="N275" i="47" s="1"/>
  <c r="AI104" i="72"/>
  <c r="AP104" i="72"/>
  <c r="AQ104" i="72"/>
  <c r="AZ133" i="72"/>
  <c r="BA133" i="72"/>
  <c r="I133" i="72"/>
  <c r="J133" i="72"/>
  <c r="K133" i="72"/>
  <c r="L133" i="72"/>
  <c r="M133" i="72"/>
  <c r="G97" i="47" s="1"/>
  <c r="H98" i="47" s="1"/>
  <c r="N133" i="72"/>
  <c r="O133" i="72"/>
  <c r="P133" i="72"/>
  <c r="Q133" i="72"/>
  <c r="R133" i="72"/>
  <c r="S133" i="72"/>
  <c r="T133" i="72"/>
  <c r="U133" i="72"/>
  <c r="V133" i="72"/>
  <c r="V135" i="72" s="1"/>
  <c r="W133" i="72"/>
  <c r="W135" i="72" s="1"/>
  <c r="AI133" i="72"/>
  <c r="AJ133" i="72"/>
  <c r="AK133" i="72"/>
  <c r="AL133" i="72"/>
  <c r="AM133" i="72"/>
  <c r="AN133" i="72"/>
  <c r="AO133" i="72"/>
  <c r="AP133" i="72"/>
  <c r="AP135" i="72" s="1"/>
  <c r="G293" i="47" s="1"/>
  <c r="AQ133" i="72"/>
  <c r="AR133" i="72"/>
  <c r="AS133" i="72"/>
  <c r="AT133" i="72"/>
  <c r="AU133" i="72"/>
  <c r="AV133" i="72"/>
  <c r="AW133" i="72"/>
  <c r="AX133" i="72"/>
  <c r="AY133" i="72"/>
  <c r="BB133" i="72"/>
  <c r="BC133" i="72"/>
  <c r="BD133" i="72"/>
  <c r="BE133" i="72"/>
  <c r="BF133" i="72"/>
  <c r="BG133" i="72"/>
  <c r="I104" i="72"/>
  <c r="I135" i="72" s="1"/>
  <c r="K104" i="72"/>
  <c r="M104" i="72"/>
  <c r="N104" i="72"/>
  <c r="Q104" i="72"/>
  <c r="R104" i="72"/>
  <c r="S104" i="72"/>
  <c r="U104" i="72"/>
  <c r="X104" i="72"/>
  <c r="AH104" i="72"/>
  <c r="AJ104" i="72"/>
  <c r="AK104" i="72"/>
  <c r="AL104" i="72"/>
  <c r="AM104" i="72"/>
  <c r="AN104" i="72"/>
  <c r="AO104" i="72"/>
  <c r="AR104" i="72"/>
  <c r="AR135" i="72" s="1"/>
  <c r="AS104" i="72"/>
  <c r="AT104" i="72"/>
  <c r="AU104" i="72"/>
  <c r="AU135" i="72" s="1"/>
  <c r="AV104" i="72"/>
  <c r="AV135" i="72" s="1"/>
  <c r="AW104" i="72"/>
  <c r="AX104" i="72"/>
  <c r="AY104" i="72"/>
  <c r="AZ104" i="72"/>
  <c r="BA104" i="72"/>
  <c r="BB104" i="72"/>
  <c r="BB135" i="72" s="1"/>
  <c r="G321" i="47" s="1"/>
  <c r="BC104" i="72"/>
  <c r="BD104" i="72"/>
  <c r="BE104" i="72"/>
  <c r="BF104" i="72"/>
  <c r="BF135" i="72" s="1"/>
  <c r="BG104" i="72"/>
  <c r="D107" i="113"/>
  <c r="D127" i="113" s="1"/>
  <c r="D101" i="113"/>
  <c r="D180" i="79"/>
  <c r="E180" i="79"/>
  <c r="F180" i="79"/>
  <c r="G144" i="79"/>
  <c r="G145" i="79"/>
  <c r="G146" i="79"/>
  <c r="G147" i="79"/>
  <c r="G148" i="79"/>
  <c r="G149" i="79"/>
  <c r="G150" i="79"/>
  <c r="G151" i="79"/>
  <c r="G152" i="79"/>
  <c r="G153" i="79"/>
  <c r="G154" i="79"/>
  <c r="G155" i="79"/>
  <c r="G156" i="79"/>
  <c r="G157" i="79"/>
  <c r="G160" i="79"/>
  <c r="G161" i="79"/>
  <c r="G162" i="79"/>
  <c r="G163" i="79"/>
  <c r="G164" i="79"/>
  <c r="G165" i="79"/>
  <c r="G166" i="79"/>
  <c r="G167" i="79"/>
  <c r="G168" i="79"/>
  <c r="G169" i="79"/>
  <c r="G170" i="79"/>
  <c r="G171" i="79"/>
  <c r="G172" i="79"/>
  <c r="G173" i="79"/>
  <c r="G174" i="79"/>
  <c r="G175" i="79"/>
  <c r="G176" i="79"/>
  <c r="G177" i="79"/>
  <c r="G178" i="79"/>
  <c r="G179" i="79"/>
  <c r="H180" i="79"/>
  <c r="I180" i="79"/>
  <c r="J180" i="79"/>
  <c r="K180" i="79"/>
  <c r="L180" i="79"/>
  <c r="M180" i="79"/>
  <c r="N180" i="79"/>
  <c r="O180" i="79"/>
  <c r="P160" i="79"/>
  <c r="P162" i="79"/>
  <c r="P179" i="79"/>
  <c r="Q180" i="79"/>
  <c r="S142" i="79"/>
  <c r="S143" i="79"/>
  <c r="S144" i="79"/>
  <c r="S145" i="79"/>
  <c r="S146" i="79"/>
  <c r="S147" i="79"/>
  <c r="S148" i="79"/>
  <c r="S149" i="79"/>
  <c r="S150" i="79"/>
  <c r="S151" i="79"/>
  <c r="S152" i="79"/>
  <c r="S153" i="79"/>
  <c r="S154" i="79"/>
  <c r="S155" i="79"/>
  <c r="S156" i="79"/>
  <c r="S157" i="79"/>
  <c r="S160" i="79"/>
  <c r="S162" i="79"/>
  <c r="AR162" i="79" s="1"/>
  <c r="S179" i="79"/>
  <c r="T142" i="79"/>
  <c r="T143" i="79"/>
  <c r="T155" i="79"/>
  <c r="T157" i="79"/>
  <c r="U180" i="79"/>
  <c r="V180" i="79"/>
  <c r="W180" i="79"/>
  <c r="X180" i="79"/>
  <c r="Y180" i="79"/>
  <c r="Z180" i="79"/>
  <c r="AA180" i="79"/>
  <c r="AB180" i="79"/>
  <c r="AC180" i="79"/>
  <c r="AD180" i="79"/>
  <c r="AE180" i="79"/>
  <c r="AF180" i="79"/>
  <c r="AG180" i="79"/>
  <c r="AH180" i="79"/>
  <c r="AI180" i="79"/>
  <c r="AJ180" i="79"/>
  <c r="AK180" i="79"/>
  <c r="AL180" i="79"/>
  <c r="AM180" i="79"/>
  <c r="AN180" i="79"/>
  <c r="AO180" i="79"/>
  <c r="AP180" i="79"/>
  <c r="AQ180" i="79"/>
  <c r="AR179" i="79"/>
  <c r="AS179" i="79"/>
  <c r="AT180" i="79"/>
  <c r="AU180" i="79"/>
  <c r="AV180" i="79"/>
  <c r="AW180" i="79"/>
  <c r="AX180" i="79"/>
  <c r="AY180" i="79"/>
  <c r="AZ180" i="79"/>
  <c r="BA180" i="79"/>
  <c r="BB180" i="79"/>
  <c r="BC180" i="79"/>
  <c r="BD180" i="79"/>
  <c r="BE180" i="79"/>
  <c r="BF180" i="79"/>
  <c r="BG180" i="79"/>
  <c r="BH180" i="79"/>
  <c r="BI180" i="79"/>
  <c r="BJ180" i="79"/>
  <c r="BK160" i="79"/>
  <c r="BK161" i="79"/>
  <c r="BK162" i="79"/>
  <c r="BK163" i="79"/>
  <c r="BK164" i="79"/>
  <c r="BK165" i="79"/>
  <c r="BK166" i="79"/>
  <c r="BK167" i="79"/>
  <c r="BK168" i="79"/>
  <c r="BK169" i="79"/>
  <c r="BK170" i="79"/>
  <c r="BK171" i="79"/>
  <c r="BK172" i="79"/>
  <c r="BK173" i="79"/>
  <c r="BK174" i="79"/>
  <c r="BK175" i="79"/>
  <c r="BK176" i="79"/>
  <c r="BK177" i="79"/>
  <c r="BK178" i="79"/>
  <c r="BK179" i="79"/>
  <c r="BL180" i="79"/>
  <c r="BM180" i="79"/>
  <c r="AB73" i="114"/>
  <c r="AB74" i="114"/>
  <c r="AB75" i="114"/>
  <c r="AB76" i="114"/>
  <c r="AB77" i="114"/>
  <c r="AB78" i="114"/>
  <c r="AB79" i="114"/>
  <c r="AB80" i="114"/>
  <c r="AB72" i="114"/>
  <c r="C81" i="114"/>
  <c r="B89" i="75"/>
  <c r="A92" i="75"/>
  <c r="A93" i="75" s="1"/>
  <c r="B93" i="75" s="1"/>
  <c r="B194" i="75"/>
  <c r="A196" i="75"/>
  <c r="A197" i="75" s="1"/>
  <c r="W140" i="79"/>
  <c r="W228" i="79"/>
  <c r="X140" i="79"/>
  <c r="X228" i="79"/>
  <c r="O77" i="75"/>
  <c r="BK78" i="79"/>
  <c r="BK79" i="79"/>
  <c r="BK80" i="79"/>
  <c r="BK81" i="79"/>
  <c r="BK82" i="79"/>
  <c r="BK83" i="79"/>
  <c r="BK84" i="79"/>
  <c r="BK85" i="79"/>
  <c r="BK86" i="79"/>
  <c r="BK87" i="79"/>
  <c r="BK88" i="79"/>
  <c r="BK89" i="79"/>
  <c r="BK90" i="79"/>
  <c r="BK91" i="79"/>
  <c r="BK92" i="79"/>
  <c r="BK93" i="79"/>
  <c r="BK105" i="79"/>
  <c r="BK106" i="79"/>
  <c r="BK107" i="79"/>
  <c r="BK108" i="79"/>
  <c r="BK109" i="79"/>
  <c r="BK110" i="79"/>
  <c r="BK111" i="79"/>
  <c r="BK112" i="79"/>
  <c r="BK115" i="79"/>
  <c r="BK116" i="79"/>
  <c r="BK117" i="79"/>
  <c r="BK118" i="79"/>
  <c r="BK119" i="79"/>
  <c r="BK120" i="79"/>
  <c r="BK121" i="79"/>
  <c r="BK122" i="79"/>
  <c r="BK123" i="79"/>
  <c r="BK124" i="79"/>
  <c r="BK125" i="79"/>
  <c r="BK126" i="79"/>
  <c r="BK127" i="79"/>
  <c r="BK128" i="79"/>
  <c r="BK129" i="79"/>
  <c r="BK130" i="79"/>
  <c r="BK131" i="79"/>
  <c r="BK132" i="79"/>
  <c r="BK133" i="79"/>
  <c r="BK134" i="79"/>
  <c r="BK135" i="79"/>
  <c r="BK136" i="79"/>
  <c r="BK137" i="79"/>
  <c r="BK138" i="79"/>
  <c r="BK139" i="79"/>
  <c r="BK213" i="79"/>
  <c r="BK214" i="79"/>
  <c r="BK215" i="79"/>
  <c r="BK216" i="79"/>
  <c r="BK217" i="79"/>
  <c r="BK218" i="79"/>
  <c r="BK219" i="79"/>
  <c r="BK220" i="79"/>
  <c r="BK221" i="79"/>
  <c r="BK222" i="79"/>
  <c r="BK223" i="79"/>
  <c r="BK224" i="79"/>
  <c r="BK225" i="79"/>
  <c r="BK226" i="79"/>
  <c r="BK227" i="79"/>
  <c r="Q140" i="79"/>
  <c r="O33" i="75"/>
  <c r="O32" i="75"/>
  <c r="O31" i="75"/>
  <c r="O30" i="75"/>
  <c r="O29" i="75"/>
  <c r="O28" i="75"/>
  <c r="J27" i="75"/>
  <c r="O27" i="75" s="1"/>
  <c r="O26" i="75"/>
  <c r="AH117" i="79"/>
  <c r="AH118" i="79"/>
  <c r="AH119" i="79"/>
  <c r="AH120" i="79"/>
  <c r="AH121" i="79"/>
  <c r="AH122" i="79"/>
  <c r="AH123" i="79"/>
  <c r="AH124" i="79"/>
  <c r="AH125" i="79"/>
  <c r="AH126" i="79"/>
  <c r="AH127" i="79"/>
  <c r="AH128" i="79"/>
  <c r="AH129" i="79"/>
  <c r="AH130" i="79"/>
  <c r="AH131" i="79"/>
  <c r="AH132" i="79"/>
  <c r="AH133" i="79"/>
  <c r="AH134" i="79"/>
  <c r="AH135" i="79"/>
  <c r="AH136" i="79"/>
  <c r="AH137" i="79"/>
  <c r="AH138" i="79"/>
  <c r="AH139" i="79"/>
  <c r="AH116" i="79"/>
  <c r="S134" i="79"/>
  <c r="S135" i="79"/>
  <c r="AS135" i="79" s="1"/>
  <c r="S136" i="79"/>
  <c r="AR136" i="79" s="1"/>
  <c r="S137" i="79"/>
  <c r="S138" i="79"/>
  <c r="S139" i="79"/>
  <c r="AR139" i="79" s="1"/>
  <c r="S120" i="79"/>
  <c r="AS120" i="79" s="1"/>
  <c r="S121" i="79"/>
  <c r="S122" i="79"/>
  <c r="AS122" i="79" s="1"/>
  <c r="S123" i="79"/>
  <c r="AR123" i="79" s="1"/>
  <c r="S124" i="79"/>
  <c r="AS124" i="79" s="1"/>
  <c r="S125" i="79"/>
  <c r="AS125" i="79" s="1"/>
  <c r="S126" i="79"/>
  <c r="S127" i="79"/>
  <c r="AS127" i="79" s="1"/>
  <c r="S128" i="79"/>
  <c r="AR128" i="79" s="1"/>
  <c r="S129" i="79"/>
  <c r="S130" i="79"/>
  <c r="AS130" i="79" s="1"/>
  <c r="S131" i="79"/>
  <c r="S132" i="79"/>
  <c r="AS132" i="79" s="1"/>
  <c r="S133" i="79"/>
  <c r="AR106" i="79"/>
  <c r="AS106" i="79"/>
  <c r="AR107" i="79"/>
  <c r="AS107" i="79"/>
  <c r="AR108" i="79"/>
  <c r="AS108" i="79"/>
  <c r="AR109" i="79"/>
  <c r="AS109" i="79"/>
  <c r="AR110" i="79"/>
  <c r="AS110" i="79"/>
  <c r="AR111" i="79"/>
  <c r="AS111" i="79"/>
  <c r="AR112" i="79"/>
  <c r="AS112" i="79"/>
  <c r="AR113" i="79"/>
  <c r="AS113" i="79"/>
  <c r="AR114" i="79"/>
  <c r="AS114" i="79"/>
  <c r="S115" i="79"/>
  <c r="AS115" i="79" s="1"/>
  <c r="S116" i="79"/>
  <c r="AR116" i="79" s="1"/>
  <c r="S117" i="79"/>
  <c r="AR117" i="79" s="1"/>
  <c r="S118" i="79"/>
  <c r="AS118" i="79" s="1"/>
  <c r="S119" i="79"/>
  <c r="AR94" i="79"/>
  <c r="AS94" i="79"/>
  <c r="S95" i="79"/>
  <c r="AS95" i="79" s="1"/>
  <c r="S96" i="79"/>
  <c r="AR96" i="79" s="1"/>
  <c r="S97" i="79"/>
  <c r="AR97" i="79" s="1"/>
  <c r="S98" i="79"/>
  <c r="AR98" i="79" s="1"/>
  <c r="S99" i="79"/>
  <c r="AS99" i="79" s="1"/>
  <c r="S100" i="79"/>
  <c r="AR100" i="79" s="1"/>
  <c r="S101" i="79"/>
  <c r="AR101" i="79" s="1"/>
  <c r="S102" i="79"/>
  <c r="AR103" i="79"/>
  <c r="AS103" i="79"/>
  <c r="AR104" i="79"/>
  <c r="AS104" i="79"/>
  <c r="AR105" i="79"/>
  <c r="AS105" i="79"/>
  <c r="AR89" i="79"/>
  <c r="AS89" i="79"/>
  <c r="AR90" i="79"/>
  <c r="AS90" i="79"/>
  <c r="AR91" i="79"/>
  <c r="AS91" i="79"/>
  <c r="AR92" i="79"/>
  <c r="AS92" i="79"/>
  <c r="AR93" i="79"/>
  <c r="AS93" i="79"/>
  <c r="S72" i="79"/>
  <c r="S73" i="79"/>
  <c r="AS73" i="79" s="1"/>
  <c r="S74" i="79"/>
  <c r="S75" i="79"/>
  <c r="AR75" i="79" s="1"/>
  <c r="AR76" i="79"/>
  <c r="AS76" i="79"/>
  <c r="AR77" i="79"/>
  <c r="AS77" i="79"/>
  <c r="AR78" i="79"/>
  <c r="AS78" i="79"/>
  <c r="AR79" i="79"/>
  <c r="AS79" i="79"/>
  <c r="AR80" i="79"/>
  <c r="AS80" i="79"/>
  <c r="AR81" i="79"/>
  <c r="AS81" i="79"/>
  <c r="AR82" i="79"/>
  <c r="AS82" i="79"/>
  <c r="AR83" i="79"/>
  <c r="AS83" i="79"/>
  <c r="AR84" i="79"/>
  <c r="AS84" i="79"/>
  <c r="AR85" i="79"/>
  <c r="AS85" i="79"/>
  <c r="AR86" i="79"/>
  <c r="AS86" i="79"/>
  <c r="AR87" i="79"/>
  <c r="AS87" i="79"/>
  <c r="AR88" i="79"/>
  <c r="AS88" i="79"/>
  <c r="S53" i="79"/>
  <c r="AR53" i="79" s="1"/>
  <c r="S54" i="79"/>
  <c r="S55" i="79"/>
  <c r="S56" i="79"/>
  <c r="AS56" i="79" s="1"/>
  <c r="S57" i="79"/>
  <c r="S58" i="79"/>
  <c r="AR58" i="79" s="1"/>
  <c r="S59" i="79"/>
  <c r="S60" i="79"/>
  <c r="S61" i="79"/>
  <c r="AR61" i="79" s="1"/>
  <c r="S62" i="79"/>
  <c r="AS62" i="79" s="1"/>
  <c r="S63" i="79"/>
  <c r="S64" i="79"/>
  <c r="AS64" i="79" s="1"/>
  <c r="S65" i="79"/>
  <c r="AR66" i="79"/>
  <c r="AS66" i="79"/>
  <c r="S67" i="79"/>
  <c r="AS67" i="79" s="1"/>
  <c r="S68" i="79"/>
  <c r="S69" i="79"/>
  <c r="S70" i="79"/>
  <c r="S71" i="79"/>
  <c r="AS71" i="79" s="1"/>
  <c r="S52" i="79"/>
  <c r="P139" i="79"/>
  <c r="P138" i="79"/>
  <c r="P137" i="79"/>
  <c r="P136" i="79"/>
  <c r="P135" i="79"/>
  <c r="P134" i="79"/>
  <c r="P133" i="79"/>
  <c r="P132" i="79"/>
  <c r="P131" i="79"/>
  <c r="P130" i="79"/>
  <c r="P129" i="79"/>
  <c r="P128" i="79"/>
  <c r="P127" i="79"/>
  <c r="P126" i="79"/>
  <c r="P125" i="79"/>
  <c r="P124" i="79"/>
  <c r="P123" i="79"/>
  <c r="P122" i="79"/>
  <c r="P121" i="79"/>
  <c r="P120" i="79"/>
  <c r="P119" i="79"/>
  <c r="P118" i="79"/>
  <c r="P117" i="79"/>
  <c r="P116" i="79"/>
  <c r="P115" i="79"/>
  <c r="AR53" i="114"/>
  <c r="AS53" i="114"/>
  <c r="AT53" i="114"/>
  <c r="AR54" i="114"/>
  <c r="AS54" i="114"/>
  <c r="AT54" i="114"/>
  <c r="AR55" i="114"/>
  <c r="AS55" i="114"/>
  <c r="AT55" i="114"/>
  <c r="AR56" i="114"/>
  <c r="AS56" i="114"/>
  <c r="AT56" i="114"/>
  <c r="AR57" i="114"/>
  <c r="AS57" i="114"/>
  <c r="AT57" i="114"/>
  <c r="AR58" i="114"/>
  <c r="AS58" i="114"/>
  <c r="AT58" i="114"/>
  <c r="AR59" i="114"/>
  <c r="AS59" i="114"/>
  <c r="AT59" i="114"/>
  <c r="AR60" i="114"/>
  <c r="AS60" i="114"/>
  <c r="AT60" i="114"/>
  <c r="AR61" i="114"/>
  <c r="AS61" i="114"/>
  <c r="AT61" i="114"/>
  <c r="AR62" i="114"/>
  <c r="AS62" i="114"/>
  <c r="AT62" i="114"/>
  <c r="AR63" i="114"/>
  <c r="AS63" i="114"/>
  <c r="AT63" i="114"/>
  <c r="AR64" i="114"/>
  <c r="AS64" i="114"/>
  <c r="AT64" i="114"/>
  <c r="AR65" i="114"/>
  <c r="AS65" i="114"/>
  <c r="AT65" i="114"/>
  <c r="AR66" i="114"/>
  <c r="AS66" i="114"/>
  <c r="AT66" i="114"/>
  <c r="AR67" i="114"/>
  <c r="AS67" i="114"/>
  <c r="AT67" i="114"/>
  <c r="AT52" i="114"/>
  <c r="AS52" i="114"/>
  <c r="AR52" i="114"/>
  <c r="AB53" i="114"/>
  <c r="AB54" i="114"/>
  <c r="AB55" i="114"/>
  <c r="AB56" i="114"/>
  <c r="AB57" i="114"/>
  <c r="AB58" i="114"/>
  <c r="AB59" i="114"/>
  <c r="AB60" i="114"/>
  <c r="AB61" i="114"/>
  <c r="AB62" i="114"/>
  <c r="AB63" i="114"/>
  <c r="AB64" i="114"/>
  <c r="AB65" i="114"/>
  <c r="AB66" i="114"/>
  <c r="AB67" i="114"/>
  <c r="AB52" i="114"/>
  <c r="AA54" i="114"/>
  <c r="AA55" i="114"/>
  <c r="AD55" i="114" s="1"/>
  <c r="AA56" i="114"/>
  <c r="AA57" i="114"/>
  <c r="AD57" i="114" s="1"/>
  <c r="AA58" i="114"/>
  <c r="AD58" i="114" s="1"/>
  <c r="AA59" i="114"/>
  <c r="AD59" i="114" s="1"/>
  <c r="AA60" i="114"/>
  <c r="AD60" i="114" s="1"/>
  <c r="AA61" i="114"/>
  <c r="AD61" i="114" s="1"/>
  <c r="AA62" i="114"/>
  <c r="AD62" i="114" s="1"/>
  <c r="AA63" i="114"/>
  <c r="AD63" i="114" s="1"/>
  <c r="AA64" i="114"/>
  <c r="AD64" i="114" s="1"/>
  <c r="AA65" i="114"/>
  <c r="AD65" i="114" s="1"/>
  <c r="AA66" i="114"/>
  <c r="AD66" i="114" s="1"/>
  <c r="AA67" i="114"/>
  <c r="AD67" i="114" s="1"/>
  <c r="AA53" i="114"/>
  <c r="AD53" i="114" s="1"/>
  <c r="X101" i="113"/>
  <c r="AG67" i="72"/>
  <c r="AG64" i="72"/>
  <c r="R101" i="113"/>
  <c r="S101" i="113"/>
  <c r="T101" i="113"/>
  <c r="T129" i="113" s="1"/>
  <c r="T127" i="113"/>
  <c r="U101" i="113"/>
  <c r="U127" i="113"/>
  <c r="Q127" i="113"/>
  <c r="R127" i="113"/>
  <c r="S127" i="113"/>
  <c r="S129" i="113" s="1"/>
  <c r="G344" i="47" s="1"/>
  <c r="I11" i="111"/>
  <c r="G15" i="77" s="1"/>
  <c r="H16" i="77" s="1"/>
  <c r="J68" i="114"/>
  <c r="J81" i="114"/>
  <c r="R68" i="114"/>
  <c r="R81" i="114"/>
  <c r="S68" i="114"/>
  <c r="S81" i="114"/>
  <c r="X68" i="114"/>
  <c r="X81" i="114"/>
  <c r="W68" i="114"/>
  <c r="W81" i="114"/>
  <c r="AY68" i="114"/>
  <c r="F73" i="114"/>
  <c r="F74" i="114"/>
  <c r="F75" i="114"/>
  <c r="F76" i="114"/>
  <c r="F77" i="114"/>
  <c r="F78" i="114"/>
  <c r="F79" i="114"/>
  <c r="F80" i="114"/>
  <c r="F72" i="114"/>
  <c r="G73" i="114"/>
  <c r="G74" i="114"/>
  <c r="G75" i="114"/>
  <c r="G76" i="114"/>
  <c r="G77" i="114"/>
  <c r="G78" i="114"/>
  <c r="G79" i="114"/>
  <c r="G80" i="114"/>
  <c r="G72" i="114"/>
  <c r="Z68" i="114"/>
  <c r="Z81" i="114"/>
  <c r="AA81" i="114"/>
  <c r="AD56" i="114"/>
  <c r="AD78" i="114"/>
  <c r="AF68" i="114"/>
  <c r="AF81" i="114"/>
  <c r="AN68" i="114"/>
  <c r="AN93" i="114" s="1"/>
  <c r="G294" i="47" s="1"/>
  <c r="AN81" i="114"/>
  <c r="AO68" i="114"/>
  <c r="AO81" i="114"/>
  <c r="AP68" i="114"/>
  <c r="AP93" i="114" s="1"/>
  <c r="AP81" i="114"/>
  <c r="AQ68" i="114"/>
  <c r="AQ81" i="114"/>
  <c r="AS81" i="114"/>
  <c r="AT81" i="114"/>
  <c r="G54" i="72"/>
  <c r="G55" i="72"/>
  <c r="G56" i="72"/>
  <c r="G57" i="72"/>
  <c r="G58" i="72"/>
  <c r="G59" i="72"/>
  <c r="G60" i="72"/>
  <c r="G61" i="72"/>
  <c r="G62" i="72"/>
  <c r="G63" i="72"/>
  <c r="G64" i="72"/>
  <c r="G65" i="72"/>
  <c r="G67" i="72"/>
  <c r="G68" i="72"/>
  <c r="G69" i="72"/>
  <c r="G70" i="72"/>
  <c r="G71" i="72"/>
  <c r="G72" i="72"/>
  <c r="G73" i="72"/>
  <c r="G74" i="72"/>
  <c r="G75" i="72"/>
  <c r="G76" i="72"/>
  <c r="G77" i="72"/>
  <c r="G78" i="72"/>
  <c r="G79" i="72"/>
  <c r="G80" i="72"/>
  <c r="G81" i="72"/>
  <c r="G82" i="72"/>
  <c r="G83" i="72"/>
  <c r="G84" i="72"/>
  <c r="G85" i="72"/>
  <c r="G86" i="72"/>
  <c r="G87" i="72"/>
  <c r="G88" i="72"/>
  <c r="G89" i="72"/>
  <c r="G90" i="72"/>
  <c r="G91" i="72"/>
  <c r="G92" i="72"/>
  <c r="G93" i="72"/>
  <c r="G94" i="72"/>
  <c r="G95" i="72"/>
  <c r="G96" i="72"/>
  <c r="G97" i="72"/>
  <c r="G98" i="72"/>
  <c r="G99" i="72"/>
  <c r="G100" i="72"/>
  <c r="G101" i="72"/>
  <c r="G102" i="72"/>
  <c r="G103" i="72"/>
  <c r="G107" i="72"/>
  <c r="G108" i="72"/>
  <c r="G109" i="72"/>
  <c r="G110" i="72"/>
  <c r="G111" i="72"/>
  <c r="G112" i="72"/>
  <c r="G113" i="72"/>
  <c r="G114" i="72"/>
  <c r="G115" i="72"/>
  <c r="G116" i="72"/>
  <c r="G117" i="72"/>
  <c r="G118" i="72"/>
  <c r="G119" i="72"/>
  <c r="G120" i="72"/>
  <c r="G121" i="72"/>
  <c r="G122" i="72"/>
  <c r="G123" i="72"/>
  <c r="G124" i="72"/>
  <c r="G125" i="72"/>
  <c r="G126" i="72"/>
  <c r="G127" i="72"/>
  <c r="G128" i="72"/>
  <c r="G129" i="72"/>
  <c r="G130" i="72"/>
  <c r="G131" i="72"/>
  <c r="G13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79" i="72"/>
  <c r="H80" i="72"/>
  <c r="H81" i="72"/>
  <c r="H82" i="72"/>
  <c r="H83" i="72"/>
  <c r="H84" i="72"/>
  <c r="H85" i="72"/>
  <c r="H86" i="72"/>
  <c r="H87" i="72"/>
  <c r="H88" i="72"/>
  <c r="H89" i="72"/>
  <c r="H90" i="72"/>
  <c r="H91" i="72"/>
  <c r="H92" i="72"/>
  <c r="H93" i="72"/>
  <c r="H94" i="72"/>
  <c r="H95" i="72"/>
  <c r="H96" i="72"/>
  <c r="H97" i="72"/>
  <c r="H98" i="72"/>
  <c r="H99" i="72"/>
  <c r="H100" i="72"/>
  <c r="H101" i="72"/>
  <c r="H102" i="72"/>
  <c r="H103"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E56" i="72"/>
  <c r="E57" i="72"/>
  <c r="E59" i="72"/>
  <c r="E63" i="72"/>
  <c r="E69" i="72"/>
  <c r="E89" i="72"/>
  <c r="E118" i="72"/>
  <c r="E133" i="72" s="1"/>
  <c r="F102" i="72"/>
  <c r="F103" i="72"/>
  <c r="F108" i="72"/>
  <c r="F122" i="72"/>
  <c r="AE53" i="72"/>
  <c r="AE60" i="72"/>
  <c r="AE61" i="72"/>
  <c r="AE62" i="72"/>
  <c r="AE68" i="72"/>
  <c r="AE70" i="72"/>
  <c r="AE71" i="72"/>
  <c r="AE73" i="72"/>
  <c r="AE74" i="72"/>
  <c r="AE75" i="72"/>
  <c r="AE76" i="72"/>
  <c r="AE77" i="72"/>
  <c r="AE79" i="72"/>
  <c r="AE85" i="72"/>
  <c r="AE107" i="72"/>
  <c r="AE108" i="72"/>
  <c r="AE110" i="72"/>
  <c r="AE111" i="72"/>
  <c r="AE112" i="72"/>
  <c r="AE113" i="72"/>
  <c r="AE114" i="72"/>
  <c r="AE115" i="72"/>
  <c r="AE116" i="72"/>
  <c r="AE117" i="72"/>
  <c r="AE118" i="72"/>
  <c r="AE119" i="72"/>
  <c r="AE120" i="72"/>
  <c r="AE121" i="72"/>
  <c r="AE122" i="72"/>
  <c r="AE123" i="72"/>
  <c r="AE124" i="72"/>
  <c r="AE125" i="72"/>
  <c r="AE126" i="72"/>
  <c r="AE128" i="72"/>
  <c r="AE129" i="72"/>
  <c r="AE130" i="72"/>
  <c r="AE132" i="72"/>
  <c r="AG53" i="72"/>
  <c r="AG54" i="72"/>
  <c r="AG60" i="72"/>
  <c r="AG61" i="72"/>
  <c r="AG62" i="72"/>
  <c r="AG65" i="72"/>
  <c r="AG66" i="72"/>
  <c r="AG68" i="72"/>
  <c r="AG70" i="72"/>
  <c r="AG71" i="72"/>
  <c r="AG73" i="72"/>
  <c r="AG74" i="72"/>
  <c r="AG75" i="72"/>
  <c r="AG76" i="72"/>
  <c r="AG77" i="72"/>
  <c r="AG79" i="72"/>
  <c r="AG80" i="72"/>
  <c r="AG81" i="72"/>
  <c r="AG82" i="72"/>
  <c r="AG83" i="72"/>
  <c r="AG84" i="72"/>
  <c r="AG85" i="72"/>
  <c r="AG86" i="72"/>
  <c r="AG87" i="72"/>
  <c r="AG88" i="72"/>
  <c r="AG90" i="72"/>
  <c r="AG91" i="72"/>
  <c r="AG92" i="72"/>
  <c r="AG93" i="72"/>
  <c r="AG95" i="72"/>
  <c r="AG96" i="72"/>
  <c r="AG97" i="72"/>
  <c r="AG99" i="72"/>
  <c r="AG102" i="72"/>
  <c r="AG103" i="72"/>
  <c r="AG107" i="72"/>
  <c r="AG108" i="72"/>
  <c r="AG111" i="72"/>
  <c r="AG112" i="72"/>
  <c r="AG113" i="72"/>
  <c r="AG115" i="72"/>
  <c r="AG116" i="72"/>
  <c r="AG117" i="72"/>
  <c r="AG118" i="72"/>
  <c r="AG119" i="72"/>
  <c r="AG120" i="72"/>
  <c r="AG121" i="72"/>
  <c r="AG122" i="72"/>
  <c r="AG123" i="72"/>
  <c r="AG124" i="72"/>
  <c r="AG125" i="72"/>
  <c r="AG126" i="72"/>
  <c r="AG128" i="72"/>
  <c r="AG129" i="72"/>
  <c r="AG130" i="72"/>
  <c r="AG132" i="72"/>
  <c r="L127" i="113"/>
  <c r="L101" i="113"/>
  <c r="N326" i="47"/>
  <c r="W101" i="113"/>
  <c r="N332" i="47"/>
  <c r="AB101" i="113"/>
  <c r="AB129" i="113" s="1"/>
  <c r="G136" i="47" s="1"/>
  <c r="AA127" i="113"/>
  <c r="AA101" i="113"/>
  <c r="V101" i="113"/>
  <c r="V127" i="113"/>
  <c r="N360" i="47"/>
  <c r="O360" i="47"/>
  <c r="N68" i="114"/>
  <c r="N81" i="114"/>
  <c r="P68" i="114"/>
  <c r="P81" i="114"/>
  <c r="AF127" i="113"/>
  <c r="AF101" i="113"/>
  <c r="E127" i="113"/>
  <c r="F127" i="113"/>
  <c r="AE101" i="113"/>
  <c r="AK101" i="113"/>
  <c r="AO101" i="113"/>
  <c r="AO129" i="113" s="1"/>
  <c r="G358" i="47" s="1"/>
  <c r="AO127" i="113"/>
  <c r="BA101" i="113"/>
  <c r="BA127" i="113"/>
  <c r="BB101" i="113"/>
  <c r="BB129" i="113" s="1"/>
  <c r="G362" i="47" s="1"/>
  <c r="Q362" i="47" s="1"/>
  <c r="BB127" i="113"/>
  <c r="AZ101" i="113"/>
  <c r="AZ127" i="113"/>
  <c r="BD101" i="113"/>
  <c r="BD127" i="113"/>
  <c r="BC101" i="113"/>
  <c r="BC127" i="113"/>
  <c r="BE101" i="113"/>
  <c r="P11" i="111"/>
  <c r="Q11" i="111"/>
  <c r="G33" i="77" s="1"/>
  <c r="H39" i="77" s="1"/>
  <c r="N11" i="111"/>
  <c r="G24" i="77" s="1"/>
  <c r="AB11" i="111"/>
  <c r="G47" i="77" s="1"/>
  <c r="H49" i="77" s="1"/>
  <c r="AG11" i="111"/>
  <c r="G53" i="77" s="1"/>
  <c r="AK11" i="111"/>
  <c r="G62" i="77" s="1"/>
  <c r="H63" i="77" s="1"/>
  <c r="AP11" i="111"/>
  <c r="G66" i="77" s="1"/>
  <c r="I140" i="79"/>
  <c r="I245" i="79" s="1"/>
  <c r="G89" i="75" s="1"/>
  <c r="H90" i="75" s="1"/>
  <c r="I228" i="79"/>
  <c r="N91" i="75"/>
  <c r="J140" i="79"/>
  <c r="J228" i="79"/>
  <c r="N95" i="75"/>
  <c r="K140" i="79"/>
  <c r="K228" i="79"/>
  <c r="N99" i="75"/>
  <c r="L140" i="79"/>
  <c r="L228" i="79"/>
  <c r="N103" i="75"/>
  <c r="BL140" i="79"/>
  <c r="BL228" i="79"/>
  <c r="BG140" i="79"/>
  <c r="BG228" i="79"/>
  <c r="BH140" i="79"/>
  <c r="BH228" i="79"/>
  <c r="F140" i="79"/>
  <c r="F228" i="79"/>
  <c r="G52" i="79"/>
  <c r="G53" i="79"/>
  <c r="G54" i="79"/>
  <c r="G55" i="79"/>
  <c r="G56" i="79"/>
  <c r="G57" i="79"/>
  <c r="G58" i="79"/>
  <c r="G59" i="79"/>
  <c r="G60" i="79"/>
  <c r="G61" i="79"/>
  <c r="G62" i="79"/>
  <c r="G63" i="79"/>
  <c r="G64" i="79"/>
  <c r="G65" i="79"/>
  <c r="G68" i="79"/>
  <c r="G69" i="79"/>
  <c r="G70" i="79"/>
  <c r="G71" i="79"/>
  <c r="G72" i="79"/>
  <c r="G73" i="79"/>
  <c r="G74" i="79"/>
  <c r="G75" i="79"/>
  <c r="G78" i="79"/>
  <c r="G79" i="79"/>
  <c r="G80" i="79"/>
  <c r="G81" i="79"/>
  <c r="G82" i="79"/>
  <c r="G83" i="79"/>
  <c r="G84" i="79"/>
  <c r="G85" i="79"/>
  <c r="G86" i="79"/>
  <c r="G87" i="79"/>
  <c r="G88" i="79"/>
  <c r="G89" i="79"/>
  <c r="G90" i="79"/>
  <c r="G91" i="79"/>
  <c r="G92" i="79"/>
  <c r="G93" i="79"/>
  <c r="G97" i="79"/>
  <c r="G98" i="79"/>
  <c r="G99" i="79"/>
  <c r="G100" i="79"/>
  <c r="G101" i="79"/>
  <c r="G102" i="79"/>
  <c r="G105" i="79"/>
  <c r="G106" i="79"/>
  <c r="G107" i="79"/>
  <c r="G108" i="79"/>
  <c r="G109" i="79"/>
  <c r="G110" i="79"/>
  <c r="G111" i="79"/>
  <c r="G112" i="79"/>
  <c r="G115" i="79"/>
  <c r="G116" i="79"/>
  <c r="G117" i="79"/>
  <c r="G118" i="79"/>
  <c r="G119" i="79"/>
  <c r="G120" i="79"/>
  <c r="G121" i="79"/>
  <c r="G122" i="79"/>
  <c r="G123" i="79"/>
  <c r="G124" i="79"/>
  <c r="G125" i="79"/>
  <c r="G126" i="79"/>
  <c r="G127" i="79"/>
  <c r="G128" i="79"/>
  <c r="G129" i="79"/>
  <c r="G130" i="79"/>
  <c r="G131" i="79"/>
  <c r="G132" i="79"/>
  <c r="G133" i="79"/>
  <c r="G134" i="79"/>
  <c r="G135" i="79"/>
  <c r="G136" i="79"/>
  <c r="G137" i="79"/>
  <c r="G138" i="79"/>
  <c r="G139" i="79"/>
  <c r="G213" i="79"/>
  <c r="G214" i="79"/>
  <c r="G215" i="79"/>
  <c r="G216" i="79"/>
  <c r="G217" i="79"/>
  <c r="G218" i="79"/>
  <c r="G219" i="79"/>
  <c r="G220" i="79"/>
  <c r="G221" i="79"/>
  <c r="G222" i="79"/>
  <c r="G223" i="79"/>
  <c r="G224" i="79"/>
  <c r="G225" i="79"/>
  <c r="G226" i="79"/>
  <c r="G227" i="79"/>
  <c r="AF140" i="79"/>
  <c r="AF228" i="79"/>
  <c r="AG140" i="79"/>
  <c r="AG228" i="79"/>
  <c r="AC140" i="79"/>
  <c r="AC228" i="79"/>
  <c r="AD140" i="79"/>
  <c r="AD228" i="79"/>
  <c r="AH228" i="79"/>
  <c r="AX140" i="79"/>
  <c r="AX228" i="79"/>
  <c r="AV140" i="79"/>
  <c r="AV228" i="79"/>
  <c r="AW140" i="79"/>
  <c r="AW228" i="79"/>
  <c r="AZ140" i="79"/>
  <c r="AZ228" i="79"/>
  <c r="AI140" i="79"/>
  <c r="AI228" i="79"/>
  <c r="AT140" i="79"/>
  <c r="AT228" i="79"/>
  <c r="AU140" i="79"/>
  <c r="AU228" i="79"/>
  <c r="AJ140" i="79"/>
  <c r="AJ228" i="79"/>
  <c r="AK140" i="79"/>
  <c r="AK228" i="79"/>
  <c r="AL140" i="79"/>
  <c r="AL245" i="79" s="1"/>
  <c r="G184" i="75" s="1"/>
  <c r="AL228" i="79"/>
  <c r="AM140" i="79"/>
  <c r="AM228" i="79"/>
  <c r="AN140" i="79"/>
  <c r="AN228" i="79"/>
  <c r="AR228" i="79"/>
  <c r="AS228" i="79"/>
  <c r="N195" i="75"/>
  <c r="N194" i="75" s="1"/>
  <c r="N198" i="75"/>
  <c r="N197" i="75" s="1"/>
  <c r="N201" i="75"/>
  <c r="N200" i="75" s="1"/>
  <c r="N204" i="75"/>
  <c r="N203" i="75" s="1"/>
  <c r="O94" i="75"/>
  <c r="O95" i="75"/>
  <c r="O98" i="75"/>
  <c r="O99" i="75"/>
  <c r="O102" i="75"/>
  <c r="O101" i="75" s="1"/>
  <c r="O103" i="75"/>
  <c r="O142" i="75"/>
  <c r="O143" i="75"/>
  <c r="O144" i="75"/>
  <c r="O146" i="75"/>
  <c r="O155" i="75"/>
  <c r="O160" i="75"/>
  <c r="C140" i="79"/>
  <c r="C180" i="79"/>
  <c r="C228" i="79"/>
  <c r="O198" i="75"/>
  <c r="O197" i="75" s="1"/>
  <c r="O201" i="75"/>
  <c r="O200" i="75" s="1"/>
  <c r="O204" i="75"/>
  <c r="O203" i="75" s="1"/>
  <c r="H9" i="80"/>
  <c r="H10" i="80"/>
  <c r="N140" i="79"/>
  <c r="N228" i="79"/>
  <c r="S51" i="79"/>
  <c r="T51" i="79"/>
  <c r="T65" i="79"/>
  <c r="T67" i="79"/>
  <c r="T95" i="79"/>
  <c r="T96" i="79"/>
  <c r="T102" i="79"/>
  <c r="T228" i="79"/>
  <c r="P228" i="79"/>
  <c r="P67" i="75"/>
  <c r="Q90" i="75"/>
  <c r="Q94" i="75"/>
  <c r="Q98" i="75"/>
  <c r="Q102" i="75"/>
  <c r="BB140" i="79"/>
  <c r="BB228" i="79"/>
  <c r="P90" i="75"/>
  <c r="P94" i="75"/>
  <c r="P98" i="75"/>
  <c r="P102" i="75"/>
  <c r="R90" i="75"/>
  <c r="R94" i="75"/>
  <c r="R98" i="75"/>
  <c r="R102" i="75"/>
  <c r="C104" i="72"/>
  <c r="C133" i="72"/>
  <c r="C135" i="72" s="1"/>
  <c r="M11" i="65"/>
  <c r="M13" i="65" s="1"/>
  <c r="AH63" i="100"/>
  <c r="AH82" i="100"/>
  <c r="J63" i="100"/>
  <c r="J82" i="100"/>
  <c r="K63" i="100"/>
  <c r="K82" i="100"/>
  <c r="U63" i="100"/>
  <c r="U82" i="100"/>
  <c r="V63" i="100"/>
  <c r="V82" i="100"/>
  <c r="E51" i="100"/>
  <c r="E52" i="100"/>
  <c r="E53" i="100"/>
  <c r="E54" i="100"/>
  <c r="E55" i="100"/>
  <c r="E56" i="100"/>
  <c r="E57" i="100"/>
  <c r="E58" i="100"/>
  <c r="E59" i="100"/>
  <c r="E60" i="100"/>
  <c r="E61" i="100"/>
  <c r="E62" i="100"/>
  <c r="E82" i="100"/>
  <c r="G51" i="100"/>
  <c r="G52" i="100"/>
  <c r="G53" i="100"/>
  <c r="G54" i="100"/>
  <c r="G55" i="100"/>
  <c r="G56" i="100"/>
  <c r="G57" i="100"/>
  <c r="G58" i="100"/>
  <c r="G59" i="100"/>
  <c r="G60" i="100"/>
  <c r="G61" i="100"/>
  <c r="G62" i="100"/>
  <c r="G82" i="100"/>
  <c r="Y63" i="100"/>
  <c r="Y82" i="100"/>
  <c r="G232" i="79"/>
  <c r="G231" i="79"/>
  <c r="G233" i="79"/>
  <c r="G234" i="79"/>
  <c r="G235" i="79"/>
  <c r="G236" i="79"/>
  <c r="G237" i="79"/>
  <c r="G238" i="79"/>
  <c r="G239" i="79"/>
  <c r="G240" i="79"/>
  <c r="G241" i="79"/>
  <c r="G242" i="79"/>
  <c r="G198" i="79"/>
  <c r="G199" i="79"/>
  <c r="G200" i="79"/>
  <c r="G201" i="79"/>
  <c r="G202" i="79"/>
  <c r="G203" i="79"/>
  <c r="G204" i="79"/>
  <c r="G205" i="79"/>
  <c r="G206" i="79"/>
  <c r="G207" i="79"/>
  <c r="G208" i="79"/>
  <c r="G209" i="79"/>
  <c r="G185" i="79"/>
  <c r="G186" i="79"/>
  <c r="G187" i="79"/>
  <c r="G188" i="79"/>
  <c r="G189" i="79"/>
  <c r="G190" i="79"/>
  <c r="G191" i="79"/>
  <c r="G192" i="79"/>
  <c r="G193" i="79"/>
  <c r="G194" i="79"/>
  <c r="BI140" i="79"/>
  <c r="BI228" i="79"/>
  <c r="R92" i="75"/>
  <c r="Q92" i="75"/>
  <c r="P92" i="75"/>
  <c r="O92" i="75"/>
  <c r="N92" i="75"/>
  <c r="O91" i="75"/>
  <c r="O90" i="75"/>
  <c r="D140" i="79"/>
  <c r="D228" i="79"/>
  <c r="E140" i="79"/>
  <c r="E228" i="79"/>
  <c r="H140" i="79"/>
  <c r="H228" i="79"/>
  <c r="M140" i="79"/>
  <c r="M228" i="79"/>
  <c r="O140" i="79"/>
  <c r="O228" i="79"/>
  <c r="U140" i="79"/>
  <c r="U228" i="79"/>
  <c r="V140" i="79"/>
  <c r="V228" i="79"/>
  <c r="Y140" i="79"/>
  <c r="Y228" i="79"/>
  <c r="Z140" i="79"/>
  <c r="Z228" i="79"/>
  <c r="AA140" i="79"/>
  <c r="AA228" i="79"/>
  <c r="AB140" i="79"/>
  <c r="AB228" i="79"/>
  <c r="AE140" i="79"/>
  <c r="AE228" i="79"/>
  <c r="AO140" i="79"/>
  <c r="AO228" i="79"/>
  <c r="AP140" i="79"/>
  <c r="AP228" i="79"/>
  <c r="AQ140" i="79"/>
  <c r="AQ228" i="79"/>
  <c r="AY140" i="79"/>
  <c r="AY245" i="79" s="1"/>
  <c r="AY228" i="79"/>
  <c r="BA140" i="79"/>
  <c r="BA228" i="79"/>
  <c r="BC140" i="79"/>
  <c r="BC228" i="79"/>
  <c r="BD140" i="79"/>
  <c r="BD228" i="79"/>
  <c r="BE140" i="79"/>
  <c r="BE228" i="79"/>
  <c r="BF140" i="79"/>
  <c r="BF228" i="79"/>
  <c r="BJ140" i="79"/>
  <c r="BJ228" i="79"/>
  <c r="BM140" i="79"/>
  <c r="BM228" i="79"/>
  <c r="G184" i="79"/>
  <c r="G197" i="79"/>
  <c r="S182" i="79"/>
  <c r="S183" i="79"/>
  <c r="S184" i="79"/>
  <c r="S185" i="79"/>
  <c r="S186" i="79"/>
  <c r="S187" i="79"/>
  <c r="S188" i="79"/>
  <c r="S189" i="79"/>
  <c r="S190" i="79"/>
  <c r="S191" i="79"/>
  <c r="S192" i="79"/>
  <c r="S193" i="79"/>
  <c r="S194" i="79"/>
  <c r="T182" i="79"/>
  <c r="T183" i="79"/>
  <c r="T194" i="79"/>
  <c r="BK197" i="79"/>
  <c r="BK198" i="79"/>
  <c r="BK199" i="79"/>
  <c r="BK200" i="79"/>
  <c r="BK201" i="79"/>
  <c r="BK202" i="79"/>
  <c r="BK203" i="79"/>
  <c r="BK204" i="79"/>
  <c r="BK205" i="79"/>
  <c r="BK206" i="79"/>
  <c r="BK207" i="79"/>
  <c r="BK208" i="79"/>
  <c r="BK209" i="79"/>
  <c r="AC81" i="114"/>
  <c r="AG68" i="114"/>
  <c r="AG81" i="114"/>
  <c r="AR81" i="114"/>
  <c r="D81" i="114"/>
  <c r="E81" i="114"/>
  <c r="H81" i="114"/>
  <c r="I81" i="114"/>
  <c r="K81" i="114"/>
  <c r="L81" i="114"/>
  <c r="M81" i="114"/>
  <c r="O81" i="114"/>
  <c r="Q81" i="114"/>
  <c r="T81" i="114"/>
  <c r="U81" i="114"/>
  <c r="V81" i="114"/>
  <c r="Y81" i="114"/>
  <c r="AE81" i="114"/>
  <c r="AH81" i="114"/>
  <c r="AI81" i="114"/>
  <c r="AJ81" i="114"/>
  <c r="AK81" i="114"/>
  <c r="AL81" i="114"/>
  <c r="AM81" i="114"/>
  <c r="AU81" i="114"/>
  <c r="AV81" i="114"/>
  <c r="AW81" i="114"/>
  <c r="AX81" i="114"/>
  <c r="AY81" i="114"/>
  <c r="AZ81" i="114"/>
  <c r="D68" i="114"/>
  <c r="E68" i="114"/>
  <c r="H68" i="114"/>
  <c r="I68" i="114"/>
  <c r="K68" i="114"/>
  <c r="L68" i="114"/>
  <c r="M68" i="114"/>
  <c r="M93" i="114" s="1"/>
  <c r="O68" i="114"/>
  <c r="Q68" i="114"/>
  <c r="T68" i="114"/>
  <c r="U68" i="114"/>
  <c r="V68" i="114"/>
  <c r="Y68" i="114"/>
  <c r="AC68" i="114"/>
  <c r="AE68" i="114"/>
  <c r="AH68" i="114"/>
  <c r="AH93" i="114" s="1"/>
  <c r="G285" i="47" s="1"/>
  <c r="AI68" i="114"/>
  <c r="AJ68" i="114"/>
  <c r="AK68" i="114"/>
  <c r="AK93" i="114" s="1"/>
  <c r="G287" i="47" s="1"/>
  <c r="AL68" i="114"/>
  <c r="AL93" i="114" s="1"/>
  <c r="G290" i="47" s="1"/>
  <c r="AM68" i="114"/>
  <c r="AU68" i="114"/>
  <c r="AV68" i="114"/>
  <c r="AV93" i="114" s="1"/>
  <c r="AW68" i="114"/>
  <c r="AW93" i="114" s="1"/>
  <c r="AX68" i="114"/>
  <c r="AZ68" i="114"/>
  <c r="J53" i="72"/>
  <c r="J104" i="72" s="1"/>
  <c r="G90" i="114"/>
  <c r="F90" i="114"/>
  <c r="F85" i="114"/>
  <c r="G85" i="114"/>
  <c r="F60" i="114"/>
  <c r="F53" i="114"/>
  <c r="F67" i="114"/>
  <c r="G67" i="114"/>
  <c r="G60" i="114"/>
  <c r="G53" i="114"/>
  <c r="C68" i="114"/>
  <c r="C127" i="113"/>
  <c r="C101" i="113"/>
  <c r="F86" i="114"/>
  <c r="F87" i="114"/>
  <c r="F88" i="114"/>
  <c r="F89" i="114"/>
  <c r="G86" i="114"/>
  <c r="G87" i="114"/>
  <c r="G88" i="114"/>
  <c r="G89" i="114"/>
  <c r="H54" i="113"/>
  <c r="H55" i="113"/>
  <c r="H56" i="113"/>
  <c r="H57" i="113"/>
  <c r="H59" i="113"/>
  <c r="H60" i="113"/>
  <c r="H61" i="113"/>
  <c r="H62" i="113"/>
  <c r="H63" i="113"/>
  <c r="H64" i="113"/>
  <c r="H66" i="113"/>
  <c r="H67" i="113"/>
  <c r="H71" i="113"/>
  <c r="H72" i="113"/>
  <c r="H73" i="113"/>
  <c r="H74" i="113"/>
  <c r="H75" i="113"/>
  <c r="H76" i="113"/>
  <c r="H77" i="113"/>
  <c r="H78" i="113"/>
  <c r="H79" i="113"/>
  <c r="H81" i="113"/>
  <c r="H82" i="113"/>
  <c r="H83" i="113"/>
  <c r="H84" i="113"/>
  <c r="H85" i="113"/>
  <c r="H86" i="113"/>
  <c r="H89" i="113"/>
  <c r="H90" i="113"/>
  <c r="H91" i="113"/>
  <c r="H92" i="113"/>
  <c r="H93" i="113"/>
  <c r="H94" i="113"/>
  <c r="H95" i="113"/>
  <c r="H96" i="113"/>
  <c r="H98" i="113"/>
  <c r="H99" i="113"/>
  <c r="H100" i="113"/>
  <c r="G54" i="113"/>
  <c r="G55" i="113"/>
  <c r="G56" i="113"/>
  <c r="G57" i="113"/>
  <c r="G59" i="113"/>
  <c r="G60" i="113"/>
  <c r="G61" i="113"/>
  <c r="G62" i="113"/>
  <c r="G63" i="113"/>
  <c r="G64" i="113"/>
  <c r="G66" i="113"/>
  <c r="G67" i="113"/>
  <c r="G71" i="113"/>
  <c r="G72" i="113"/>
  <c r="G73" i="113"/>
  <c r="G74" i="113"/>
  <c r="G75" i="113"/>
  <c r="G76" i="113"/>
  <c r="G77" i="113"/>
  <c r="G78" i="113"/>
  <c r="G79" i="113"/>
  <c r="G81" i="113"/>
  <c r="G82" i="113"/>
  <c r="G83" i="113"/>
  <c r="G84" i="113"/>
  <c r="G85" i="113"/>
  <c r="G86" i="113"/>
  <c r="G89" i="113"/>
  <c r="G90" i="113"/>
  <c r="G91" i="113"/>
  <c r="G92" i="113"/>
  <c r="G93" i="113"/>
  <c r="G94" i="113"/>
  <c r="G95" i="113"/>
  <c r="G96" i="113"/>
  <c r="G98" i="113"/>
  <c r="G99" i="113"/>
  <c r="G100" i="113"/>
  <c r="G115" i="113"/>
  <c r="G116" i="113"/>
  <c r="G117" i="113"/>
  <c r="G118" i="113"/>
  <c r="G119" i="113"/>
  <c r="G120" i="113"/>
  <c r="G121" i="113"/>
  <c r="G122" i="113"/>
  <c r="G123" i="113"/>
  <c r="G124" i="113"/>
  <c r="G125" i="113"/>
  <c r="G126" i="113"/>
  <c r="G106" i="113"/>
  <c r="G107" i="113"/>
  <c r="G108" i="113"/>
  <c r="G109" i="113"/>
  <c r="G110" i="113"/>
  <c r="G111" i="113"/>
  <c r="G112" i="113"/>
  <c r="G113" i="113"/>
  <c r="G114" i="113"/>
  <c r="G105" i="113"/>
  <c r="G88" i="113"/>
  <c r="G97" i="113"/>
  <c r="G70" i="113"/>
  <c r="G80" i="113"/>
  <c r="G87" i="113"/>
  <c r="G58" i="113"/>
  <c r="G65" i="113"/>
  <c r="G68" i="113"/>
  <c r="G69" i="113"/>
  <c r="J101" i="113"/>
  <c r="K101" i="113"/>
  <c r="M101" i="113"/>
  <c r="N101" i="113"/>
  <c r="O101" i="113"/>
  <c r="P127" i="113"/>
  <c r="P101" i="113"/>
  <c r="P129" i="113" s="1"/>
  <c r="Q101" i="113"/>
  <c r="Y101" i="113"/>
  <c r="Z101" i="113"/>
  <c r="AC101" i="113"/>
  <c r="AC127" i="113"/>
  <c r="AD101" i="113"/>
  <c r="AG101" i="113"/>
  <c r="AH101" i="113"/>
  <c r="AI101" i="113"/>
  <c r="AJ101" i="113"/>
  <c r="AL101" i="113"/>
  <c r="AM101" i="113"/>
  <c r="AN101" i="113"/>
  <c r="AP101" i="113"/>
  <c r="AP127" i="113"/>
  <c r="AQ101" i="113"/>
  <c r="AR101" i="113"/>
  <c r="AS101" i="113"/>
  <c r="AT101" i="113"/>
  <c r="AU101" i="113"/>
  <c r="AV101" i="113"/>
  <c r="AW101" i="113"/>
  <c r="AX101" i="113"/>
  <c r="AY101" i="113"/>
  <c r="BF101" i="113"/>
  <c r="BG101" i="113"/>
  <c r="BH101" i="113"/>
  <c r="BH127" i="113"/>
  <c r="H127" i="113"/>
  <c r="J127" i="113"/>
  <c r="J129" i="113" s="1"/>
  <c r="K127" i="113"/>
  <c r="M127" i="113"/>
  <c r="N127" i="113"/>
  <c r="O127" i="113"/>
  <c r="W127" i="113"/>
  <c r="X127" i="113"/>
  <c r="Y127" i="113"/>
  <c r="Z127" i="113"/>
  <c r="AB127" i="113"/>
  <c r="AD127" i="113"/>
  <c r="AE127" i="113"/>
  <c r="AG127" i="113"/>
  <c r="AH127" i="113"/>
  <c r="AI127" i="113"/>
  <c r="AJ127" i="113"/>
  <c r="AK127" i="113"/>
  <c r="AL127" i="113"/>
  <c r="AM127" i="113"/>
  <c r="AN127" i="113"/>
  <c r="AQ127" i="113"/>
  <c r="AR127" i="113"/>
  <c r="AR129" i="113" s="1"/>
  <c r="AS127" i="113"/>
  <c r="AT127" i="113"/>
  <c r="AU127" i="113"/>
  <c r="AV127" i="113"/>
  <c r="AV129" i="113" s="1"/>
  <c r="AW127" i="113"/>
  <c r="AX127" i="113"/>
  <c r="AY127" i="113"/>
  <c r="BE127" i="113"/>
  <c r="BF127" i="113"/>
  <c r="BG127" i="113"/>
  <c r="BG129" i="113"/>
  <c r="E87" i="113"/>
  <c r="O62" i="47"/>
  <c r="O63" i="47"/>
  <c r="O64" i="47"/>
  <c r="O65" i="47"/>
  <c r="O66" i="47"/>
  <c r="O67" i="47"/>
  <c r="O68" i="47"/>
  <c r="BK231" i="79"/>
  <c r="BK232" i="79"/>
  <c r="BK233" i="79"/>
  <c r="BK234" i="79"/>
  <c r="BK235" i="79"/>
  <c r="BK236" i="79"/>
  <c r="BK237" i="79"/>
  <c r="BK238" i="79"/>
  <c r="BK239" i="79"/>
  <c r="BK240" i="79"/>
  <c r="BK241" i="79"/>
  <c r="BK242" i="79"/>
  <c r="O70" i="75"/>
  <c r="O71" i="75"/>
  <c r="O72" i="75"/>
  <c r="O73" i="75"/>
  <c r="O74" i="75"/>
  <c r="O75" i="75"/>
  <c r="O58" i="75"/>
  <c r="O59" i="75"/>
  <c r="O60" i="75"/>
  <c r="O61" i="75"/>
  <c r="O62" i="75"/>
  <c r="O63" i="75"/>
  <c r="O64" i="75"/>
  <c r="O65" i="75"/>
  <c r="O66" i="75"/>
  <c r="AD79" i="114"/>
  <c r="AD75" i="114"/>
  <c r="AD77" i="114"/>
  <c r="AD76" i="114"/>
  <c r="AD74" i="114"/>
  <c r="O67" i="75"/>
  <c r="O50" i="75"/>
  <c r="O51" i="75"/>
  <c r="O52" i="75"/>
  <c r="O53" i="75"/>
  <c r="O54" i="75"/>
  <c r="O55" i="75"/>
  <c r="O45" i="75"/>
  <c r="O46" i="75"/>
  <c r="O47" i="75"/>
  <c r="O48" i="75"/>
  <c r="O49" i="75"/>
  <c r="H79" i="75"/>
  <c r="H78" i="75"/>
  <c r="H157" i="75"/>
  <c r="O42" i="75"/>
  <c r="O41" i="75"/>
  <c r="O40" i="75"/>
  <c r="O39" i="75"/>
  <c r="O38" i="75"/>
  <c r="O37" i="75"/>
  <c r="O36" i="75"/>
  <c r="H48" i="79"/>
  <c r="I48" i="79" s="1"/>
  <c r="J48" i="79" s="1"/>
  <c r="K48" i="79" s="1"/>
  <c r="M48" i="79" s="1"/>
  <c r="N48" i="79" s="1"/>
  <c r="O48" i="79" s="1"/>
  <c r="Q48" i="79" s="1"/>
  <c r="S48" i="79" s="1"/>
  <c r="T48" i="79" s="1"/>
  <c r="U48" i="79" s="1"/>
  <c r="V48" i="79" s="1"/>
  <c r="W48" i="79" s="1"/>
  <c r="X48" i="79" s="1"/>
  <c r="Y48" i="79" s="1"/>
  <c r="Z48" i="79" s="1"/>
  <c r="AA48" i="79" s="1"/>
  <c r="AB48" i="79" s="1"/>
  <c r="AC48" i="79" s="1"/>
  <c r="AD48" i="79" s="1"/>
  <c r="AE48" i="79" s="1"/>
  <c r="AF48" i="79" s="1"/>
  <c r="AG48" i="79" s="1"/>
  <c r="AH48" i="79" s="1"/>
  <c r="AI48" i="79" s="1"/>
  <c r="AJ48" i="79" s="1"/>
  <c r="AK48" i="79" s="1"/>
  <c r="AN48" i="79" s="1"/>
  <c r="AO48" i="79" s="1"/>
  <c r="AP48" i="79" s="1"/>
  <c r="AQ48" i="79" s="1"/>
  <c r="AR48" i="79" s="1"/>
  <c r="AS48" i="79" s="1"/>
  <c r="AT48" i="79" s="1"/>
  <c r="AV48" i="79" s="1"/>
  <c r="AW48" i="79" s="1"/>
  <c r="AX48" i="79" s="1"/>
  <c r="AY48" i="79" s="1"/>
  <c r="AZ48" i="79" s="1"/>
  <c r="BA48" i="79" s="1"/>
  <c r="BB48" i="79" s="1"/>
  <c r="BC48" i="79" s="1"/>
  <c r="BD48" i="79" s="1"/>
  <c r="BE48" i="79" s="1"/>
  <c r="BF48" i="79" s="1"/>
  <c r="AD80" i="114"/>
  <c r="AD85" i="114"/>
  <c r="AD86" i="114"/>
  <c r="AD87" i="114"/>
  <c r="AD88" i="114"/>
  <c r="AD89" i="114"/>
  <c r="AD90" i="114"/>
  <c r="H71" i="77"/>
  <c r="A32" i="77"/>
  <c r="A33" i="77" s="1"/>
  <c r="F54" i="114"/>
  <c r="F55" i="114"/>
  <c r="F56" i="114"/>
  <c r="F57" i="114"/>
  <c r="F58" i="114"/>
  <c r="F59" i="114"/>
  <c r="F61" i="114"/>
  <c r="F62" i="114"/>
  <c r="F63" i="114"/>
  <c r="F64" i="114"/>
  <c r="F65" i="114"/>
  <c r="F66" i="114"/>
  <c r="G54" i="114"/>
  <c r="G55" i="114"/>
  <c r="G56" i="114"/>
  <c r="G57" i="114"/>
  <c r="G58" i="114"/>
  <c r="G59" i="114"/>
  <c r="G61" i="114"/>
  <c r="G62" i="114"/>
  <c r="G63" i="114"/>
  <c r="G64" i="114"/>
  <c r="G65" i="114"/>
  <c r="G66" i="114"/>
  <c r="AD72" i="114"/>
  <c r="AD73" i="114"/>
  <c r="O11" i="47"/>
  <c r="O12" i="47"/>
  <c r="O13" i="47"/>
  <c r="O14" i="47"/>
  <c r="J15" i="47"/>
  <c r="O15" i="47" s="1"/>
  <c r="O16" i="47"/>
  <c r="O17" i="47"/>
  <c r="O18" i="47"/>
  <c r="O19" i="47"/>
  <c r="O20" i="47"/>
  <c r="O21" i="47"/>
  <c r="O24" i="47"/>
  <c r="O25" i="47"/>
  <c r="O26" i="47"/>
  <c r="O27" i="47"/>
  <c r="J28" i="47"/>
  <c r="O28" i="47" s="1"/>
  <c r="O29" i="47"/>
  <c r="O30" i="47"/>
  <c r="O31" i="47"/>
  <c r="O32" i="47"/>
  <c r="O33" i="47"/>
  <c r="O34" i="47"/>
  <c r="O37" i="47"/>
  <c r="O38" i="47"/>
  <c r="O39" i="47"/>
  <c r="O40" i="47"/>
  <c r="J41" i="47"/>
  <c r="O41" i="47" s="1"/>
  <c r="O42" i="47"/>
  <c r="O43" i="47"/>
  <c r="O44" i="47"/>
  <c r="O45" i="47"/>
  <c r="O46" i="47"/>
  <c r="O47" i="47"/>
  <c r="AX49" i="114"/>
  <c r="AY49" i="114" s="1"/>
  <c r="AQ49" i="114"/>
  <c r="AR49" i="114" s="1"/>
  <c r="AT49" i="114" s="1"/>
  <c r="AV49" i="114" s="1"/>
  <c r="AM49" i="114"/>
  <c r="AN49" i="114" s="1"/>
  <c r="AO49" i="114" s="1"/>
  <c r="AL49" i="114"/>
  <c r="AH49" i="114"/>
  <c r="AI49" i="114" s="1"/>
  <c r="AJ49" i="114" s="1"/>
  <c r="AK49" i="114" s="1"/>
  <c r="Y49" i="114"/>
  <c r="Z49" i="114" s="1"/>
  <c r="AA49" i="114" s="1"/>
  <c r="AB49" i="114" s="1"/>
  <c r="AF49" i="114" s="1"/>
  <c r="AG49" i="114" s="1"/>
  <c r="T49" i="114"/>
  <c r="S49" i="114"/>
  <c r="R49" i="114"/>
  <c r="N49" i="114"/>
  <c r="O49" i="114" s="1"/>
  <c r="I49" i="114"/>
  <c r="J49" i="114" s="1"/>
  <c r="K49" i="114" s="1"/>
  <c r="C49" i="114"/>
  <c r="O315" i="47"/>
  <c r="E56" i="113"/>
  <c r="E57" i="113"/>
  <c r="E59" i="113"/>
  <c r="F63" i="113"/>
  <c r="F101" i="113" s="1"/>
  <c r="G53" i="113"/>
  <c r="H58" i="113"/>
  <c r="H65" i="113"/>
  <c r="H68" i="113"/>
  <c r="H69" i="113"/>
  <c r="H70" i="113"/>
  <c r="H80" i="113"/>
  <c r="H87" i="113"/>
  <c r="H88" i="113"/>
  <c r="H97" i="113"/>
  <c r="I53" i="113"/>
  <c r="I101" i="113" s="1"/>
  <c r="T49" i="113"/>
  <c r="X49" i="113"/>
  <c r="W49" i="113"/>
  <c r="U49" i="72"/>
  <c r="BE49" i="72"/>
  <c r="BF49" i="72" s="1"/>
  <c r="AT49" i="72"/>
  <c r="AU49" i="72" s="1"/>
  <c r="AW49" i="72" s="1"/>
  <c r="BA49" i="72" s="1"/>
  <c r="AP49" i="72"/>
  <c r="AQ49" i="72" s="1"/>
  <c r="AR49" i="72" s="1"/>
  <c r="AO49" i="72"/>
  <c r="AK49" i="72"/>
  <c r="AL49" i="72" s="1"/>
  <c r="AM49" i="72" s="1"/>
  <c r="AN49" i="72" s="1"/>
  <c r="AB49" i="72"/>
  <c r="AC49" i="72" s="1"/>
  <c r="AD49" i="72" s="1"/>
  <c r="AE49" i="72" s="1"/>
  <c r="AI49" i="72" s="1"/>
  <c r="AJ49" i="72" s="1"/>
  <c r="V49" i="72"/>
  <c r="T49" i="72"/>
  <c r="Q49" i="72"/>
  <c r="R49" i="72" s="1"/>
  <c r="L49" i="72"/>
  <c r="M49" i="72"/>
  <c r="N49" i="72" s="1"/>
  <c r="H49" i="72"/>
  <c r="J49" i="72" s="1"/>
  <c r="F49" i="72"/>
  <c r="C49" i="72"/>
  <c r="I105" i="113"/>
  <c r="I106" i="113"/>
  <c r="I107" i="113"/>
  <c r="I108" i="113"/>
  <c r="I109" i="113"/>
  <c r="I110" i="113"/>
  <c r="I111" i="113"/>
  <c r="I112" i="113"/>
  <c r="I113" i="113"/>
  <c r="I114" i="113"/>
  <c r="I115" i="113"/>
  <c r="I116" i="113"/>
  <c r="I117" i="113"/>
  <c r="I118" i="113"/>
  <c r="I119" i="113"/>
  <c r="I120" i="113"/>
  <c r="I121" i="113"/>
  <c r="I122" i="113"/>
  <c r="I123" i="113"/>
  <c r="I124" i="113"/>
  <c r="I125" i="113"/>
  <c r="I126" i="113"/>
  <c r="BF49" i="113"/>
  <c r="BG49" i="113" s="1"/>
  <c r="AV49" i="113"/>
  <c r="AW49" i="113" s="1"/>
  <c r="AY49" i="113"/>
  <c r="BB49" i="113" s="1"/>
  <c r="AR49" i="113"/>
  <c r="AS49" i="113" s="1"/>
  <c r="AT49" i="113" s="1"/>
  <c r="AQ49" i="113"/>
  <c r="AM49" i="113"/>
  <c r="AN49" i="113" s="1"/>
  <c r="AO49" i="113" s="1"/>
  <c r="AP49" i="113" s="1"/>
  <c r="AD49" i="113"/>
  <c r="AE49" i="113" s="1"/>
  <c r="AF49" i="113" s="1"/>
  <c r="AG49" i="113" s="1"/>
  <c r="AK49" i="113" s="1"/>
  <c r="AL49" i="113" s="1"/>
  <c r="AA49" i="113"/>
  <c r="N49" i="113"/>
  <c r="O49" i="113" s="1"/>
  <c r="K49" i="113"/>
  <c r="L49" i="113" s="1"/>
  <c r="M49" i="113" s="1"/>
  <c r="G49" i="113"/>
  <c r="I49" i="113" s="1"/>
  <c r="F49" i="113"/>
  <c r="C49" i="113"/>
  <c r="C6" i="92"/>
  <c r="C47" i="92" s="1"/>
  <c r="F14" i="112"/>
  <c r="F7" i="112"/>
  <c r="C26" i="112"/>
  <c r="C34" i="112" s="1"/>
  <c r="D34" i="112" s="1"/>
  <c r="F34" i="112" s="1"/>
  <c r="C25" i="112"/>
  <c r="C33" i="112" s="1"/>
  <c r="D33" i="112" s="1"/>
  <c r="F33" i="112" s="1"/>
  <c r="C24" i="112"/>
  <c r="D24" i="112" s="1"/>
  <c r="C27" i="112"/>
  <c r="C28" i="112"/>
  <c r="C36" i="112" s="1"/>
  <c r="D36" i="112" s="1"/>
  <c r="F36" i="112" s="1"/>
  <c r="C29" i="112"/>
  <c r="C32" i="112"/>
  <c r="D32" i="112" s="1"/>
  <c r="F32" i="112" s="1"/>
  <c r="C38" i="112"/>
  <c r="D38" i="112" s="1"/>
  <c r="F38" i="112" s="1"/>
  <c r="G7" i="80"/>
  <c r="H7" i="80" s="1"/>
  <c r="G8" i="80"/>
  <c r="H8" i="80" s="1"/>
  <c r="A10" i="77"/>
  <c r="B10" i="77" s="1"/>
  <c r="F10" i="59" s="1"/>
  <c r="B15" i="77"/>
  <c r="B24" i="77"/>
  <c r="Y11" i="111"/>
  <c r="X11" i="111"/>
  <c r="W11" i="111"/>
  <c r="AI11" i="111"/>
  <c r="AM11" i="111"/>
  <c r="H7" i="78"/>
  <c r="I7" i="78" s="1"/>
  <c r="H8" i="78"/>
  <c r="I8" i="78" s="1"/>
  <c r="P24" i="77"/>
  <c r="Q24" i="77"/>
  <c r="R24" i="77"/>
  <c r="M32" i="65"/>
  <c r="M15" i="65"/>
  <c r="D30" i="112"/>
  <c r="F30" i="112" s="1"/>
  <c r="F24" i="112"/>
  <c r="D22" i="112"/>
  <c r="R205" i="75"/>
  <c r="Q205" i="75"/>
  <c r="P205" i="75"/>
  <c r="O205" i="75"/>
  <c r="N205" i="75"/>
  <c r="D63" i="100"/>
  <c r="F50" i="100"/>
  <c r="F63" i="100" s="1"/>
  <c r="F84" i="100" s="1"/>
  <c r="H63" i="100"/>
  <c r="I63" i="100"/>
  <c r="L63" i="100"/>
  <c r="M63" i="100"/>
  <c r="N63" i="100"/>
  <c r="O63" i="100"/>
  <c r="P50" i="100"/>
  <c r="P51" i="100"/>
  <c r="Q50" i="100"/>
  <c r="Q51" i="100"/>
  <c r="R63" i="100"/>
  <c r="S63" i="100"/>
  <c r="T63" i="100"/>
  <c r="W63" i="100"/>
  <c r="X63" i="100"/>
  <c r="Z63" i="100"/>
  <c r="AA63" i="100"/>
  <c r="AB63" i="100"/>
  <c r="AC63" i="100"/>
  <c r="AD63" i="100"/>
  <c r="AE63" i="100"/>
  <c r="AF63" i="100"/>
  <c r="AG63" i="100"/>
  <c r="AI63" i="100"/>
  <c r="AJ63" i="100"/>
  <c r="C63" i="100"/>
  <c r="M9" i="110"/>
  <c r="H57" i="77"/>
  <c r="Z11" i="111"/>
  <c r="AA11" i="111"/>
  <c r="F11" i="111"/>
  <c r="G11" i="111"/>
  <c r="H11" i="111"/>
  <c r="J11" i="111"/>
  <c r="K11" i="111"/>
  <c r="L11" i="111"/>
  <c r="M11" i="111"/>
  <c r="O11" i="111"/>
  <c r="R11" i="111"/>
  <c r="S11" i="111"/>
  <c r="T11" i="111"/>
  <c r="U11" i="111"/>
  <c r="V11" i="111"/>
  <c r="AC11" i="111"/>
  <c r="AD11" i="111"/>
  <c r="AE11" i="111"/>
  <c r="AF11" i="111"/>
  <c r="AH11" i="111"/>
  <c r="AJ11" i="111"/>
  <c r="AL11" i="111"/>
  <c r="AN11" i="111"/>
  <c r="AO11" i="111"/>
  <c r="AQ11" i="111"/>
  <c r="E11" i="111"/>
  <c r="F9" i="110"/>
  <c r="G9" i="110"/>
  <c r="H9" i="110"/>
  <c r="I9" i="110"/>
  <c r="J9" i="110"/>
  <c r="K9" i="110"/>
  <c r="L9" i="110"/>
  <c r="N9" i="110"/>
  <c r="O9" i="110"/>
  <c r="P9" i="110"/>
  <c r="Q9" i="110"/>
  <c r="R9" i="110"/>
  <c r="S9" i="110"/>
  <c r="T9" i="110"/>
  <c r="U9" i="110"/>
  <c r="V9" i="110"/>
  <c r="W9" i="110"/>
  <c r="X9" i="110"/>
  <c r="Y9" i="110"/>
  <c r="Z9" i="110"/>
  <c r="AA9" i="110"/>
  <c r="AB9" i="110"/>
  <c r="AC9" i="110"/>
  <c r="AD9" i="110"/>
  <c r="AE9" i="110"/>
  <c r="AF9" i="110"/>
  <c r="AG9" i="110"/>
  <c r="AH9" i="110"/>
  <c r="AI9" i="110"/>
  <c r="AJ9" i="110"/>
  <c r="AK9" i="110"/>
  <c r="AL9" i="110"/>
  <c r="AM9" i="110"/>
  <c r="AN9" i="110"/>
  <c r="AO9" i="110"/>
  <c r="E9" i="110"/>
  <c r="AP9" i="110"/>
  <c r="R202" i="75"/>
  <c r="Q202" i="75"/>
  <c r="P202" i="75"/>
  <c r="O202" i="75"/>
  <c r="N202" i="75"/>
  <c r="R210" i="75"/>
  <c r="Q210" i="75"/>
  <c r="P210" i="75"/>
  <c r="O210" i="75"/>
  <c r="N210" i="75"/>
  <c r="R199" i="75"/>
  <c r="Q199" i="75"/>
  <c r="P199" i="75"/>
  <c r="O199" i="75"/>
  <c r="N199" i="75"/>
  <c r="R196" i="75"/>
  <c r="Q196" i="75"/>
  <c r="P196" i="75"/>
  <c r="O196" i="75"/>
  <c r="N196" i="75"/>
  <c r="O195" i="75"/>
  <c r="O194" i="75" s="1"/>
  <c r="F82" i="100"/>
  <c r="D82" i="100"/>
  <c r="H82" i="100"/>
  <c r="I82" i="100"/>
  <c r="L82" i="100"/>
  <c r="M82" i="100"/>
  <c r="N82" i="100"/>
  <c r="O82" i="100"/>
  <c r="P82" i="100"/>
  <c r="Q82" i="100"/>
  <c r="R82" i="100"/>
  <c r="R84" i="100"/>
  <c r="S82" i="100"/>
  <c r="T82" i="100"/>
  <c r="W82" i="100"/>
  <c r="X82" i="100"/>
  <c r="X84" i="100" s="1"/>
  <c r="Z82" i="100"/>
  <c r="AA82" i="100"/>
  <c r="AB82" i="100"/>
  <c r="AC82" i="100"/>
  <c r="AD82" i="100"/>
  <c r="AE82" i="100"/>
  <c r="AF82" i="100"/>
  <c r="AF84" i="100"/>
  <c r="AG82" i="100"/>
  <c r="AI82" i="100"/>
  <c r="AJ82" i="100"/>
  <c r="L48" i="100"/>
  <c r="M48" i="100" s="1"/>
  <c r="O48" i="100" s="1"/>
  <c r="I48" i="100"/>
  <c r="J48" i="100" s="1"/>
  <c r="K48" i="100" s="1"/>
  <c r="C82" i="100"/>
  <c r="C84" i="100" s="1"/>
  <c r="C48" i="100"/>
  <c r="D48" i="100" s="1"/>
  <c r="AH48" i="100"/>
  <c r="AI48" i="100" s="1"/>
  <c r="AB48" i="100"/>
  <c r="AD48" i="100"/>
  <c r="AE48" i="100" s="1"/>
  <c r="AF48" i="100"/>
  <c r="AG48" i="100" s="1"/>
  <c r="E48" i="100"/>
  <c r="F48" i="100" s="1"/>
  <c r="G48" i="100" s="1"/>
  <c r="R96" i="75"/>
  <c r="Q96" i="75"/>
  <c r="P96" i="75"/>
  <c r="O96" i="75"/>
  <c r="N96" i="75"/>
  <c r="H143" i="75"/>
  <c r="H256" i="47"/>
  <c r="H255" i="47"/>
  <c r="U40" i="95"/>
  <c r="C23" i="81" s="1"/>
  <c r="E11" i="65"/>
  <c r="H152" i="75"/>
  <c r="H151" i="75"/>
  <c r="O192" i="75"/>
  <c r="C51" i="92"/>
  <c r="G7" i="73"/>
  <c r="H7" i="73" s="1"/>
  <c r="G8" i="73"/>
  <c r="H8" i="73" s="1"/>
  <c r="H9" i="73"/>
  <c r="H10" i="73"/>
  <c r="A22" i="77"/>
  <c r="H38" i="77"/>
  <c r="H35" i="77"/>
  <c r="E48" i="79"/>
  <c r="F48" i="79" s="1"/>
  <c r="G48" i="79" s="1"/>
  <c r="H150" i="75"/>
  <c r="H148" i="75"/>
  <c r="H134" i="75"/>
  <c r="H133" i="75"/>
  <c r="R104" i="75"/>
  <c r="Q104" i="75"/>
  <c r="P104" i="75"/>
  <c r="O104" i="75"/>
  <c r="N104" i="75"/>
  <c r="T50" i="79"/>
  <c r="S50" i="79"/>
  <c r="BG5" i="79"/>
  <c r="BG6" i="79"/>
  <c r="BG7" i="79"/>
  <c r="BG8" i="79"/>
  <c r="BG9" i="79"/>
  <c r="BG10" i="79"/>
  <c r="BG11" i="79"/>
  <c r="BG12" i="79"/>
  <c r="BG13" i="79"/>
  <c r="BG14" i="79"/>
  <c r="BG15" i="79"/>
  <c r="BG16" i="79"/>
  <c r="BG17" i="79"/>
  <c r="BG18" i="79"/>
  <c r="BG19" i="79"/>
  <c r="BG20" i="79"/>
  <c r="BG21" i="79"/>
  <c r="BG22" i="79"/>
  <c r="BG23" i="79"/>
  <c r="BG24" i="79"/>
  <c r="BG25" i="79"/>
  <c r="BG26" i="79"/>
  <c r="BG27" i="79"/>
  <c r="BG28" i="79"/>
  <c r="BG29" i="79"/>
  <c r="BG30" i="79"/>
  <c r="BG31" i="79"/>
  <c r="BG32" i="79"/>
  <c r="BG33" i="79"/>
  <c r="BG34" i="79"/>
  <c r="BG35" i="79"/>
  <c r="BG36" i="79"/>
  <c r="BG37" i="79"/>
  <c r="BG38" i="79"/>
  <c r="BG39" i="79"/>
  <c r="BG40" i="79"/>
  <c r="BG41" i="79"/>
  <c r="BG42" i="79"/>
  <c r="BG43" i="79"/>
  <c r="BG44" i="79"/>
  <c r="BG45" i="79"/>
  <c r="BG46" i="79"/>
  <c r="BG47" i="79"/>
  <c r="C48" i="79"/>
  <c r="D48" i="79" s="1"/>
  <c r="BG48" i="79" s="1"/>
  <c r="BI48" i="79" s="1"/>
  <c r="BJ48" i="79" s="1"/>
  <c r="BK48" i="79" s="1"/>
  <c r="I9" i="78"/>
  <c r="I10" i="78"/>
  <c r="BC559" i="82"/>
  <c r="BC560" i="82"/>
  <c r="BC561" i="82"/>
  <c r="BC562" i="82"/>
  <c r="BC563" i="82"/>
  <c r="BC558" i="82"/>
  <c r="BC552" i="82"/>
  <c r="BC553" i="82"/>
  <c r="BC554" i="82"/>
  <c r="BC555" i="82"/>
  <c r="BC556" i="82"/>
  <c r="BC557" i="82"/>
  <c r="BC535" i="82"/>
  <c r="BC536" i="82"/>
  <c r="BC537" i="82"/>
  <c r="BC538" i="82"/>
  <c r="BC539" i="82"/>
  <c r="BC534" i="82"/>
  <c r="BC523" i="82"/>
  <c r="BC524" i="82"/>
  <c r="BC525" i="82"/>
  <c r="BC526" i="82"/>
  <c r="BC527" i="82"/>
  <c r="BC522" i="82"/>
  <c r="BC516" i="82"/>
  <c r="BC510" i="82"/>
  <c r="BC529" i="82"/>
  <c r="BC530" i="82"/>
  <c r="BC531" i="82"/>
  <c r="BC532" i="82"/>
  <c r="BC533" i="82"/>
  <c r="BC528" i="82"/>
  <c r="BC511" i="82"/>
  <c r="BC512" i="82"/>
  <c r="BC513" i="82"/>
  <c r="BC514" i="82"/>
  <c r="BC515" i="82"/>
  <c r="BC547" i="82"/>
  <c r="BC548" i="82"/>
  <c r="BC549" i="82"/>
  <c r="BC550" i="82"/>
  <c r="BC551" i="82"/>
  <c r="BC546" i="82"/>
  <c r="BC517" i="82"/>
  <c r="BC518" i="82"/>
  <c r="BC519" i="82"/>
  <c r="BC520" i="82"/>
  <c r="BC521" i="82"/>
  <c r="BC545" i="82"/>
  <c r="BC544" i="82"/>
  <c r="BC543" i="82"/>
  <c r="BC542" i="82"/>
  <c r="BC541" i="82"/>
  <c r="BC540" i="82"/>
  <c r="K29" i="88"/>
  <c r="D29" i="88" s="1"/>
  <c r="S25" i="94"/>
  <c r="C49" i="91"/>
  <c r="D49" i="91" s="1"/>
  <c r="E49" i="91" s="1"/>
  <c r="K69" i="91"/>
  <c r="K68" i="91"/>
  <c r="K75" i="91" s="1"/>
  <c r="K73" i="91"/>
  <c r="K72" i="91"/>
  <c r="K71" i="91"/>
  <c r="K70" i="91"/>
  <c r="J70" i="91"/>
  <c r="J69" i="91"/>
  <c r="J68" i="91"/>
  <c r="K67" i="91"/>
  <c r="J67" i="91"/>
  <c r="K66" i="91"/>
  <c r="J66" i="91"/>
  <c r="B471" i="82"/>
  <c r="B211" i="82"/>
  <c r="B500" i="82"/>
  <c r="D578" i="82"/>
  <c r="D579" i="82"/>
  <c r="H573" i="82"/>
  <c r="I8" i="46"/>
  <c r="H8" i="46"/>
  <c r="F8" i="46"/>
  <c r="E8" i="46"/>
  <c r="D8" i="46"/>
  <c r="C8" i="46"/>
  <c r="B8" i="46"/>
  <c r="B9" i="55"/>
  <c r="AQ357" i="82"/>
  <c r="AP480" i="82" s="1"/>
  <c r="BG69" i="82"/>
  <c r="BG70" i="82" s="1"/>
  <c r="AQ92" i="82"/>
  <c r="AP222" i="82" s="1"/>
  <c r="A24" i="59"/>
  <c r="A42" i="55"/>
  <c r="A55" i="46"/>
  <c r="G7" i="33"/>
  <c r="G12" i="33" s="1"/>
  <c r="G7" i="108"/>
  <c r="G8" i="107"/>
  <c r="G14" i="107"/>
  <c r="I8" i="107"/>
  <c r="I14" i="107"/>
  <c r="G8" i="106"/>
  <c r="G7" i="106" s="1"/>
  <c r="G12" i="106" s="1"/>
  <c r="G13" i="106" s="1"/>
  <c r="G7" i="54"/>
  <c r="G13" i="54" s="1"/>
  <c r="G8" i="104"/>
  <c r="G16" i="104" s="1"/>
  <c r="G17" i="104" s="1"/>
  <c r="G18" i="104" s="1"/>
  <c r="G14" i="104"/>
  <c r="I8" i="104"/>
  <c r="I16" i="104" s="1"/>
  <c r="I17" i="104" s="1"/>
  <c r="I14" i="104"/>
  <c r="G8" i="102"/>
  <c r="G7" i="102" s="1"/>
  <c r="G12" i="102" s="1"/>
  <c r="H8" i="102"/>
  <c r="H7" i="102" s="1"/>
  <c r="H12" i="102" s="1"/>
  <c r="H13" i="102" s="1"/>
  <c r="H14" i="102" s="1"/>
  <c r="G7" i="57"/>
  <c r="G13" i="57" s="1"/>
  <c r="H7" i="57"/>
  <c r="H13" i="57" s="1"/>
  <c r="G7" i="103"/>
  <c r="H7" i="103"/>
  <c r="H13" i="103" s="1"/>
  <c r="G8" i="45"/>
  <c r="G14" i="45"/>
  <c r="I8" i="45"/>
  <c r="I14" i="45"/>
  <c r="I15" i="45" s="1"/>
  <c r="G8" i="105"/>
  <c r="G14" i="105"/>
  <c r="I8" i="105"/>
  <c r="I14" i="105"/>
  <c r="I15" i="105" s="1"/>
  <c r="G7" i="58"/>
  <c r="G13" i="58"/>
  <c r="H7" i="58"/>
  <c r="H13" i="58"/>
  <c r="H15" i="58" s="1"/>
  <c r="H16" i="58" s="1"/>
  <c r="H17" i="58" s="1"/>
  <c r="F9" i="101"/>
  <c r="E10" i="101"/>
  <c r="F10" i="101" s="1"/>
  <c r="F13" i="101" s="1"/>
  <c r="E11" i="101"/>
  <c r="F11" i="101" s="1"/>
  <c r="D34" i="88"/>
  <c r="D33" i="88"/>
  <c r="D32" i="88"/>
  <c r="H294" i="47"/>
  <c r="H10" i="106"/>
  <c r="J10" i="106" s="1"/>
  <c r="H12" i="54"/>
  <c r="J12" i="54" s="1"/>
  <c r="H10" i="33"/>
  <c r="J10" i="33"/>
  <c r="S283" i="47"/>
  <c r="T283" i="47"/>
  <c r="U283" i="47"/>
  <c r="V283" i="47"/>
  <c r="W283" i="47"/>
  <c r="X283" i="47"/>
  <c r="Y283" i="47"/>
  <c r="Z283" i="47"/>
  <c r="AA283" i="47"/>
  <c r="AB283" i="47"/>
  <c r="AC283" i="47"/>
  <c r="AD283" i="47"/>
  <c r="AE283" i="47"/>
  <c r="AF283" i="47"/>
  <c r="AG283" i="47"/>
  <c r="AH283" i="47"/>
  <c r="AI283" i="47"/>
  <c r="AJ283" i="47"/>
  <c r="AK283" i="47"/>
  <c r="AL283" i="47"/>
  <c r="AM283" i="47"/>
  <c r="AN283" i="47"/>
  <c r="AO283" i="47"/>
  <c r="AP283" i="47"/>
  <c r="AQ283" i="47"/>
  <c r="AR283" i="47"/>
  <c r="AS283" i="47"/>
  <c r="AT283" i="47"/>
  <c r="AU283" i="47"/>
  <c r="AV283" i="47"/>
  <c r="AW283" i="47"/>
  <c r="AX283" i="47"/>
  <c r="AY283" i="47"/>
  <c r="AZ283" i="47"/>
  <c r="BA283" i="47"/>
  <c r="BB283" i="47"/>
  <c r="BC283" i="47"/>
  <c r="BD283" i="47"/>
  <c r="BE283" i="47"/>
  <c r="BF283" i="47"/>
  <c r="BG283" i="47"/>
  <c r="BH283" i="47"/>
  <c r="BI283" i="47"/>
  <c r="BJ283" i="47"/>
  <c r="BK283" i="47"/>
  <c r="BL283" i="47"/>
  <c r="BM283" i="47"/>
  <c r="BN283" i="47"/>
  <c r="BO283" i="47"/>
  <c r="BP283" i="47"/>
  <c r="BQ283" i="47"/>
  <c r="BR283" i="47"/>
  <c r="BS283" i="47"/>
  <c r="BT283" i="47"/>
  <c r="BU283" i="47"/>
  <c r="BV283" i="47"/>
  <c r="BW283" i="47"/>
  <c r="BX283" i="47"/>
  <c r="BY283" i="47"/>
  <c r="BZ283" i="47"/>
  <c r="CA283" i="47"/>
  <c r="CB283" i="47"/>
  <c r="CC283" i="47"/>
  <c r="CD283" i="47"/>
  <c r="CE283" i="47"/>
  <c r="CF283" i="47"/>
  <c r="CG283" i="47"/>
  <c r="CH283" i="47"/>
  <c r="CI283" i="47"/>
  <c r="CJ283" i="47"/>
  <c r="CK283" i="47"/>
  <c r="CL283" i="47"/>
  <c r="CM283" i="47"/>
  <c r="CN283" i="47"/>
  <c r="CO283" i="47"/>
  <c r="CP283" i="47"/>
  <c r="CQ283" i="47"/>
  <c r="CR283" i="47"/>
  <c r="CS283" i="47"/>
  <c r="CT283" i="47"/>
  <c r="CU283" i="47"/>
  <c r="CV283" i="47"/>
  <c r="CW283" i="47"/>
  <c r="CX283" i="47"/>
  <c r="CY283" i="47"/>
  <c r="CZ283" i="47"/>
  <c r="DA283" i="47"/>
  <c r="DB283" i="47"/>
  <c r="DC283" i="47"/>
  <c r="DD283" i="47"/>
  <c r="DE283" i="47"/>
  <c r="DF283" i="47"/>
  <c r="DG283" i="47"/>
  <c r="DH283" i="47"/>
  <c r="DI283" i="47"/>
  <c r="DJ283" i="47"/>
  <c r="DK283" i="47"/>
  <c r="DL283" i="47"/>
  <c r="DM283" i="47"/>
  <c r="DN283" i="47"/>
  <c r="DO283" i="47"/>
  <c r="DP283" i="47"/>
  <c r="DQ283" i="47"/>
  <c r="DR283" i="47"/>
  <c r="DS283" i="47"/>
  <c r="DT283" i="47"/>
  <c r="DU283" i="47"/>
  <c r="DV283" i="47"/>
  <c r="DW283" i="47"/>
  <c r="DX283" i="47"/>
  <c r="DY283" i="47"/>
  <c r="DZ283" i="47"/>
  <c r="EA283" i="47"/>
  <c r="EB283" i="47"/>
  <c r="EC283" i="47"/>
  <c r="ED283" i="47"/>
  <c r="EE283" i="47"/>
  <c r="EF283" i="47"/>
  <c r="EG283" i="47"/>
  <c r="EH283" i="47"/>
  <c r="EI283" i="47"/>
  <c r="EJ283" i="47"/>
  <c r="EK283" i="47"/>
  <c r="EL283" i="47"/>
  <c r="EM283" i="47"/>
  <c r="EN283" i="47"/>
  <c r="EO283" i="47"/>
  <c r="EP283" i="47"/>
  <c r="EQ283" i="47"/>
  <c r="ER283" i="47"/>
  <c r="ES283" i="47"/>
  <c r="ET283" i="47"/>
  <c r="EU283" i="47"/>
  <c r="EV283" i="47"/>
  <c r="EW283" i="47"/>
  <c r="EX283" i="47"/>
  <c r="EY283" i="47"/>
  <c r="EZ283" i="47"/>
  <c r="FA283" i="47"/>
  <c r="FB283" i="47"/>
  <c r="FC283" i="47"/>
  <c r="FD283" i="47"/>
  <c r="FE283" i="47"/>
  <c r="FF283" i="47"/>
  <c r="FG283" i="47"/>
  <c r="FH283" i="47"/>
  <c r="FI283" i="47"/>
  <c r="FJ283" i="47"/>
  <c r="FK283" i="47"/>
  <c r="FL283" i="47"/>
  <c r="FM283" i="47"/>
  <c r="FN283" i="47"/>
  <c r="FO283" i="47"/>
  <c r="FP283" i="47"/>
  <c r="FQ283" i="47"/>
  <c r="FR283" i="47"/>
  <c r="FS283" i="47"/>
  <c r="FT283" i="47"/>
  <c r="FU283" i="47"/>
  <c r="FV283" i="47"/>
  <c r="FW283" i="47"/>
  <c r="FX283" i="47"/>
  <c r="FY283" i="47"/>
  <c r="FZ283" i="47"/>
  <c r="GA283" i="47"/>
  <c r="GB283" i="47"/>
  <c r="GC283" i="47"/>
  <c r="GD283" i="47"/>
  <c r="GE283" i="47"/>
  <c r="GF283" i="47"/>
  <c r="GG283" i="47"/>
  <c r="GH283" i="47"/>
  <c r="GI283" i="47"/>
  <c r="GJ283" i="47"/>
  <c r="GK283" i="47"/>
  <c r="GL283" i="47"/>
  <c r="GM283" i="47"/>
  <c r="GN283" i="47"/>
  <c r="GO283" i="47"/>
  <c r="GP283" i="47"/>
  <c r="GQ283" i="47"/>
  <c r="GR283" i="47"/>
  <c r="GS283" i="47"/>
  <c r="GT283" i="47"/>
  <c r="GU283" i="47"/>
  <c r="GV283" i="47"/>
  <c r="GW283" i="47"/>
  <c r="GX283" i="47"/>
  <c r="GY283" i="47"/>
  <c r="GZ283" i="47"/>
  <c r="HA283" i="47"/>
  <c r="HB283" i="47"/>
  <c r="HC283" i="47"/>
  <c r="HD283" i="47"/>
  <c r="HE283" i="47"/>
  <c r="HF283" i="47"/>
  <c r="HG283" i="47"/>
  <c r="HH283" i="47"/>
  <c r="HI283" i="47"/>
  <c r="HJ283" i="47"/>
  <c r="HK283" i="47"/>
  <c r="HL283" i="47"/>
  <c r="HM283" i="47"/>
  <c r="HN283" i="47"/>
  <c r="HO283" i="47"/>
  <c r="HP283" i="47"/>
  <c r="HQ283" i="47"/>
  <c r="HR283" i="47"/>
  <c r="HS283" i="47"/>
  <c r="HT283" i="47"/>
  <c r="HU283" i="47"/>
  <c r="HV283" i="47"/>
  <c r="HW283" i="47"/>
  <c r="HX283" i="47"/>
  <c r="HY283" i="47"/>
  <c r="HZ283" i="47"/>
  <c r="IA283" i="47"/>
  <c r="IB283" i="47"/>
  <c r="IC283" i="47"/>
  <c r="ID283" i="47"/>
  <c r="IE283" i="47"/>
  <c r="IF283" i="47"/>
  <c r="IG283" i="47"/>
  <c r="IH283" i="47"/>
  <c r="II283" i="47"/>
  <c r="IJ283" i="47"/>
  <c r="IK283" i="47"/>
  <c r="IL283" i="47"/>
  <c r="IM283" i="47"/>
  <c r="IN283" i="47"/>
  <c r="IO283" i="47"/>
  <c r="IP283" i="47"/>
  <c r="IQ283" i="47"/>
  <c r="IR283" i="47"/>
  <c r="IS283" i="47"/>
  <c r="IT283" i="47"/>
  <c r="IU283" i="47"/>
  <c r="IV283" i="47"/>
  <c r="I7" i="33"/>
  <c r="H10" i="108"/>
  <c r="J10" i="108" s="1"/>
  <c r="H12" i="108"/>
  <c r="J12" i="108" s="1"/>
  <c r="I7" i="108"/>
  <c r="H11" i="107"/>
  <c r="J11" i="107" s="1"/>
  <c r="H13" i="107"/>
  <c r="J13" i="107" s="1"/>
  <c r="H11" i="45"/>
  <c r="J11" i="45" s="1"/>
  <c r="H13" i="45"/>
  <c r="J13" i="45" s="1"/>
  <c r="I7" i="106"/>
  <c r="I7" i="54"/>
  <c r="H11" i="104"/>
  <c r="J11" i="104" s="1"/>
  <c r="H13" i="104"/>
  <c r="J13" i="104" s="1"/>
  <c r="H11" i="105"/>
  <c r="J11" i="105" s="1"/>
  <c r="H13" i="105"/>
  <c r="J13" i="105" s="1"/>
  <c r="C24" i="57"/>
  <c r="C24" i="58" s="1"/>
  <c r="C19" i="33"/>
  <c r="C24" i="108"/>
  <c r="C23" i="108"/>
  <c r="C25" i="107"/>
  <c r="C24" i="107"/>
  <c r="C25" i="45"/>
  <c r="C24" i="45"/>
  <c r="C19" i="106"/>
  <c r="C24" i="54"/>
  <c r="C23" i="54"/>
  <c r="C25" i="104"/>
  <c r="C24" i="104"/>
  <c r="C25" i="105"/>
  <c r="C24" i="105"/>
  <c r="N100" i="75"/>
  <c r="O100" i="75"/>
  <c r="P100" i="75"/>
  <c r="Q100" i="75"/>
  <c r="R100" i="75"/>
  <c r="N192" i="75"/>
  <c r="P192" i="75"/>
  <c r="Q192" i="75"/>
  <c r="R192" i="75"/>
  <c r="I8" i="55"/>
  <c r="H8" i="55"/>
  <c r="F8" i="55"/>
  <c r="E8" i="55"/>
  <c r="D8" i="55"/>
  <c r="C8" i="55"/>
  <c r="B8" i="55"/>
  <c r="D8" i="59"/>
  <c r="F8" i="59"/>
  <c r="E8" i="59"/>
  <c r="J8" i="59" s="1"/>
  <c r="H8" i="59"/>
  <c r="I8" i="59"/>
  <c r="C19" i="102"/>
  <c r="I10" i="102"/>
  <c r="C23" i="103"/>
  <c r="I12" i="103"/>
  <c r="I10" i="103"/>
  <c r="F33" i="101"/>
  <c r="E34" i="101"/>
  <c r="F34" i="101" s="1"/>
  <c r="F37" i="101" s="1"/>
  <c r="E35" i="101"/>
  <c r="F35" i="101" s="1"/>
  <c r="F45" i="101"/>
  <c r="F46" i="101"/>
  <c r="F49" i="101" s="1"/>
  <c r="F47" i="101"/>
  <c r="H46" i="101"/>
  <c r="X45" i="101"/>
  <c r="E26" i="101"/>
  <c r="E27" i="101"/>
  <c r="E29" i="101" s="1"/>
  <c r="B24" i="101"/>
  <c r="B25" i="101" s="1"/>
  <c r="B26" i="101" s="1"/>
  <c r="B27" i="101" s="1"/>
  <c r="B28" i="101" s="1"/>
  <c r="C23" i="57"/>
  <c r="C23" i="58"/>
  <c r="C46" i="81"/>
  <c r="D32" i="56"/>
  <c r="D31" i="56"/>
  <c r="F571" i="82"/>
  <c r="D33" i="70"/>
  <c r="D32" i="70"/>
  <c r="AN6" i="95"/>
  <c r="AD6" i="95" s="1"/>
  <c r="D39" i="80"/>
  <c r="D36" i="80"/>
  <c r="D33" i="80"/>
  <c r="D30" i="80"/>
  <c r="D27" i="80"/>
  <c r="D26" i="73"/>
  <c r="E25" i="80"/>
  <c r="F25" i="80" s="1"/>
  <c r="H25" i="80" s="1"/>
  <c r="E26" i="80"/>
  <c r="F26" i="80" s="1"/>
  <c r="H26" i="80" s="1"/>
  <c r="E27" i="80"/>
  <c r="F27" i="80" s="1"/>
  <c r="E28" i="80"/>
  <c r="F28" i="80" s="1"/>
  <c r="E29" i="80"/>
  <c r="F29" i="80" s="1"/>
  <c r="H29" i="80" s="1"/>
  <c r="E30" i="80"/>
  <c r="E31" i="80"/>
  <c r="F31" i="80" s="1"/>
  <c r="H31" i="80" s="1"/>
  <c r="E32" i="80"/>
  <c r="F32" i="80" s="1"/>
  <c r="H32" i="80" s="1"/>
  <c r="E33" i="80"/>
  <c r="E34" i="80"/>
  <c r="F34" i="80" s="1"/>
  <c r="H34" i="80" s="1"/>
  <c r="E35" i="80"/>
  <c r="F35" i="80" s="1"/>
  <c r="H35" i="80" s="1"/>
  <c r="E36" i="80"/>
  <c r="E37" i="80"/>
  <c r="F37" i="80" s="1"/>
  <c r="H37" i="80" s="1"/>
  <c r="E38" i="80"/>
  <c r="F38" i="80" s="1"/>
  <c r="H38" i="80" s="1"/>
  <c r="E39" i="80"/>
  <c r="E24" i="73"/>
  <c r="F24" i="73" s="1"/>
  <c r="H24" i="73" s="1"/>
  <c r="E25" i="73"/>
  <c r="F25" i="73" s="1"/>
  <c r="H25" i="73" s="1"/>
  <c r="E26" i="73"/>
  <c r="E27" i="73"/>
  <c r="F27" i="73" s="1"/>
  <c r="H27" i="73" s="1"/>
  <c r="E28" i="73"/>
  <c r="F28" i="73" s="1"/>
  <c r="H28" i="73" s="1"/>
  <c r="E29" i="73"/>
  <c r="D29" i="73"/>
  <c r="E30" i="73"/>
  <c r="F30" i="73" s="1"/>
  <c r="H30" i="73" s="1"/>
  <c r="E31" i="73"/>
  <c r="F31" i="73" s="1"/>
  <c r="H31" i="73" s="1"/>
  <c r="E32" i="73"/>
  <c r="F32" i="73" s="1"/>
  <c r="H32" i="73" s="1"/>
  <c r="D32" i="73"/>
  <c r="E33" i="73"/>
  <c r="F33" i="73" s="1"/>
  <c r="H33" i="73" s="1"/>
  <c r="E34" i="73"/>
  <c r="F34" i="73" s="1"/>
  <c r="E35" i="73"/>
  <c r="F35" i="73" s="1"/>
  <c r="D35" i="73"/>
  <c r="E36" i="73"/>
  <c r="F36" i="73" s="1"/>
  <c r="H36" i="73" s="1"/>
  <c r="E37" i="73"/>
  <c r="F37" i="73" s="1"/>
  <c r="E38" i="73"/>
  <c r="D38" i="73"/>
  <c r="C15" i="81"/>
  <c r="F506" i="82"/>
  <c r="AR466" i="82"/>
  <c r="AR308" i="82"/>
  <c r="AR33" i="82"/>
  <c r="AR250" i="82"/>
  <c r="AR206" i="82"/>
  <c r="C202" i="82"/>
  <c r="T206" i="82"/>
  <c r="B8" i="82"/>
  <c r="F504" i="82"/>
  <c r="B283" i="82"/>
  <c r="C461" i="82"/>
  <c r="D33" i="56"/>
  <c r="D34" i="70"/>
  <c r="E18" i="81"/>
  <c r="B10" i="81"/>
  <c r="B9" i="81"/>
  <c r="B8" i="81"/>
  <c r="AO44" i="84"/>
  <c r="AK44" i="84" s="1"/>
  <c r="W31" i="84"/>
  <c r="W67" i="84" s="1"/>
  <c r="L31" i="84"/>
  <c r="M67" i="84" s="1"/>
  <c r="U10" i="95"/>
  <c r="E23" i="21"/>
  <c r="C23" i="21"/>
  <c r="B23" i="21"/>
  <c r="C50" i="92"/>
  <c r="I72" i="92"/>
  <c r="BC356" i="82"/>
  <c r="BC355" i="82"/>
  <c r="BC91" i="82"/>
  <c r="BC90" i="82"/>
  <c r="C460" i="82"/>
  <c r="AN9" i="95"/>
  <c r="C201" i="82"/>
  <c r="G634" i="82"/>
  <c r="C608" i="82"/>
  <c r="B589" i="82"/>
  <c r="E505" i="82"/>
  <c r="B502" i="82"/>
  <c r="B501" i="82"/>
  <c r="C24" i="81"/>
  <c r="C28" i="81"/>
  <c r="C22" i="81"/>
  <c r="E33" i="81"/>
  <c r="D33" i="81"/>
  <c r="C32" i="81"/>
  <c r="C31" i="81"/>
  <c r="D30" i="81"/>
  <c r="H29" i="81"/>
  <c r="E29" i="81"/>
  <c r="C27" i="81"/>
  <c r="C26" i="81"/>
  <c r="AU28" i="95"/>
  <c r="AU29" i="95"/>
  <c r="AU30" i="95"/>
  <c r="AU31" i="95"/>
  <c r="AU32" i="95"/>
  <c r="AU33" i="95"/>
  <c r="AU34" i="95"/>
  <c r="AU35" i="95"/>
  <c r="AU36" i="95"/>
  <c r="AU37" i="95"/>
  <c r="AU38" i="95"/>
  <c r="C21" i="81"/>
  <c r="E19" i="81"/>
  <c r="H13" i="56"/>
  <c r="H13" i="88"/>
  <c r="H16" i="88"/>
  <c r="G9" i="78"/>
  <c r="F9" i="80"/>
  <c r="F9" i="73"/>
  <c r="B5" i="81"/>
  <c r="B35" i="84"/>
  <c r="B5" i="84"/>
  <c r="B457" i="82"/>
  <c r="B198" i="82"/>
  <c r="BC92" i="82"/>
  <c r="B240" i="82"/>
  <c r="B215" i="82"/>
  <c r="X496" i="82"/>
  <c r="B280" i="82"/>
  <c r="G41" i="92"/>
  <c r="G10" i="78"/>
  <c r="F10" i="80"/>
  <c r="F10" i="73"/>
  <c r="H10" i="78"/>
  <c r="H9" i="78"/>
  <c r="G8" i="78"/>
  <c r="G7" i="78"/>
  <c r="D19" i="78"/>
  <c r="D18" i="78"/>
  <c r="G10" i="80"/>
  <c r="G9" i="80"/>
  <c r="F8" i="80"/>
  <c r="F7" i="80"/>
  <c r="C19" i="80"/>
  <c r="C18" i="80"/>
  <c r="F7" i="73"/>
  <c r="F8" i="73"/>
  <c r="G9" i="73"/>
  <c r="C18" i="73"/>
  <c r="G10" i="73"/>
  <c r="C19" i="73"/>
  <c r="F31" i="78"/>
  <c r="G31" i="78"/>
  <c r="A2066" i="96"/>
  <c r="A2065" i="96"/>
  <c r="A2064" i="96"/>
  <c r="A2063" i="96"/>
  <c r="A2062" i="96"/>
  <c r="A2061" i="96"/>
  <c r="A2060" i="96"/>
  <c r="A2059" i="96"/>
  <c r="A2058" i="96"/>
  <c r="A2057" i="96"/>
  <c r="A2055" i="96"/>
  <c r="A2054" i="96"/>
  <c r="A2053" i="96"/>
  <c r="A2052" i="96"/>
  <c r="A2051" i="96"/>
  <c r="A2050" i="96"/>
  <c r="A2049" i="96"/>
  <c r="A2047" i="96"/>
  <c r="A2046" i="96"/>
  <c r="A2045" i="96"/>
  <c r="A2044" i="96"/>
  <c r="A2043" i="96"/>
  <c r="A2042" i="96"/>
  <c r="A2041" i="96"/>
  <c r="A2039" i="96"/>
  <c r="A2038" i="96"/>
  <c r="A2037" i="96"/>
  <c r="A2036" i="96"/>
  <c r="A2035" i="96"/>
  <c r="A2034" i="96"/>
  <c r="A2033" i="96"/>
  <c r="A2031" i="96"/>
  <c r="A2030" i="96"/>
  <c r="A2029" i="96"/>
  <c r="A2028" i="96"/>
  <c r="A2027" i="96"/>
  <c r="A2026" i="96"/>
  <c r="A2025" i="96"/>
  <c r="A2024" i="96"/>
  <c r="A2023" i="96"/>
  <c r="A2022" i="96"/>
  <c r="A2021" i="96"/>
  <c r="A2020" i="96"/>
  <c r="A2019" i="96"/>
  <c r="A2018" i="96"/>
  <c r="A2017" i="96"/>
  <c r="A2015" i="96"/>
  <c r="A2014" i="96"/>
  <c r="A2013" i="96"/>
  <c r="A2012" i="96"/>
  <c r="A2011" i="96"/>
  <c r="A2010" i="96"/>
  <c r="A2009" i="96"/>
  <c r="A2008" i="96"/>
  <c r="A2007" i="96"/>
  <c r="A2005" i="96"/>
  <c r="A2004" i="96"/>
  <c r="A2003" i="96"/>
  <c r="A2002" i="96"/>
  <c r="A2001" i="96"/>
  <c r="A2000" i="96"/>
  <c r="A1999" i="96"/>
  <c r="A1998" i="96"/>
  <c r="A1997" i="96"/>
  <c r="A1996" i="96"/>
  <c r="A1995" i="96"/>
  <c r="A1994" i="96"/>
  <c r="A1993" i="96"/>
  <c r="A1992" i="96"/>
  <c r="A1991" i="96"/>
  <c r="A1988" i="96"/>
  <c r="A1987" i="96"/>
  <c r="A1986" i="96"/>
  <c r="A1985" i="96"/>
  <c r="A1984" i="96"/>
  <c r="A1983" i="96"/>
  <c r="A1982" i="96"/>
  <c r="A1981" i="96"/>
  <c r="A1980" i="96"/>
  <c r="A1979" i="96"/>
  <c r="A1978" i="96"/>
  <c r="A1977" i="96"/>
  <c r="A1976" i="96"/>
  <c r="A1975" i="96"/>
  <c r="A1973" i="96"/>
  <c r="A1972" i="96"/>
  <c r="A1970" i="96"/>
  <c r="A1969" i="96"/>
  <c r="A1966" i="96"/>
  <c r="A1965" i="96"/>
  <c r="A1964" i="96"/>
  <c r="A1963" i="96"/>
  <c r="A1962" i="96"/>
  <c r="A1960" i="96"/>
  <c r="A1959" i="96"/>
  <c r="A1958" i="96"/>
  <c r="A1957" i="96"/>
  <c r="A1956" i="96"/>
  <c r="A1955" i="96"/>
  <c r="A1951" i="96"/>
  <c r="A1950" i="96"/>
  <c r="A1949" i="96"/>
  <c r="A1946" i="96"/>
  <c r="A1945" i="96"/>
  <c r="A1944" i="96"/>
  <c r="A1941" i="96"/>
  <c r="A1940" i="96"/>
  <c r="A1939" i="96"/>
  <c r="A1938" i="96"/>
  <c r="A1936" i="96"/>
  <c r="A1935" i="96"/>
  <c r="A1934" i="96"/>
  <c r="A1933" i="96"/>
  <c r="A1932" i="96"/>
  <c r="A1930" i="96"/>
  <c r="A1929" i="96"/>
  <c r="A1928" i="96"/>
  <c r="A1927" i="96"/>
  <c r="A1926" i="96"/>
  <c r="A1925" i="96"/>
  <c r="A1918" i="96"/>
  <c r="A1917" i="96"/>
  <c r="A1916" i="96"/>
  <c r="A1915" i="96"/>
  <c r="A1914" i="96"/>
  <c r="A1913" i="96"/>
  <c r="A1912" i="96"/>
  <c r="A1911" i="96"/>
  <c r="A1909" i="96"/>
  <c r="A1908" i="96"/>
  <c r="A1907" i="96"/>
  <c r="A1906" i="96"/>
  <c r="A1905" i="96"/>
  <c r="A1904" i="96"/>
  <c r="A1903" i="96"/>
  <c r="A1902" i="96"/>
  <c r="A1898" i="96"/>
  <c r="A1897" i="96"/>
  <c r="A1896" i="96"/>
  <c r="A1895" i="96"/>
  <c r="A1894" i="96"/>
  <c r="A1893" i="96"/>
  <c r="A1892" i="96"/>
  <c r="A1891" i="96"/>
  <c r="A1890" i="96"/>
  <c r="A1889" i="96"/>
  <c r="A1887" i="96"/>
  <c r="A1886" i="96"/>
  <c r="A1885" i="96"/>
  <c r="A1884" i="96"/>
  <c r="A1883" i="96"/>
  <c r="A1881" i="96"/>
  <c r="A1880" i="96"/>
  <c r="A1879" i="96"/>
  <c r="A1878" i="96"/>
  <c r="A1877" i="96"/>
  <c r="A1876" i="96"/>
  <c r="A1874" i="96"/>
  <c r="A1873" i="96"/>
  <c r="A1872" i="96"/>
  <c r="A1871" i="96"/>
  <c r="A1870" i="96"/>
  <c r="A1869" i="96"/>
  <c r="A1868" i="96"/>
  <c r="A1867" i="96"/>
  <c r="A1866" i="96"/>
  <c r="A1865" i="96"/>
  <c r="A1864" i="96"/>
  <c r="A1863" i="96"/>
  <c r="A1862" i="96"/>
  <c r="A1861" i="96"/>
  <c r="A1854" i="96"/>
  <c r="A1853" i="96"/>
  <c r="A1852" i="96"/>
  <c r="A1851" i="96"/>
  <c r="A1850" i="96"/>
  <c r="A1849" i="96"/>
  <c r="A1848" i="96"/>
  <c r="A1847" i="96"/>
  <c r="A1845" i="96"/>
  <c r="A1844" i="96"/>
  <c r="A1843" i="96"/>
  <c r="A1842" i="96"/>
  <c r="A1841" i="96"/>
  <c r="A1840" i="96"/>
  <c r="A1839" i="96"/>
  <c r="A1838" i="96"/>
  <c r="A1836" i="96"/>
  <c r="A1835" i="96"/>
  <c r="A1834" i="96"/>
  <c r="A1833" i="96"/>
  <c r="A1832" i="96"/>
  <c r="A1831" i="96"/>
  <c r="A1830" i="96"/>
  <c r="A1829" i="96"/>
  <c r="A1826" i="96"/>
  <c r="A1825" i="96"/>
  <c r="A1824" i="96"/>
  <c r="A1823" i="96"/>
  <c r="A1822" i="96"/>
  <c r="A1821" i="96"/>
  <c r="A1820" i="96"/>
  <c r="A1818" i="96"/>
  <c r="A1817" i="96"/>
  <c r="A1816" i="96"/>
  <c r="A1814" i="96"/>
  <c r="A1813" i="96"/>
  <c r="A1812" i="96"/>
  <c r="A1811" i="96"/>
  <c r="A1809" i="96"/>
  <c r="A1808" i="96"/>
  <c r="A1807" i="96"/>
  <c r="A1806" i="96"/>
  <c r="A1804" i="96"/>
  <c r="A1803" i="96"/>
  <c r="A1800" i="96"/>
  <c r="A1799" i="96"/>
  <c r="A1798" i="96"/>
  <c r="A1797" i="96"/>
  <c r="A1796" i="96"/>
  <c r="A1794" i="96"/>
  <c r="A1793" i="96"/>
  <c r="A1792" i="96"/>
  <c r="A1791" i="96"/>
  <c r="A1790" i="96"/>
  <c r="A1788" i="96"/>
  <c r="A1786" i="96"/>
  <c r="A1785" i="96"/>
  <c r="A1784" i="96"/>
  <c r="A1783" i="96"/>
  <c r="A1782" i="96"/>
  <c r="A1781" i="96"/>
  <c r="A1780" i="96"/>
  <c r="A1778" i="96"/>
  <c r="A1777" i="96"/>
  <c r="A1776" i="96"/>
  <c r="A1775" i="96"/>
  <c r="A1774" i="96"/>
  <c r="A1773" i="96"/>
  <c r="A1772" i="96"/>
  <c r="A1770" i="96"/>
  <c r="A1769" i="96"/>
  <c r="A1768" i="96"/>
  <c r="A1767" i="96"/>
  <c r="A1766" i="96"/>
  <c r="A1765" i="96"/>
  <c r="A1764" i="96"/>
  <c r="A1763" i="96"/>
  <c r="A1762" i="96"/>
  <c r="A1760" i="96"/>
  <c r="A1759" i="96"/>
  <c r="A1758" i="96"/>
  <c r="A1757" i="96"/>
  <c r="A1756" i="96"/>
  <c r="A1755" i="96"/>
  <c r="A1754" i="96"/>
  <c r="A1753" i="96"/>
  <c r="A1752" i="96"/>
  <c r="A1750" i="96"/>
  <c r="A1749" i="96"/>
  <c r="A1748" i="96"/>
  <c r="A1747" i="96"/>
  <c r="A1745" i="96"/>
  <c r="A1744" i="96"/>
  <c r="A1743" i="96"/>
  <c r="A1742" i="96"/>
  <c r="A1741" i="96"/>
  <c r="A1740" i="96"/>
  <c r="A1739" i="96"/>
  <c r="A1738" i="96"/>
  <c r="A1736" i="96"/>
  <c r="A1735" i="96"/>
  <c r="A1734" i="96"/>
  <c r="A1733" i="96"/>
  <c r="A1732" i="96"/>
  <c r="A1731" i="96"/>
  <c r="A1730" i="96"/>
  <c r="A1729" i="96"/>
  <c r="A1727" i="96"/>
  <c r="A1726" i="96"/>
  <c r="A1725" i="96"/>
  <c r="A1722" i="96"/>
  <c r="A1721" i="96"/>
  <c r="A1720" i="96"/>
  <c r="A1719" i="96"/>
  <c r="A1718" i="96"/>
  <c r="A1717" i="96"/>
  <c r="A1716" i="96"/>
  <c r="A1715" i="96"/>
  <c r="A1713" i="96"/>
  <c r="A1712" i="96"/>
  <c r="A1711" i="96"/>
  <c r="A1710" i="96"/>
  <c r="A1709" i="96"/>
  <c r="A1708" i="96"/>
  <c r="A1707" i="96"/>
  <c r="A1706" i="96"/>
  <c r="A1704" i="96"/>
  <c r="A1703" i="96"/>
  <c r="A1702" i="96"/>
  <c r="A1701" i="96"/>
  <c r="A1700" i="96"/>
  <c r="A1698" i="96"/>
  <c r="A1697" i="96"/>
  <c r="A1696" i="96"/>
  <c r="A1695" i="96"/>
  <c r="A1694" i="96"/>
  <c r="A1692" i="96"/>
  <c r="A1691" i="96"/>
  <c r="A1690" i="96"/>
  <c r="A1689" i="96"/>
  <c r="A1687" i="96"/>
  <c r="A1686" i="96"/>
  <c r="A1685" i="96"/>
  <c r="A1684" i="96"/>
  <c r="A1683" i="96"/>
  <c r="A1681" i="96"/>
  <c r="A1680" i="96"/>
  <c r="A1679" i="96"/>
  <c r="A1678" i="96"/>
  <c r="A1676" i="96"/>
  <c r="A1675" i="96"/>
  <c r="A1674" i="96"/>
  <c r="A1673" i="96"/>
  <c r="A1670" i="96"/>
  <c r="A1669" i="96"/>
  <c r="A1668" i="96"/>
  <c r="A1667" i="96"/>
  <c r="A1665" i="96"/>
  <c r="A1664" i="96"/>
  <c r="A1662" i="96"/>
  <c r="A1661" i="96"/>
  <c r="A1659" i="96"/>
  <c r="A1658" i="96"/>
  <c r="A1657" i="96"/>
  <c r="A1655" i="96"/>
  <c r="A1654" i="96"/>
  <c r="A1653" i="96"/>
  <c r="A1650" i="96"/>
  <c r="A1649" i="96"/>
  <c r="A1648" i="96"/>
  <c r="A1647" i="96"/>
  <c r="A1645" i="96"/>
  <c r="A1644" i="96"/>
  <c r="A1643" i="96"/>
  <c r="A1642" i="96"/>
  <c r="A1640" i="96"/>
  <c r="A1639" i="96"/>
  <c r="A1638" i="96"/>
  <c r="A1637" i="96"/>
  <c r="A1635" i="96"/>
  <c r="A1634" i="96"/>
  <c r="A1633" i="96"/>
  <c r="A1632" i="96"/>
  <c r="A1630" i="96"/>
  <c r="A1629" i="96"/>
  <c r="A1628" i="96"/>
  <c r="A1627" i="96"/>
  <c r="A1625" i="96"/>
  <c r="A1624" i="96"/>
  <c r="A1623" i="96"/>
  <c r="A1622" i="96"/>
  <c r="A1620" i="96"/>
  <c r="A1619" i="96"/>
  <c r="A1618" i="96"/>
  <c r="A1617" i="96"/>
  <c r="A1613" i="96"/>
  <c r="A1611" i="96"/>
  <c r="A1610" i="96"/>
  <c r="A1609" i="96"/>
  <c r="A1608" i="96"/>
  <c r="A1607" i="96"/>
  <c r="A1606" i="96"/>
  <c r="A1605" i="96"/>
  <c r="A1604" i="96"/>
  <c r="A1603" i="96"/>
  <c r="H1601" i="96"/>
  <c r="A1601" i="96"/>
  <c r="H1600" i="96"/>
  <c r="A1600" i="96"/>
  <c r="A1599" i="96"/>
  <c r="A1598" i="96"/>
  <c r="A1597" i="96"/>
  <c r="A1596" i="96"/>
  <c r="A1595" i="96"/>
  <c r="A1594" i="96"/>
  <c r="A1592" i="96"/>
  <c r="A1591" i="96"/>
  <c r="A1590" i="96"/>
  <c r="A1589" i="96"/>
  <c r="A1588" i="96"/>
  <c r="A1587" i="96"/>
  <c r="A1586" i="96"/>
  <c r="A1585" i="96"/>
  <c r="A1584" i="96"/>
  <c r="A1583" i="96"/>
  <c r="A1582" i="96"/>
  <c r="A1581" i="96"/>
  <c r="A1580" i="96"/>
  <c r="A1579" i="96"/>
  <c r="A1578" i="96"/>
  <c r="A1577" i="96"/>
  <c r="A1575" i="96"/>
  <c r="A1574" i="96"/>
  <c r="A1573" i="96"/>
  <c r="A1572" i="96"/>
  <c r="A1571" i="96"/>
  <c r="A1570" i="96"/>
  <c r="A1569" i="96"/>
  <c r="A1568" i="96"/>
  <c r="A1567" i="96"/>
  <c r="A1566" i="96"/>
  <c r="A1565" i="96"/>
  <c r="A1564" i="96"/>
  <c r="A1563" i="96"/>
  <c r="A1562" i="96"/>
  <c r="A1561" i="96"/>
  <c r="A1560" i="96"/>
  <c r="F1554" i="96"/>
  <c r="H1558" i="96" s="1"/>
  <c r="A1558" i="96"/>
  <c r="F1553" i="96"/>
  <c r="F1557" i="96" s="1"/>
  <c r="A1557" i="96"/>
  <c r="F1552" i="96"/>
  <c r="H1556" i="96" s="1"/>
  <c r="A1556" i="96"/>
  <c r="F1551" i="96"/>
  <c r="A1555" i="96"/>
  <c r="A1554" i="96"/>
  <c r="A1553" i="96"/>
  <c r="A1552" i="96"/>
  <c r="A1551" i="96"/>
  <c r="F1545" i="96"/>
  <c r="H1549" i="96" s="1"/>
  <c r="A1549" i="96"/>
  <c r="F1544" i="96"/>
  <c r="H1548" i="96" s="1"/>
  <c r="A1548" i="96"/>
  <c r="F1543" i="96"/>
  <c r="H1547" i="96" s="1"/>
  <c r="A1547" i="96"/>
  <c r="F1542" i="96"/>
  <c r="A1546" i="96"/>
  <c r="A1545" i="96"/>
  <c r="A1544" i="96"/>
  <c r="A1543" i="96"/>
  <c r="A1542" i="96"/>
  <c r="F1536" i="96"/>
  <c r="H1540" i="96" s="1"/>
  <c r="A1540" i="96"/>
  <c r="F1535" i="96"/>
  <c r="A1539" i="96"/>
  <c r="F1534" i="96"/>
  <c r="A1538" i="96"/>
  <c r="F1533" i="96"/>
  <c r="A1537" i="96"/>
  <c r="A1536" i="96"/>
  <c r="A1535" i="96"/>
  <c r="A1534" i="96"/>
  <c r="A1533" i="96"/>
  <c r="F1527" i="96"/>
  <c r="H1531" i="96" s="1"/>
  <c r="A1531" i="96"/>
  <c r="F1526" i="96"/>
  <c r="H1530" i="96" s="1"/>
  <c r="A1530" i="96"/>
  <c r="F1525" i="96"/>
  <c r="H1529" i="96" s="1"/>
  <c r="A1529" i="96"/>
  <c r="F1524" i="96"/>
  <c r="A1528" i="96"/>
  <c r="A1527" i="96"/>
  <c r="A1526" i="96"/>
  <c r="A1525" i="96"/>
  <c r="A1524" i="96"/>
  <c r="F1518" i="96"/>
  <c r="H1522" i="96" s="1"/>
  <c r="A1522" i="96"/>
  <c r="F1517" i="96"/>
  <c r="H1521" i="96" s="1"/>
  <c r="A1521" i="96"/>
  <c r="F1516" i="96"/>
  <c r="H1520" i="96" s="1"/>
  <c r="A1520" i="96"/>
  <c r="F1515" i="96"/>
  <c r="H1519" i="96" s="1"/>
  <c r="A1519" i="96"/>
  <c r="A1518" i="96"/>
  <c r="A1517" i="96"/>
  <c r="A1516" i="96"/>
  <c r="A1515" i="96"/>
  <c r="F1509" i="96"/>
  <c r="H1513" i="96" s="1"/>
  <c r="A1513" i="96"/>
  <c r="F1508" i="96"/>
  <c r="H1512" i="96" s="1"/>
  <c r="A1512" i="96"/>
  <c r="F1507" i="96"/>
  <c r="H1511" i="96" s="1"/>
  <c r="A1511" i="96"/>
  <c r="F1506" i="96"/>
  <c r="F1510" i="96" s="1"/>
  <c r="A1510" i="96"/>
  <c r="A1509" i="96"/>
  <c r="A1508" i="96"/>
  <c r="A1507" i="96"/>
  <c r="A1506" i="96"/>
  <c r="F1500" i="96"/>
  <c r="H1504" i="96" s="1"/>
  <c r="F1504" i="96"/>
  <c r="A1504" i="96"/>
  <c r="F1499" i="96"/>
  <c r="H1503" i="96" s="1"/>
  <c r="F1503" i="96"/>
  <c r="A1503" i="96"/>
  <c r="F1498" i="96"/>
  <c r="H1502" i="96" s="1"/>
  <c r="F1502" i="96"/>
  <c r="A1502" i="96"/>
  <c r="F1497" i="96"/>
  <c r="H1501" i="96" s="1"/>
  <c r="F1501" i="96"/>
  <c r="A1501" i="96"/>
  <c r="A1500" i="96"/>
  <c r="A1499" i="96"/>
  <c r="A1498" i="96"/>
  <c r="A1497" i="96"/>
  <c r="F1491" i="96"/>
  <c r="H1495" i="96" s="1"/>
  <c r="F1495" i="96"/>
  <c r="A1495" i="96"/>
  <c r="F1490" i="96"/>
  <c r="H1494" i="96" s="1"/>
  <c r="F1494" i="96"/>
  <c r="A1494" i="96"/>
  <c r="F1489" i="96"/>
  <c r="H1493" i="96" s="1"/>
  <c r="F1493" i="96"/>
  <c r="A1493" i="96"/>
  <c r="F1488" i="96"/>
  <c r="H1492" i="96" s="1"/>
  <c r="F1492" i="96"/>
  <c r="A1492" i="96"/>
  <c r="A1491" i="96"/>
  <c r="A1490" i="96"/>
  <c r="A1489" i="96"/>
  <c r="A1488" i="96"/>
  <c r="F1482" i="96"/>
  <c r="H1486" i="96" s="1"/>
  <c r="F1486" i="96"/>
  <c r="A1486" i="96"/>
  <c r="F1481" i="96"/>
  <c r="H1485" i="96" s="1"/>
  <c r="F1485" i="96"/>
  <c r="A1485" i="96"/>
  <c r="F1480" i="96"/>
  <c r="H1484" i="96" s="1"/>
  <c r="F1484" i="96"/>
  <c r="A1484" i="96"/>
  <c r="F1479" i="96"/>
  <c r="H1483" i="96" s="1"/>
  <c r="F1483" i="96"/>
  <c r="A1483" i="96"/>
  <c r="A1482" i="96"/>
  <c r="A1481" i="96"/>
  <c r="A1480" i="96"/>
  <c r="A1479" i="96"/>
  <c r="F1473" i="96"/>
  <c r="H1477" i="96" s="1"/>
  <c r="F1477" i="96"/>
  <c r="A1477" i="96"/>
  <c r="F1472" i="96"/>
  <c r="H1476" i="96" s="1"/>
  <c r="F1476" i="96"/>
  <c r="A1476" i="96"/>
  <c r="F1471" i="96"/>
  <c r="H1475" i="96" s="1"/>
  <c r="F1475" i="96"/>
  <c r="A1475" i="96"/>
  <c r="F1470" i="96"/>
  <c r="H1474" i="96" s="1"/>
  <c r="F1474" i="96"/>
  <c r="A1474" i="96"/>
  <c r="A1473" i="96"/>
  <c r="A1472" i="96"/>
  <c r="A1471" i="96"/>
  <c r="A1470" i="96"/>
  <c r="F1464" i="96"/>
  <c r="H1468" i="96" s="1"/>
  <c r="F1468" i="96"/>
  <c r="A1468" i="96"/>
  <c r="F1463" i="96"/>
  <c r="H1467" i="96" s="1"/>
  <c r="F1467" i="96"/>
  <c r="A1467" i="96"/>
  <c r="F1462" i="96"/>
  <c r="H1466" i="96" s="1"/>
  <c r="F1466" i="96"/>
  <c r="A1466" i="96"/>
  <c r="F1461" i="96"/>
  <c r="H1465" i="96" s="1"/>
  <c r="F1465" i="96"/>
  <c r="A1465" i="96"/>
  <c r="A1464" i="96"/>
  <c r="A1463" i="96"/>
  <c r="A1462" i="96"/>
  <c r="A1461" i="96"/>
  <c r="F1455" i="96"/>
  <c r="H1459" i="96" s="1"/>
  <c r="F1459" i="96"/>
  <c r="A1459" i="96"/>
  <c r="F1454" i="96"/>
  <c r="H1458" i="96" s="1"/>
  <c r="F1458" i="96"/>
  <c r="A1458" i="96"/>
  <c r="F1453" i="96"/>
  <c r="H1457" i="96" s="1"/>
  <c r="F1457" i="96"/>
  <c r="A1457" i="96"/>
  <c r="F1452" i="96"/>
  <c r="H1456" i="96" s="1"/>
  <c r="F1456" i="96"/>
  <c r="A1456" i="96"/>
  <c r="A1455" i="96"/>
  <c r="A1454" i="96"/>
  <c r="A1453" i="96"/>
  <c r="A1452" i="96"/>
  <c r="A1450" i="96"/>
  <c r="A1449" i="96"/>
  <c r="A1444" i="96"/>
  <c r="A1443" i="96"/>
  <c r="A1442" i="96"/>
  <c r="A1441" i="96"/>
  <c r="A1439" i="96"/>
  <c r="A1438" i="96"/>
  <c r="A1437" i="96"/>
  <c r="A1436" i="96"/>
  <c r="A1435" i="96"/>
  <c r="A1433" i="96"/>
  <c r="A1432" i="96"/>
  <c r="A1431" i="96"/>
  <c r="A1430" i="96"/>
  <c r="A1429" i="96"/>
  <c r="A1428" i="96"/>
  <c r="A1425" i="96"/>
  <c r="A1424" i="96"/>
  <c r="A1423" i="96"/>
  <c r="A1422" i="96"/>
  <c r="A1421" i="96"/>
  <c r="A1419" i="96"/>
  <c r="A1417" i="96"/>
  <c r="A1416" i="96"/>
  <c r="A1415" i="96"/>
  <c r="A1414" i="96"/>
  <c r="A1413" i="96"/>
  <c r="A1411" i="96"/>
  <c r="A1410" i="96"/>
  <c r="A1409" i="96"/>
  <c r="A1408" i="96"/>
  <c r="A1407" i="96"/>
  <c r="A1406" i="96"/>
  <c r="A1405" i="96"/>
  <c r="A1403" i="96"/>
  <c r="A1402" i="96"/>
  <c r="A1401" i="96"/>
  <c r="A1400" i="96"/>
  <c r="A1398" i="96"/>
  <c r="A1397" i="96"/>
  <c r="A1395" i="96"/>
  <c r="A1394" i="96"/>
  <c r="A1393" i="96"/>
  <c r="A1392" i="96"/>
  <c r="A1391" i="96"/>
  <c r="A1390" i="96"/>
  <c r="A1389" i="96"/>
  <c r="A1388" i="96"/>
  <c r="A1387" i="96"/>
  <c r="A1386" i="96"/>
  <c r="A1384" i="96"/>
  <c r="A1383" i="96"/>
  <c r="A1382" i="96"/>
  <c r="A1381" i="96"/>
  <c r="A1380" i="96"/>
  <c r="A1379" i="96"/>
  <c r="A1378" i="96"/>
  <c r="A1377" i="96"/>
  <c r="A1376" i="96"/>
  <c r="A1375" i="96"/>
  <c r="A1373" i="96"/>
  <c r="A1372" i="96"/>
  <c r="A1371" i="96"/>
  <c r="A1370" i="96"/>
  <c r="A1369" i="96"/>
  <c r="A1368" i="96"/>
  <c r="A1367" i="96"/>
  <c r="A1366" i="96"/>
  <c r="A1365" i="96"/>
  <c r="A1363" i="96"/>
  <c r="A1362" i="96"/>
  <c r="A1361" i="96"/>
  <c r="A1360" i="96"/>
  <c r="A1359" i="96"/>
  <c r="A1358" i="96"/>
  <c r="A1357" i="96"/>
  <c r="A1356" i="96"/>
  <c r="A1355" i="96"/>
  <c r="H1353" i="96"/>
  <c r="F1353" i="96"/>
  <c r="A1353" i="96"/>
  <c r="A1352" i="96"/>
  <c r="A1350" i="96"/>
  <c r="A1348" i="96"/>
  <c r="A1347" i="96"/>
  <c r="A1346" i="96"/>
  <c r="A1345" i="96"/>
  <c r="A1343" i="96"/>
  <c r="A1342" i="96"/>
  <c r="A1341" i="96"/>
  <c r="A1340" i="96"/>
  <c r="A1339" i="96"/>
  <c r="A1338" i="96"/>
  <c r="A1337" i="96"/>
  <c r="A1336" i="96"/>
  <c r="A1335" i="96"/>
  <c r="A1334" i="96"/>
  <c r="A1333" i="96"/>
  <c r="A1332" i="96"/>
  <c r="A1331" i="96"/>
  <c r="A1330" i="96"/>
  <c r="A1329" i="96"/>
  <c r="A1328" i="96"/>
  <c r="A1327" i="96"/>
  <c r="A1326" i="96"/>
  <c r="A1325" i="96"/>
  <c r="A1324" i="96"/>
  <c r="A1323" i="96"/>
  <c r="A1322" i="96"/>
  <c r="A1321" i="96"/>
  <c r="A1320" i="96"/>
  <c r="A1319" i="96"/>
  <c r="A1318" i="96"/>
  <c r="A1316" i="96"/>
  <c r="A1315" i="96"/>
  <c r="A1314" i="96"/>
  <c r="A1313" i="96"/>
  <c r="A1312" i="96"/>
  <c r="A1311" i="96"/>
  <c r="A1310" i="96"/>
  <c r="A1309" i="96"/>
  <c r="A1308" i="96"/>
  <c r="A1307" i="96"/>
  <c r="A1305" i="96"/>
  <c r="A1304" i="96"/>
  <c r="A1303" i="96"/>
  <c r="A1302" i="96"/>
  <c r="A1301" i="96"/>
  <c r="A1300" i="96"/>
  <c r="A1299" i="96"/>
  <c r="A1298" i="96"/>
  <c r="A1297" i="96"/>
  <c r="A1296" i="96"/>
  <c r="A1295" i="96"/>
  <c r="A1294" i="96"/>
  <c r="A1293" i="96"/>
  <c r="A1292" i="96"/>
  <c r="A1290" i="96"/>
  <c r="A1289" i="96"/>
  <c r="A1288" i="96"/>
  <c r="A1287" i="96"/>
  <c r="A1286" i="96"/>
  <c r="A1285" i="96"/>
  <c r="A1284" i="96"/>
  <c r="A1283" i="96"/>
  <c r="A1282" i="96"/>
  <c r="A1281" i="96"/>
  <c r="A1280" i="96"/>
  <c r="A1279" i="96"/>
  <c r="A1278" i="96"/>
  <c r="A1277" i="96"/>
  <c r="A1275" i="96"/>
  <c r="A1274" i="96"/>
  <c r="A1273" i="96"/>
  <c r="A1272" i="96"/>
  <c r="A1271" i="96"/>
  <c r="A1270" i="96"/>
  <c r="A1269" i="96"/>
  <c r="A1268" i="96"/>
  <c r="A1267" i="96"/>
  <c r="A1266" i="96"/>
  <c r="A1265" i="96"/>
  <c r="A1264" i="96"/>
  <c r="A1263" i="96"/>
  <c r="A1262" i="96"/>
  <c r="A1260" i="96"/>
  <c r="A1259" i="96"/>
  <c r="A1258" i="96"/>
  <c r="A1257" i="96"/>
  <c r="A1256" i="96"/>
  <c r="A1255" i="96"/>
  <c r="A1254" i="96"/>
  <c r="A1253" i="96"/>
  <c r="A1252" i="96"/>
  <c r="A1251" i="96"/>
  <c r="A1250" i="96"/>
  <c r="A1249" i="96"/>
  <c r="A1248" i="96"/>
  <c r="A1247" i="96"/>
  <c r="A1246" i="96"/>
  <c r="A1244" i="96"/>
  <c r="A1243" i="96"/>
  <c r="A1242" i="96"/>
  <c r="A1241" i="96"/>
  <c r="A1240" i="96"/>
  <c r="A1239" i="96"/>
  <c r="A1238" i="96"/>
  <c r="A1237" i="96"/>
  <c r="A1236" i="96"/>
  <c r="A1234" i="96"/>
  <c r="A1233" i="96"/>
  <c r="A1232" i="96"/>
  <c r="A1231" i="96"/>
  <c r="A1230" i="96"/>
  <c r="A1229" i="96"/>
  <c r="A1228" i="96"/>
  <c r="A1227" i="96"/>
  <c r="A1226" i="96"/>
  <c r="A1225" i="96"/>
  <c r="A1224" i="96"/>
  <c r="A1223" i="96"/>
  <c r="A1222" i="96"/>
  <c r="A1221" i="96"/>
  <c r="A1220" i="96"/>
  <c r="A1218" i="96"/>
  <c r="A1217" i="96"/>
  <c r="A1216" i="96"/>
  <c r="A1215" i="96"/>
  <c r="A1214" i="96"/>
  <c r="A1213" i="96"/>
  <c r="A1212" i="96"/>
  <c r="A1211" i="96"/>
  <c r="A1210" i="96"/>
  <c r="A1209" i="96"/>
  <c r="A1208" i="96"/>
  <c r="A1207" i="96"/>
  <c r="A1206" i="96"/>
  <c r="A1205" i="96"/>
  <c r="A1204" i="96"/>
  <c r="A1202" i="96"/>
  <c r="A1201" i="96"/>
  <c r="A1200" i="96"/>
  <c r="A1199" i="96"/>
  <c r="A1187" i="96"/>
  <c r="A1186" i="96"/>
  <c r="A1184" i="96"/>
  <c r="A1183" i="96"/>
  <c r="A1182" i="96"/>
  <c r="A1181" i="96"/>
  <c r="A1180" i="96"/>
  <c r="A1178" i="96"/>
  <c r="A1177" i="96"/>
  <c r="A1176" i="96"/>
  <c r="A1175" i="96"/>
  <c r="A1173" i="96"/>
  <c r="A1172" i="96"/>
  <c r="J1171" i="96"/>
  <c r="A1170" i="96"/>
  <c r="A1169" i="96"/>
  <c r="A1167" i="96"/>
  <c r="A1166" i="96"/>
  <c r="A1165" i="96"/>
  <c r="A1164" i="96"/>
  <c r="A1162" i="96"/>
  <c r="A1161" i="96"/>
  <c r="A1160" i="96"/>
  <c r="A1158" i="96"/>
  <c r="A1157" i="96"/>
  <c r="A1156" i="96"/>
  <c r="A1155" i="96"/>
  <c r="A1154" i="96"/>
  <c r="A1153" i="96"/>
  <c r="A1152" i="96"/>
  <c r="I1010" i="96"/>
  <c r="I1009" i="96"/>
  <c r="I1008" i="96"/>
  <c r="I1007" i="96"/>
  <c r="I1006" i="96"/>
  <c r="I1005" i="96"/>
  <c r="I1004" i="96"/>
  <c r="I1003" i="96"/>
  <c r="I1002" i="96"/>
  <c r="I1001" i="96"/>
  <c r="I1000" i="96"/>
  <c r="E999" i="96"/>
  <c r="I999" i="96" s="1"/>
  <c r="I998" i="96"/>
  <c r="I997" i="96"/>
  <c r="I996" i="96"/>
  <c r="I995" i="96"/>
  <c r="I994" i="96"/>
  <c r="I993" i="96"/>
  <c r="I992" i="96"/>
  <c r="I991" i="96"/>
  <c r="I990" i="96"/>
  <c r="I989" i="96"/>
  <c r="I988" i="96"/>
  <c r="E987" i="96"/>
  <c r="I987" i="96" s="1"/>
  <c r="E986" i="96"/>
  <c r="I986" i="96" s="1"/>
  <c r="I985" i="96"/>
  <c r="I984" i="96"/>
  <c r="I983" i="96"/>
  <c r="I982" i="96"/>
  <c r="I981" i="96"/>
  <c r="I980" i="96"/>
  <c r="I979" i="96"/>
  <c r="I978" i="96"/>
  <c r="I977" i="96"/>
  <c r="I976" i="96"/>
  <c r="I975" i="96"/>
  <c r="I974" i="96"/>
  <c r="I973" i="96"/>
  <c r="I972" i="96"/>
  <c r="I971" i="96"/>
  <c r="I970" i="96"/>
  <c r="I969" i="96"/>
  <c r="I968" i="96"/>
  <c r="I967" i="96"/>
  <c r="I966" i="96"/>
  <c r="I965" i="96"/>
  <c r="I964" i="96"/>
  <c r="I963" i="96"/>
  <c r="I962" i="96"/>
  <c r="I961" i="96"/>
  <c r="I960" i="96"/>
  <c r="I959" i="96"/>
  <c r="I958" i="96"/>
  <c r="I957" i="96"/>
  <c r="I956" i="96"/>
  <c r="I955" i="96"/>
  <c r="I954" i="96"/>
  <c r="I953" i="96"/>
  <c r="I952" i="96"/>
  <c r="I951" i="96"/>
  <c r="I950" i="96"/>
  <c r="I949" i="96"/>
  <c r="I948" i="96"/>
  <c r="I947" i="96"/>
  <c r="I946" i="96"/>
  <c r="I945" i="96"/>
  <c r="I944" i="96"/>
  <c r="I943" i="96"/>
  <c r="I942" i="96"/>
  <c r="I941" i="96"/>
  <c r="I940" i="96"/>
  <c r="I939" i="96"/>
  <c r="I938" i="96"/>
  <c r="I937" i="96"/>
  <c r="I936" i="96"/>
  <c r="I935" i="96"/>
  <c r="I934" i="96"/>
  <c r="I933" i="96"/>
  <c r="I932" i="96"/>
  <c r="I931" i="96"/>
  <c r="I930" i="96"/>
  <c r="I929" i="96"/>
  <c r="I928" i="96"/>
  <c r="I927" i="96"/>
  <c r="I926" i="96"/>
  <c r="I925" i="96"/>
  <c r="I924" i="96"/>
  <c r="I923" i="96"/>
  <c r="I922" i="96"/>
  <c r="I921" i="96"/>
  <c r="I920" i="96"/>
  <c r="I919" i="96"/>
  <c r="I918" i="96"/>
  <c r="I917" i="96"/>
  <c r="I916" i="96"/>
  <c r="I915" i="96"/>
  <c r="I914" i="96"/>
  <c r="I913" i="96"/>
  <c r="I912" i="96"/>
  <c r="I911" i="96"/>
  <c r="I910" i="96"/>
  <c r="I909" i="96"/>
  <c r="I908" i="96"/>
  <c r="I907" i="96"/>
  <c r="I906" i="96"/>
  <c r="I905" i="96"/>
  <c r="I904" i="96"/>
  <c r="I903" i="96"/>
  <c r="I902" i="96"/>
  <c r="I901" i="96"/>
  <c r="I900" i="96"/>
  <c r="I899" i="96"/>
  <c r="I898" i="96"/>
  <c r="I897" i="96"/>
  <c r="I896" i="96"/>
  <c r="I895" i="96"/>
  <c r="I894" i="96"/>
  <c r="I893" i="96"/>
  <c r="I892" i="96"/>
  <c r="I891" i="96"/>
  <c r="I890" i="96"/>
  <c r="I889" i="96"/>
  <c r="I888" i="96"/>
  <c r="I887" i="96"/>
  <c r="I886" i="96"/>
  <c r="I885" i="96"/>
  <c r="I884" i="96"/>
  <c r="I883" i="96"/>
  <c r="I882" i="96"/>
  <c r="I881" i="96"/>
  <c r="I880" i="96"/>
  <c r="I879" i="96"/>
  <c r="I878" i="96"/>
  <c r="I877" i="96"/>
  <c r="I876" i="96"/>
  <c r="I875" i="96"/>
  <c r="I874" i="96"/>
  <c r="I873" i="96"/>
  <c r="I872" i="96"/>
  <c r="I871" i="96"/>
  <c r="I870" i="96"/>
  <c r="I869" i="96"/>
  <c r="I868" i="96"/>
  <c r="I867" i="96"/>
  <c r="I866" i="96"/>
  <c r="I865" i="96"/>
  <c r="I864" i="96"/>
  <c r="I863" i="96"/>
  <c r="I862" i="96"/>
  <c r="I861" i="96"/>
  <c r="I860" i="96"/>
  <c r="I859" i="96"/>
  <c r="I858" i="96"/>
  <c r="I857" i="96"/>
  <c r="I856" i="96"/>
  <c r="I855" i="96"/>
  <c r="I854" i="96"/>
  <c r="I853" i="96"/>
  <c r="I852" i="96"/>
  <c r="I851" i="96"/>
  <c r="I850" i="96"/>
  <c r="I849" i="96"/>
  <c r="I848" i="96"/>
  <c r="I847" i="96"/>
  <c r="I846" i="96"/>
  <c r="I845" i="96"/>
  <c r="I844" i="96"/>
  <c r="I843" i="96"/>
  <c r="I842" i="96"/>
  <c r="I841" i="96"/>
  <c r="I840" i="96"/>
  <c r="I839" i="96"/>
  <c r="I838" i="96"/>
  <c r="I837" i="96"/>
  <c r="I836" i="96"/>
  <c r="I835" i="96"/>
  <c r="I834" i="96"/>
  <c r="I833" i="96"/>
  <c r="I832" i="96"/>
  <c r="I831" i="96"/>
  <c r="I830" i="96"/>
  <c r="I829" i="96"/>
  <c r="I828" i="96"/>
  <c r="I827" i="96"/>
  <c r="I826" i="96"/>
  <c r="I825" i="96"/>
  <c r="I824" i="96"/>
  <c r="I823" i="96"/>
  <c r="I822" i="96"/>
  <c r="I821" i="96"/>
  <c r="I820" i="96"/>
  <c r="I819" i="96"/>
  <c r="I818" i="96"/>
  <c r="I817" i="96"/>
  <c r="I816" i="96"/>
  <c r="I815" i="96"/>
  <c r="I814" i="96"/>
  <c r="I813" i="96"/>
  <c r="I812" i="96"/>
  <c r="I811" i="96"/>
  <c r="I810" i="96"/>
  <c r="I809" i="96"/>
  <c r="I808" i="96"/>
  <c r="I807" i="96"/>
  <c r="I806" i="96"/>
  <c r="I805" i="96"/>
  <c r="I804" i="96"/>
  <c r="I803" i="96"/>
  <c r="I802" i="96"/>
  <c r="I801" i="96"/>
  <c r="I800" i="96"/>
  <c r="I799" i="96"/>
  <c r="I758" i="96"/>
  <c r="I757" i="96"/>
  <c r="I756" i="96"/>
  <c r="I755" i="96"/>
  <c r="I754" i="96"/>
  <c r="I753" i="96"/>
  <c r="I752" i="96"/>
  <c r="I751" i="96"/>
  <c r="I750" i="96"/>
  <c r="I749" i="96"/>
  <c r="I748" i="96"/>
  <c r="I747" i="96"/>
  <c r="I746" i="96"/>
  <c r="I745" i="96"/>
  <c r="I744" i="96"/>
  <c r="I743" i="96"/>
  <c r="I742" i="96"/>
  <c r="I741" i="96"/>
  <c r="I740" i="96"/>
  <c r="I739" i="96"/>
  <c r="I738" i="96"/>
  <c r="I737" i="96"/>
  <c r="I736" i="96"/>
  <c r="I735" i="96"/>
  <c r="I734" i="96"/>
  <c r="I733" i="96"/>
  <c r="I732" i="96"/>
  <c r="I731" i="96"/>
  <c r="I730" i="96"/>
  <c r="I729" i="96"/>
  <c r="I728" i="96"/>
  <c r="I727" i="96"/>
  <c r="I726" i="96"/>
  <c r="I725" i="96"/>
  <c r="I724" i="96"/>
  <c r="I723" i="96"/>
  <c r="I722" i="96"/>
  <c r="I721" i="96"/>
  <c r="I720" i="96"/>
  <c r="I719" i="96"/>
  <c r="I718" i="96"/>
  <c r="I717" i="96"/>
  <c r="I716" i="96"/>
  <c r="I715" i="96"/>
  <c r="I714" i="96"/>
  <c r="I713" i="96"/>
  <c r="I712" i="96"/>
  <c r="I711" i="96"/>
  <c r="I710" i="96"/>
  <c r="I709" i="96"/>
  <c r="I708" i="96"/>
  <c r="I707" i="96"/>
  <c r="I706" i="96"/>
  <c r="I705" i="96"/>
  <c r="I704" i="96"/>
  <c r="I703" i="96"/>
  <c r="I702" i="96"/>
  <c r="I701" i="96"/>
  <c r="I700" i="96"/>
  <c r="I699" i="96"/>
  <c r="I698" i="96"/>
  <c r="I697" i="96"/>
  <c r="I696" i="96"/>
  <c r="I695" i="96"/>
  <c r="I694" i="96"/>
  <c r="I693" i="96"/>
  <c r="I692" i="96"/>
  <c r="I691" i="96"/>
  <c r="I690" i="96"/>
  <c r="I689" i="96"/>
  <c r="I688" i="96"/>
  <c r="I687" i="96"/>
  <c r="I686" i="96"/>
  <c r="I685" i="96"/>
  <c r="I684" i="96"/>
  <c r="I683" i="96"/>
  <c r="I682" i="96"/>
  <c r="I681" i="96"/>
  <c r="I680" i="96"/>
  <c r="I679" i="96"/>
  <c r="I678" i="96"/>
  <c r="I677" i="96"/>
  <c r="I676" i="96"/>
  <c r="I675" i="96"/>
  <c r="I674" i="96"/>
  <c r="I673" i="96"/>
  <c r="I672" i="96"/>
  <c r="I671" i="96"/>
  <c r="I670" i="96"/>
  <c r="I669" i="96"/>
  <c r="I668" i="96"/>
  <c r="I667" i="96"/>
  <c r="I666" i="96"/>
  <c r="I665" i="96"/>
  <c r="I664" i="96"/>
  <c r="I663" i="96"/>
  <c r="I662" i="96"/>
  <c r="I661" i="96"/>
  <c r="I660" i="96"/>
  <c r="I659" i="96"/>
  <c r="I658" i="96"/>
  <c r="I657" i="96"/>
  <c r="I656" i="96"/>
  <c r="I655" i="96"/>
  <c r="I654" i="96"/>
  <c r="I653" i="96"/>
  <c r="I652" i="96"/>
  <c r="I651" i="96"/>
  <c r="I650" i="96"/>
  <c r="I649" i="96"/>
  <c r="I648" i="96"/>
  <c r="I647" i="96"/>
  <c r="I646" i="96"/>
  <c r="I645" i="96"/>
  <c r="I644" i="96"/>
  <c r="I643" i="96"/>
  <c r="I642" i="96"/>
  <c r="I641" i="96"/>
  <c r="I640" i="96"/>
  <c r="I639" i="96"/>
  <c r="I638" i="96"/>
  <c r="I637" i="96"/>
  <c r="I636" i="96"/>
  <c r="I635" i="96"/>
  <c r="I634" i="96"/>
  <c r="I633" i="96"/>
  <c r="I632" i="96"/>
  <c r="I631" i="96"/>
  <c r="I630" i="96"/>
  <c r="I629" i="96"/>
  <c r="I628" i="96"/>
  <c r="I627" i="96"/>
  <c r="I626" i="96"/>
  <c r="I625" i="96"/>
  <c r="I624" i="96"/>
  <c r="I623" i="96"/>
  <c r="I622" i="96"/>
  <c r="I621" i="96"/>
  <c r="I620" i="96"/>
  <c r="I619" i="96"/>
  <c r="I618" i="96"/>
  <c r="I617" i="96"/>
  <c r="I616" i="96"/>
  <c r="I615" i="96"/>
  <c r="I614" i="96"/>
  <c r="I613" i="96"/>
  <c r="I612" i="96"/>
  <c r="I611" i="96"/>
  <c r="I610" i="96"/>
  <c r="I609" i="96"/>
  <c r="I608" i="96"/>
  <c r="I607" i="96"/>
  <c r="I606" i="96"/>
  <c r="I605" i="96"/>
  <c r="I604" i="96"/>
  <c r="I603" i="96"/>
  <c r="I602" i="96"/>
  <c r="I601" i="96"/>
  <c r="I600" i="96"/>
  <c r="I599" i="96"/>
  <c r="I598" i="96"/>
  <c r="I597" i="96"/>
  <c r="I596" i="96"/>
  <c r="I595" i="96"/>
  <c r="I594" i="96"/>
  <c r="I593" i="96"/>
  <c r="I592" i="96"/>
  <c r="I591" i="96"/>
  <c r="I590" i="96"/>
  <c r="I589" i="96"/>
  <c r="I588" i="96"/>
  <c r="I587" i="96"/>
  <c r="I586" i="96"/>
  <c r="I585" i="96"/>
  <c r="I584" i="96"/>
  <c r="I583" i="96"/>
  <c r="I582" i="96"/>
  <c r="I581" i="96"/>
  <c r="I580" i="96"/>
  <c r="I579" i="96"/>
  <c r="I578" i="96"/>
  <c r="I577" i="96"/>
  <c r="I576" i="96"/>
  <c r="I575" i="96"/>
  <c r="I574" i="96"/>
  <c r="I573" i="96"/>
  <c r="I572" i="96"/>
  <c r="I571" i="96"/>
  <c r="I570" i="96"/>
  <c r="I569" i="96"/>
  <c r="I568" i="96"/>
  <c r="I567" i="96"/>
  <c r="I566" i="96"/>
  <c r="I565" i="96"/>
  <c r="I564" i="96"/>
  <c r="I563" i="96"/>
  <c r="I562" i="96"/>
  <c r="I561" i="96"/>
  <c r="I560" i="96"/>
  <c r="I559" i="96"/>
  <c r="I558" i="96"/>
  <c r="I557" i="96"/>
  <c r="I556" i="96"/>
  <c r="I555" i="96"/>
  <c r="I554" i="96"/>
  <c r="I553" i="96"/>
  <c r="I552" i="96"/>
  <c r="I551" i="96"/>
  <c r="I550" i="96"/>
  <c r="I549" i="96"/>
  <c r="I548" i="96"/>
  <c r="I547" i="96"/>
  <c r="I546" i="96"/>
  <c r="I545" i="96"/>
  <c r="I544" i="96"/>
  <c r="I543" i="96"/>
  <c r="I542" i="96"/>
  <c r="I541" i="96"/>
  <c r="I540" i="96"/>
  <c r="I539" i="96"/>
  <c r="I538" i="96"/>
  <c r="I537" i="96"/>
  <c r="I536" i="96"/>
  <c r="I535" i="96"/>
  <c r="I534" i="96"/>
  <c r="I533" i="96"/>
  <c r="I532" i="96"/>
  <c r="I531" i="96"/>
  <c r="I530" i="96"/>
  <c r="I529" i="96"/>
  <c r="I528" i="96"/>
  <c r="I527" i="96"/>
  <c r="I526" i="96"/>
  <c r="I525" i="96"/>
  <c r="I524" i="96"/>
  <c r="I523" i="96"/>
  <c r="I522" i="96"/>
  <c r="I521" i="96"/>
  <c r="I520" i="96"/>
  <c r="I519" i="96"/>
  <c r="I518" i="96"/>
  <c r="I517" i="96"/>
  <c r="I516" i="96"/>
  <c r="I515" i="96"/>
  <c r="I514" i="96"/>
  <c r="I513" i="96"/>
  <c r="I512" i="96"/>
  <c r="I511" i="96"/>
  <c r="I510" i="96"/>
  <c r="I509" i="96"/>
  <c r="I508" i="96"/>
  <c r="I507" i="96"/>
  <c r="I506" i="96"/>
  <c r="I505" i="96"/>
  <c r="I504" i="96"/>
  <c r="I503" i="96"/>
  <c r="I502" i="96"/>
  <c r="I501" i="96"/>
  <c r="I500" i="96"/>
  <c r="I499" i="96"/>
  <c r="I498" i="96"/>
  <c r="I497" i="96"/>
  <c r="I496" i="96"/>
  <c r="I495" i="96"/>
  <c r="I494" i="96"/>
  <c r="I493" i="96"/>
  <c r="I492" i="96"/>
  <c r="I491" i="96"/>
  <c r="I490" i="96"/>
  <c r="I489" i="96"/>
  <c r="I488" i="96"/>
  <c r="I487" i="96"/>
  <c r="I486" i="96"/>
  <c r="I485" i="96"/>
  <c r="I484" i="96"/>
  <c r="I483" i="96"/>
  <c r="I482" i="96"/>
  <c r="I481" i="96"/>
  <c r="I480" i="96"/>
  <c r="I479" i="96"/>
  <c r="I478" i="96"/>
  <c r="I477" i="96"/>
  <c r="I476" i="96"/>
  <c r="I475" i="96"/>
  <c r="I474" i="96"/>
  <c r="I473" i="96"/>
  <c r="I472" i="96"/>
  <c r="I471" i="96"/>
  <c r="I470" i="96"/>
  <c r="I469" i="96"/>
  <c r="I468" i="96"/>
  <c r="I467" i="96"/>
  <c r="I466" i="96"/>
  <c r="I465" i="96"/>
  <c r="I464" i="96"/>
  <c r="I463" i="96"/>
  <c r="I462" i="96"/>
  <c r="I461" i="96"/>
  <c r="I460" i="96"/>
  <c r="I459" i="96"/>
  <c r="I458" i="96"/>
  <c r="I457" i="96"/>
  <c r="I456" i="96"/>
  <c r="I455" i="96"/>
  <c r="I454" i="96"/>
  <c r="I453" i="96"/>
  <c r="I452" i="96"/>
  <c r="I451" i="96"/>
  <c r="I450" i="96"/>
  <c r="I449" i="96"/>
  <c r="I448" i="96"/>
  <c r="I447" i="96"/>
  <c r="I446" i="96"/>
  <c r="I445" i="96"/>
  <c r="I444" i="96"/>
  <c r="I443" i="96"/>
  <c r="I442" i="96"/>
  <c r="I441" i="96"/>
  <c r="I440" i="96"/>
  <c r="I439" i="96"/>
  <c r="I438" i="96"/>
  <c r="I437" i="96"/>
  <c r="I436" i="96"/>
  <c r="I435" i="96"/>
  <c r="I434" i="96"/>
  <c r="I433" i="96"/>
  <c r="I432" i="96"/>
  <c r="I431" i="96"/>
  <c r="I430" i="96"/>
  <c r="I429" i="96"/>
  <c r="I428" i="96"/>
  <c r="I427" i="96"/>
  <c r="I426" i="96"/>
  <c r="I425" i="96"/>
  <c r="I424" i="96"/>
  <c r="I423" i="96"/>
  <c r="I422" i="96"/>
  <c r="I421" i="96"/>
  <c r="I420" i="96"/>
  <c r="I419" i="96"/>
  <c r="I418" i="96"/>
  <c r="I417" i="96"/>
  <c r="I416" i="96"/>
  <c r="I415" i="96"/>
  <c r="I414" i="96"/>
  <c r="I413" i="96"/>
  <c r="I412" i="96"/>
  <c r="I411" i="96"/>
  <c r="I410" i="96"/>
  <c r="I409" i="96"/>
  <c r="I408" i="96"/>
  <c r="I407" i="96"/>
  <c r="I406" i="96"/>
  <c r="I405" i="96"/>
  <c r="I404" i="96"/>
  <c r="I403" i="96"/>
  <c r="I402" i="96"/>
  <c r="I401" i="96"/>
  <c r="I400" i="96"/>
  <c r="I399" i="96"/>
  <c r="I398" i="96"/>
  <c r="I397" i="96"/>
  <c r="I396" i="96"/>
  <c r="I395" i="96"/>
  <c r="I394" i="96"/>
  <c r="I393" i="96"/>
  <c r="I392" i="96"/>
  <c r="I391" i="96"/>
  <c r="I390" i="96"/>
  <c r="I389" i="96"/>
  <c r="I388" i="96"/>
  <c r="I387" i="96"/>
  <c r="I386" i="96"/>
  <c r="I385" i="96"/>
  <c r="I384" i="96"/>
  <c r="I383" i="96"/>
  <c r="I382" i="96"/>
  <c r="I381" i="96"/>
  <c r="I380" i="96"/>
  <c r="I379" i="96"/>
  <c r="I378" i="96"/>
  <c r="I377" i="96"/>
  <c r="I376" i="96"/>
  <c r="I375" i="96"/>
  <c r="I374" i="96"/>
  <c r="I373" i="96"/>
  <c r="I372" i="96"/>
  <c r="I371" i="96"/>
  <c r="I370" i="96"/>
  <c r="I369" i="96"/>
  <c r="I368" i="96"/>
  <c r="I367" i="96"/>
  <c r="I366" i="96"/>
  <c r="I365" i="96"/>
  <c r="I364" i="96"/>
  <c r="I363" i="96"/>
  <c r="I362" i="96"/>
  <c r="I361" i="96"/>
  <c r="I360" i="96"/>
  <c r="I359" i="96"/>
  <c r="I358" i="96"/>
  <c r="I357" i="96"/>
  <c r="I356" i="96"/>
  <c r="I355" i="96"/>
  <c r="I354" i="96"/>
  <c r="I353" i="96"/>
  <c r="I352" i="96"/>
  <c r="I351" i="96"/>
  <c r="I350" i="96"/>
  <c r="I349" i="96"/>
  <c r="I348" i="96"/>
  <c r="I347" i="96"/>
  <c r="I346" i="96"/>
  <c r="I345" i="96"/>
  <c r="I344" i="96"/>
  <c r="I343" i="96"/>
  <c r="I342" i="96"/>
  <c r="I341" i="96"/>
  <c r="I340" i="96"/>
  <c r="I339" i="96"/>
  <c r="I338" i="96"/>
  <c r="I337" i="96"/>
  <c r="I336" i="96"/>
  <c r="I335" i="96"/>
  <c r="I334" i="96"/>
  <c r="I333" i="96"/>
  <c r="I332" i="96"/>
  <c r="I331" i="96"/>
  <c r="I330" i="96"/>
  <c r="I329" i="96"/>
  <c r="I328" i="96"/>
  <c r="I327" i="96"/>
  <c r="I326" i="96"/>
  <c r="I325" i="96"/>
  <c r="I324" i="96"/>
  <c r="I323" i="96"/>
  <c r="I322" i="96"/>
  <c r="I321" i="96"/>
  <c r="I320" i="96"/>
  <c r="I319" i="96"/>
  <c r="I318" i="96"/>
  <c r="I317" i="96"/>
  <c r="I316" i="96"/>
  <c r="I315" i="96"/>
  <c r="I314" i="96"/>
  <c r="I313" i="96"/>
  <c r="I312" i="96"/>
  <c r="I311" i="96"/>
  <c r="I310" i="96"/>
  <c r="I309" i="96"/>
  <c r="I308" i="96"/>
  <c r="I307" i="96"/>
  <c r="I306" i="96"/>
  <c r="I305" i="96"/>
  <c r="I304" i="96"/>
  <c r="I303" i="96"/>
  <c r="I302" i="96"/>
  <c r="I301" i="96"/>
  <c r="I300" i="96"/>
  <c r="I299" i="96"/>
  <c r="I298" i="96"/>
  <c r="I297" i="96"/>
  <c r="I296" i="96"/>
  <c r="I295" i="96"/>
  <c r="I294" i="96"/>
  <c r="I293" i="96"/>
  <c r="I292" i="96"/>
  <c r="I291" i="96"/>
  <c r="I290" i="96"/>
  <c r="I289" i="96"/>
  <c r="I288" i="96"/>
  <c r="I287" i="96"/>
  <c r="I286" i="96"/>
  <c r="I285" i="96"/>
  <c r="I284" i="96"/>
  <c r="I283" i="96"/>
  <c r="I282" i="96"/>
  <c r="I281" i="96"/>
  <c r="I280" i="96"/>
  <c r="I279" i="96"/>
  <c r="I278" i="96"/>
  <c r="I277" i="96"/>
  <c r="I276" i="96"/>
  <c r="I275" i="96"/>
  <c r="I274" i="96"/>
  <c r="I273" i="96"/>
  <c r="I272" i="96"/>
  <c r="I271" i="96"/>
  <c r="I270" i="96"/>
  <c r="I269" i="96"/>
  <c r="I268" i="96"/>
  <c r="I267" i="96"/>
  <c r="I266" i="96"/>
  <c r="I265" i="96"/>
  <c r="I264" i="96"/>
  <c r="I263" i="96"/>
  <c r="I262" i="96"/>
  <c r="I261" i="96"/>
  <c r="I260" i="96"/>
  <c r="I259" i="96"/>
  <c r="I258" i="96"/>
  <c r="I257" i="96"/>
  <c r="I256" i="96"/>
  <c r="I255" i="96"/>
  <c r="I254" i="96"/>
  <c r="I253" i="96"/>
  <c r="I252" i="96"/>
  <c r="I251" i="96"/>
  <c r="I250" i="96"/>
  <c r="I249" i="96"/>
  <c r="I248" i="96"/>
  <c r="I247" i="96"/>
  <c r="I246" i="96"/>
  <c r="I245" i="96"/>
  <c r="I244" i="96"/>
  <c r="I243" i="96"/>
  <c r="I242" i="96"/>
  <c r="I241" i="96"/>
  <c r="I240" i="96"/>
  <c r="I239" i="96"/>
  <c r="I238" i="96"/>
  <c r="I237" i="96"/>
  <c r="I236" i="96"/>
  <c r="I235" i="96"/>
  <c r="I234" i="96"/>
  <c r="I233" i="96"/>
  <c r="I232" i="96"/>
  <c r="I231" i="96"/>
  <c r="I230" i="96"/>
  <c r="I229" i="96"/>
  <c r="I228" i="96"/>
  <c r="I227" i="96"/>
  <c r="I226" i="96"/>
  <c r="I225" i="96"/>
  <c r="I224" i="96"/>
  <c r="I223" i="96"/>
  <c r="AD211" i="96"/>
  <c r="AE211" i="96" s="1"/>
  <c r="AA215" i="96" s="1"/>
  <c r="I222" i="96"/>
  <c r="I221" i="96"/>
  <c r="I220" i="96"/>
  <c r="I219" i="96"/>
  <c r="I218" i="96"/>
  <c r="I217" i="96"/>
  <c r="I216" i="96"/>
  <c r="I215" i="96"/>
  <c r="I214" i="96"/>
  <c r="I213" i="96"/>
  <c r="I212" i="96"/>
  <c r="I211" i="96"/>
  <c r="I210" i="96"/>
  <c r="I209" i="96"/>
  <c r="I208" i="96"/>
  <c r="I207" i="96"/>
  <c r="I206" i="96"/>
  <c r="I205" i="96"/>
  <c r="I204" i="96"/>
  <c r="I203" i="96"/>
  <c r="I202" i="96"/>
  <c r="I201" i="96"/>
  <c r="I200" i="96"/>
  <c r="I199" i="96"/>
  <c r="I198" i="96"/>
  <c r="I197" i="96"/>
  <c r="I196" i="96"/>
  <c r="I195" i="96"/>
  <c r="I194" i="96"/>
  <c r="I193" i="96"/>
  <c r="I192" i="96"/>
  <c r="I191" i="96"/>
  <c r="I190" i="96"/>
  <c r="I189" i="96"/>
  <c r="I188" i="96"/>
  <c r="I187" i="96"/>
  <c r="I186" i="96"/>
  <c r="I185" i="96"/>
  <c r="I184" i="96"/>
  <c r="I183" i="96"/>
  <c r="I182" i="96"/>
  <c r="I181" i="96"/>
  <c r="I180" i="96"/>
  <c r="I179" i="96"/>
  <c r="I178" i="96"/>
  <c r="I177" i="96"/>
  <c r="I176" i="96"/>
  <c r="I175" i="96"/>
  <c r="I174" i="96"/>
  <c r="I173" i="96"/>
  <c r="I172" i="96"/>
  <c r="I171" i="96"/>
  <c r="I170" i="96"/>
  <c r="I169" i="96"/>
  <c r="I168" i="96"/>
  <c r="I167" i="96"/>
  <c r="I166" i="96"/>
  <c r="I165" i="96"/>
  <c r="I164" i="96"/>
  <c r="I163" i="96"/>
  <c r="I162" i="96"/>
  <c r="I161" i="96"/>
  <c r="I160" i="96"/>
  <c r="I159" i="96"/>
  <c r="I158" i="96"/>
  <c r="I157" i="96"/>
  <c r="I156" i="96"/>
  <c r="I155" i="96"/>
  <c r="I154" i="96"/>
  <c r="I153" i="96"/>
  <c r="I152" i="96"/>
  <c r="I151" i="96"/>
  <c r="I133" i="96"/>
  <c r="I132" i="96"/>
  <c r="I131" i="96"/>
  <c r="I130" i="96"/>
  <c r="I129" i="96"/>
  <c r="I128" i="96"/>
  <c r="I127" i="96"/>
  <c r="I126" i="96"/>
  <c r="I125" i="96"/>
  <c r="I124" i="96"/>
  <c r="I123" i="96"/>
  <c r="I122" i="96"/>
  <c r="I121" i="96"/>
  <c r="I120" i="96"/>
  <c r="I119" i="96"/>
  <c r="I118" i="96"/>
  <c r="I117" i="96"/>
  <c r="I116" i="96"/>
  <c r="I115" i="96"/>
  <c r="I114" i="96"/>
  <c r="I113" i="96"/>
  <c r="I112" i="96"/>
  <c r="I111" i="96"/>
  <c r="I110" i="96"/>
  <c r="I109" i="96"/>
  <c r="I108" i="96"/>
  <c r="I107" i="96"/>
  <c r="I106" i="96"/>
  <c r="I105" i="96"/>
  <c r="I104" i="96"/>
  <c r="I103" i="96"/>
  <c r="I102" i="96"/>
  <c r="I101" i="96"/>
  <c r="I100" i="96"/>
  <c r="I99" i="96"/>
  <c r="I98" i="96"/>
  <c r="I97" i="96"/>
  <c r="I96" i="96"/>
  <c r="I95" i="96"/>
  <c r="I94" i="96"/>
  <c r="I93" i="96"/>
  <c r="I92" i="96"/>
  <c r="I91" i="96"/>
  <c r="I90" i="96"/>
  <c r="I89" i="96"/>
  <c r="I88" i="96"/>
  <c r="I87" i="96"/>
  <c r="I86" i="96"/>
  <c r="I85" i="96"/>
  <c r="I84" i="96"/>
  <c r="I83" i="96"/>
  <c r="I82" i="96"/>
  <c r="I81" i="96"/>
  <c r="I80" i="96"/>
  <c r="I79" i="96"/>
  <c r="I78" i="96"/>
  <c r="I77" i="96"/>
  <c r="I76" i="96"/>
  <c r="I75" i="96"/>
  <c r="I74" i="96"/>
  <c r="I73" i="96"/>
  <c r="I72" i="96"/>
  <c r="I71" i="96"/>
  <c r="I70" i="96"/>
  <c r="I69" i="96"/>
  <c r="I68" i="96"/>
  <c r="I67" i="96"/>
  <c r="I66" i="96"/>
  <c r="I65" i="96"/>
  <c r="I64" i="96"/>
  <c r="I63" i="96"/>
  <c r="I62" i="96"/>
  <c r="I61" i="96"/>
  <c r="I60" i="96"/>
  <c r="I59" i="96"/>
  <c r="I58" i="96"/>
  <c r="I57" i="96"/>
  <c r="I56" i="96"/>
  <c r="I55" i="96"/>
  <c r="I54" i="96"/>
  <c r="I53" i="96"/>
  <c r="I52" i="96"/>
  <c r="I51" i="96"/>
  <c r="I50" i="96"/>
  <c r="I49" i="96"/>
  <c r="I48" i="96"/>
  <c r="I47" i="96"/>
  <c r="I46" i="96"/>
  <c r="I45" i="96"/>
  <c r="I44" i="96"/>
  <c r="I43" i="96"/>
  <c r="I42" i="96"/>
  <c r="I41" i="96"/>
  <c r="I40" i="96"/>
  <c r="I39" i="96"/>
  <c r="I38" i="96"/>
  <c r="I37" i="96"/>
  <c r="I36" i="96"/>
  <c r="I35" i="96"/>
  <c r="I34" i="96"/>
  <c r="I33" i="96"/>
  <c r="I32" i="96"/>
  <c r="I31" i="96"/>
  <c r="M40" i="84"/>
  <c r="I32" i="78"/>
  <c r="I34" i="78"/>
  <c r="D28" i="56"/>
  <c r="D29" i="70"/>
  <c r="C300" i="82"/>
  <c r="BC357" i="82"/>
  <c r="Y262" i="82"/>
  <c r="BC262" i="82" s="1"/>
  <c r="Y263" i="82"/>
  <c r="BC263" i="82" s="1"/>
  <c r="F43" i="81"/>
  <c r="D42" i="81"/>
  <c r="C69" i="92"/>
  <c r="C68" i="92"/>
  <c r="E363" i="82"/>
  <c r="E362" i="82"/>
  <c r="M15" i="84"/>
  <c r="M14" i="84"/>
  <c r="M13" i="84"/>
  <c r="M38" i="84"/>
  <c r="L244" i="94"/>
  <c r="R294" i="98"/>
  <c r="R295" i="98" s="1"/>
  <c r="Z299" i="98" s="1"/>
  <c r="R288" i="98"/>
  <c r="M308" i="98"/>
  <c r="R313" i="98" s="1"/>
  <c r="V320" i="98"/>
  <c r="R289" i="98"/>
  <c r="V315" i="98" s="1"/>
  <c r="R291" i="98"/>
  <c r="O261" i="98"/>
  <c r="S258" i="98"/>
  <c r="S257" i="98"/>
  <c r="E257" i="98"/>
  <c r="L251" i="98"/>
  <c r="L250" i="98"/>
  <c r="E249" i="98"/>
  <c r="O240" i="98"/>
  <c r="T63" i="98"/>
  <c r="P48" i="98"/>
  <c r="P49" i="98"/>
  <c r="T229" i="98"/>
  <c r="Q237" i="98" s="1"/>
  <c r="N227" i="98"/>
  <c r="N226" i="98"/>
  <c r="N225" i="98"/>
  <c r="O217" i="98"/>
  <c r="T206" i="98"/>
  <c r="Q214" i="98" s="1"/>
  <c r="N203" i="98"/>
  <c r="N201" i="98"/>
  <c r="N199" i="98"/>
  <c r="O188" i="98"/>
  <c r="CH5" i="95"/>
  <c r="K26" i="98"/>
  <c r="V172" i="98"/>
  <c r="R174" i="98"/>
  <c r="N169" i="98" s="1"/>
  <c r="V173" i="98"/>
  <c r="T175" i="98"/>
  <c r="Q184" i="98"/>
  <c r="N171" i="98"/>
  <c r="N170" i="98"/>
  <c r="Y164" i="98"/>
  <c r="U155" i="98"/>
  <c r="Q155" i="98"/>
  <c r="R125" i="98"/>
  <c r="R139" i="98"/>
  <c r="K15" i="98"/>
  <c r="K94" i="98" s="1"/>
  <c r="R114" i="98"/>
  <c r="R115" i="98" s="1"/>
  <c r="T94" i="98"/>
  <c r="K10" i="98"/>
  <c r="R141" i="98"/>
  <c r="R123" i="98"/>
  <c r="R124" i="98"/>
  <c r="D127" i="98"/>
  <c r="AL118" i="98"/>
  <c r="E118" i="98"/>
  <c r="E117" i="98"/>
  <c r="F94" i="98"/>
  <c r="N82" i="98"/>
  <c r="F75" i="98"/>
  <c r="P42" i="98"/>
  <c r="M42" i="98"/>
  <c r="K25" i="98"/>
  <c r="K23" i="98"/>
  <c r="N14" i="98"/>
  <c r="N13" i="98"/>
  <c r="N8" i="98"/>
  <c r="Q282" i="94"/>
  <c r="Q283" i="94"/>
  <c r="U297" i="94"/>
  <c r="L249" i="94"/>
  <c r="W277" i="94" s="1"/>
  <c r="L260" i="94"/>
  <c r="U328" i="94"/>
  <c r="D31" i="84"/>
  <c r="B67" i="84" s="1"/>
  <c r="M39" i="84"/>
  <c r="AO43" i="84"/>
  <c r="C24" i="82"/>
  <c r="R28" i="82"/>
  <c r="R29" i="82"/>
  <c r="R30" i="82"/>
  <c r="AG30" i="82"/>
  <c r="R31" i="82"/>
  <c r="AG31" i="82"/>
  <c r="R32" i="82"/>
  <c r="R33" i="82"/>
  <c r="T33" i="82"/>
  <c r="B49" i="82"/>
  <c r="B50" i="82"/>
  <c r="B51" i="82"/>
  <c r="E93" i="82"/>
  <c r="E97" i="82"/>
  <c r="E98" i="82"/>
  <c r="R205" i="82"/>
  <c r="R206" i="82"/>
  <c r="B212" i="82"/>
  <c r="B213" i="82"/>
  <c r="B243" i="82"/>
  <c r="B244" i="82"/>
  <c r="B245" i="82"/>
  <c r="R248" i="82"/>
  <c r="R249" i="82"/>
  <c r="R250" i="82"/>
  <c r="T250" i="82"/>
  <c r="C299" i="82"/>
  <c r="R303" i="82"/>
  <c r="R304" i="82"/>
  <c r="R305" i="82"/>
  <c r="AG305" i="82"/>
  <c r="R306" i="82"/>
  <c r="AG306" i="82"/>
  <c r="R307" i="82"/>
  <c r="R308" i="82"/>
  <c r="T308" i="82"/>
  <c r="B324" i="82"/>
  <c r="B325" i="82"/>
  <c r="B326" i="82"/>
  <c r="E358" i="82"/>
  <c r="R465" i="82"/>
  <c r="R466" i="82"/>
  <c r="T466" i="82"/>
  <c r="B472" i="82"/>
  <c r="B473" i="82"/>
  <c r="R612" i="82"/>
  <c r="R613" i="82"/>
  <c r="R614" i="82"/>
  <c r="AG614" i="82"/>
  <c r="R615" i="82"/>
  <c r="AG615" i="82"/>
  <c r="R616" i="82"/>
  <c r="R617" i="82"/>
  <c r="T617" i="82"/>
  <c r="AO617" i="82"/>
  <c r="B629" i="82"/>
  <c r="B630" i="82"/>
  <c r="B631" i="82"/>
  <c r="Z644" i="82"/>
  <c r="Z645" i="82"/>
  <c r="Q651" i="82"/>
  <c r="AP651" i="82"/>
  <c r="H31" i="78"/>
  <c r="C33" i="78"/>
  <c r="B9" i="59"/>
  <c r="B8" i="59"/>
  <c r="C8" i="59"/>
  <c r="C9" i="59"/>
  <c r="B10" i="59"/>
  <c r="C10" i="59"/>
  <c r="C11" i="59"/>
  <c r="I10" i="58"/>
  <c r="I12" i="58"/>
  <c r="I10" i="57"/>
  <c r="I12" i="57"/>
  <c r="H16" i="56"/>
  <c r="G49" i="80"/>
  <c r="H50" i="80"/>
  <c r="H52" i="80"/>
  <c r="B51" i="80"/>
  <c r="G50" i="73"/>
  <c r="H51" i="73"/>
  <c r="B52" i="73"/>
  <c r="H53" i="73"/>
  <c r="H13" i="70"/>
  <c r="H16" i="70"/>
  <c r="C3" i="92"/>
  <c r="C44" i="92" s="1"/>
  <c r="C14" i="92"/>
  <c r="C55" i="92" s="1"/>
  <c r="C56" i="92"/>
  <c r="L18" i="92"/>
  <c r="C60" i="92"/>
  <c r="L59" i="92"/>
  <c r="I71" i="92"/>
  <c r="C5" i="94"/>
  <c r="S9" i="94"/>
  <c r="S20" i="94"/>
  <c r="AD33" i="94"/>
  <c r="Z37" i="94"/>
  <c r="S42" i="94"/>
  <c r="S43" i="94" s="1"/>
  <c r="R51" i="94" s="1"/>
  <c r="S45" i="94"/>
  <c r="C56" i="94"/>
  <c r="R57" i="94"/>
  <c r="R58" i="94"/>
  <c r="J111" i="94" s="1"/>
  <c r="C63" i="94"/>
  <c r="AD63" i="94"/>
  <c r="L64" i="94"/>
  <c r="E66" i="94"/>
  <c r="S71" i="94"/>
  <c r="M79" i="94" s="1"/>
  <c r="S72" i="94"/>
  <c r="W79" i="94" s="1"/>
  <c r="S73" i="94"/>
  <c r="S75" i="94"/>
  <c r="M81" i="94" s="1"/>
  <c r="CZ50" i="95"/>
  <c r="S88" i="94"/>
  <c r="M92" i="94" s="1"/>
  <c r="M96" i="94"/>
  <c r="M97" i="94"/>
  <c r="S123" i="94"/>
  <c r="S124" i="94" s="1"/>
  <c r="N130" i="94"/>
  <c r="CW50" i="95"/>
  <c r="Q131" i="94"/>
  <c r="J144" i="94" s="1"/>
  <c r="C153" i="94"/>
  <c r="AD153" i="94"/>
  <c r="L154" i="94"/>
  <c r="E156" i="94"/>
  <c r="S161" i="94"/>
  <c r="S162" i="94"/>
  <c r="W168" i="94" s="1"/>
  <c r="S163" i="94"/>
  <c r="Y168" i="94" s="1"/>
  <c r="S165" i="94"/>
  <c r="M172" i="94" s="1"/>
  <c r="S177" i="94"/>
  <c r="M181" i="94" s="1"/>
  <c r="R200" i="94"/>
  <c r="Y200" i="94" s="1"/>
  <c r="R201" i="94"/>
  <c r="S202" i="94"/>
  <c r="Y202" i="94" s="1"/>
  <c r="M210" i="94" s="1"/>
  <c r="S203" i="94"/>
  <c r="Y203" i="94" s="1"/>
  <c r="T210" i="94" s="1"/>
  <c r="S205" i="94"/>
  <c r="S213" i="94"/>
  <c r="S214" i="94"/>
  <c r="S225" i="94" s="1"/>
  <c r="O242" i="94"/>
  <c r="O247" i="94"/>
  <c r="L257" i="94"/>
  <c r="N276" i="94"/>
  <c r="Q276" i="94"/>
  <c r="G309" i="94"/>
  <c r="O316" i="94"/>
  <c r="G328" i="94"/>
  <c r="S348" i="94"/>
  <c r="S349" i="94" s="1"/>
  <c r="F351" i="94"/>
  <c r="F352" i="94"/>
  <c r="AM352" i="94"/>
  <c r="S357" i="94"/>
  <c r="S358" i="94"/>
  <c r="S359" i="94"/>
  <c r="P380" i="94" s="1"/>
  <c r="E361" i="94"/>
  <c r="S373" i="94"/>
  <c r="S375" i="94"/>
  <c r="R389" i="94"/>
  <c r="V389" i="94"/>
  <c r="Z398" i="94"/>
  <c r="O404" i="94"/>
  <c r="O405" i="94"/>
  <c r="W406" i="94"/>
  <c r="O402" i="94" s="1"/>
  <c r="W407" i="94"/>
  <c r="S408" i="94"/>
  <c r="U409" i="94"/>
  <c r="R418" i="94"/>
  <c r="P422" i="94"/>
  <c r="O433" i="94"/>
  <c r="O435" i="94"/>
  <c r="O437" i="94"/>
  <c r="U440" i="94"/>
  <c r="R448" i="94" s="1"/>
  <c r="P451" i="94"/>
  <c r="O459" i="94"/>
  <c r="O460" i="94"/>
  <c r="O461" i="94"/>
  <c r="U463" i="94"/>
  <c r="R471" i="94" s="1"/>
  <c r="P474" i="94"/>
  <c r="F483" i="94"/>
  <c r="M484" i="94"/>
  <c r="M485" i="94"/>
  <c r="F491" i="94"/>
  <c r="T491" i="94"/>
  <c r="T492" i="94"/>
  <c r="P495" i="94"/>
  <c r="S522" i="94"/>
  <c r="S524" i="94"/>
  <c r="Z524" i="94" s="1"/>
  <c r="S525" i="94"/>
  <c r="S528" i="94"/>
  <c r="S529" i="94" s="1"/>
  <c r="W550" i="94" s="1"/>
  <c r="N542" i="94"/>
  <c r="S543" i="94" s="1"/>
  <c r="S544" i="94" s="1"/>
  <c r="AA544" i="94" s="1"/>
  <c r="W555" i="94" s="1"/>
  <c r="W554" i="94"/>
  <c r="CH4" i="95"/>
  <c r="CK4" i="95" s="1"/>
  <c r="CP5" i="95"/>
  <c r="CQ5" i="95"/>
  <c r="CH6" i="95"/>
  <c r="CK6" i="95" s="1"/>
  <c r="CP6" i="95"/>
  <c r="CQ6" i="95"/>
  <c r="CH7" i="95"/>
  <c r="CK7" i="95" s="1"/>
  <c r="CP7" i="95"/>
  <c r="CQ7" i="95" s="1"/>
  <c r="CP8" i="95"/>
  <c r="CQ8" i="95" s="1"/>
  <c r="CP9" i="95"/>
  <c r="CQ9" i="95" s="1"/>
  <c r="CP10" i="95"/>
  <c r="CQ10" i="95" s="1"/>
  <c r="CP11" i="95"/>
  <c r="CQ11" i="95" s="1"/>
  <c r="CP12" i="95"/>
  <c r="CQ12" i="95" s="1"/>
  <c r="CP13" i="95"/>
  <c r="CQ13" i="95" s="1"/>
  <c r="CP14" i="95"/>
  <c r="CQ14" i="95" s="1"/>
  <c r="U30" i="95"/>
  <c r="J136" i="94" s="1"/>
  <c r="U31" i="95"/>
  <c r="J137" i="94" s="1"/>
  <c r="U37" i="95"/>
  <c r="R221" i="94" s="1"/>
  <c r="CV43" i="95"/>
  <c r="CV44" i="95"/>
  <c r="CW44" i="95"/>
  <c r="CZ44" i="95"/>
  <c r="DA44" i="95"/>
  <c r="CV45" i="95"/>
  <c r="CW45" i="95"/>
  <c r="CZ45" i="95"/>
  <c r="CV46" i="95"/>
  <c r="CW46" i="95"/>
  <c r="CZ46" i="95"/>
  <c r="DA46" i="95"/>
  <c r="CV47" i="95"/>
  <c r="CW47" i="95"/>
  <c r="CZ47" i="95"/>
  <c r="DA47" i="95"/>
  <c r="AN48" i="95"/>
  <c r="CV48" i="95"/>
  <c r="CW48" i="95"/>
  <c r="CZ48" i="95"/>
  <c r="DA48" i="95"/>
  <c r="CV49" i="95"/>
  <c r="CW49" i="95"/>
  <c r="CZ49" i="95"/>
  <c r="DA49" i="95"/>
  <c r="CV50" i="95"/>
  <c r="DA50" i="95"/>
  <c r="CG89" i="95"/>
  <c r="L259" i="94"/>
  <c r="CG90" i="95"/>
  <c r="CG91" i="95"/>
  <c r="CG92" i="95"/>
  <c r="CG93" i="95"/>
  <c r="CG94" i="95"/>
  <c r="CG95" i="95"/>
  <c r="CG96" i="95"/>
  <c r="O248" i="94"/>
  <c r="O10" i="65"/>
  <c r="AF44" i="84"/>
  <c r="AD44" i="84"/>
  <c r="AB44" i="84"/>
  <c r="X44" i="84"/>
  <c r="V44" i="84"/>
  <c r="T44" i="84"/>
  <c r="P44" i="84"/>
  <c r="N44" i="84"/>
  <c r="L44" i="84"/>
  <c r="H44" i="84"/>
  <c r="AG44" i="84"/>
  <c r="AC44" i="84"/>
  <c r="AA44" i="84"/>
  <c r="Y44" i="84"/>
  <c r="U44" i="84"/>
  <c r="S44" i="84"/>
  <c r="Q44" i="84"/>
  <c r="M44" i="84"/>
  <c r="K44" i="84"/>
  <c r="I44" i="84"/>
  <c r="P79" i="94"/>
  <c r="O11" i="65"/>
  <c r="AD9" i="95"/>
  <c r="H10" i="54"/>
  <c r="J10" i="54" s="1"/>
  <c r="M252" i="109"/>
  <c r="M359" i="109"/>
  <c r="N359" i="109" s="1"/>
  <c r="J269" i="109"/>
  <c r="L269" i="109" s="1"/>
  <c r="L270" i="109" s="1"/>
  <c r="J262" i="109"/>
  <c r="K262" i="109" s="1"/>
  <c r="K263" i="109" s="1"/>
  <c r="O20" i="92"/>
  <c r="O21" i="92"/>
  <c r="O19" i="92"/>
  <c r="O60" i="92"/>
  <c r="O59" i="92" s="1"/>
  <c r="AA214" i="96"/>
  <c r="AA219" i="96"/>
  <c r="I16" i="105"/>
  <c r="G13" i="102"/>
  <c r="G14" i="102" s="1"/>
  <c r="AA220" i="96"/>
  <c r="S7" i="94"/>
  <c r="S12" i="94" s="1"/>
  <c r="S15" i="94" s="1"/>
  <c r="R301" i="98"/>
  <c r="AB301" i="98" s="1"/>
  <c r="U304" i="98" s="1"/>
  <c r="U305" i="98" s="1"/>
  <c r="G22" i="81"/>
  <c r="B239" i="82"/>
  <c r="Q257" i="82"/>
  <c r="B61" i="84"/>
  <c r="M8" i="59"/>
  <c r="P269" i="94"/>
  <c r="H1510" i="96"/>
  <c r="H1528" i="96"/>
  <c r="F1528" i="96"/>
  <c r="H1546" i="96"/>
  <c r="F1546" i="96"/>
  <c r="F48" i="101"/>
  <c r="H101" i="113"/>
  <c r="H129" i="113" s="1"/>
  <c r="G134" i="113" s="1"/>
  <c r="AS69" i="79"/>
  <c r="AR69" i="79"/>
  <c r="AR74" i="79"/>
  <c r="AS74" i="79"/>
  <c r="AB135" i="72"/>
  <c r="J190" i="94"/>
  <c r="J191" i="94" s="1"/>
  <c r="F1522" i="96"/>
  <c r="F1540" i="96"/>
  <c r="F1558" i="96"/>
  <c r="F29" i="73"/>
  <c r="H29" i="73" s="1"/>
  <c r="F36" i="80"/>
  <c r="H36" i="80" s="1"/>
  <c r="G16" i="105"/>
  <c r="G15" i="105"/>
  <c r="G15" i="104"/>
  <c r="O36" i="47"/>
  <c r="BK180" i="79"/>
  <c r="F1519" i="96"/>
  <c r="H1537" i="96"/>
  <c r="F1537" i="96"/>
  <c r="H1555" i="96"/>
  <c r="F1555" i="96"/>
  <c r="G13" i="103"/>
  <c r="G14" i="103" s="1"/>
  <c r="O61" i="47"/>
  <c r="H30" i="77"/>
  <c r="H28" i="77"/>
  <c r="O97" i="75"/>
  <c r="L245" i="79"/>
  <c r="G101" i="75" s="1"/>
  <c r="H102" i="75" s="1"/>
  <c r="AG133" i="72"/>
  <c r="AR52" i="79"/>
  <c r="AS52" i="79"/>
  <c r="G278" i="47"/>
  <c r="H278" i="47" s="1"/>
  <c r="AA135" i="72"/>
  <c r="G237" i="47" s="1"/>
  <c r="P48" i="100"/>
  <c r="Q48" i="100" s="1"/>
  <c r="S48" i="100" s="1"/>
  <c r="T48" i="100" s="1"/>
  <c r="U48" i="100" s="1"/>
  <c r="V48" i="100" s="1"/>
  <c r="N48" i="100"/>
  <c r="AE84" i="100"/>
  <c r="Q63" i="100"/>
  <c r="Q84" i="100" s="1"/>
  <c r="D27" i="112"/>
  <c r="F27" i="112" s="1"/>
  <c r="C35" i="112"/>
  <c r="D35" i="112" s="1"/>
  <c r="F35" i="112" s="1"/>
  <c r="AC129" i="113"/>
  <c r="AA245" i="79"/>
  <c r="N24" i="47"/>
  <c r="F1511" i="96"/>
  <c r="F1520" i="96"/>
  <c r="F1529" i="96"/>
  <c r="F1547" i="96"/>
  <c r="F1556" i="96"/>
  <c r="AL44" i="84"/>
  <c r="AH44" i="84"/>
  <c r="Z44" i="84"/>
  <c r="R44" i="84"/>
  <c r="J44" i="84"/>
  <c r="AE44" i="84"/>
  <c r="W44" i="84"/>
  <c r="O44" i="84"/>
  <c r="F36" i="101"/>
  <c r="G15" i="58"/>
  <c r="G16" i="58" s="1"/>
  <c r="G17" i="58" s="1"/>
  <c r="G18" i="58" s="1"/>
  <c r="G16" i="45"/>
  <c r="G17" i="45" s="1"/>
  <c r="G18" i="45" s="1"/>
  <c r="AN129" i="113"/>
  <c r="AN245" i="79"/>
  <c r="G186" i="75" s="1"/>
  <c r="O186" i="75" s="1"/>
  <c r="G140" i="79"/>
  <c r="AE129" i="113"/>
  <c r="G271" i="47" s="1"/>
  <c r="G104" i="72"/>
  <c r="AR57" i="79"/>
  <c r="AS57" i="79"/>
  <c r="AR133" i="79"/>
  <c r="AS133" i="79"/>
  <c r="AR129" i="79"/>
  <c r="AS129" i="79"/>
  <c r="AR121" i="79"/>
  <c r="AS121" i="79"/>
  <c r="AH140" i="79"/>
  <c r="AH245" i="79" s="1"/>
  <c r="G174" i="75" s="1"/>
  <c r="N174" i="75" s="1"/>
  <c r="AK245" i="79"/>
  <c r="G183" i="75" s="1"/>
  <c r="H183" i="75" s="1"/>
  <c r="D245" i="79"/>
  <c r="G252" i="79" s="1"/>
  <c r="R259" i="47"/>
  <c r="AQ245" i="79"/>
  <c r="AF245" i="79"/>
  <c r="G170" i="75" s="1"/>
  <c r="N170" i="75" s="1"/>
  <c r="O170" i="75"/>
  <c r="G329" i="47"/>
  <c r="L129" i="113"/>
  <c r="AS54" i="79"/>
  <c r="AR54" i="79"/>
  <c r="AS138" i="79"/>
  <c r="AR138" i="79"/>
  <c r="AB81" i="114"/>
  <c r="S164" i="94"/>
  <c r="M185" i="94" s="1"/>
  <c r="C20" i="33"/>
  <c r="C20" i="102"/>
  <c r="I15" i="107"/>
  <c r="I16" i="107"/>
  <c r="I17" i="107" s="1"/>
  <c r="J76" i="91"/>
  <c r="K76" i="91"/>
  <c r="L84" i="100"/>
  <c r="F12" i="59"/>
  <c r="C13" i="59"/>
  <c r="G12" i="59"/>
  <c r="E12" i="59"/>
  <c r="AD81" i="114"/>
  <c r="O69" i="75"/>
  <c r="BK243" i="79"/>
  <c r="Y129" i="113"/>
  <c r="AZ93" i="114"/>
  <c r="AC93" i="114"/>
  <c r="T93" i="114"/>
  <c r="V245" i="79"/>
  <c r="N245" i="79"/>
  <c r="G35" i="75" s="1"/>
  <c r="H36" i="75" s="1"/>
  <c r="G228" i="79"/>
  <c r="AS59" i="79"/>
  <c r="AR59" i="79"/>
  <c r="AS102" i="79"/>
  <c r="AR102" i="79"/>
  <c r="Q321" i="47"/>
  <c r="M135" i="72"/>
  <c r="G93" i="47" s="1"/>
  <c r="H94" i="47" s="1"/>
  <c r="O24" i="75"/>
  <c r="D52" i="91"/>
  <c r="D56" i="91"/>
  <c r="D54" i="91"/>
  <c r="D59" i="91"/>
  <c r="N84" i="100"/>
  <c r="E9" i="59"/>
  <c r="F11" i="59"/>
  <c r="G13" i="59"/>
  <c r="B12" i="59"/>
  <c r="D12" i="59"/>
  <c r="H12" i="59"/>
  <c r="H10" i="59"/>
  <c r="B11" i="59"/>
  <c r="D13" i="59"/>
  <c r="I13" i="59"/>
  <c r="D29" i="112"/>
  <c r="F29" i="112" s="1"/>
  <c r="C37" i="112"/>
  <c r="D37" i="112" s="1"/>
  <c r="F37" i="112" s="1"/>
  <c r="G127" i="113"/>
  <c r="BJ245" i="79"/>
  <c r="G243" i="79"/>
  <c r="BB245" i="79"/>
  <c r="G165" i="75" s="1"/>
  <c r="G164" i="75" s="1"/>
  <c r="AZ245" i="79"/>
  <c r="G178" i="75" s="1"/>
  <c r="O178" i="75" s="1"/>
  <c r="AX245" i="79"/>
  <c r="G175" i="75" s="1"/>
  <c r="N175" i="75" s="1"/>
  <c r="BL245" i="79"/>
  <c r="G140" i="75" s="1"/>
  <c r="H141" i="75" s="1"/>
  <c r="H56" i="77"/>
  <c r="H54" i="77"/>
  <c r="F104" i="72"/>
  <c r="G133" i="72"/>
  <c r="BK228" i="79"/>
  <c r="X245" i="79"/>
  <c r="G116" i="75" s="1"/>
  <c r="H123" i="75" s="1"/>
  <c r="AE245" i="79"/>
  <c r="AN135" i="72"/>
  <c r="AJ135" i="72"/>
  <c r="U135" i="72"/>
  <c r="B93" i="47"/>
  <c r="A96" i="47"/>
  <c r="A97" i="47" s="1"/>
  <c r="A100" i="47" s="1"/>
  <c r="A101" i="47" s="1"/>
  <c r="B101" i="47" s="1"/>
  <c r="A34" i="75"/>
  <c r="A35" i="75" s="1"/>
  <c r="B22" i="75"/>
  <c r="B10" i="55" s="1"/>
  <c r="F13" i="59"/>
  <c r="H15" i="57"/>
  <c r="H16" i="57" s="1"/>
  <c r="H17" i="57" s="1"/>
  <c r="H18" i="57" s="1"/>
  <c r="H14" i="57"/>
  <c r="I11" i="78"/>
  <c r="F11" i="102" s="1"/>
  <c r="I11" i="102" s="1"/>
  <c r="G101" i="113"/>
  <c r="G129" i="113" s="1"/>
  <c r="I133" i="113" s="1"/>
  <c r="AD129" i="113"/>
  <c r="H245" i="79"/>
  <c r="G63" i="100"/>
  <c r="G84" i="100" s="1"/>
  <c r="G208" i="75" s="1"/>
  <c r="AJ245" i="79"/>
  <c r="G182" i="75" s="1"/>
  <c r="N182" i="75" s="1"/>
  <c r="J245" i="79"/>
  <c r="G93" i="75" s="1"/>
  <c r="H94" i="75" s="1"/>
  <c r="G338" i="47"/>
  <c r="E104" i="72"/>
  <c r="E135" i="72" s="1"/>
  <c r="J139" i="72" s="1"/>
  <c r="G268" i="47" s="1"/>
  <c r="H267" i="47" s="1"/>
  <c r="W93" i="114"/>
  <c r="G196" i="47" s="1"/>
  <c r="AD54" i="114"/>
  <c r="AS68" i="114"/>
  <c r="AS93" i="114" s="1"/>
  <c r="G298" i="47" s="1"/>
  <c r="AS126" i="79"/>
  <c r="AR126" i="79"/>
  <c r="Q245" i="79"/>
  <c r="G22" i="75"/>
  <c r="H30" i="75" s="1"/>
  <c r="BK140" i="79"/>
  <c r="BK245" i="79" s="1"/>
  <c r="G129" i="75" s="1"/>
  <c r="H130" i="75" s="1"/>
  <c r="AS162" i="79"/>
  <c r="AR160" i="79"/>
  <c r="AR180" i="79" s="1"/>
  <c r="AS160" i="79"/>
  <c r="AS180" i="79" s="1"/>
  <c r="P180" i="79"/>
  <c r="H13" i="59"/>
  <c r="O43" i="77"/>
  <c r="P43" i="77"/>
  <c r="R43" i="77"/>
  <c r="H40" i="77"/>
  <c r="H36" i="77"/>
  <c r="N13" i="75"/>
  <c r="O13" i="75"/>
  <c r="P258" i="47"/>
  <c r="Q258" i="47"/>
  <c r="O10" i="47"/>
  <c r="F9" i="46"/>
  <c r="BH129" i="113"/>
  <c r="AI129" i="113"/>
  <c r="M129" i="113"/>
  <c r="AE93" i="114"/>
  <c r="AP245" i="79"/>
  <c r="V84" i="100"/>
  <c r="G203" i="75" s="1"/>
  <c r="O93" i="75"/>
  <c r="H72" i="77"/>
  <c r="H68" i="77"/>
  <c r="AO93" i="114"/>
  <c r="G295" i="47"/>
  <c r="X93" i="114"/>
  <c r="G70" i="47" s="1"/>
  <c r="H71" i="47" s="1"/>
  <c r="G180" i="79"/>
  <c r="D129" i="113"/>
  <c r="I138" i="113" s="1"/>
  <c r="X135" i="72"/>
  <c r="L342" i="109"/>
  <c r="L343" i="109" s="1"/>
  <c r="K342" i="109"/>
  <c r="K343" i="109" s="1"/>
  <c r="L188" i="109"/>
  <c r="K188" i="109"/>
  <c r="J349" i="109"/>
  <c r="F38" i="101"/>
  <c r="F39" i="101" s="1"/>
  <c r="F41" i="101" s="1"/>
  <c r="H41" i="101" s="1"/>
  <c r="J89" i="95" s="1"/>
  <c r="Q9" i="65" s="1"/>
  <c r="AP70" i="82" s="1"/>
  <c r="L189" i="109"/>
  <c r="I18" i="107"/>
  <c r="H37" i="75"/>
  <c r="J25" i="119"/>
  <c r="H142" i="75"/>
  <c r="G84" i="75"/>
  <c r="H118" i="75"/>
  <c r="H122" i="75"/>
  <c r="H117" i="75"/>
  <c r="H120" i="75"/>
  <c r="H170" i="75"/>
  <c r="H175" i="75"/>
  <c r="O359" i="109"/>
  <c r="G89" i="100"/>
  <c r="F89" i="100"/>
  <c r="G289" i="47"/>
  <c r="H287" i="47"/>
  <c r="U302" i="98"/>
  <c r="U303" i="98" s="1"/>
  <c r="Q165" i="98"/>
  <c r="AC164" i="98"/>
  <c r="R398" i="94"/>
  <c r="CK5" i="95"/>
  <c r="Y162" i="98" s="1"/>
  <c r="X155" i="98" s="1"/>
  <c r="Q164" i="98"/>
  <c r="N121" i="98"/>
  <c r="O134" i="98" s="1"/>
  <c r="P381" i="94"/>
  <c r="F12" i="101"/>
  <c r="N301" i="94"/>
  <c r="W169" i="98"/>
  <c r="F1513" i="96"/>
  <c r="H1557" i="96"/>
  <c r="I10" i="59"/>
  <c r="D10" i="59"/>
  <c r="C20" i="106"/>
  <c r="G14" i="54"/>
  <c r="G13" i="108"/>
  <c r="H17" i="77"/>
  <c r="B13" i="59"/>
  <c r="D28" i="112"/>
  <c r="F28" i="112" s="1"/>
  <c r="BF129" i="113"/>
  <c r="AG129" i="113"/>
  <c r="Z245" i="79"/>
  <c r="AW245" i="79"/>
  <c r="G177" i="75" s="1"/>
  <c r="O177" i="75" s="1"/>
  <c r="H50" i="77"/>
  <c r="AU245" i="79"/>
  <c r="G181" i="75" s="1"/>
  <c r="AI135" i="72"/>
  <c r="T135" i="72"/>
  <c r="G101" i="47"/>
  <c r="H105" i="47" s="1"/>
  <c r="P138" i="75"/>
  <c r="O10" i="75"/>
  <c r="N10" i="75"/>
  <c r="P260" i="47"/>
  <c r="C12" i="59"/>
  <c r="I12" i="59"/>
  <c r="D25" i="112"/>
  <c r="F25" i="112" s="1"/>
  <c r="O89" i="75"/>
  <c r="G81" i="114"/>
  <c r="AB68" i="114"/>
  <c r="AB93" i="114" s="1"/>
  <c r="G273" i="47" s="1"/>
  <c r="AR65" i="79"/>
  <c r="AS65" i="79"/>
  <c r="AS60" i="79"/>
  <c r="AR60" i="79"/>
  <c r="AR134" i="79"/>
  <c r="AS134" i="79"/>
  <c r="A96" i="75"/>
  <c r="A97" i="75" s="1"/>
  <c r="AX135" i="72"/>
  <c r="AQ135" i="72"/>
  <c r="P135" i="72"/>
  <c r="G23" i="47" s="1"/>
  <c r="O25" i="75"/>
  <c r="O22" i="75" s="1"/>
  <c r="F10" i="55" s="1"/>
  <c r="U35" i="98"/>
  <c r="F1548" i="96"/>
  <c r="F1549" i="96"/>
  <c r="U7" i="95"/>
  <c r="AN7" i="95" s="1"/>
  <c r="U8" i="95" s="1"/>
  <c r="G5" i="81" s="1"/>
  <c r="C24" i="103"/>
  <c r="AR55" i="79"/>
  <c r="AS55" i="79"/>
  <c r="AR72" i="79"/>
  <c r="AS72" i="79"/>
  <c r="Q78" i="77"/>
  <c r="R78" i="77"/>
  <c r="P78" i="77"/>
  <c r="G312" i="47"/>
  <c r="Q312" i="47" s="1"/>
  <c r="I127" i="113"/>
  <c r="I129" i="113" s="1"/>
  <c r="I135" i="113" s="1"/>
  <c r="I142" i="113" s="1"/>
  <c r="AU129" i="113"/>
  <c r="G68" i="114"/>
  <c r="F68" i="114"/>
  <c r="W129" i="113"/>
  <c r="AE104" i="72"/>
  <c r="AR63" i="79"/>
  <c r="AS63" i="79"/>
  <c r="AR137" i="79"/>
  <c r="AS137" i="79"/>
  <c r="AB245" i="79"/>
  <c r="AM135" i="72"/>
  <c r="G286" i="47" s="1"/>
  <c r="AH135" i="72"/>
  <c r="R245" i="79"/>
  <c r="G9" i="75" s="1"/>
  <c r="P135" i="75"/>
  <c r="Q135" i="75"/>
  <c r="R135" i="75"/>
  <c r="R257" i="47"/>
  <c r="Q257" i="47"/>
  <c r="AR67" i="79"/>
  <c r="AS58" i="79"/>
  <c r="AS53" i="79"/>
  <c r="AS75" i="79"/>
  <c r="AS101" i="79"/>
  <c r="AS98" i="79"/>
  <c r="AR95" i="79"/>
  <c r="AR118" i="79"/>
  <c r="AS116" i="79"/>
  <c r="AR132" i="79"/>
  <c r="AR127" i="79"/>
  <c r="AR125" i="79"/>
  <c r="AS123" i="79"/>
  <c r="AR120" i="79"/>
  <c r="BA135" i="72"/>
  <c r="G320" i="47" s="1"/>
  <c r="AY135" i="72"/>
  <c r="P76" i="77"/>
  <c r="Q76" i="77"/>
  <c r="P42" i="77"/>
  <c r="G45" i="77"/>
  <c r="P45" i="77" s="1"/>
  <c r="O42" i="77"/>
  <c r="P136" i="75"/>
  <c r="AR68" i="114"/>
  <c r="AR93" i="114"/>
  <c r="S180" i="79"/>
  <c r="AC135" i="72"/>
  <c r="U129" i="113"/>
  <c r="AR64" i="79"/>
  <c r="AR56" i="79"/>
  <c r="Q135" i="72"/>
  <c r="P44" i="77"/>
  <c r="J12" i="59"/>
  <c r="G317" i="47"/>
  <c r="F14" i="101"/>
  <c r="R312" i="47"/>
  <c r="H177" i="75"/>
  <c r="G142" i="113"/>
  <c r="F34" i="119"/>
  <c r="J26" i="119"/>
  <c r="J27" i="119"/>
  <c r="J28" i="119"/>
  <c r="J29" i="119"/>
  <c r="J32" i="119"/>
  <c r="H6" i="119"/>
  <c r="G7" i="123"/>
  <c r="G10" i="123" s="1"/>
  <c r="E10" i="123"/>
  <c r="H174" i="75"/>
  <c r="O174" i="75"/>
  <c r="H141" i="47"/>
  <c r="H142" i="47"/>
  <c r="H139" i="47"/>
  <c r="H137" i="47"/>
  <c r="H38" i="75"/>
  <c r="H39" i="75"/>
  <c r="O175" i="75"/>
  <c r="O183" i="75"/>
  <c r="N183" i="75"/>
  <c r="I18" i="104"/>
  <c r="I19" i="104" s="1"/>
  <c r="O252" i="109"/>
  <c r="N252" i="109"/>
  <c r="N253" i="109" s="1"/>
  <c r="S545" i="94"/>
  <c r="W81" i="94"/>
  <c r="O182" i="75"/>
  <c r="H219" i="47"/>
  <c r="H217" i="47"/>
  <c r="N306" i="94"/>
  <c r="AP71" i="82"/>
  <c r="AP72" i="82" s="1"/>
  <c r="T71" i="82"/>
  <c r="B33" i="77"/>
  <c r="B14" i="59" s="1"/>
  <c r="A46" i="77"/>
  <c r="A47" i="77" s="1"/>
  <c r="B47" i="77" s="1"/>
  <c r="Q299" i="98"/>
  <c r="G13" i="33"/>
  <c r="G14" i="33"/>
  <c r="H55" i="77"/>
  <c r="H59" i="77"/>
  <c r="H58" i="77"/>
  <c r="H70" i="77"/>
  <c r="H69" i="77"/>
  <c r="H74" i="77"/>
  <c r="H73" i="77"/>
  <c r="H67" i="77"/>
  <c r="AN44" i="84"/>
  <c r="G15" i="54"/>
  <c r="G16" i="54" s="1"/>
  <c r="G17" i="54" s="1"/>
  <c r="AR68" i="79"/>
  <c r="AS68" i="79"/>
  <c r="AV245" i="79"/>
  <c r="G176" i="75" s="1"/>
  <c r="AJ44" i="84"/>
  <c r="AQ129" i="113"/>
  <c r="AJ129" i="113"/>
  <c r="U245" i="79"/>
  <c r="J84" i="100"/>
  <c r="G194" i="75" s="1"/>
  <c r="AI245" i="79"/>
  <c r="G179" i="75" s="1"/>
  <c r="AG104" i="72"/>
  <c r="AG135" i="72" s="1"/>
  <c r="G280" i="47" s="1"/>
  <c r="B197" i="75"/>
  <c r="A199" i="75"/>
  <c r="A200" i="75" s="1"/>
  <c r="B200" i="75" s="1"/>
  <c r="R79" i="77"/>
  <c r="Q79" i="77"/>
  <c r="P79" i="77"/>
  <c r="BH245" i="79"/>
  <c r="G155" i="75" s="1"/>
  <c r="H156" i="75" s="1"/>
  <c r="AK129" i="113"/>
  <c r="G357" i="47" s="1"/>
  <c r="AT68" i="114"/>
  <c r="AT93" i="114" s="1"/>
  <c r="T180" i="79"/>
  <c r="A334" i="47"/>
  <c r="A335" i="47" s="1"/>
  <c r="AR70" i="79"/>
  <c r="AS70" i="79"/>
  <c r="AZ135" i="72"/>
  <c r="Q77" i="77"/>
  <c r="P41" i="77"/>
  <c r="AA129" i="113"/>
  <c r="AY93" i="114"/>
  <c r="G283" i="47" s="1"/>
  <c r="H283" i="47" s="1"/>
  <c r="J93" i="114"/>
  <c r="R41" i="77"/>
  <c r="O41" i="77"/>
  <c r="Q42" i="77"/>
  <c r="C10" i="109"/>
  <c r="J329" i="109" s="1"/>
  <c r="T59" i="121"/>
  <c r="V59" i="121"/>
  <c r="X13" i="121"/>
  <c r="X59" i="121" s="1"/>
  <c r="F10" i="119"/>
  <c r="H10" i="119" s="1"/>
  <c r="S59" i="121"/>
  <c r="W59" i="121"/>
  <c r="P357" i="47"/>
  <c r="O360" i="109"/>
  <c r="O253" i="109"/>
  <c r="H197" i="47" l="1"/>
  <c r="H202" i="47"/>
  <c r="H206" i="47"/>
  <c r="N184" i="75"/>
  <c r="O184" i="75"/>
  <c r="X402" i="94"/>
  <c r="AM129" i="113"/>
  <c r="T140" i="79"/>
  <c r="T245" i="79" s="1"/>
  <c r="G57" i="75" s="1"/>
  <c r="H11" i="59"/>
  <c r="G191" i="75"/>
  <c r="O191" i="75" s="1"/>
  <c r="M107" i="94"/>
  <c r="G133" i="113"/>
  <c r="N12" i="59"/>
  <c r="R309" i="98"/>
  <c r="R310" i="98" s="1"/>
  <c r="Z310" i="98" s="1"/>
  <c r="V321" i="98" s="1"/>
  <c r="AE320" i="98" s="1"/>
  <c r="H53" i="80"/>
  <c r="W168" i="98"/>
  <c r="I15" i="104"/>
  <c r="G15" i="107"/>
  <c r="A13" i="77"/>
  <c r="H11" i="80"/>
  <c r="F11" i="106" s="1"/>
  <c r="H11" i="106" s="1"/>
  <c r="J11" i="106" s="1"/>
  <c r="AX129" i="113"/>
  <c r="Z129" i="113"/>
  <c r="AO245" i="79"/>
  <c r="BI245" i="79"/>
  <c r="BG245" i="79"/>
  <c r="G146" i="75" s="1"/>
  <c r="AZ129" i="113"/>
  <c r="G363" i="47" s="1"/>
  <c r="Z93" i="114"/>
  <c r="N155" i="75"/>
  <c r="C14" i="59"/>
  <c r="X403" i="94"/>
  <c r="N168" i="98"/>
  <c r="M83" i="94"/>
  <c r="M34" i="84"/>
  <c r="H125" i="75"/>
  <c r="H121" i="75"/>
  <c r="H119" i="75"/>
  <c r="AB209" i="94"/>
  <c r="V269" i="94"/>
  <c r="E10" i="59"/>
  <c r="W84" i="100"/>
  <c r="AY129" i="113"/>
  <c r="AS129" i="113"/>
  <c r="K93" i="114"/>
  <c r="D93" i="114"/>
  <c r="AR71" i="79"/>
  <c r="AS139" i="79"/>
  <c r="AW135" i="72"/>
  <c r="R135" i="72"/>
  <c r="R10" i="77"/>
  <c r="P10" i="77"/>
  <c r="H11" i="119"/>
  <c r="X107" i="94"/>
  <c r="G318" i="47"/>
  <c r="Q318" i="47" s="1"/>
  <c r="H126" i="75"/>
  <c r="H124" i="75"/>
  <c r="N178" i="75"/>
  <c r="C10" i="55"/>
  <c r="T48" i="98"/>
  <c r="G10" i="59"/>
  <c r="J75" i="91"/>
  <c r="AJ84" i="100"/>
  <c r="H84" i="100"/>
  <c r="N129" i="113"/>
  <c r="J135" i="72"/>
  <c r="F81" i="114"/>
  <c r="F93" i="114" s="1"/>
  <c r="G99" i="114" s="1"/>
  <c r="G263" i="47" s="1"/>
  <c r="R93" i="114"/>
  <c r="G161" i="47" s="1"/>
  <c r="AS128" i="79"/>
  <c r="AT135" i="72"/>
  <c r="AL135" i="72"/>
  <c r="G284" i="47" s="1"/>
  <c r="N284" i="47" s="1"/>
  <c r="K135" i="72"/>
  <c r="B10" i="46"/>
  <c r="F9" i="59"/>
  <c r="D111" i="116"/>
  <c r="A100" i="75"/>
  <c r="A101" i="75" s="1"/>
  <c r="B97" i="75"/>
  <c r="O23" i="47"/>
  <c r="F10" i="46" s="1"/>
  <c r="N101" i="75"/>
  <c r="O35" i="75"/>
  <c r="N93" i="75"/>
  <c r="R136" i="75"/>
  <c r="N134" i="75" s="1"/>
  <c r="N133" i="75" s="1"/>
  <c r="N132" i="75" s="1"/>
  <c r="N131" i="75" s="1"/>
  <c r="N130" i="75" s="1"/>
  <c r="R127" i="75" s="1"/>
  <c r="R116" i="75" s="1"/>
  <c r="Q127" i="75" s="1"/>
  <c r="Q116" i="75" s="1"/>
  <c r="P114" i="75" s="1"/>
  <c r="P105" i="75" s="1"/>
  <c r="N113" i="75" s="1"/>
  <c r="N111" i="75" s="1"/>
  <c r="N110" i="75" s="1"/>
  <c r="N109" i="75" s="1"/>
  <c r="N108" i="75" s="1"/>
  <c r="N107" i="75" s="1"/>
  <c r="N106" i="75" s="1"/>
  <c r="R103" i="75" s="1"/>
  <c r="R101" i="75" s="1"/>
  <c r="Q103" i="75" s="1"/>
  <c r="P99" i="75" s="1"/>
  <c r="P97" i="75" s="1"/>
  <c r="N98" i="75" s="1"/>
  <c r="N97" i="75" s="1"/>
  <c r="R95" i="75" s="1"/>
  <c r="Q91" i="75" s="1"/>
  <c r="P91" i="75" s="1"/>
  <c r="P89" i="75" s="1"/>
  <c r="N90" i="75" s="1"/>
  <c r="R86" i="75" s="1"/>
  <c r="Q86" i="75" s="1"/>
  <c r="P85" i="75" s="1"/>
  <c r="R82" i="75" s="1"/>
  <c r="Q82" i="75" s="1"/>
  <c r="Q81" i="75" s="1"/>
  <c r="P81" i="75" s="1"/>
  <c r="R80" i="75" s="1"/>
  <c r="R77" i="75" s="1"/>
  <c r="Q80" i="75" s="1"/>
  <c r="P75" i="75" s="1"/>
  <c r="R74" i="75" s="1"/>
  <c r="Q74" i="75" s="1"/>
  <c r="Q73" i="75" s="1"/>
  <c r="P73" i="75" s="1"/>
  <c r="N72" i="75" s="1"/>
  <c r="N71" i="75" s="1"/>
  <c r="N70" i="75" s="1"/>
  <c r="R67" i="75" s="1"/>
  <c r="Q67" i="75" s="1"/>
  <c r="R66" i="75" s="1"/>
  <c r="R65" i="75" s="1"/>
  <c r="Q65" i="75" s="1"/>
  <c r="P65" i="75" s="1"/>
  <c r="N64" i="75" s="1"/>
  <c r="N63" i="75" s="1"/>
  <c r="N61" i="75" s="1"/>
  <c r="N59" i="75" s="1"/>
  <c r="R55" i="75" s="1"/>
  <c r="Q54" i="75" s="1"/>
  <c r="P54" i="75" s="1"/>
  <c r="R53" i="75" s="1"/>
  <c r="Q53" i="75" s="1"/>
  <c r="N48" i="75" s="1"/>
  <c r="N46" i="75" s="1"/>
  <c r="I49" i="75" s="1"/>
  <c r="N49" i="75" s="1"/>
  <c r="R42" i="75" s="1"/>
  <c r="P42" i="75" s="1"/>
  <c r="R41" i="75" s="1"/>
  <c r="Q41" i="75" s="1"/>
  <c r="P40" i="75" s="1"/>
  <c r="N39" i="75" s="1"/>
  <c r="N36" i="75" s="1"/>
  <c r="Q33" i="75" s="1"/>
  <c r="P33" i="75" s="1"/>
  <c r="R32" i="75" s="1"/>
  <c r="P32" i="75" s="1"/>
  <c r="Q31" i="75" s="1"/>
  <c r="N30" i="75" s="1"/>
  <c r="N29" i="75" s="1"/>
  <c r="N25" i="75" s="1"/>
  <c r="N24" i="75" s="1"/>
  <c r="R20" i="75" s="1"/>
  <c r="Q20" i="75" s="1"/>
  <c r="Q19" i="75" s="1"/>
  <c r="P19" i="75" s="1"/>
  <c r="R18" i="75" s="1"/>
  <c r="Q18" i="75" s="1"/>
  <c r="I14" i="75" s="1"/>
  <c r="N14" i="75" s="1"/>
  <c r="Q349" i="47" s="1"/>
  <c r="P349" i="47" s="1"/>
  <c r="R348" i="47" s="1"/>
  <c r="R345" i="47" s="1"/>
  <c r="R344" i="47" s="1"/>
  <c r="Q345" i="47" s="1"/>
  <c r="Q344" i="47" s="1"/>
  <c r="P345" i="47" s="1"/>
  <c r="O140" i="75"/>
  <c r="G127" i="47"/>
  <c r="H131" i="47" s="1"/>
  <c r="Q10" i="77"/>
  <c r="H9" i="59" s="1"/>
  <c r="Q93" i="75"/>
  <c r="O161" i="47"/>
  <c r="A43" i="75"/>
  <c r="A44" i="75" s="1"/>
  <c r="B35" i="75"/>
  <c r="H243" i="47"/>
  <c r="H240" i="47"/>
  <c r="H242" i="47"/>
  <c r="H238" i="47"/>
  <c r="H246" i="47"/>
  <c r="H245" i="47"/>
  <c r="H244" i="47"/>
  <c r="H248" i="47"/>
  <c r="I140" i="113"/>
  <c r="G140" i="113"/>
  <c r="H163" i="47"/>
  <c r="H162" i="47"/>
  <c r="H164" i="47"/>
  <c r="R164" i="75"/>
  <c r="P164" i="75"/>
  <c r="Q164" i="75"/>
  <c r="H286" i="47"/>
  <c r="G288" i="47"/>
  <c r="H288" i="47" s="1"/>
  <c r="R208" i="75"/>
  <c r="O208" i="75"/>
  <c r="W171" i="98"/>
  <c r="O171" i="98"/>
  <c r="K8" i="46"/>
  <c r="N8" i="46"/>
  <c r="V186" i="94"/>
  <c r="M72" i="98"/>
  <c r="H204" i="47"/>
  <c r="H28" i="75"/>
  <c r="F1512" i="96"/>
  <c r="G14" i="106"/>
  <c r="S121" i="94"/>
  <c r="S122" i="94" s="1"/>
  <c r="G15" i="103"/>
  <c r="G16" i="103" s="1"/>
  <c r="G17" i="103" s="1"/>
  <c r="G18" i="103" s="1"/>
  <c r="AA68" i="114"/>
  <c r="AA93" i="114" s="1"/>
  <c r="AR122" i="79"/>
  <c r="L328" i="94"/>
  <c r="M209" i="94"/>
  <c r="F483" i="82"/>
  <c r="E470" i="82"/>
  <c r="AS131" i="79"/>
  <c r="AR131" i="79"/>
  <c r="B9" i="46"/>
  <c r="C10" i="46"/>
  <c r="C9" i="46"/>
  <c r="AS119" i="79"/>
  <c r="AR119" i="79"/>
  <c r="N278" i="47"/>
  <c r="G84" i="47"/>
  <c r="P77" i="77"/>
  <c r="AS136" i="79"/>
  <c r="O9" i="75"/>
  <c r="F9" i="55" s="1"/>
  <c r="N186" i="75"/>
  <c r="A35" i="47"/>
  <c r="A36" i="47" s="1"/>
  <c r="N360" i="109"/>
  <c r="M360" i="109" s="1"/>
  <c r="D10" i="55"/>
  <c r="P168" i="94"/>
  <c r="M67" i="98"/>
  <c r="M253" i="109"/>
  <c r="M188" i="94"/>
  <c r="H199" i="47"/>
  <c r="H200" i="47"/>
  <c r="H29" i="75"/>
  <c r="AD7" i="95"/>
  <c r="H103" i="47"/>
  <c r="Z396" i="94"/>
  <c r="R44" i="77"/>
  <c r="AR73" i="79"/>
  <c r="G270" i="47"/>
  <c r="G93" i="114"/>
  <c r="G305" i="47" s="1"/>
  <c r="H18" i="77"/>
  <c r="F15" i="101"/>
  <c r="F18" i="101" s="1"/>
  <c r="H18" i="101" s="1"/>
  <c r="Q89" i="95" s="1"/>
  <c r="M61" i="98"/>
  <c r="M74" i="98" s="1"/>
  <c r="N85" i="98" s="1"/>
  <c r="M59" i="98"/>
  <c r="K269" i="109"/>
  <c r="K270" i="109" s="1"/>
  <c r="I134" i="113"/>
  <c r="H205" i="47"/>
  <c r="G19" i="45"/>
  <c r="AD68" i="114"/>
  <c r="AD93" i="114" s="1"/>
  <c r="G279" i="47" s="1"/>
  <c r="D11" i="59"/>
  <c r="K11" i="59" s="1"/>
  <c r="K20" i="59" s="1"/>
  <c r="I16" i="45"/>
  <c r="I17" i="45" s="1"/>
  <c r="V43" i="98"/>
  <c r="G326" i="47"/>
  <c r="H14" i="103"/>
  <c r="H275" i="47"/>
  <c r="T317" i="94"/>
  <c r="R311" i="98"/>
  <c r="AA209" i="96"/>
  <c r="AH84" i="100"/>
  <c r="G161" i="75" s="1"/>
  <c r="N161" i="75" s="1"/>
  <c r="A202" i="75"/>
  <c r="A203" i="75" s="1"/>
  <c r="N130" i="98"/>
  <c r="H182" i="75"/>
  <c r="S547" i="94"/>
  <c r="H201" i="47"/>
  <c r="A108" i="47"/>
  <c r="A109" i="47" s="1"/>
  <c r="G353" i="47"/>
  <c r="Q44" i="77"/>
  <c r="G355" i="47"/>
  <c r="R355" i="47" s="1"/>
  <c r="G19" i="104"/>
  <c r="F31" i="112"/>
  <c r="F12" i="112" s="1"/>
  <c r="S83" i="98"/>
  <c r="S140" i="79"/>
  <c r="S245" i="79" s="1"/>
  <c r="G44" i="75" s="1"/>
  <c r="I17" i="105"/>
  <c r="S6" i="94"/>
  <c r="S17" i="94" s="1"/>
  <c r="BE245" i="79"/>
  <c r="N279" i="47"/>
  <c r="N298" i="47"/>
  <c r="N23" i="75"/>
  <c r="I27" i="75"/>
  <c r="N27" i="75" s="1"/>
  <c r="I62" i="75"/>
  <c r="N62" i="75" s="1"/>
  <c r="N57" i="75" s="1"/>
  <c r="N58" i="75"/>
  <c r="R93" i="75"/>
  <c r="N177" i="75"/>
  <c r="X491" i="94"/>
  <c r="O364" i="94"/>
  <c r="S46" i="94"/>
  <c r="O35" i="98"/>
  <c r="N37" i="98" s="1"/>
  <c r="N83" i="98" s="1"/>
  <c r="F33" i="80"/>
  <c r="H33" i="80" s="1"/>
  <c r="F30" i="80"/>
  <c r="H30" i="80" s="1"/>
  <c r="F50" i="101"/>
  <c r="H14" i="58"/>
  <c r="P63" i="100"/>
  <c r="P84" i="100" s="1"/>
  <c r="D26" i="112"/>
  <c r="F26" i="112" s="1"/>
  <c r="C93" i="114"/>
  <c r="E93" i="114"/>
  <c r="G98" i="114" s="1"/>
  <c r="Q93" i="114"/>
  <c r="G173" i="47" s="1"/>
  <c r="BM245" i="79"/>
  <c r="M245" i="79"/>
  <c r="N93" i="114"/>
  <c r="G49" i="47" s="1"/>
  <c r="V129" i="113"/>
  <c r="G347" i="47" s="1"/>
  <c r="X129" i="113"/>
  <c r="G332" i="47" s="1"/>
  <c r="AS61" i="79"/>
  <c r="AS96" i="79"/>
  <c r="AR115" i="79"/>
  <c r="AR130" i="79"/>
  <c r="AR135" i="79"/>
  <c r="S135" i="72"/>
  <c r="N135" i="72"/>
  <c r="L135" i="72"/>
  <c r="G89" i="47" s="1"/>
  <c r="H90" i="47" s="1"/>
  <c r="O84" i="75"/>
  <c r="R97" i="75"/>
  <c r="R84" i="75"/>
  <c r="N112" i="75"/>
  <c r="Q259" i="47"/>
  <c r="P321" i="47"/>
  <c r="R358" i="47"/>
  <c r="P362" i="47"/>
  <c r="Q9" i="75"/>
  <c r="H9" i="55" s="1"/>
  <c r="E5" i="43"/>
  <c r="H8" i="116"/>
  <c r="F14" i="116"/>
  <c r="AM44" i="84"/>
  <c r="M84" i="100"/>
  <c r="Q129" i="113"/>
  <c r="O129" i="113"/>
  <c r="U93" i="114"/>
  <c r="AX93" i="114"/>
  <c r="G179" i="47" s="1"/>
  <c r="AM93" i="114"/>
  <c r="AI93" i="114"/>
  <c r="I93" i="114"/>
  <c r="E245" i="79"/>
  <c r="R129" i="113"/>
  <c r="AS117" i="79"/>
  <c r="BD135" i="72"/>
  <c r="G322" i="47" s="1"/>
  <c r="R322" i="47" s="1"/>
  <c r="P101" i="75"/>
  <c r="P347" i="47"/>
  <c r="F29" i="101"/>
  <c r="AP129" i="113"/>
  <c r="O245" i="79"/>
  <c r="AG245" i="79"/>
  <c r="G171" i="75" s="1"/>
  <c r="AF93" i="114"/>
  <c r="G281" i="47" s="1"/>
  <c r="I9" i="59"/>
  <c r="G9" i="59"/>
  <c r="Q260" i="47"/>
  <c r="R321" i="47"/>
  <c r="R362" i="47"/>
  <c r="N11" i="75"/>
  <c r="N12" i="75"/>
  <c r="R138" i="75"/>
  <c r="M33" i="118"/>
  <c r="N77" i="75"/>
  <c r="I41" i="47"/>
  <c r="N41" i="47" s="1"/>
  <c r="N268" i="47"/>
  <c r="N50" i="47"/>
  <c r="N33" i="77"/>
  <c r="E14" i="59" s="1"/>
  <c r="N24" i="77"/>
  <c r="E13" i="59" s="1"/>
  <c r="J13" i="59" s="1"/>
  <c r="P44" i="75"/>
  <c r="R9" i="75"/>
  <c r="I9" i="55" s="1"/>
  <c r="Q35" i="75"/>
  <c r="H11" i="55" s="1"/>
  <c r="J8" i="46"/>
  <c r="P84" i="75"/>
  <c r="P9" i="75"/>
  <c r="G9" i="55" s="1"/>
  <c r="Q69" i="75"/>
  <c r="J31" i="119"/>
  <c r="N53" i="77"/>
  <c r="N35" i="75"/>
  <c r="N9" i="75"/>
  <c r="E9" i="55" s="1"/>
  <c r="R89" i="75"/>
  <c r="P66" i="77"/>
  <c r="N288" i="47"/>
  <c r="P312" i="47"/>
  <c r="R15" i="77"/>
  <c r="I11" i="59" s="1"/>
  <c r="N11" i="59" s="1"/>
  <c r="N20" i="59" s="1"/>
  <c r="F11" i="58" s="1"/>
  <c r="I11" i="58" s="1"/>
  <c r="P15" i="77"/>
  <c r="G11" i="59" s="1"/>
  <c r="L11" i="59" s="1"/>
  <c r="L20" i="59" s="1"/>
  <c r="F8" i="58" s="1"/>
  <c r="N15" i="77"/>
  <c r="E11" i="59" s="1"/>
  <c r="J11" i="59" s="1"/>
  <c r="J20" i="59" s="1"/>
  <c r="E12" i="56" s="1"/>
  <c r="R66" i="77"/>
  <c r="R69" i="75"/>
  <c r="Q347" i="47"/>
  <c r="Q97" i="75"/>
  <c r="N146" i="75"/>
  <c r="N293" i="47"/>
  <c r="N290" i="47"/>
  <c r="N285" i="47"/>
  <c r="Q89" i="75"/>
  <c r="R35" i="75"/>
  <c r="P77" i="75"/>
  <c r="N69" i="75"/>
  <c r="N61" i="47"/>
  <c r="N105" i="75"/>
  <c r="N129" i="75"/>
  <c r="N66" i="77"/>
  <c r="R44" i="75"/>
  <c r="P22" i="75"/>
  <c r="G10" i="55" s="1"/>
  <c r="P61" i="47"/>
  <c r="N116" i="75"/>
  <c r="N292" i="47"/>
  <c r="N287" i="47"/>
  <c r="N47" i="77"/>
  <c r="P69" i="75"/>
  <c r="R22" i="75"/>
  <c r="I10" i="55" s="1"/>
  <c r="N10" i="55" s="1"/>
  <c r="Q44" i="75"/>
  <c r="P57" i="75"/>
  <c r="R57" i="75"/>
  <c r="Q57" i="75"/>
  <c r="Q77" i="75"/>
  <c r="I28" i="47"/>
  <c r="N28" i="47" s="1"/>
  <c r="Q165" i="75"/>
  <c r="K13" i="59"/>
  <c r="N45" i="75"/>
  <c r="N44" i="75" s="1"/>
  <c r="Q160" i="75"/>
  <c r="I15" i="47"/>
  <c r="N15" i="47" s="1"/>
  <c r="Q101" i="75"/>
  <c r="H153" i="116"/>
  <c r="H154" i="116" s="1"/>
  <c r="H197" i="116"/>
  <c r="E34" i="119"/>
  <c r="I34" i="119"/>
  <c r="E9" i="115"/>
  <c r="G9" i="115" s="1"/>
  <c r="G10" i="115" s="1"/>
  <c r="H34" i="119"/>
  <c r="J33" i="119"/>
  <c r="R305" i="47"/>
  <c r="P305" i="47"/>
  <c r="K10" i="55"/>
  <c r="L10" i="55"/>
  <c r="M69" i="98"/>
  <c r="F96" i="98"/>
  <c r="V68" i="98"/>
  <c r="V73" i="98"/>
  <c r="J99" i="98"/>
  <c r="T103" i="98" s="1"/>
  <c r="AO107" i="98" s="1"/>
  <c r="T96" i="98"/>
  <c r="AD96" i="98"/>
  <c r="X405" i="94"/>
  <c r="P405" i="94"/>
  <c r="Q191" i="75"/>
  <c r="P191" i="75"/>
  <c r="R191" i="75"/>
  <c r="G28" i="80"/>
  <c r="H28" i="80" s="1"/>
  <c r="B203" i="75"/>
  <c r="A205" i="75"/>
  <c r="A206" i="75" s="1"/>
  <c r="B206" i="75" s="1"/>
  <c r="G341" i="47"/>
  <c r="G153" i="47"/>
  <c r="N179" i="75"/>
  <c r="H179" i="75"/>
  <c r="C25" i="82"/>
  <c r="E11" i="84"/>
  <c r="B5" i="82"/>
  <c r="C609" i="82"/>
  <c r="AN8" i="95"/>
  <c r="AD8" i="95" s="1"/>
  <c r="E210" i="82"/>
  <c r="B587" i="82"/>
  <c r="R353" i="47"/>
  <c r="P353" i="47"/>
  <c r="Q353" i="47"/>
  <c r="L329" i="109"/>
  <c r="K329" i="109"/>
  <c r="O45" i="77"/>
  <c r="Q45" i="77"/>
  <c r="Q33" i="77" s="1"/>
  <c r="H14" i="59" s="1"/>
  <c r="R45" i="77"/>
  <c r="R33" i="77" s="1"/>
  <c r="I14" i="59" s="1"/>
  <c r="Q66" i="77"/>
  <c r="N10" i="59"/>
  <c r="L10" i="59"/>
  <c r="J10" i="59"/>
  <c r="M10" i="59"/>
  <c r="K10" i="59"/>
  <c r="H284" i="47"/>
  <c r="G313" i="47"/>
  <c r="G311" i="47"/>
  <c r="B335" i="47"/>
  <c r="A337" i="47"/>
  <c r="A338" i="47" s="1"/>
  <c r="N280" i="47"/>
  <c r="H280" i="47"/>
  <c r="A117" i="47"/>
  <c r="A118" i="47" s="1"/>
  <c r="B109" i="47"/>
  <c r="G100" i="114"/>
  <c r="F100" i="114"/>
  <c r="F23" i="112"/>
  <c r="G141" i="113"/>
  <c r="I141" i="113"/>
  <c r="G352" i="47"/>
  <c r="H216" i="47"/>
  <c r="H218" i="47"/>
  <c r="H220" i="47"/>
  <c r="H213" i="47"/>
  <c r="V546" i="94"/>
  <c r="M211" i="94"/>
  <c r="H214" i="47"/>
  <c r="N273" i="47"/>
  <c r="H273" i="47"/>
  <c r="H104" i="47"/>
  <c r="H102" i="47"/>
  <c r="P208" i="75"/>
  <c r="Q208" i="75"/>
  <c r="H132" i="75"/>
  <c r="H131" i="75"/>
  <c r="G109" i="47"/>
  <c r="G118" i="47"/>
  <c r="G335" i="47"/>
  <c r="AP76" i="82"/>
  <c r="AP219" i="82" s="1"/>
  <c r="AN72" i="82"/>
  <c r="S216" i="94"/>
  <c r="E11" i="55"/>
  <c r="C11" i="55"/>
  <c r="T72" i="82"/>
  <c r="G251" i="47"/>
  <c r="O33" i="77"/>
  <c r="F14" i="59" s="1"/>
  <c r="P33" i="77"/>
  <c r="G14" i="59" s="1"/>
  <c r="H176" i="75"/>
  <c r="O176" i="75"/>
  <c r="D14" i="59"/>
  <c r="H215" i="47"/>
  <c r="AA155" i="98"/>
  <c r="N317" i="47"/>
  <c r="M9" i="65"/>
  <c r="F51" i="101"/>
  <c r="H212" i="47"/>
  <c r="L12" i="59"/>
  <c r="K12" i="59"/>
  <c r="M12" i="59"/>
  <c r="G8" i="43"/>
  <c r="H9" i="43"/>
  <c r="AC546" i="94"/>
  <c r="Y94" i="98"/>
  <c r="P43" i="98"/>
  <c r="M45" i="98" s="1"/>
  <c r="B11" i="55"/>
  <c r="I11" i="55"/>
  <c r="A52" i="77"/>
  <c r="A53" i="77" s="1"/>
  <c r="Q357" i="47"/>
  <c r="R357" i="47"/>
  <c r="D11" i="55"/>
  <c r="H210" i="47"/>
  <c r="H106" i="47"/>
  <c r="R318" i="47"/>
  <c r="P318" i="47"/>
  <c r="G135" i="113"/>
  <c r="G15" i="108"/>
  <c r="G16" i="108" s="1"/>
  <c r="G14" i="108"/>
  <c r="H10" i="43"/>
  <c r="E8" i="43"/>
  <c r="H211" i="47"/>
  <c r="L349" i="109"/>
  <c r="K349" i="109"/>
  <c r="K350" i="109" s="1"/>
  <c r="G303" i="47"/>
  <c r="F99" i="114"/>
  <c r="G90" i="100"/>
  <c r="F90" i="100"/>
  <c r="I19" i="107"/>
  <c r="H18" i="58"/>
  <c r="H181" i="47"/>
  <c r="H180" i="47"/>
  <c r="H183" i="47"/>
  <c r="H182" i="47"/>
  <c r="G5" i="43"/>
  <c r="N22" i="75"/>
  <c r="E10" i="55" s="1"/>
  <c r="J10" i="55" s="1"/>
  <c r="G245" i="79"/>
  <c r="J135" i="94"/>
  <c r="O134" i="94"/>
  <c r="G14" i="57"/>
  <c r="G15" i="57"/>
  <c r="G16" i="57" s="1"/>
  <c r="H26" i="77"/>
  <c r="H27" i="77"/>
  <c r="H31" i="77"/>
  <c r="H29" i="77"/>
  <c r="H25" i="77"/>
  <c r="Q358" i="47"/>
  <c r="P358" i="47"/>
  <c r="H247" i="47"/>
  <c r="H241" i="47"/>
  <c r="J270" i="109"/>
  <c r="N286" i="47"/>
  <c r="Q251" i="47"/>
  <c r="B97" i="47"/>
  <c r="E13" i="43"/>
  <c r="C11" i="109" s="1"/>
  <c r="H244" i="109" s="1"/>
  <c r="J244" i="109" s="1"/>
  <c r="H239" i="47"/>
  <c r="V316" i="98"/>
  <c r="AA315" i="98" s="1"/>
  <c r="O271" i="94"/>
  <c r="O354" i="94"/>
  <c r="O355" i="94"/>
  <c r="P368" i="94" s="1"/>
  <c r="R363" i="47"/>
  <c r="P363" i="47"/>
  <c r="Q363" i="47"/>
  <c r="J146" i="94"/>
  <c r="O403" i="94"/>
  <c r="G16" i="107"/>
  <c r="G17" i="107" s="1"/>
  <c r="M8" i="46"/>
  <c r="Z84" i="100"/>
  <c r="BD129" i="113"/>
  <c r="G364" i="47" s="1"/>
  <c r="O135" i="72"/>
  <c r="G10" i="47" s="1"/>
  <c r="G135" i="72"/>
  <c r="W257" i="98"/>
  <c r="AI44" i="84"/>
  <c r="F38" i="73"/>
  <c r="F39" i="80"/>
  <c r="H39" i="80" s="1"/>
  <c r="F26" i="73"/>
  <c r="H26" i="73" s="1"/>
  <c r="G14" i="58"/>
  <c r="G15" i="45"/>
  <c r="AC84" i="100"/>
  <c r="AT129" i="113"/>
  <c r="AL129" i="113"/>
  <c r="AU93" i="114"/>
  <c r="G316" i="47" s="1"/>
  <c r="V93" i="114"/>
  <c r="AG93" i="114"/>
  <c r="BC245" i="79"/>
  <c r="U84" i="100"/>
  <c r="G200" i="75" s="1"/>
  <c r="AT245" i="79"/>
  <c r="G180" i="75" s="1"/>
  <c r="BC129" i="113"/>
  <c r="G365" i="47" s="1"/>
  <c r="F133" i="72"/>
  <c r="S93" i="114"/>
  <c r="G167" i="47" s="1"/>
  <c r="P140" i="79"/>
  <c r="P245" i="79" s="1"/>
  <c r="G69" i="75" s="1"/>
  <c r="AR99" i="79"/>
  <c r="R64" i="77"/>
  <c r="R62" i="77" s="1"/>
  <c r="Q64" i="77"/>
  <c r="Q62" i="77" s="1"/>
  <c r="Q137" i="75"/>
  <c r="Q129" i="75" s="1"/>
  <c r="P137" i="75"/>
  <c r="P129" i="75" s="1"/>
  <c r="Q84" i="75"/>
  <c r="F135" i="72"/>
  <c r="AF554" i="94"/>
  <c r="X556" i="94" s="1"/>
  <c r="U282" i="94"/>
  <c r="I35" i="78"/>
  <c r="C459" i="82"/>
  <c r="N8" i="59"/>
  <c r="K8" i="59"/>
  <c r="H11" i="73"/>
  <c r="F11" i="33" s="1"/>
  <c r="H11" i="33" s="1"/>
  <c r="J11" i="33" s="1"/>
  <c r="R290" i="98"/>
  <c r="Y290" i="98" s="1"/>
  <c r="J34" i="70"/>
  <c r="AA84" i="100"/>
  <c r="D84" i="100"/>
  <c r="O93" i="114"/>
  <c r="Y93" i="114"/>
  <c r="Y245" i="79"/>
  <c r="AM245" i="79"/>
  <c r="G185" i="75" s="1"/>
  <c r="AD245" i="79"/>
  <c r="G173" i="75" s="1"/>
  <c r="O173" i="75" s="1"/>
  <c r="F245" i="79"/>
  <c r="F129" i="113"/>
  <c r="I136" i="113" s="1"/>
  <c r="P93" i="114"/>
  <c r="G61" i="47" s="1"/>
  <c r="AQ93" i="114"/>
  <c r="G297" i="47" s="1"/>
  <c r="K129" i="113"/>
  <c r="H104" i="72"/>
  <c r="R347" i="47"/>
  <c r="AB84" i="100"/>
  <c r="O84" i="100"/>
  <c r="I84" i="100"/>
  <c r="BE129" i="113"/>
  <c r="G366" i="47" s="1"/>
  <c r="AW129" i="113"/>
  <c r="C129" i="113"/>
  <c r="H93" i="114"/>
  <c r="L93" i="114"/>
  <c r="BD245" i="79"/>
  <c r="BA245" i="79"/>
  <c r="Y84" i="100"/>
  <c r="G209" i="75" s="1"/>
  <c r="E63" i="100"/>
  <c r="E84" i="100" s="1"/>
  <c r="F88" i="100" s="1"/>
  <c r="P93" i="75"/>
  <c r="AC245" i="79"/>
  <c r="G172" i="75" s="1"/>
  <c r="N172" i="75" s="1"/>
  <c r="N89" i="75"/>
  <c r="M32" i="118"/>
  <c r="BE135" i="72"/>
  <c r="AK135" i="72"/>
  <c r="M29" i="118"/>
  <c r="G34" i="124"/>
  <c r="L331" i="109"/>
  <c r="L330" i="109"/>
  <c r="L332" i="109"/>
  <c r="L333" i="109"/>
  <c r="C15" i="59"/>
  <c r="G15" i="59"/>
  <c r="H15" i="59"/>
  <c r="B15" i="59"/>
  <c r="D15" i="59"/>
  <c r="E15" i="59"/>
  <c r="F15" i="59"/>
  <c r="I15" i="59"/>
  <c r="F11" i="119"/>
  <c r="H132" i="47"/>
  <c r="H128" i="47"/>
  <c r="H129" i="47"/>
  <c r="H133" i="47"/>
  <c r="B101" i="75"/>
  <c r="A104" i="75"/>
  <c r="A105" i="75" s="1"/>
  <c r="D10" i="46"/>
  <c r="H30" i="47"/>
  <c r="H31" i="47"/>
  <c r="H130" i="47"/>
  <c r="G300" i="47"/>
  <c r="G299" i="47"/>
  <c r="G18" i="54"/>
  <c r="N263" i="47"/>
  <c r="H289" i="47"/>
  <c r="H271" i="47"/>
  <c r="G308" i="47"/>
  <c r="G272" i="47"/>
  <c r="H270" i="47"/>
  <c r="N270" i="47"/>
  <c r="P320" i="47"/>
  <c r="R320" i="47"/>
  <c r="Q320" i="47"/>
  <c r="G17" i="108"/>
  <c r="G18" i="108" s="1"/>
  <c r="I244" i="109"/>
  <c r="I245" i="109" s="1"/>
  <c r="O179" i="75"/>
  <c r="O181" i="75"/>
  <c r="N181" i="75"/>
  <c r="F39" i="112"/>
  <c r="F5" i="112"/>
  <c r="H64" i="75"/>
  <c r="H63" i="75"/>
  <c r="G12" i="56"/>
  <c r="E11" i="56"/>
  <c r="H17" i="75"/>
  <c r="H15" i="75"/>
  <c r="H16" i="75"/>
  <c r="D9" i="55"/>
  <c r="Q303" i="47"/>
  <c r="R303" i="47"/>
  <c r="P303" i="47"/>
  <c r="H121" i="47"/>
  <c r="H120" i="47"/>
  <c r="H122" i="47"/>
  <c r="R222" i="94"/>
  <c r="N176" i="75"/>
  <c r="J46" i="119"/>
  <c r="Q305" i="47"/>
  <c r="H72" i="47"/>
  <c r="T70" i="82"/>
  <c r="E9" i="65"/>
  <c r="J343" i="109"/>
  <c r="H110" i="47"/>
  <c r="H112" i="47"/>
  <c r="H114" i="47"/>
  <c r="H113" i="47"/>
  <c r="N13" i="59"/>
  <c r="M13" i="59"/>
  <c r="L13" i="59"/>
  <c r="F225" i="82"/>
  <c r="C200" i="82"/>
  <c r="O227" i="98"/>
  <c r="K189" i="109"/>
  <c r="J189" i="109" s="1"/>
  <c r="H138" i="47"/>
  <c r="H140" i="47"/>
  <c r="E16" i="43"/>
  <c r="G14" i="43"/>
  <c r="Q355" i="47"/>
  <c r="P355" i="47"/>
  <c r="G251" i="79"/>
  <c r="G169" i="75" s="1"/>
  <c r="H181" i="75" s="1"/>
  <c r="F251" i="79"/>
  <c r="H203" i="47"/>
  <c r="H198" i="47"/>
  <c r="R165" i="75"/>
  <c r="R160" i="75" s="1"/>
  <c r="P165" i="75"/>
  <c r="P160" i="75" s="1"/>
  <c r="F49" i="91"/>
  <c r="E57" i="91"/>
  <c r="E53" i="91"/>
  <c r="E52" i="91"/>
  <c r="E54" i="91"/>
  <c r="E55" i="91"/>
  <c r="E58" i="91"/>
  <c r="E56" i="91"/>
  <c r="E59" i="91"/>
  <c r="E51" i="91"/>
  <c r="G185" i="47"/>
  <c r="O18" i="92"/>
  <c r="L262" i="109"/>
  <c r="T209" i="94"/>
  <c r="S146" i="94"/>
  <c r="S144" i="94"/>
  <c r="H1539" i="96"/>
  <c r="F1539" i="96"/>
  <c r="G17" i="105"/>
  <c r="AA533" i="94"/>
  <c r="R533" i="94"/>
  <c r="H54" i="73"/>
  <c r="N120" i="98"/>
  <c r="AA207" i="96"/>
  <c r="AA217" i="96"/>
  <c r="AA210" i="96"/>
  <c r="AA208" i="96"/>
  <c r="AA222" i="96"/>
  <c r="AA218" i="96"/>
  <c r="AA213" i="96"/>
  <c r="N173" i="75"/>
  <c r="H65" i="47"/>
  <c r="H62" i="47"/>
  <c r="M186" i="94"/>
  <c r="M168" i="94"/>
  <c r="Y79" i="94"/>
  <c r="S74" i="94"/>
  <c r="O147" i="98"/>
  <c r="O146" i="98"/>
  <c r="R399" i="94"/>
  <c r="AD398" i="94"/>
  <c r="H1538" i="96"/>
  <c r="F1538" i="96"/>
  <c r="S535" i="94"/>
  <c r="AN10" i="95"/>
  <c r="AD10" i="95" s="1"/>
  <c r="Q256" i="82"/>
  <c r="D51" i="91"/>
  <c r="O13" i="65"/>
  <c r="O12" i="65"/>
  <c r="AB210" i="94"/>
  <c r="W170" i="94"/>
  <c r="M170" i="94"/>
  <c r="H15" i="103"/>
  <c r="H16" i="103" s="1"/>
  <c r="D53" i="91"/>
  <c r="D57" i="91"/>
  <c r="D55" i="91"/>
  <c r="D58" i="91"/>
  <c r="P209" i="75"/>
  <c r="R209" i="75"/>
  <c r="G88" i="100"/>
  <c r="G207" i="75"/>
  <c r="H172" i="75"/>
  <c r="O172" i="75"/>
  <c r="AG84" i="100"/>
  <c r="AE133" i="72"/>
  <c r="AE135" i="72" s="1"/>
  <c r="G274" i="47" s="1"/>
  <c r="S523" i="94"/>
  <c r="W549" i="94" s="1"/>
  <c r="AB549" i="94" s="1"/>
  <c r="F1521" i="96"/>
  <c r="F1530" i="96"/>
  <c r="F1531" i="96"/>
  <c r="H37" i="77"/>
  <c r="T84" i="100"/>
  <c r="AJ93" i="114"/>
  <c r="G10" i="77"/>
  <c r="D9" i="59" s="1"/>
  <c r="S84" i="100"/>
  <c r="H48" i="77"/>
  <c r="AH129" i="113"/>
  <c r="K84" i="100"/>
  <c r="G197" i="75" s="1"/>
  <c r="K245" i="79"/>
  <c r="G97" i="75" s="1"/>
  <c r="H98" i="75" s="1"/>
  <c r="BA129" i="113"/>
  <c r="G361" i="47" s="1"/>
  <c r="AF129" i="113"/>
  <c r="H34" i="77"/>
  <c r="AI84" i="100"/>
  <c r="AD84" i="100"/>
  <c r="E101" i="113"/>
  <c r="E129" i="113" s="1"/>
  <c r="I137" i="113" s="1"/>
  <c r="G354" i="47" s="1"/>
  <c r="O44" i="75"/>
  <c r="O57" i="75"/>
  <c r="C245" i="79"/>
  <c r="H133" i="72"/>
  <c r="H135" i="72" s="1"/>
  <c r="BF245" i="79"/>
  <c r="BC135" i="72"/>
  <c r="G323" i="47" s="1"/>
  <c r="AO135" i="72"/>
  <c r="Z135" i="72"/>
  <c r="AR62" i="79"/>
  <c r="AS100" i="79"/>
  <c r="AS97" i="79"/>
  <c r="AR124" i="79"/>
  <c r="W245" i="79"/>
  <c r="BG135" i="72"/>
  <c r="AS135" i="72"/>
  <c r="G296" i="47" s="1"/>
  <c r="R137" i="75"/>
  <c r="R129" i="75" s="1"/>
  <c r="R59" i="121"/>
  <c r="G307" i="47" l="1"/>
  <c r="G97" i="114"/>
  <c r="G267" i="47" s="1"/>
  <c r="H292" i="47" s="1"/>
  <c r="R60" i="98"/>
  <c r="U54" i="98"/>
  <c r="M55" i="98"/>
  <c r="U53" i="98"/>
  <c r="H147" i="75"/>
  <c r="H149" i="75"/>
  <c r="R342" i="47"/>
  <c r="R341" i="47" s="1"/>
  <c r="Q342" i="47" s="1"/>
  <c r="Q341" i="47" s="1"/>
  <c r="Q339" i="47" s="1"/>
  <c r="Q338" i="47" s="1"/>
  <c r="P339" i="47" s="1"/>
  <c r="P338" i="47" s="1"/>
  <c r="R336" i="47" s="1"/>
  <c r="R335" i="47" s="1"/>
  <c r="P336" i="47" s="1"/>
  <c r="P335" i="47" s="1"/>
  <c r="R333" i="47" s="1"/>
  <c r="R332" i="47" s="1"/>
  <c r="Q333" i="47" s="1"/>
  <c r="Q332" i="47" s="1"/>
  <c r="P333" i="47" s="1"/>
  <c r="P344" i="47"/>
  <c r="Q22" i="75"/>
  <c r="H10" i="55" s="1"/>
  <c r="M10" i="55" s="1"/>
  <c r="P35" i="75"/>
  <c r="G11" i="55" s="1"/>
  <c r="P322" i="47"/>
  <c r="J153" i="116"/>
  <c r="G310" i="47"/>
  <c r="H281" i="47"/>
  <c r="G282" i="47"/>
  <c r="N281" i="47"/>
  <c r="I18" i="45"/>
  <c r="I19" i="45" s="1"/>
  <c r="H52" i="75"/>
  <c r="H51" i="75"/>
  <c r="H50" i="75"/>
  <c r="J34" i="119"/>
  <c r="A48" i="47"/>
  <c r="A49" i="47" s="1"/>
  <c r="B36" i="47"/>
  <c r="Q322" i="47"/>
  <c r="F249" i="79"/>
  <c r="G249" i="79"/>
  <c r="H175" i="47"/>
  <c r="H176" i="47"/>
  <c r="H174" i="47"/>
  <c r="S29" i="94"/>
  <c r="S31" i="94" s="1"/>
  <c r="Y31" i="94" s="1"/>
  <c r="S16" i="94"/>
  <c r="S128" i="94"/>
  <c r="M11" i="59"/>
  <c r="M20" i="59" s="1"/>
  <c r="F9" i="58" s="1"/>
  <c r="F7" i="58" s="1"/>
  <c r="C4" i="109"/>
  <c r="BH341" i="82"/>
  <c r="E31" i="43"/>
  <c r="G31" i="43" s="1"/>
  <c r="H31" i="43" s="1"/>
  <c r="E30" i="43"/>
  <c r="G30" i="43" s="1"/>
  <c r="H30" i="43" s="1"/>
  <c r="E32" i="43"/>
  <c r="G32" i="43" s="1"/>
  <c r="H32" i="43" s="1"/>
  <c r="H55" i="47"/>
  <c r="H56" i="47"/>
  <c r="I18" i="105"/>
  <c r="I19" i="105" s="1"/>
  <c r="H161" i="75"/>
  <c r="G163" i="75"/>
  <c r="G162" i="75"/>
  <c r="S190" i="94"/>
  <c r="S191" i="94"/>
  <c r="F11" i="55"/>
  <c r="N171" i="75"/>
  <c r="H186" i="75"/>
  <c r="H178" i="75"/>
  <c r="O171" i="75"/>
  <c r="R50" i="94"/>
  <c r="R52" i="94"/>
  <c r="S55" i="94" s="1"/>
  <c r="AB389" i="94"/>
  <c r="Y389" i="94"/>
  <c r="G36" i="47"/>
  <c r="S129" i="94"/>
  <c r="S134" i="94" s="1"/>
  <c r="S135" i="94" s="1"/>
  <c r="S127" i="94"/>
  <c r="A56" i="75"/>
  <c r="A57" i="75" s="1"/>
  <c r="B44" i="75"/>
  <c r="I8" i="58"/>
  <c r="E10" i="115"/>
  <c r="H14" i="116"/>
  <c r="B44" i="119"/>
  <c r="G250" i="79"/>
  <c r="G168" i="75" s="1"/>
  <c r="F250" i="79"/>
  <c r="H70" i="75"/>
  <c r="H71" i="75"/>
  <c r="H72" i="75"/>
  <c r="N180" i="75"/>
  <c r="O180" i="75"/>
  <c r="G302" i="47"/>
  <c r="J141" i="72"/>
  <c r="G264" i="47" s="1"/>
  <c r="H141" i="72"/>
  <c r="G92" i="100"/>
  <c r="F92" i="100"/>
  <c r="L350" i="109"/>
  <c r="J350" i="109" s="1"/>
  <c r="AE556" i="94"/>
  <c r="O9" i="65"/>
  <c r="M7" i="65"/>
  <c r="O8" i="65"/>
  <c r="AC179" i="98"/>
  <c r="O179" i="98"/>
  <c r="H252" i="47"/>
  <c r="H253" i="47"/>
  <c r="H254" i="47"/>
  <c r="H279" i="47"/>
  <c r="R220" i="94"/>
  <c r="C226" i="94"/>
  <c r="R311" i="47"/>
  <c r="P311" i="47"/>
  <c r="Q311" i="47"/>
  <c r="U227" i="98"/>
  <c r="S85" i="98"/>
  <c r="N87" i="98" s="1"/>
  <c r="O203" i="98"/>
  <c r="N205" i="98"/>
  <c r="N228" i="98"/>
  <c r="Q94" i="98"/>
  <c r="Z96" i="98"/>
  <c r="U203" i="98"/>
  <c r="AS140" i="79"/>
  <c r="AS245" i="79" s="1"/>
  <c r="G188" i="75" s="1"/>
  <c r="N188" i="75" s="1"/>
  <c r="Z57" i="121"/>
  <c r="Z60" i="121" s="1"/>
  <c r="AB60" i="121" s="1"/>
  <c r="P366" i="47"/>
  <c r="Q366" i="47"/>
  <c r="R366" i="47"/>
  <c r="N297" i="47"/>
  <c r="H173" i="75"/>
  <c r="AD322" i="98"/>
  <c r="W322" i="98"/>
  <c r="AB312" i="98"/>
  <c r="J140" i="72"/>
  <c r="G306" i="47" s="1"/>
  <c r="G269" i="47"/>
  <c r="H169" i="47"/>
  <c r="H170" i="47"/>
  <c r="H168" i="47"/>
  <c r="N316" i="47"/>
  <c r="H316" i="47"/>
  <c r="H17" i="47"/>
  <c r="D9" i="46"/>
  <c r="H18" i="47"/>
  <c r="G18" i="107"/>
  <c r="G19" i="107" s="1"/>
  <c r="O317" i="94"/>
  <c r="Q277" i="94"/>
  <c r="N279" i="94" s="1"/>
  <c r="Z328" i="94"/>
  <c r="M11" i="55"/>
  <c r="L11" i="55"/>
  <c r="N11" i="55"/>
  <c r="A61" i="77"/>
  <c r="A62" i="77" s="1"/>
  <c r="B53" i="77"/>
  <c r="H8" i="43"/>
  <c r="G7" i="21" s="1"/>
  <c r="R313" i="47"/>
  <c r="P313" i="47"/>
  <c r="Q313" i="47"/>
  <c r="K331" i="109"/>
  <c r="J331" i="109" s="1"/>
  <c r="K332" i="109"/>
  <c r="J332" i="109" s="1"/>
  <c r="K330" i="109"/>
  <c r="J330" i="109" s="1"/>
  <c r="K333" i="109"/>
  <c r="J333" i="109" s="1"/>
  <c r="H156" i="47"/>
  <c r="G145" i="47"/>
  <c r="H157" i="47"/>
  <c r="H154" i="47"/>
  <c r="H155" i="47"/>
  <c r="H158" i="47"/>
  <c r="Q209" i="75"/>
  <c r="O209" i="75"/>
  <c r="H63" i="47"/>
  <c r="H64" i="47"/>
  <c r="N185" i="75"/>
  <c r="O185" i="75"/>
  <c r="H185" i="75"/>
  <c r="P364" i="47"/>
  <c r="Q364" i="47"/>
  <c r="R364" i="47"/>
  <c r="C5" i="109"/>
  <c r="BH342" i="82"/>
  <c r="E27" i="43"/>
  <c r="H317" i="47"/>
  <c r="G319" i="47"/>
  <c r="H123" i="47"/>
  <c r="H124" i="47"/>
  <c r="H119" i="47"/>
  <c r="Q352" i="47"/>
  <c r="R352" i="47"/>
  <c r="P352" i="47"/>
  <c r="A126" i="47"/>
  <c r="A127" i="47" s="1"/>
  <c r="B118" i="47"/>
  <c r="B338" i="47"/>
  <c r="A340" i="47"/>
  <c r="A341" i="47" s="1"/>
  <c r="J154" i="116"/>
  <c r="H157" i="116"/>
  <c r="H158" i="116" s="1"/>
  <c r="H159" i="116" s="1"/>
  <c r="N295" i="94"/>
  <c r="V288" i="94"/>
  <c r="S294" i="94"/>
  <c r="N289" i="94"/>
  <c r="V287" i="94"/>
  <c r="N293" i="94"/>
  <c r="P365" i="47"/>
  <c r="Q365" i="47"/>
  <c r="R365" i="47"/>
  <c r="G17" i="57"/>
  <c r="G18" i="57" s="1"/>
  <c r="U312" i="98"/>
  <c r="N315" i="47"/>
  <c r="N14" i="59"/>
  <c r="M14" i="59"/>
  <c r="L14" i="59"/>
  <c r="J14" i="59"/>
  <c r="K14" i="59"/>
  <c r="J11" i="55"/>
  <c r="H115" i="47"/>
  <c r="H111" i="47"/>
  <c r="G102" i="114"/>
  <c r="G265" i="47" s="1"/>
  <c r="F102" i="114"/>
  <c r="K11" i="55"/>
  <c r="O188" i="75"/>
  <c r="H17" i="103"/>
  <c r="H18" i="103" s="1"/>
  <c r="G223" i="47"/>
  <c r="G77" i="47"/>
  <c r="G356" i="47"/>
  <c r="G277" i="47"/>
  <c r="K30" i="70"/>
  <c r="K30" i="88"/>
  <c r="K29" i="56"/>
  <c r="K28" i="43"/>
  <c r="N299" i="47"/>
  <c r="H299" i="47"/>
  <c r="H274" i="47"/>
  <c r="N274" i="47"/>
  <c r="L15" i="59"/>
  <c r="K15" i="59"/>
  <c r="M15" i="59"/>
  <c r="N15" i="59"/>
  <c r="J15" i="59"/>
  <c r="N296" i="47"/>
  <c r="C258" i="79"/>
  <c r="BG72" i="82"/>
  <c r="M28" i="65"/>
  <c r="G190" i="75"/>
  <c r="U53" i="95"/>
  <c r="E28" i="65"/>
  <c r="E26" i="65"/>
  <c r="M26" i="65"/>
  <c r="R361" i="47"/>
  <c r="P361" i="47"/>
  <c r="Q361" i="47"/>
  <c r="Q360" i="47" s="1"/>
  <c r="L263" i="109"/>
  <c r="J263" i="109" s="1"/>
  <c r="K21" i="43"/>
  <c r="K23" i="70"/>
  <c r="K22" i="56"/>
  <c r="K23" i="88"/>
  <c r="L225" i="94"/>
  <c r="Q225" i="94"/>
  <c r="L9" i="55"/>
  <c r="J9" i="55"/>
  <c r="K9" i="55"/>
  <c r="G27" i="80"/>
  <c r="H27" i="80" s="1"/>
  <c r="H41" i="80" s="1"/>
  <c r="M9" i="55"/>
  <c r="N9" i="55"/>
  <c r="N300" i="47"/>
  <c r="G301" i="47"/>
  <c r="H300" i="47"/>
  <c r="H282" i="47"/>
  <c r="N282" i="47"/>
  <c r="B105" i="75"/>
  <c r="A115" i="75"/>
  <c r="A116" i="75" s="1"/>
  <c r="P354" i="47"/>
  <c r="R354" i="47"/>
  <c r="Q354" i="47"/>
  <c r="AC535" i="94"/>
  <c r="V538" i="94" s="1"/>
  <c r="V539" i="94" s="1"/>
  <c r="V536" i="94"/>
  <c r="G49" i="91"/>
  <c r="F59" i="91"/>
  <c r="F53" i="91"/>
  <c r="F56" i="91"/>
  <c r="F57" i="91"/>
  <c r="F54" i="91"/>
  <c r="F51" i="91"/>
  <c r="F52" i="91"/>
  <c r="F55" i="91"/>
  <c r="F58" i="91"/>
  <c r="G11" i="56"/>
  <c r="H12" i="56"/>
  <c r="H11" i="56" s="1"/>
  <c r="H272" i="47"/>
  <c r="N272" i="47"/>
  <c r="H142" i="72"/>
  <c r="J142" i="72"/>
  <c r="G304" i="47"/>
  <c r="H169" i="75"/>
  <c r="N169" i="75"/>
  <c r="O169" i="75"/>
  <c r="P323" i="47"/>
  <c r="R323" i="47"/>
  <c r="Q323" i="47"/>
  <c r="G105" i="75"/>
  <c r="G77" i="75"/>
  <c r="AR140" i="79"/>
  <c r="AR245" i="79" s="1"/>
  <c r="G187" i="75" s="1"/>
  <c r="N9" i="59"/>
  <c r="N19" i="59" s="1"/>
  <c r="F11" i="57" s="1"/>
  <c r="I11" i="57" s="1"/>
  <c r="J9" i="59"/>
  <c r="J19" i="59" s="1"/>
  <c r="L9" i="59"/>
  <c r="L19" i="59" s="1"/>
  <c r="F8" i="57" s="1"/>
  <c r="M9" i="59"/>
  <c r="M19" i="59" s="1"/>
  <c r="F9" i="57" s="1"/>
  <c r="I9" i="57" s="1"/>
  <c r="K9" i="59"/>
  <c r="K19" i="59" s="1"/>
  <c r="P207" i="75"/>
  <c r="P206" i="75" s="1"/>
  <c r="O207" i="75"/>
  <c r="R207" i="75"/>
  <c r="R206" i="75" s="1"/>
  <c r="Q207" i="75"/>
  <c r="AD413" i="94"/>
  <c r="P413" i="94"/>
  <c r="M106" i="94"/>
  <c r="M109" i="94"/>
  <c r="S111" i="94" s="1"/>
  <c r="G18" i="105"/>
  <c r="G19" i="105" s="1"/>
  <c r="H191" i="47"/>
  <c r="H186" i="47"/>
  <c r="H193" i="47"/>
  <c r="H190" i="47"/>
  <c r="H189" i="47"/>
  <c r="H192" i="47"/>
  <c r="H188" i="47"/>
  <c r="H187" i="47"/>
  <c r="H14" i="43"/>
  <c r="H6" i="112"/>
  <c r="H245" i="109"/>
  <c r="J245" i="109"/>
  <c r="Q308" i="47"/>
  <c r="R308" i="47"/>
  <c r="P308" i="47"/>
  <c r="P310" i="47"/>
  <c r="Q310" i="47"/>
  <c r="R310" i="47"/>
  <c r="K10" i="46"/>
  <c r="G37" i="73"/>
  <c r="H37" i="73" s="1"/>
  <c r="G34" i="73"/>
  <c r="H34" i="73" s="1"/>
  <c r="T72" i="98" l="1"/>
  <c r="T67" i="98"/>
  <c r="AD94" i="98"/>
  <c r="Q307" i="47"/>
  <c r="G15" i="43" s="1"/>
  <c r="R307" i="47"/>
  <c r="P307" i="47"/>
  <c r="Q99" i="98"/>
  <c r="L103" i="98" s="1"/>
  <c r="AM107" i="98" s="1"/>
  <c r="R330" i="47"/>
  <c r="R329" i="47" s="1"/>
  <c r="Q330" i="47" s="1"/>
  <c r="Q329" i="47" s="1"/>
  <c r="P330" i="47" s="1"/>
  <c r="P329" i="47" s="1"/>
  <c r="Q327" i="47" s="1"/>
  <c r="Q326" i="47" s="1"/>
  <c r="P327" i="47" s="1"/>
  <c r="P326" i="47" s="1"/>
  <c r="N295" i="47" s="1"/>
  <c r="N294" i="47" s="1"/>
  <c r="N291" i="47" s="1"/>
  <c r="N289" i="47" s="1"/>
  <c r="N283" i="47" s="1"/>
  <c r="N267" i="47" s="1"/>
  <c r="R260" i="47" s="1"/>
  <c r="P259" i="47" s="1"/>
  <c r="R258" i="47" s="1"/>
  <c r="P332" i="47"/>
  <c r="J155" i="116"/>
  <c r="I7" i="58"/>
  <c r="F15" i="58"/>
  <c r="I15" i="58" s="1"/>
  <c r="D12" i="55"/>
  <c r="C12" i="55"/>
  <c r="H44" i="47"/>
  <c r="H43" i="47"/>
  <c r="B12" i="55"/>
  <c r="N162" i="75"/>
  <c r="H162" i="75"/>
  <c r="N164" i="109"/>
  <c r="N68" i="109"/>
  <c r="L390" i="109"/>
  <c r="L371" i="109"/>
  <c r="K196" i="109"/>
  <c r="N220" i="109"/>
  <c r="N176" i="109"/>
  <c r="L306" i="109"/>
  <c r="L281" i="109"/>
  <c r="A68" i="75"/>
  <c r="A69" i="75" s="1"/>
  <c r="B57" i="75"/>
  <c r="N163" i="75"/>
  <c r="H163" i="75"/>
  <c r="E12" i="55"/>
  <c r="S27" i="94"/>
  <c r="S36" i="94"/>
  <c r="F11" i="46"/>
  <c r="D11" i="46"/>
  <c r="B11" i="46"/>
  <c r="C11" i="46"/>
  <c r="H12" i="55"/>
  <c r="I9" i="58"/>
  <c r="F13" i="58"/>
  <c r="I13" i="58" s="1"/>
  <c r="A60" i="47"/>
  <c r="A61" i="47" s="1"/>
  <c r="B49" i="47"/>
  <c r="I12" i="55"/>
  <c r="N12" i="55" s="1"/>
  <c r="F12" i="55"/>
  <c r="K12" i="55" s="1"/>
  <c r="G12" i="55"/>
  <c r="P360" i="47"/>
  <c r="H15" i="116"/>
  <c r="J15" i="116" s="1"/>
  <c r="F15" i="116"/>
  <c r="N265" i="47"/>
  <c r="H290" i="47"/>
  <c r="H265" i="47"/>
  <c r="A343" i="47"/>
  <c r="A344" i="47" s="1"/>
  <c r="B341" i="47"/>
  <c r="G27" i="43"/>
  <c r="H27" i="43" s="1"/>
  <c r="A65" i="77"/>
  <c r="A66" i="77" s="1"/>
  <c r="B62" i="77"/>
  <c r="O233" i="98"/>
  <c r="O234" i="98"/>
  <c r="Q236" i="98" s="1"/>
  <c r="N238" i="98" s="1"/>
  <c r="V238" i="98" s="1"/>
  <c r="E240" i="98" s="1"/>
  <c r="K30" i="56"/>
  <c r="K29" i="43"/>
  <c r="K31" i="70"/>
  <c r="K31" i="88"/>
  <c r="H188" i="75"/>
  <c r="W307" i="94"/>
  <c r="N308" i="94"/>
  <c r="O319" i="94" s="1"/>
  <c r="U330" i="94"/>
  <c r="W302" i="94"/>
  <c r="N303" i="94"/>
  <c r="G330" i="94"/>
  <c r="AE330" i="94"/>
  <c r="K333" i="94"/>
  <c r="U337" i="94" s="1"/>
  <c r="AP341" i="94" s="1"/>
  <c r="H147" i="47"/>
  <c r="H146" i="47"/>
  <c r="H150" i="47"/>
  <c r="H148" i="47"/>
  <c r="H149" i="47"/>
  <c r="H268" i="47"/>
  <c r="H298" i="47"/>
  <c r="N269" i="47"/>
  <c r="H263" i="47"/>
  <c r="O210" i="98"/>
  <c r="O211" i="98"/>
  <c r="Q213" i="98" s="1"/>
  <c r="N215" i="98" s="1"/>
  <c r="V215" i="98" s="1"/>
  <c r="E217" i="98" s="1"/>
  <c r="M6" i="65"/>
  <c r="O7" i="65"/>
  <c r="O14" i="65"/>
  <c r="G4" i="112"/>
  <c r="H285" i="47"/>
  <c r="N264" i="47"/>
  <c r="U301" i="94"/>
  <c r="AE328" i="94"/>
  <c r="U306" i="94"/>
  <c r="Q319" i="47"/>
  <c r="Q315" i="47" s="1"/>
  <c r="P319" i="47"/>
  <c r="P315" i="47" s="1"/>
  <c r="R319" i="47"/>
  <c r="R315" i="47" s="1"/>
  <c r="N232" i="109"/>
  <c r="O152" i="109"/>
  <c r="O32" i="109"/>
  <c r="K208" i="109"/>
  <c r="O20" i="109"/>
  <c r="O44" i="109"/>
  <c r="G56" i="109"/>
  <c r="O140" i="109"/>
  <c r="G38" i="73"/>
  <c r="H38" i="73" s="1"/>
  <c r="K9" i="46"/>
  <c r="Q306" i="47"/>
  <c r="R306" i="47"/>
  <c r="P306" i="47"/>
  <c r="R302" i="47"/>
  <c r="Q302" i="47"/>
  <c r="P302" i="47"/>
  <c r="H184" i="75"/>
  <c r="H171" i="75"/>
  <c r="H168" i="75"/>
  <c r="N168" i="75"/>
  <c r="O168" i="75"/>
  <c r="Q206" i="75"/>
  <c r="R360" i="47"/>
  <c r="B127" i="47"/>
  <c r="A135" i="47"/>
  <c r="A136" i="47" s="1"/>
  <c r="G17" i="59"/>
  <c r="F16" i="59"/>
  <c r="E17" i="59"/>
  <c r="B16" i="59"/>
  <c r="D16" i="59"/>
  <c r="B17" i="59"/>
  <c r="D17" i="59"/>
  <c r="I17" i="59"/>
  <c r="G16" i="59"/>
  <c r="C17" i="59"/>
  <c r="H16" i="59"/>
  <c r="F17" i="59"/>
  <c r="H17" i="59"/>
  <c r="C16" i="59"/>
  <c r="I16" i="59"/>
  <c r="E16" i="59"/>
  <c r="AB327" i="98"/>
  <c r="Q332" i="98" s="1"/>
  <c r="Z332" i="98" s="1"/>
  <c r="Q327" i="98"/>
  <c r="H297" i="47"/>
  <c r="O180" i="98"/>
  <c r="O181" i="98"/>
  <c r="Q183" i="98" s="1"/>
  <c r="N185" i="98" s="1"/>
  <c r="V185" i="98" s="1"/>
  <c r="F188" i="98" s="1"/>
  <c r="H180" i="75"/>
  <c r="D21" i="43"/>
  <c r="E21" i="43"/>
  <c r="BG73" i="82"/>
  <c r="AP73" i="82"/>
  <c r="T73" i="82"/>
  <c r="D30" i="88"/>
  <c r="E30" i="88"/>
  <c r="H30" i="88" s="1"/>
  <c r="H79" i="47"/>
  <c r="H78" i="47"/>
  <c r="N187" i="75"/>
  <c r="O187" i="75"/>
  <c r="G189" i="75"/>
  <c r="H187" i="75"/>
  <c r="V537" i="94"/>
  <c r="R561" i="94" s="1"/>
  <c r="AC561" i="94"/>
  <c r="R566" i="94" s="1"/>
  <c r="AA566" i="94" s="1"/>
  <c r="D23" i="88"/>
  <c r="E23" i="88"/>
  <c r="Y264" i="82"/>
  <c r="BC264" i="82" s="1"/>
  <c r="J34" i="88"/>
  <c r="C25" i="81"/>
  <c r="D30" i="70"/>
  <c r="E30" i="70"/>
  <c r="H30" i="70" s="1"/>
  <c r="H228" i="47"/>
  <c r="H226" i="47"/>
  <c r="H225" i="47"/>
  <c r="H224" i="47"/>
  <c r="H234" i="47"/>
  <c r="H232" i="47"/>
  <c r="H230" i="47"/>
  <c r="H231" i="47"/>
  <c r="H229" i="47"/>
  <c r="H233" i="47"/>
  <c r="H227" i="47"/>
  <c r="D6" i="112"/>
  <c r="F6" i="112"/>
  <c r="F13" i="112"/>
  <c r="D13" i="112"/>
  <c r="N206" i="75"/>
  <c r="O206" i="75"/>
  <c r="I8" i="57"/>
  <c r="F7" i="57"/>
  <c r="P304" i="47"/>
  <c r="Q304" i="47"/>
  <c r="R304" i="47"/>
  <c r="B116" i="75"/>
  <c r="A128" i="75"/>
  <c r="A129" i="75" s="1"/>
  <c r="D22" i="56"/>
  <c r="E22" i="56"/>
  <c r="O25" i="65"/>
  <c r="O26" i="65"/>
  <c r="Q190" i="75"/>
  <c r="Q167" i="75" s="1"/>
  <c r="R190" i="75"/>
  <c r="R167" i="75" s="1"/>
  <c r="O190" i="75"/>
  <c r="P190" i="75"/>
  <c r="P167" i="75" s="1"/>
  <c r="D28" i="43"/>
  <c r="E28" i="43"/>
  <c r="G276" i="47"/>
  <c r="H277" i="47"/>
  <c r="P415" i="94"/>
  <c r="R417" i="94" s="1"/>
  <c r="O419" i="94" s="1"/>
  <c r="W419" i="94" s="1"/>
  <c r="G422" i="94" s="1"/>
  <c r="P414" i="94"/>
  <c r="H113" i="75"/>
  <c r="H108" i="75"/>
  <c r="H110" i="75"/>
  <c r="H112" i="75"/>
  <c r="H111" i="75"/>
  <c r="H107" i="75"/>
  <c r="H109" i="75"/>
  <c r="H106" i="75"/>
  <c r="H144" i="72"/>
  <c r="J144" i="72"/>
  <c r="G266" i="47" s="1"/>
  <c r="G59" i="91"/>
  <c r="H49" i="91"/>
  <c r="G58" i="91"/>
  <c r="G57" i="91"/>
  <c r="G53" i="91"/>
  <c r="G52" i="91"/>
  <c r="G56" i="91"/>
  <c r="G51" i="91"/>
  <c r="G55" i="91"/>
  <c r="G54" i="91"/>
  <c r="H301" i="47"/>
  <c r="N301" i="47"/>
  <c r="E23" i="70"/>
  <c r="D23" i="70"/>
  <c r="O27" i="65"/>
  <c r="O28" i="65"/>
  <c r="M30" i="65"/>
  <c r="D29" i="56"/>
  <c r="E29" i="56"/>
  <c r="H29" i="56" s="1"/>
  <c r="Q356" i="47"/>
  <c r="Q351" i="47" s="1"/>
  <c r="R356" i="47"/>
  <c r="R351" i="47" s="1"/>
  <c r="P356" i="47"/>
  <c r="P351" i="47" s="1"/>
  <c r="AM108" i="98" l="1"/>
  <c r="AM120" i="98"/>
  <c r="H15" i="43"/>
  <c r="G13" i="43"/>
  <c r="N160" i="75"/>
  <c r="P257" i="47"/>
  <c r="R251" i="47"/>
  <c r="P164" i="109"/>
  <c r="O164" i="109"/>
  <c r="F16" i="58"/>
  <c r="B12" i="46"/>
  <c r="G12" i="46"/>
  <c r="C12" i="46"/>
  <c r="D12" i="46"/>
  <c r="A76" i="75"/>
  <c r="A77" i="75" s="1"/>
  <c r="B69" i="75"/>
  <c r="P220" i="109"/>
  <c r="O220" i="109"/>
  <c r="P68" i="109"/>
  <c r="O68" i="109"/>
  <c r="M12" i="55"/>
  <c r="L12" i="55"/>
  <c r="J12" i="55"/>
  <c r="M281" i="109"/>
  <c r="N281" i="109"/>
  <c r="M196" i="109"/>
  <c r="L196" i="109"/>
  <c r="N306" i="109"/>
  <c r="M306" i="109"/>
  <c r="N371" i="109"/>
  <c r="M371" i="109"/>
  <c r="F14" i="58"/>
  <c r="I14" i="58" s="1"/>
  <c r="B61" i="47"/>
  <c r="A69" i="47"/>
  <c r="A70" i="47" s="1"/>
  <c r="K11" i="46"/>
  <c r="G35" i="73"/>
  <c r="H35" i="73" s="1"/>
  <c r="H40" i="73" s="1"/>
  <c r="I13" i="55"/>
  <c r="B13" i="55"/>
  <c r="E13" i="55"/>
  <c r="E14" i="55"/>
  <c r="G13" i="55"/>
  <c r="C13" i="55"/>
  <c r="D13" i="55"/>
  <c r="F13" i="55"/>
  <c r="H13" i="55"/>
  <c r="P176" i="109"/>
  <c r="O176" i="109"/>
  <c r="N390" i="109"/>
  <c r="M390" i="109"/>
  <c r="Q44" i="109"/>
  <c r="P44" i="109"/>
  <c r="P152" i="109"/>
  <c r="Q152" i="109"/>
  <c r="E30" i="56"/>
  <c r="D30" i="56"/>
  <c r="B66" i="77"/>
  <c r="A80" i="77"/>
  <c r="A346" i="47"/>
  <c r="A347" i="47" s="1"/>
  <c r="B344" i="47"/>
  <c r="Q336" i="98"/>
  <c r="X336" i="98"/>
  <c r="Q337" i="98" s="1"/>
  <c r="N16" i="59"/>
  <c r="K16" i="59"/>
  <c r="L16" i="59"/>
  <c r="J16" i="59"/>
  <c r="M16" i="59"/>
  <c r="Q20" i="109"/>
  <c r="P20" i="109"/>
  <c r="O232" i="109"/>
  <c r="P232" i="109"/>
  <c r="O439" i="94"/>
  <c r="T319" i="94"/>
  <c r="O321" i="94" s="1"/>
  <c r="V437" i="94"/>
  <c r="R328" i="94"/>
  <c r="P461" i="94"/>
  <c r="AA330" i="94"/>
  <c r="R333" i="94" s="1"/>
  <c r="M337" i="94" s="1"/>
  <c r="AN341" i="94" s="1"/>
  <c r="O462" i="94"/>
  <c r="P437" i="94"/>
  <c r="V461" i="94"/>
  <c r="E31" i="88"/>
  <c r="G31" i="88" s="1"/>
  <c r="H31" i="88" s="1"/>
  <c r="D31" i="88"/>
  <c r="H125" i="116"/>
  <c r="F115" i="116"/>
  <c r="H117" i="116"/>
  <c r="B136" i="47"/>
  <c r="A144" i="47"/>
  <c r="A145" i="47" s="1"/>
  <c r="P140" i="109"/>
  <c r="Q140" i="109"/>
  <c r="M208" i="109"/>
  <c r="L208" i="109"/>
  <c r="O6" i="65"/>
  <c r="E19" i="70"/>
  <c r="G19" i="70" s="1"/>
  <c r="H19" i="70" s="1"/>
  <c r="AS16" i="84"/>
  <c r="E31" i="70"/>
  <c r="D31" i="70"/>
  <c r="J17" i="59"/>
  <c r="K17" i="59"/>
  <c r="N17" i="59"/>
  <c r="L17" i="59"/>
  <c r="M17" i="59"/>
  <c r="I56" i="109"/>
  <c r="H56" i="109"/>
  <c r="P32" i="109"/>
  <c r="Q32" i="109"/>
  <c r="D29" i="43"/>
  <c r="E29" i="43"/>
  <c r="E26" i="43" s="1"/>
  <c r="D18" i="59"/>
  <c r="H18" i="59"/>
  <c r="B18" i="59"/>
  <c r="F18" i="59"/>
  <c r="C18" i="59"/>
  <c r="H295" i="47"/>
  <c r="N266" i="47"/>
  <c r="H291" i="47"/>
  <c r="H266" i="47"/>
  <c r="H293" i="47"/>
  <c r="H269" i="47"/>
  <c r="H264" i="47"/>
  <c r="H296" i="47"/>
  <c r="I7" i="57"/>
  <c r="F13" i="57"/>
  <c r="I13" i="57" s="1"/>
  <c r="F15" i="112"/>
  <c r="I16" i="58"/>
  <c r="E15" i="56" s="1"/>
  <c r="F17" i="58"/>
  <c r="I17" i="58" s="1"/>
  <c r="N189" i="75"/>
  <c r="N167" i="75" s="1"/>
  <c r="O189" i="75"/>
  <c r="O167" i="75" s="1"/>
  <c r="H189" i="75"/>
  <c r="O29" i="65"/>
  <c r="O30" i="65"/>
  <c r="G23" i="70"/>
  <c r="H23" i="70" s="1"/>
  <c r="H51" i="91"/>
  <c r="H54" i="91"/>
  <c r="H58" i="91"/>
  <c r="H55" i="91"/>
  <c r="H53" i="91"/>
  <c r="I49" i="91"/>
  <c r="H59" i="91"/>
  <c r="H56" i="91"/>
  <c r="H52" i="91"/>
  <c r="H57" i="91"/>
  <c r="N276" i="47"/>
  <c r="H276" i="47"/>
  <c r="G309" i="47"/>
  <c r="G22" i="56"/>
  <c r="H22" i="56" s="1"/>
  <c r="F8" i="112"/>
  <c r="F9" i="112"/>
  <c r="F4" i="112" s="1"/>
  <c r="H28" i="43"/>
  <c r="M24" i="65"/>
  <c r="R570" i="94"/>
  <c r="Y570" i="94"/>
  <c r="R571" i="94" s="1"/>
  <c r="AP74" i="82"/>
  <c r="T74" i="82"/>
  <c r="B129" i="75"/>
  <c r="A139" i="75"/>
  <c r="A140" i="75" s="1"/>
  <c r="G23" i="88"/>
  <c r="H23" i="88" s="1"/>
  <c r="G21" i="43"/>
  <c r="H21" i="43" s="1"/>
  <c r="H7" i="43" l="1"/>
  <c r="H6" i="43" s="1"/>
  <c r="H13" i="43"/>
  <c r="AL121" i="98"/>
  <c r="AM109" i="98"/>
  <c r="N256" i="47"/>
  <c r="N255" i="47" s="1"/>
  <c r="N254" i="47" s="1"/>
  <c r="N253" i="47" s="1"/>
  <c r="N252" i="47" s="1"/>
  <c r="P251" i="47"/>
  <c r="N394" i="109"/>
  <c r="N318" i="109"/>
  <c r="N396" i="109"/>
  <c r="N400" i="109"/>
  <c r="N402" i="109"/>
  <c r="N392" i="109"/>
  <c r="N393" i="109"/>
  <c r="N314" i="109"/>
  <c r="N308" i="109"/>
  <c r="N399" i="109"/>
  <c r="N398" i="109"/>
  <c r="N317" i="109"/>
  <c r="N316" i="109"/>
  <c r="N311" i="109"/>
  <c r="N315" i="109"/>
  <c r="N309" i="109"/>
  <c r="N310" i="109"/>
  <c r="N312" i="109"/>
  <c r="N395" i="109"/>
  <c r="N401" i="109"/>
  <c r="M374" i="109"/>
  <c r="M300" i="109"/>
  <c r="L300" i="109" s="1"/>
  <c r="M289" i="109"/>
  <c r="L289" i="109" s="1"/>
  <c r="M380" i="109"/>
  <c r="L380" i="109" s="1"/>
  <c r="M292" i="109"/>
  <c r="L292" i="109" s="1"/>
  <c r="M285" i="109"/>
  <c r="L285" i="109" s="1"/>
  <c r="M286" i="109"/>
  <c r="L286" i="109" s="1"/>
  <c r="M287" i="109"/>
  <c r="M291" i="109"/>
  <c r="M381" i="109"/>
  <c r="M283" i="109"/>
  <c r="M284" i="109"/>
  <c r="M297" i="109"/>
  <c r="M296" i="109"/>
  <c r="M384" i="109"/>
  <c r="M298" i="109"/>
  <c r="M295" i="109"/>
  <c r="M382" i="109"/>
  <c r="M290" i="109"/>
  <c r="M299" i="109"/>
  <c r="L299" i="109" s="1"/>
  <c r="M293" i="109"/>
  <c r="L293" i="109" s="1"/>
  <c r="M376" i="109"/>
  <c r="L376" i="109" s="1"/>
  <c r="M383" i="109"/>
  <c r="M379" i="109"/>
  <c r="L379" i="109" s="1"/>
  <c r="M375" i="109"/>
  <c r="L375" i="109" s="1"/>
  <c r="M377" i="109"/>
  <c r="M373" i="109"/>
  <c r="O124" i="109"/>
  <c r="N124" i="109" s="1"/>
  <c r="O90" i="109"/>
  <c r="N90" i="109" s="1"/>
  <c r="O81" i="109"/>
  <c r="N81" i="109" s="1"/>
  <c r="O131" i="109"/>
  <c r="N131" i="109" s="1"/>
  <c r="O123" i="109"/>
  <c r="N123" i="109" s="1"/>
  <c r="O112" i="109"/>
  <c r="N112" i="109" s="1"/>
  <c r="O132" i="109"/>
  <c r="N132" i="109" s="1"/>
  <c r="O105" i="109"/>
  <c r="N105" i="109" s="1"/>
  <c r="O126" i="109"/>
  <c r="N126" i="109" s="1"/>
  <c r="O110" i="109"/>
  <c r="N110" i="109" s="1"/>
  <c r="O80" i="109"/>
  <c r="N80" i="109" s="1"/>
  <c r="O106" i="109"/>
  <c r="N106" i="109" s="1"/>
  <c r="O79" i="109"/>
  <c r="N79" i="109" s="1"/>
  <c r="O100" i="109"/>
  <c r="N100" i="109" s="1"/>
  <c r="O91" i="109"/>
  <c r="N91" i="109" s="1"/>
  <c r="O127" i="109"/>
  <c r="N127" i="109" s="1"/>
  <c r="O107" i="109"/>
  <c r="N107" i="109" s="1"/>
  <c r="O85" i="109"/>
  <c r="N85" i="109" s="1"/>
  <c r="O101" i="109"/>
  <c r="N101" i="109" s="1"/>
  <c r="O104" i="109"/>
  <c r="N104" i="109" s="1"/>
  <c r="O98" i="109"/>
  <c r="N98" i="109" s="1"/>
  <c r="O77" i="109"/>
  <c r="N77" i="109" s="1"/>
  <c r="O120" i="109"/>
  <c r="N120" i="109" s="1"/>
  <c r="O74" i="109"/>
  <c r="N74" i="109" s="1"/>
  <c r="O129" i="109"/>
  <c r="N129" i="109" s="1"/>
  <c r="O130" i="109"/>
  <c r="N130" i="109" s="1"/>
  <c r="O97" i="109"/>
  <c r="N97" i="109" s="1"/>
  <c r="O92" i="109"/>
  <c r="N92" i="109" s="1"/>
  <c r="O87" i="109"/>
  <c r="N87" i="109" s="1"/>
  <c r="O111" i="109"/>
  <c r="N111" i="109" s="1"/>
  <c r="O73" i="109"/>
  <c r="N73" i="109" s="1"/>
  <c r="O72" i="109"/>
  <c r="N72" i="109" s="1"/>
  <c r="O114" i="109"/>
  <c r="N114" i="109" s="1"/>
  <c r="O116" i="109"/>
  <c r="N116" i="109" s="1"/>
  <c r="O88" i="109"/>
  <c r="N88" i="109" s="1"/>
  <c r="O113" i="109"/>
  <c r="N113" i="109" s="1"/>
  <c r="O125" i="109"/>
  <c r="N125" i="109" s="1"/>
  <c r="O103" i="109"/>
  <c r="N103" i="109" s="1"/>
  <c r="O94" i="109"/>
  <c r="N94" i="109" s="1"/>
  <c r="O99" i="109"/>
  <c r="N99" i="109" s="1"/>
  <c r="O117" i="109"/>
  <c r="N117" i="109" s="1"/>
  <c r="O118" i="109"/>
  <c r="N118" i="109" s="1"/>
  <c r="O71" i="109"/>
  <c r="N71" i="109" s="1"/>
  <c r="O93" i="109"/>
  <c r="N93" i="109" s="1"/>
  <c r="O78" i="109"/>
  <c r="N78" i="109" s="1"/>
  <c r="O119" i="109"/>
  <c r="N119" i="109" s="1"/>
  <c r="O84" i="109"/>
  <c r="N84" i="109" s="1"/>
  <c r="O86" i="109"/>
  <c r="N86" i="109" s="1"/>
  <c r="O75" i="109"/>
  <c r="N75" i="109" s="1"/>
  <c r="O133" i="109"/>
  <c r="N133" i="109" s="1"/>
  <c r="I14" i="55"/>
  <c r="F14" i="55"/>
  <c r="G14" i="55"/>
  <c r="B14" i="55"/>
  <c r="H14" i="55"/>
  <c r="C14" i="55"/>
  <c r="D14" i="55"/>
  <c r="P169" i="109"/>
  <c r="P166" i="109"/>
  <c r="P167" i="109"/>
  <c r="P165" i="109"/>
  <c r="P168" i="109"/>
  <c r="O180" i="109"/>
  <c r="N180" i="109" s="1"/>
  <c r="O178" i="109"/>
  <c r="N178" i="109" s="1"/>
  <c r="O181" i="109"/>
  <c r="N181" i="109" s="1"/>
  <c r="O177" i="109"/>
  <c r="N177" i="109" s="1"/>
  <c r="O179" i="109"/>
  <c r="N179" i="109" s="1"/>
  <c r="N13" i="55"/>
  <c r="L13" i="55"/>
  <c r="M13" i="55"/>
  <c r="J13" i="55"/>
  <c r="K13" i="55"/>
  <c r="L198" i="109"/>
  <c r="K198" i="109" s="1"/>
  <c r="L201" i="109"/>
  <c r="K201" i="109" s="1"/>
  <c r="L197" i="109"/>
  <c r="L200" i="109"/>
  <c r="K200" i="109" s="1"/>
  <c r="L199" i="109"/>
  <c r="P80" i="109"/>
  <c r="P88" i="109"/>
  <c r="P105" i="109"/>
  <c r="P124" i="109"/>
  <c r="P125" i="109"/>
  <c r="P90" i="109"/>
  <c r="P116" i="109"/>
  <c r="P103" i="109"/>
  <c r="P93" i="109"/>
  <c r="P94" i="109"/>
  <c r="P73" i="109"/>
  <c r="P107" i="109"/>
  <c r="P130" i="109"/>
  <c r="P101" i="109"/>
  <c r="P114" i="109"/>
  <c r="P131" i="109"/>
  <c r="P120" i="109"/>
  <c r="P111" i="109"/>
  <c r="P79" i="109"/>
  <c r="P126" i="109"/>
  <c r="P77" i="109"/>
  <c r="P99" i="109"/>
  <c r="P97" i="109"/>
  <c r="P86" i="109"/>
  <c r="P100" i="109"/>
  <c r="P91" i="109"/>
  <c r="P84" i="109"/>
  <c r="P106" i="109"/>
  <c r="P112" i="109"/>
  <c r="P110" i="109"/>
  <c r="P117" i="109"/>
  <c r="P118" i="109"/>
  <c r="P113" i="109"/>
  <c r="P132" i="109"/>
  <c r="P104" i="109"/>
  <c r="P119" i="109"/>
  <c r="P78" i="109"/>
  <c r="P81" i="109"/>
  <c r="P127" i="109"/>
  <c r="P98" i="109"/>
  <c r="P74" i="109"/>
  <c r="P133" i="109"/>
  <c r="P85" i="109"/>
  <c r="P87" i="109"/>
  <c r="P92" i="109"/>
  <c r="P72" i="109"/>
  <c r="P123" i="109"/>
  <c r="P75" i="109"/>
  <c r="P71" i="109"/>
  <c r="P129" i="109"/>
  <c r="B77" i="75"/>
  <c r="A83" i="75"/>
  <c r="A84" i="75" s="1"/>
  <c r="P181" i="109"/>
  <c r="P179" i="109"/>
  <c r="P177" i="109"/>
  <c r="P180" i="109"/>
  <c r="P178" i="109"/>
  <c r="B70" i="47"/>
  <c r="A76" i="47"/>
  <c r="A77" i="47" s="1"/>
  <c r="M200" i="109"/>
  <c r="M201" i="109"/>
  <c r="K199" i="109"/>
  <c r="M199" i="109"/>
  <c r="M197" i="109"/>
  <c r="M198" i="109"/>
  <c r="K197" i="109"/>
  <c r="O225" i="109"/>
  <c r="O221" i="109"/>
  <c r="N221" i="109" s="1"/>
  <c r="O223" i="109"/>
  <c r="O222" i="109"/>
  <c r="O224" i="109"/>
  <c r="G15" i="55"/>
  <c r="I15" i="55"/>
  <c r="H15" i="55"/>
  <c r="G13" i="46"/>
  <c r="B13" i="46"/>
  <c r="D13" i="46"/>
  <c r="E13" i="46"/>
  <c r="F13" i="46"/>
  <c r="C13" i="46"/>
  <c r="M314" i="109"/>
  <c r="L314" i="109" s="1"/>
  <c r="M319" i="109"/>
  <c r="M394" i="109"/>
  <c r="L394" i="109" s="1"/>
  <c r="M399" i="109"/>
  <c r="L399" i="109" s="1"/>
  <c r="M315" i="109"/>
  <c r="L315" i="109" s="1"/>
  <c r="M311" i="109"/>
  <c r="L311" i="109" s="1"/>
  <c r="M401" i="109"/>
  <c r="L401" i="109" s="1"/>
  <c r="M402" i="109"/>
  <c r="L402" i="109" s="1"/>
  <c r="M396" i="109"/>
  <c r="L396" i="109" s="1"/>
  <c r="M403" i="109"/>
  <c r="M393" i="109"/>
  <c r="L393" i="109" s="1"/>
  <c r="M308" i="109"/>
  <c r="L308" i="109" s="1"/>
  <c r="M398" i="109"/>
  <c r="L398" i="109" s="1"/>
  <c r="M316" i="109"/>
  <c r="L316" i="109" s="1"/>
  <c r="M317" i="109"/>
  <c r="L317" i="109" s="1"/>
  <c r="M318" i="109"/>
  <c r="L318" i="109" s="1"/>
  <c r="M392" i="109"/>
  <c r="L392" i="109" s="1"/>
  <c r="M312" i="109"/>
  <c r="L312" i="109" s="1"/>
  <c r="M400" i="109"/>
  <c r="L400" i="109" s="1"/>
  <c r="M310" i="109"/>
  <c r="L310" i="109" s="1"/>
  <c r="M309" i="109"/>
  <c r="L309" i="109" s="1"/>
  <c r="M395" i="109"/>
  <c r="L395" i="109" s="1"/>
  <c r="N382" i="109"/>
  <c r="L382" i="109"/>
  <c r="L377" i="109"/>
  <c r="N374" i="109"/>
  <c r="L291" i="109"/>
  <c r="L373" i="109"/>
  <c r="N377" i="109"/>
  <c r="L283" i="109"/>
  <c r="L296" i="109"/>
  <c r="N292" i="109"/>
  <c r="N284" i="109"/>
  <c r="N289" i="109"/>
  <c r="L284" i="109"/>
  <c r="N379" i="109"/>
  <c r="N293" i="109"/>
  <c r="N383" i="109"/>
  <c r="N296" i="109"/>
  <c r="L384" i="109"/>
  <c r="L383" i="109"/>
  <c r="N298" i="109"/>
  <c r="N376" i="109"/>
  <c r="N381" i="109"/>
  <c r="N375" i="109"/>
  <c r="L297" i="109"/>
  <c r="N285" i="109"/>
  <c r="L374" i="109"/>
  <c r="N380" i="109"/>
  <c r="L287" i="109"/>
  <c r="L298" i="109"/>
  <c r="N295" i="109"/>
  <c r="N291" i="109"/>
  <c r="N290" i="109"/>
  <c r="N283" i="109"/>
  <c r="L290" i="109"/>
  <c r="N297" i="109"/>
  <c r="N286" i="109"/>
  <c r="N287" i="109"/>
  <c r="L381" i="109"/>
  <c r="L295" i="109"/>
  <c r="N299" i="109"/>
  <c r="N373" i="109"/>
  <c r="N225" i="109"/>
  <c r="N224" i="109"/>
  <c r="P221" i="109"/>
  <c r="N222" i="109"/>
  <c r="N223" i="109"/>
  <c r="P224" i="109"/>
  <c r="P223" i="109"/>
  <c r="P222" i="109"/>
  <c r="P225" i="109"/>
  <c r="L12" i="46"/>
  <c r="O165" i="109"/>
  <c r="N165" i="109" s="1"/>
  <c r="O168" i="109"/>
  <c r="N168" i="109" s="1"/>
  <c r="O166" i="109"/>
  <c r="N166" i="109" s="1"/>
  <c r="O169" i="109"/>
  <c r="N169" i="109" s="1"/>
  <c r="O167" i="109"/>
  <c r="N167" i="109" s="1"/>
  <c r="K18" i="59"/>
  <c r="M18" i="59"/>
  <c r="M21" i="59" s="1"/>
  <c r="F9" i="103" s="1"/>
  <c r="I9" i="103" s="1"/>
  <c r="P33" i="109"/>
  <c r="O33" i="109" s="1"/>
  <c r="P36" i="109"/>
  <c r="P37" i="109"/>
  <c r="P35" i="109"/>
  <c r="O35" i="109" s="1"/>
  <c r="P34" i="109"/>
  <c r="O34" i="109" s="1"/>
  <c r="Q145" i="109"/>
  <c r="Q141" i="109"/>
  <c r="Q142" i="109"/>
  <c r="Q144" i="109"/>
  <c r="Q143" i="109"/>
  <c r="P467" i="94"/>
  <c r="P468" i="94"/>
  <c r="R470" i="94" s="1"/>
  <c r="O472" i="94" s="1"/>
  <c r="W472" i="94" s="1"/>
  <c r="F474" i="94" s="1"/>
  <c r="O233" i="109"/>
  <c r="N233" i="109" s="1"/>
  <c r="O236" i="109"/>
  <c r="O235" i="109"/>
  <c r="O234" i="109"/>
  <c r="N234" i="109" s="1"/>
  <c r="O237" i="109"/>
  <c r="N237" i="109" s="1"/>
  <c r="Q156" i="109"/>
  <c r="Q153" i="109"/>
  <c r="Q155" i="109"/>
  <c r="Q154" i="109"/>
  <c r="Q157" i="109"/>
  <c r="F18" i="58"/>
  <c r="I18" i="58" s="1"/>
  <c r="G29" i="43"/>
  <c r="G26" i="43" s="1"/>
  <c r="H58" i="109"/>
  <c r="K20" i="70" s="1"/>
  <c r="H57" i="109"/>
  <c r="H60" i="109"/>
  <c r="H59" i="109"/>
  <c r="H61" i="109"/>
  <c r="P141" i="109"/>
  <c r="O141" i="109" s="1"/>
  <c r="P144" i="109"/>
  <c r="O144" i="109" s="1"/>
  <c r="P142" i="109"/>
  <c r="O142" i="109" s="1"/>
  <c r="P143" i="109"/>
  <c r="O143" i="109" s="1"/>
  <c r="P145" i="109"/>
  <c r="O145" i="109" s="1"/>
  <c r="AN342" i="94"/>
  <c r="AN343" i="94" s="1"/>
  <c r="AN348" i="94" s="1"/>
  <c r="AN354" i="94"/>
  <c r="P25" i="109"/>
  <c r="O25" i="109" s="1"/>
  <c r="P24" i="109"/>
  <c r="O24" i="109" s="1"/>
  <c r="P23" i="109"/>
  <c r="P21" i="109"/>
  <c r="O21" i="109" s="1"/>
  <c r="P22" i="109"/>
  <c r="G18" i="59"/>
  <c r="L18" i="59" s="1"/>
  <c r="L21" i="59" s="1"/>
  <c r="F8" i="103" s="1"/>
  <c r="I18" i="59"/>
  <c r="N18" i="59" s="1"/>
  <c r="N21" i="59" s="1"/>
  <c r="F11" i="103" s="1"/>
  <c r="I11" i="103" s="1"/>
  <c r="E18" i="59"/>
  <c r="J18" i="59" s="1"/>
  <c r="J21" i="59" s="1"/>
  <c r="F8" i="102" s="1"/>
  <c r="P154" i="109"/>
  <c r="O154" i="109" s="1"/>
  <c r="P156" i="109"/>
  <c r="O156" i="109" s="1"/>
  <c r="P153" i="109"/>
  <c r="O153" i="109" s="1"/>
  <c r="P155" i="109"/>
  <c r="O155" i="109" s="1"/>
  <c r="P157" i="109"/>
  <c r="O157" i="109" s="1"/>
  <c r="I61" i="109"/>
  <c r="I57" i="109"/>
  <c r="G57" i="109" s="1"/>
  <c r="I59" i="109"/>
  <c r="G59" i="109" s="1"/>
  <c r="I58" i="109"/>
  <c r="G58" i="109"/>
  <c r="I60" i="109"/>
  <c r="G60" i="109" s="1"/>
  <c r="G31" i="70"/>
  <c r="H31" i="70" s="1"/>
  <c r="L212" i="109"/>
  <c r="K212" i="109" s="1"/>
  <c r="L211" i="109"/>
  <c r="K211" i="109" s="1"/>
  <c r="L213" i="109"/>
  <c r="K213" i="109" s="1"/>
  <c r="L209" i="109"/>
  <c r="K209" i="109" s="1"/>
  <c r="L210" i="109"/>
  <c r="K210" i="109" s="1"/>
  <c r="A152" i="47"/>
  <c r="A153" i="47" s="1"/>
  <c r="B145" i="47"/>
  <c r="P444" i="94"/>
  <c r="P445" i="94"/>
  <c r="R447" i="94" s="1"/>
  <c r="O449" i="94" s="1"/>
  <c r="W449" i="94" s="1"/>
  <c r="F451" i="94" s="1"/>
  <c r="Q25" i="109"/>
  <c r="Q23" i="109"/>
  <c r="O22" i="109"/>
  <c r="Q21" i="109"/>
  <c r="O23" i="109"/>
  <c r="Q24" i="109"/>
  <c r="Q22" i="109"/>
  <c r="K21" i="59"/>
  <c r="F9" i="102" s="1"/>
  <c r="I9" i="102" s="1"/>
  <c r="P45" i="109"/>
  <c r="P47" i="109"/>
  <c r="O47" i="109" s="1"/>
  <c r="P48" i="109"/>
  <c r="O48" i="109" s="1"/>
  <c r="P46" i="109"/>
  <c r="O46" i="109" s="1"/>
  <c r="P49" i="109"/>
  <c r="O49" i="109" s="1"/>
  <c r="Q37" i="109"/>
  <c r="O36" i="109"/>
  <c r="Q35" i="109"/>
  <c r="Q36" i="109"/>
  <c r="Q34" i="109"/>
  <c r="O37" i="109"/>
  <c r="Q33" i="109"/>
  <c r="M212" i="109"/>
  <c r="M210" i="109"/>
  <c r="M209" i="109"/>
  <c r="M213" i="109"/>
  <c r="M211" i="109"/>
  <c r="N235" i="109"/>
  <c r="P234" i="109"/>
  <c r="N236" i="109"/>
  <c r="P233" i="109"/>
  <c r="P235" i="109"/>
  <c r="P236" i="109"/>
  <c r="P237" i="109"/>
  <c r="A350" i="47"/>
  <c r="A351" i="47" s="1"/>
  <c r="B347" i="47"/>
  <c r="G30" i="56"/>
  <c r="H30" i="56" s="1"/>
  <c r="Q46" i="109"/>
  <c r="Q49" i="109"/>
  <c r="Q48" i="109"/>
  <c r="Q45" i="109"/>
  <c r="O45" i="109"/>
  <c r="Q47" i="109"/>
  <c r="H4" i="112"/>
  <c r="Q309" i="47"/>
  <c r="Q262" i="47" s="1"/>
  <c r="R309" i="47"/>
  <c r="R262" i="47" s="1"/>
  <c r="P309" i="47"/>
  <c r="P262" i="47" s="1"/>
  <c r="E14" i="56"/>
  <c r="E10" i="56" s="1"/>
  <c r="G15" i="56"/>
  <c r="G14" i="56" s="1"/>
  <c r="G10" i="56" s="1"/>
  <c r="A145" i="75"/>
  <c r="A146" i="75" s="1"/>
  <c r="B140" i="75"/>
  <c r="I55" i="91"/>
  <c r="I56" i="91"/>
  <c r="I51" i="91"/>
  <c r="I53" i="91"/>
  <c r="I59" i="91"/>
  <c r="I58" i="91"/>
  <c r="I54" i="91"/>
  <c r="J49" i="91"/>
  <c r="I52" i="91"/>
  <c r="I57" i="91"/>
  <c r="F16" i="112"/>
  <c r="F11" i="112" s="1"/>
  <c r="F18" i="112" s="1"/>
  <c r="N262" i="47"/>
  <c r="AP75" i="82"/>
  <c r="T75" i="82"/>
  <c r="F15" i="57"/>
  <c r="M23" i="65"/>
  <c r="O24" i="65"/>
  <c r="O31" i="65"/>
  <c r="F14" i="57"/>
  <c r="I14" i="57" s="1"/>
  <c r="AM113" i="98" l="1"/>
  <c r="AM112" i="98"/>
  <c r="AM123" i="98"/>
  <c r="AM117" i="98"/>
  <c r="O104" i="98" s="1"/>
  <c r="AL115" i="98"/>
  <c r="AL110" i="98"/>
  <c r="AM114" i="98"/>
  <c r="G18" i="43"/>
  <c r="H18" i="43" s="1"/>
  <c r="G17" i="43" s="1"/>
  <c r="H5" i="43"/>
  <c r="R249" i="47"/>
  <c r="R237" i="47" s="1"/>
  <c r="Q249" i="47" s="1"/>
  <c r="Q237" i="47" s="1"/>
  <c r="P249" i="47" s="1"/>
  <c r="P237" i="47" s="1"/>
  <c r="N247" i="47" s="1"/>
  <c r="N246" i="47" s="1"/>
  <c r="N245" i="47" s="1"/>
  <c r="N244" i="47" s="1"/>
  <c r="N242" i="47" s="1"/>
  <c r="N241" i="47" s="1"/>
  <c r="N240" i="47" s="1"/>
  <c r="N239" i="47" s="1"/>
  <c r="N251" i="47"/>
  <c r="K20" i="56"/>
  <c r="D20" i="56" s="1"/>
  <c r="K21" i="70"/>
  <c r="D21" i="70" s="1"/>
  <c r="K19" i="43"/>
  <c r="K21" i="88"/>
  <c r="D21" i="88" s="1"/>
  <c r="N14" i="55"/>
  <c r="M14" i="55"/>
  <c r="J14" i="55"/>
  <c r="K14" i="55"/>
  <c r="L14" i="55"/>
  <c r="H29" i="43"/>
  <c r="H26" i="43" s="1"/>
  <c r="K26" i="70"/>
  <c r="D26" i="70" s="1"/>
  <c r="K25" i="56"/>
  <c r="D25" i="56" s="1"/>
  <c r="K26" i="88"/>
  <c r="D26" i="88" s="1"/>
  <c r="K24" i="43"/>
  <c r="J13" i="46"/>
  <c r="L13" i="46"/>
  <c r="K13" i="46"/>
  <c r="A87" i="75"/>
  <c r="B84" i="75"/>
  <c r="E21" i="55" s="1"/>
  <c r="K24" i="70"/>
  <c r="D24" i="70" s="1"/>
  <c r="K24" i="88"/>
  <c r="D24" i="88" s="1"/>
  <c r="K23" i="56"/>
  <c r="D23" i="56" s="1"/>
  <c r="K22" i="43"/>
  <c r="F15" i="55"/>
  <c r="E19" i="55"/>
  <c r="G61" i="109"/>
  <c r="A83" i="47"/>
  <c r="A84" i="47" s="1"/>
  <c r="B77" i="47"/>
  <c r="H16" i="55"/>
  <c r="G18" i="55"/>
  <c r="B24" i="55"/>
  <c r="F24" i="55"/>
  <c r="H21" i="55"/>
  <c r="I21" i="55"/>
  <c r="D22" i="55"/>
  <c r="I24" i="55"/>
  <c r="G19" i="55"/>
  <c r="E17" i="55"/>
  <c r="D15" i="55"/>
  <c r="B22" i="55"/>
  <c r="H22" i="55"/>
  <c r="D19" i="55"/>
  <c r="C18" i="55"/>
  <c r="I16" i="55"/>
  <c r="D17" i="55"/>
  <c r="C15" i="55"/>
  <c r="C21" i="55"/>
  <c r="B16" i="55"/>
  <c r="E23" i="55"/>
  <c r="B15" i="55"/>
  <c r="I18" i="55"/>
  <c r="F20" i="55"/>
  <c r="C23" i="55"/>
  <c r="E15" i="55"/>
  <c r="D18" i="55"/>
  <c r="F22" i="55"/>
  <c r="I17" i="55"/>
  <c r="G23" i="55"/>
  <c r="H19" i="55"/>
  <c r="E22" i="55"/>
  <c r="K22" i="88"/>
  <c r="D22" i="88" s="1"/>
  <c r="K20" i="43"/>
  <c r="K21" i="56"/>
  <c r="D21" i="56" s="1"/>
  <c r="K22" i="70"/>
  <c r="D22" i="70" s="1"/>
  <c r="F21" i="55"/>
  <c r="I20" i="55"/>
  <c r="G16" i="55"/>
  <c r="D16" i="55"/>
  <c r="I19" i="55"/>
  <c r="D14" i="46"/>
  <c r="F14" i="46"/>
  <c r="F15" i="46"/>
  <c r="C14" i="46"/>
  <c r="B14" i="46"/>
  <c r="F19" i="55"/>
  <c r="G17" i="55"/>
  <c r="C16" i="55"/>
  <c r="H24" i="55"/>
  <c r="C24" i="55"/>
  <c r="G10" i="21"/>
  <c r="D10" i="21"/>
  <c r="I8" i="103"/>
  <c r="F7" i="103"/>
  <c r="H15" i="56"/>
  <c r="H14" i="56" s="1"/>
  <c r="K25" i="88"/>
  <c r="D25" i="88" s="1"/>
  <c r="K24" i="56"/>
  <c r="D24" i="56" s="1"/>
  <c r="K25" i="70"/>
  <c r="D25" i="70" s="1"/>
  <c r="K23" i="43"/>
  <c r="K17" i="88"/>
  <c r="D17" i="88" s="1"/>
  <c r="K11" i="43"/>
  <c r="K17" i="70"/>
  <c r="D17" i="70" s="1"/>
  <c r="K17" i="56"/>
  <c r="D17" i="56" s="1"/>
  <c r="B153" i="47"/>
  <c r="A160" i="47"/>
  <c r="A161" i="47" s="1"/>
  <c r="I8" i="102"/>
  <c r="F7" i="102"/>
  <c r="P47" i="65"/>
  <c r="K20" i="88"/>
  <c r="K16" i="43"/>
  <c r="K19" i="56"/>
  <c r="B351" i="47"/>
  <c r="A359" i="47"/>
  <c r="AM355" i="94"/>
  <c r="AN346" i="94"/>
  <c r="AM349" i="94"/>
  <c r="AN357" i="94"/>
  <c r="AN347" i="94"/>
  <c r="AN351" i="94"/>
  <c r="P338" i="94" s="1"/>
  <c r="AM344" i="94"/>
  <c r="K25" i="43"/>
  <c r="K27" i="88"/>
  <c r="D27" i="88" s="1"/>
  <c r="K26" i="56"/>
  <c r="D26" i="56" s="1"/>
  <c r="K27" i="70"/>
  <c r="D27" i="70" s="1"/>
  <c r="I15" i="57"/>
  <c r="F16" i="57"/>
  <c r="J58" i="91"/>
  <c r="J55" i="91"/>
  <c r="K49" i="91"/>
  <c r="J52" i="91"/>
  <c r="J56" i="91"/>
  <c r="J53" i="91"/>
  <c r="J54" i="91"/>
  <c r="J51" i="91"/>
  <c r="J59" i="91"/>
  <c r="J57" i="91"/>
  <c r="M5" i="65"/>
  <c r="O23" i="65"/>
  <c r="E19" i="88"/>
  <c r="G11" i="112"/>
  <c r="H11" i="112" s="1"/>
  <c r="AS18" i="84"/>
  <c r="AS19" i="84" s="1"/>
  <c r="AS20" i="84" s="1"/>
  <c r="P20" i="84" s="1"/>
  <c r="Y20" i="84" s="1"/>
  <c r="D25" i="55"/>
  <c r="I25" i="55"/>
  <c r="F25" i="55"/>
  <c r="H25" i="55"/>
  <c r="C25" i="55"/>
  <c r="B25" i="55"/>
  <c r="E25" i="55"/>
  <c r="G25" i="55"/>
  <c r="B146" i="75"/>
  <c r="A154" i="75"/>
  <c r="A155" i="75" s="1"/>
  <c r="H10" i="56"/>
  <c r="M57" i="65"/>
  <c r="E24" i="56"/>
  <c r="BH79" i="82"/>
  <c r="E26" i="56"/>
  <c r="G16" i="43" l="1"/>
  <c r="H17" i="43"/>
  <c r="H16" i="43" s="1"/>
  <c r="N132" i="98"/>
  <c r="W130" i="98"/>
  <c r="G6" i="21"/>
  <c r="T671" i="82"/>
  <c r="AR677" i="82" s="1"/>
  <c r="R235" i="47"/>
  <c r="R223" i="47" s="1"/>
  <c r="P235" i="47" s="1"/>
  <c r="P223" i="47" s="1"/>
  <c r="N234" i="47" s="1"/>
  <c r="N233" i="47" s="1"/>
  <c r="N232" i="47" s="1"/>
  <c r="N231" i="47" s="1"/>
  <c r="N230" i="47" s="1"/>
  <c r="N229" i="47" s="1"/>
  <c r="N228" i="47" s="1"/>
  <c r="N227" i="47" s="1"/>
  <c r="N226" i="47" s="1"/>
  <c r="N225" i="47" s="1"/>
  <c r="N224" i="47" s="1"/>
  <c r="N237" i="47"/>
  <c r="N16" i="55"/>
  <c r="M16" i="55"/>
  <c r="L16" i="55"/>
  <c r="J22" i="55"/>
  <c r="M22" i="55"/>
  <c r="K22" i="55"/>
  <c r="A87" i="47"/>
  <c r="B84" i="47"/>
  <c r="E19" i="43"/>
  <c r="D19" i="43"/>
  <c r="N18" i="55"/>
  <c r="K18" i="55"/>
  <c r="L18" i="55"/>
  <c r="B19" i="55"/>
  <c r="I22" i="55"/>
  <c r="N22" i="55" s="1"/>
  <c r="E24" i="43"/>
  <c r="G24" i="43" s="1"/>
  <c r="H24" i="43" s="1"/>
  <c r="D24" i="43"/>
  <c r="BH344" i="82"/>
  <c r="K14" i="46"/>
  <c r="E20" i="43"/>
  <c r="G20" i="43" s="1"/>
  <c r="H20" i="43" s="1"/>
  <c r="D20" i="43"/>
  <c r="L19" i="55"/>
  <c r="K19" i="55"/>
  <c r="M19" i="55"/>
  <c r="N19" i="55"/>
  <c r="J19" i="55"/>
  <c r="J15" i="55"/>
  <c r="L15" i="55"/>
  <c r="L37" i="55" s="1"/>
  <c r="N15" i="55"/>
  <c r="N37" i="55" s="1"/>
  <c r="F11" i="54" s="1"/>
  <c r="H11" i="54" s="1"/>
  <c r="J11" i="54" s="1"/>
  <c r="K15" i="55"/>
  <c r="M15" i="55"/>
  <c r="M37" i="55" s="1"/>
  <c r="F9" i="54" s="1"/>
  <c r="H9" i="54" s="1"/>
  <c r="J9" i="54" s="1"/>
  <c r="E22" i="43"/>
  <c r="G22" i="43" s="1"/>
  <c r="D22" i="43"/>
  <c r="G22" i="55"/>
  <c r="L22" i="55" s="1"/>
  <c r="C19" i="55"/>
  <c r="C22" i="55"/>
  <c r="G20" i="55"/>
  <c r="D21" i="55"/>
  <c r="B21" i="55"/>
  <c r="D23" i="55"/>
  <c r="E18" i="55"/>
  <c r="J18" i="55" s="1"/>
  <c r="C17" i="55"/>
  <c r="H17" i="55"/>
  <c r="M17" i="55" s="1"/>
  <c r="B23" i="55"/>
  <c r="G21" i="55"/>
  <c r="I23" i="55"/>
  <c r="F16" i="55"/>
  <c r="K16" i="55" s="1"/>
  <c r="D20" i="55"/>
  <c r="F23" i="55"/>
  <c r="B18" i="55"/>
  <c r="F17" i="55"/>
  <c r="K17" i="55" s="1"/>
  <c r="B20" i="55"/>
  <c r="D24" i="55"/>
  <c r="H18" i="55"/>
  <c r="M18" i="55" s="1"/>
  <c r="E24" i="55"/>
  <c r="J17" i="55"/>
  <c r="L17" i="55"/>
  <c r="N17" i="55"/>
  <c r="E20" i="55"/>
  <c r="H23" i="55"/>
  <c r="H20" i="55"/>
  <c r="B17" i="55"/>
  <c r="E16" i="55"/>
  <c r="J16" i="55" s="1"/>
  <c r="C15" i="46"/>
  <c r="C16" i="46"/>
  <c r="D17" i="46"/>
  <c r="D21" i="46"/>
  <c r="I17" i="46"/>
  <c r="D22" i="46"/>
  <c r="B26" i="46"/>
  <c r="B15" i="46"/>
  <c r="H17" i="46"/>
  <c r="F20" i="46"/>
  <c r="D15" i="46"/>
  <c r="D18" i="46"/>
  <c r="F25" i="46"/>
  <c r="D23" i="46"/>
  <c r="C21" i="46"/>
  <c r="B21" i="46"/>
  <c r="D24" i="46"/>
  <c r="E17" i="46"/>
  <c r="B16" i="46"/>
  <c r="E16" i="46"/>
  <c r="C20" i="55"/>
  <c r="G24" i="55"/>
  <c r="F13" i="103"/>
  <c r="F14" i="103" s="1"/>
  <c r="I14" i="103" s="1"/>
  <c r="I7" i="103"/>
  <c r="A166" i="47"/>
  <c r="A167" i="47" s="1"/>
  <c r="B161" i="47"/>
  <c r="D11" i="43"/>
  <c r="E11" i="43"/>
  <c r="E25" i="43"/>
  <c r="BH345" i="82"/>
  <c r="D25" i="43"/>
  <c r="E47" i="65"/>
  <c r="P53" i="65"/>
  <c r="E53" i="65" s="1"/>
  <c r="P59" i="65"/>
  <c r="E59" i="65" s="1"/>
  <c r="D27" i="46"/>
  <c r="O366" i="94"/>
  <c r="X364" i="94"/>
  <c r="I7" i="102"/>
  <c r="F12" i="102"/>
  <c r="E23" i="43"/>
  <c r="D23" i="43"/>
  <c r="G24" i="56"/>
  <c r="H24" i="56" s="1"/>
  <c r="E26" i="55"/>
  <c r="C26" i="55"/>
  <c r="H26" i="55"/>
  <c r="G18" i="112"/>
  <c r="H18" i="112" s="1"/>
  <c r="O5" i="65"/>
  <c r="I16" i="57"/>
  <c r="E8" i="56" s="1"/>
  <c r="F17" i="57"/>
  <c r="I17" i="57" s="1"/>
  <c r="A159" i="75"/>
  <c r="A160" i="75" s="1"/>
  <c r="B155" i="75"/>
  <c r="B27" i="55" s="1"/>
  <c r="G26" i="55"/>
  <c r="D26" i="55"/>
  <c r="H22" i="43"/>
  <c r="G26" i="56"/>
  <c r="H26" i="56" s="1"/>
  <c r="F26" i="55"/>
  <c r="C27" i="55"/>
  <c r="M25" i="55"/>
  <c r="N25" i="55"/>
  <c r="L25" i="55"/>
  <c r="J25" i="55"/>
  <c r="K25" i="55"/>
  <c r="G19" i="88"/>
  <c r="H19" i="88" s="1"/>
  <c r="F27" i="55"/>
  <c r="B26" i="55"/>
  <c r="G27" i="55"/>
  <c r="I26" i="55"/>
  <c r="K57" i="91"/>
  <c r="K51" i="91"/>
  <c r="K52" i="91"/>
  <c r="L49" i="91"/>
  <c r="K59" i="91"/>
  <c r="K54" i="91"/>
  <c r="K56" i="91"/>
  <c r="K58" i="91"/>
  <c r="K53" i="91"/>
  <c r="K55" i="91"/>
  <c r="R140" i="98" l="1"/>
  <c r="F134" i="98"/>
  <c r="D27" i="55"/>
  <c r="R221" i="47"/>
  <c r="R209" i="47" s="1"/>
  <c r="Q221" i="47" s="1"/>
  <c r="Q209" i="47" s="1"/>
  <c r="P221" i="47" s="1"/>
  <c r="P209" i="47" s="1"/>
  <c r="N220" i="47" s="1"/>
  <c r="N219" i="47" s="1"/>
  <c r="N218" i="47" s="1"/>
  <c r="N217" i="47" s="1"/>
  <c r="N216" i="47" s="1"/>
  <c r="N215" i="47" s="1"/>
  <c r="N214" i="47" s="1"/>
  <c r="N213" i="47" s="1"/>
  <c r="N211" i="47" s="1"/>
  <c r="N223" i="47"/>
  <c r="N21" i="55"/>
  <c r="L21" i="55"/>
  <c r="K21" i="55"/>
  <c r="J21" i="55"/>
  <c r="M21" i="55"/>
  <c r="K37" i="55"/>
  <c r="Q344" i="82"/>
  <c r="AP344" i="82"/>
  <c r="BC344" i="82" s="1"/>
  <c r="C18" i="46"/>
  <c r="F26" i="46"/>
  <c r="F21" i="46"/>
  <c r="K21" i="46" s="1"/>
  <c r="F19" i="46"/>
  <c r="F23" i="46"/>
  <c r="K23" i="46" s="1"/>
  <c r="D19" i="46"/>
  <c r="I27" i="46"/>
  <c r="B24" i="46"/>
  <c r="B17" i="46"/>
  <c r="B27" i="46"/>
  <c r="D25" i="46"/>
  <c r="C20" i="46"/>
  <c r="D16" i="46"/>
  <c r="G17" i="46"/>
  <c r="B20" i="46"/>
  <c r="B25" i="46"/>
  <c r="F22" i="46"/>
  <c r="K22" i="46" s="1"/>
  <c r="F17" i="46"/>
  <c r="B22" i="46"/>
  <c r="F24" i="46"/>
  <c r="K24" i="46" s="1"/>
  <c r="D20" i="46"/>
  <c r="C24" i="46"/>
  <c r="C27" i="46"/>
  <c r="D26" i="46"/>
  <c r="C26" i="46"/>
  <c r="C22" i="46"/>
  <c r="C23" i="46"/>
  <c r="F16" i="46"/>
  <c r="F18" i="46"/>
  <c r="K18" i="46" s="1"/>
  <c r="B23" i="46"/>
  <c r="F27" i="46"/>
  <c r="C17" i="46"/>
  <c r="C19" i="46"/>
  <c r="C25" i="46"/>
  <c r="B18" i="46"/>
  <c r="B19" i="46"/>
  <c r="K15" i="46"/>
  <c r="J24" i="55"/>
  <c r="L24" i="55"/>
  <c r="K24" i="55"/>
  <c r="M24" i="55"/>
  <c r="N24" i="55"/>
  <c r="L20" i="55"/>
  <c r="J20" i="55"/>
  <c r="K20" i="55"/>
  <c r="M20" i="55"/>
  <c r="N20" i="55"/>
  <c r="L23" i="55"/>
  <c r="M23" i="55"/>
  <c r="N23" i="55"/>
  <c r="K23" i="55"/>
  <c r="J23" i="55"/>
  <c r="K17" i="46"/>
  <c r="J17" i="46"/>
  <c r="N17" i="46"/>
  <c r="M17" i="46"/>
  <c r="L17" i="46"/>
  <c r="J37" i="55"/>
  <c r="F8" i="54" s="1"/>
  <c r="G19" i="43"/>
  <c r="H19" i="43"/>
  <c r="G23" i="43"/>
  <c r="E12" i="43"/>
  <c r="F13" i="102"/>
  <c r="I13" i="102" s="1"/>
  <c r="I12" i="102"/>
  <c r="E6" i="56" s="1"/>
  <c r="G6" i="56" s="1"/>
  <c r="H6" i="56" s="1"/>
  <c r="Q345" i="82"/>
  <c r="AP345" i="82"/>
  <c r="B28" i="46"/>
  <c r="F28" i="46"/>
  <c r="C28" i="46"/>
  <c r="D28" i="46"/>
  <c r="E27" i="55"/>
  <c r="J27" i="55" s="1"/>
  <c r="N27" i="46"/>
  <c r="G25" i="43"/>
  <c r="H25" i="43" s="1"/>
  <c r="A172" i="47"/>
  <c r="A173" i="47" s="1"/>
  <c r="B167" i="47"/>
  <c r="B29" i="46" s="1"/>
  <c r="I13" i="103"/>
  <c r="F15" i="103"/>
  <c r="I27" i="55"/>
  <c r="N27" i="55" s="1"/>
  <c r="S374" i="94"/>
  <c r="G368" i="94"/>
  <c r="G11" i="43"/>
  <c r="H11" i="43" s="1"/>
  <c r="C7" i="109"/>
  <c r="E33" i="43"/>
  <c r="K27" i="46"/>
  <c r="G8" i="56"/>
  <c r="K27" i="55"/>
  <c r="L27" i="55"/>
  <c r="L59" i="91"/>
  <c r="L56" i="91"/>
  <c r="L55" i="91"/>
  <c r="L54" i="91"/>
  <c r="L53" i="91"/>
  <c r="L51" i="91"/>
  <c r="L58" i="91"/>
  <c r="L52" i="91"/>
  <c r="L57" i="91"/>
  <c r="M49" i="91"/>
  <c r="F18" i="57"/>
  <c r="I18" i="57" s="1"/>
  <c r="M26" i="55"/>
  <c r="J26" i="55"/>
  <c r="N26" i="55"/>
  <c r="K26" i="55"/>
  <c r="L26" i="55"/>
  <c r="B160" i="75"/>
  <c r="B36" i="55" s="1"/>
  <c r="A166" i="75"/>
  <c r="A167" i="75" s="1"/>
  <c r="B167" i="75" s="1"/>
  <c r="H27" i="55" s="1"/>
  <c r="M27" i="55" s="1"/>
  <c r="N138" i="98" l="1"/>
  <c r="X138" i="98"/>
  <c r="R207" i="47"/>
  <c r="R196" i="47" s="1"/>
  <c r="Q207" i="47" s="1"/>
  <c r="Q196" i="47" s="1"/>
  <c r="P207" i="47" s="1"/>
  <c r="P196" i="47" s="1"/>
  <c r="N206" i="47" s="1"/>
  <c r="N205" i="47" s="1"/>
  <c r="N204" i="47" s="1"/>
  <c r="N203" i="47" s="1"/>
  <c r="N202" i="47" s="1"/>
  <c r="N201" i="47" s="1"/>
  <c r="N200" i="47" s="1"/>
  <c r="N199" i="47" s="1"/>
  <c r="N198" i="47" s="1"/>
  <c r="N197" i="47" s="1"/>
  <c r="N209" i="47"/>
  <c r="K20" i="46"/>
  <c r="K16" i="46"/>
  <c r="J16" i="46"/>
  <c r="F14" i="102"/>
  <c r="I14" i="102" s="1"/>
  <c r="K26" i="46"/>
  <c r="F7" i="54"/>
  <c r="F13" i="54" s="1"/>
  <c r="H13" i="54" s="1"/>
  <c r="J13" i="54" s="1"/>
  <c r="H8" i="54"/>
  <c r="K25" i="46"/>
  <c r="K19" i="46"/>
  <c r="F14" i="54"/>
  <c r="H14" i="54" s="1"/>
  <c r="J14" i="54" s="1"/>
  <c r="D8" i="21"/>
  <c r="G8" i="21"/>
  <c r="I15" i="103"/>
  <c r="F16" i="103"/>
  <c r="K28" i="46"/>
  <c r="BC345" i="82"/>
  <c r="AP346" i="82"/>
  <c r="Y372" i="94"/>
  <c r="O372" i="94"/>
  <c r="F29" i="46"/>
  <c r="C29" i="46"/>
  <c r="E34" i="43"/>
  <c r="F35" i="43" s="1"/>
  <c r="E37" i="43"/>
  <c r="F38" i="43" s="1"/>
  <c r="B173" i="47"/>
  <c r="A178" i="47"/>
  <c r="A179" i="47" s="1"/>
  <c r="D29" i="46"/>
  <c r="H23" i="43"/>
  <c r="H12" i="43" s="1"/>
  <c r="G12" i="43"/>
  <c r="G33" i="43" s="1"/>
  <c r="H33" i="43" s="1"/>
  <c r="G31" i="55"/>
  <c r="D33" i="55"/>
  <c r="H35" i="55"/>
  <c r="F28" i="55"/>
  <c r="I36" i="55"/>
  <c r="D30" i="55"/>
  <c r="D29" i="55"/>
  <c r="C36" i="55"/>
  <c r="B31" i="55"/>
  <c r="C34" i="55"/>
  <c r="F32" i="55"/>
  <c r="I34" i="55"/>
  <c r="G32" i="55"/>
  <c r="G29" i="55"/>
  <c r="G33" i="55"/>
  <c r="I35" i="55"/>
  <c r="I32" i="55"/>
  <c r="D36" i="55"/>
  <c r="H31" i="55"/>
  <c r="D28" i="55"/>
  <c r="E35" i="55"/>
  <c r="F35" i="55"/>
  <c r="F36" i="55"/>
  <c r="H36" i="55"/>
  <c r="C28" i="55"/>
  <c r="F33" i="55"/>
  <c r="C31" i="55"/>
  <c r="H33" i="55"/>
  <c r="B29" i="55"/>
  <c r="E29" i="55"/>
  <c r="H34" i="55"/>
  <c r="B33" i="55"/>
  <c r="E34" i="55"/>
  <c r="I33" i="55"/>
  <c r="I28" i="55"/>
  <c r="B28" i="55"/>
  <c r="E36" i="55"/>
  <c r="G34" i="55"/>
  <c r="I31" i="55"/>
  <c r="E30" i="55"/>
  <c r="C30" i="55"/>
  <c r="B35" i="55"/>
  <c r="E31" i="55"/>
  <c r="F30" i="55"/>
  <c r="D35" i="55"/>
  <c r="B30" i="55"/>
  <c r="G35" i="55"/>
  <c r="I30" i="55"/>
  <c r="F29" i="55"/>
  <c r="B34" i="55"/>
  <c r="G28" i="55"/>
  <c r="C33" i="55"/>
  <c r="D32" i="55"/>
  <c r="C32" i="55"/>
  <c r="C29" i="55"/>
  <c r="E32" i="55"/>
  <c r="G30" i="55"/>
  <c r="F34" i="55"/>
  <c r="B32" i="55"/>
  <c r="H30" i="55"/>
  <c r="C35" i="55"/>
  <c r="G36" i="55"/>
  <c r="E33" i="55"/>
  <c r="E28" i="55"/>
  <c r="I29" i="55"/>
  <c r="D34" i="55"/>
  <c r="D31" i="55"/>
  <c r="H29" i="55"/>
  <c r="F15" i="54"/>
  <c r="H28" i="55"/>
  <c r="M51" i="91"/>
  <c r="M59" i="91"/>
  <c r="N49" i="91"/>
  <c r="M56" i="91"/>
  <c r="M57" i="91"/>
  <c r="M53" i="91"/>
  <c r="M54" i="91"/>
  <c r="M58" i="91"/>
  <c r="M52" i="91"/>
  <c r="M55" i="91"/>
  <c r="H8" i="56"/>
  <c r="H32" i="55"/>
  <c r="G146" i="98" l="1"/>
  <c r="G147" i="98"/>
  <c r="R194" i="47"/>
  <c r="R185" i="47" s="1"/>
  <c r="Q194" i="47" s="1"/>
  <c r="N196" i="47"/>
  <c r="H7" i="54"/>
  <c r="J8" i="54"/>
  <c r="J7" i="54" s="1"/>
  <c r="D11" i="21"/>
  <c r="G11" i="21"/>
  <c r="G9" i="21"/>
  <c r="D9" i="21"/>
  <c r="F17" i="103"/>
  <c r="I17" i="103" s="1"/>
  <c r="I16" i="103"/>
  <c r="E9" i="56" s="1"/>
  <c r="K29" i="46"/>
  <c r="C30" i="46"/>
  <c r="H380" i="94"/>
  <c r="H381" i="94"/>
  <c r="B179" i="47"/>
  <c r="A184" i="47"/>
  <c r="A185" i="47" s="1"/>
  <c r="D30" i="46"/>
  <c r="AQ361" i="82"/>
  <c r="AP481" i="82" s="1"/>
  <c r="AP478" i="82"/>
  <c r="AP479" i="82" s="1"/>
  <c r="G30" i="46"/>
  <c r="K28" i="55"/>
  <c r="M28" i="55"/>
  <c r="L28" i="55"/>
  <c r="N28" i="55"/>
  <c r="J28" i="55"/>
  <c r="N29" i="55"/>
  <c r="M29" i="55"/>
  <c r="J29" i="55"/>
  <c r="K29" i="55"/>
  <c r="L29" i="55"/>
  <c r="K31" i="55"/>
  <c r="N31" i="55"/>
  <c r="L31" i="55"/>
  <c r="J31" i="55"/>
  <c r="M31" i="55"/>
  <c r="K34" i="55"/>
  <c r="J34" i="55"/>
  <c r="M34" i="55"/>
  <c r="L34" i="55"/>
  <c r="N34" i="55"/>
  <c r="J36" i="55"/>
  <c r="J39" i="55" s="1"/>
  <c r="E12" i="88" s="1"/>
  <c r="K36" i="55"/>
  <c r="K39" i="55" s="1"/>
  <c r="L36" i="55"/>
  <c r="L39" i="55" s="1"/>
  <c r="F9" i="105" s="1"/>
  <c r="N36" i="55"/>
  <c r="N39" i="55" s="1"/>
  <c r="F12" i="105" s="1"/>
  <c r="H12" i="105" s="1"/>
  <c r="J12" i="105" s="1"/>
  <c r="M36" i="55"/>
  <c r="M39" i="55" s="1"/>
  <c r="F10" i="105" s="1"/>
  <c r="L30" i="55"/>
  <c r="M30" i="55"/>
  <c r="J30" i="55"/>
  <c r="K30" i="55"/>
  <c r="N30" i="55"/>
  <c r="L33" i="55"/>
  <c r="J33" i="55"/>
  <c r="M33" i="55"/>
  <c r="N33" i="55"/>
  <c r="K33" i="55"/>
  <c r="N56" i="91"/>
  <c r="N59" i="91"/>
  <c r="N52" i="91"/>
  <c r="N57" i="91"/>
  <c r="N54" i="91"/>
  <c r="N51" i="91"/>
  <c r="N55" i="91"/>
  <c r="O49" i="91"/>
  <c r="N58" i="91"/>
  <c r="N53" i="91"/>
  <c r="H15" i="54"/>
  <c r="J15" i="54" s="1"/>
  <c r="F16" i="54"/>
  <c r="J32" i="55"/>
  <c r="L32" i="55"/>
  <c r="K32" i="55"/>
  <c r="M32" i="55"/>
  <c r="N32" i="55"/>
  <c r="K35" i="55"/>
  <c r="N35" i="55"/>
  <c r="J35" i="55"/>
  <c r="L35" i="55"/>
  <c r="M35" i="55"/>
  <c r="N38" i="55" l="1"/>
  <c r="F12" i="104" s="1"/>
  <c r="H12" i="104" s="1"/>
  <c r="J12" i="104" s="1"/>
  <c r="P194" i="47"/>
  <c r="P185" i="47" s="1"/>
  <c r="N193" i="47" s="1"/>
  <c r="N191" i="47" s="1"/>
  <c r="N189" i="47" s="1"/>
  <c r="N187" i="47" s="1"/>
  <c r="Q185" i="47"/>
  <c r="B31" i="46"/>
  <c r="F18" i="103"/>
  <c r="I18" i="103" s="1"/>
  <c r="G12" i="21"/>
  <c r="M38" i="55"/>
  <c r="F10" i="104" s="1"/>
  <c r="H10" i="104" s="1"/>
  <c r="J10" i="104" s="1"/>
  <c r="I31" i="46"/>
  <c r="L38" i="55"/>
  <c r="F9" i="104" s="1"/>
  <c r="B185" i="47"/>
  <c r="A195" i="47"/>
  <c r="A196" i="47" s="1"/>
  <c r="E7" i="56"/>
  <c r="E5" i="56" s="1"/>
  <c r="G9" i="56"/>
  <c r="L30" i="46"/>
  <c r="F14" i="104"/>
  <c r="H14" i="104" s="1"/>
  <c r="J14" i="104" s="1"/>
  <c r="K38" i="55"/>
  <c r="F9" i="106" s="1"/>
  <c r="H9" i="106" s="1"/>
  <c r="J9" i="106" s="1"/>
  <c r="F8" i="105"/>
  <c r="H9" i="105"/>
  <c r="H9" i="104"/>
  <c r="J38" i="55"/>
  <c r="F8" i="106" s="1"/>
  <c r="H16" i="54"/>
  <c r="J16" i="54" s="1"/>
  <c r="E8" i="88" s="1"/>
  <c r="F17" i="54"/>
  <c r="H17" i="54" s="1"/>
  <c r="J17" i="54" s="1"/>
  <c r="O52" i="91"/>
  <c r="O53" i="91"/>
  <c r="P49" i="91"/>
  <c r="O55" i="91"/>
  <c r="O51" i="91"/>
  <c r="O58" i="91"/>
  <c r="O54" i="91"/>
  <c r="O59" i="91"/>
  <c r="O57" i="91"/>
  <c r="O56" i="91"/>
  <c r="H10" i="105"/>
  <c r="J10" i="105" s="1"/>
  <c r="F14" i="105"/>
  <c r="H14" i="105" s="1"/>
  <c r="J14" i="105" s="1"/>
  <c r="G12" i="88"/>
  <c r="G11" i="88" s="1"/>
  <c r="E11" i="88"/>
  <c r="Q183" i="47" l="1"/>
  <c r="Q179" i="47" s="1"/>
  <c r="N185" i="47"/>
  <c r="F8" i="104"/>
  <c r="F18" i="54"/>
  <c r="H18" i="54" s="1"/>
  <c r="J18" i="54" s="1"/>
  <c r="H9" i="56"/>
  <c r="H7" i="56" s="1"/>
  <c r="H5" i="56" s="1"/>
  <c r="G7" i="56"/>
  <c r="G5" i="56" s="1"/>
  <c r="E32" i="56"/>
  <c r="G32" i="56" s="1"/>
  <c r="H32" i="56" s="1"/>
  <c r="BG79" i="82"/>
  <c r="E20" i="56"/>
  <c r="G20" i="56" s="1"/>
  <c r="H20" i="56" s="1"/>
  <c r="E33" i="56"/>
  <c r="G33" i="56" s="1"/>
  <c r="H33" i="56" s="1"/>
  <c r="E21" i="56"/>
  <c r="G21" i="56" s="1"/>
  <c r="H21" i="56" s="1"/>
  <c r="E23" i="56"/>
  <c r="E28" i="56"/>
  <c r="E31" i="56"/>
  <c r="G31" i="56" s="1"/>
  <c r="H31" i="56" s="1"/>
  <c r="E25" i="56"/>
  <c r="G25" i="56" s="1"/>
  <c r="H25" i="56" s="1"/>
  <c r="M56" i="65"/>
  <c r="M59" i="65" s="1"/>
  <c r="E17" i="56"/>
  <c r="G17" i="56" s="1"/>
  <c r="B196" i="47"/>
  <c r="A208" i="47"/>
  <c r="A209" i="47" s="1"/>
  <c r="F7" i="106"/>
  <c r="F12" i="106" s="1"/>
  <c r="H8" i="106"/>
  <c r="F16" i="104"/>
  <c r="H16" i="104" s="1"/>
  <c r="J16" i="104" s="1"/>
  <c r="F15" i="104"/>
  <c r="H15" i="104" s="1"/>
  <c r="J15" i="104" s="1"/>
  <c r="Q49" i="91"/>
  <c r="P58" i="91"/>
  <c r="P53" i="91"/>
  <c r="P56" i="91"/>
  <c r="P55" i="91"/>
  <c r="P57" i="91"/>
  <c r="P54" i="91"/>
  <c r="P59" i="91"/>
  <c r="P51" i="91"/>
  <c r="P52" i="91"/>
  <c r="J9" i="104"/>
  <c r="J8" i="104" s="1"/>
  <c r="H8" i="104"/>
  <c r="J9" i="105"/>
  <c r="J8" i="105" s="1"/>
  <c r="H8" i="105"/>
  <c r="H12" i="88"/>
  <c r="H11" i="88" s="1"/>
  <c r="G8" i="88"/>
  <c r="H8" i="88" s="1"/>
  <c r="F16" i="105"/>
  <c r="H16" i="105" s="1"/>
  <c r="J16" i="105" s="1"/>
  <c r="F15" i="105"/>
  <c r="H15" i="105" s="1"/>
  <c r="J15" i="105" s="1"/>
  <c r="P183" i="47" l="1"/>
  <c r="P179" i="47" s="1"/>
  <c r="H31" i="46"/>
  <c r="N176" i="47"/>
  <c r="N175" i="47" s="1"/>
  <c r="N174" i="47" s="1"/>
  <c r="H17" i="56"/>
  <c r="F17" i="105"/>
  <c r="F18" i="105" s="1"/>
  <c r="H18" i="105" s="1"/>
  <c r="J18" i="105" s="1"/>
  <c r="G23" i="56"/>
  <c r="H23" i="56"/>
  <c r="B209" i="47"/>
  <c r="A222" i="47"/>
  <c r="A223" i="47" s="1"/>
  <c r="O57" i="65"/>
  <c r="O58" i="65"/>
  <c r="O56" i="65"/>
  <c r="O59" i="65"/>
  <c r="AX17" i="84"/>
  <c r="E19" i="56"/>
  <c r="O55" i="65"/>
  <c r="AP79" i="82"/>
  <c r="T79" i="82"/>
  <c r="E27" i="56"/>
  <c r="G28" i="56"/>
  <c r="F13" i="106"/>
  <c r="H13" i="106" s="1"/>
  <c r="J13" i="106" s="1"/>
  <c r="H12" i="106"/>
  <c r="J12" i="106" s="1"/>
  <c r="E6" i="88" s="1"/>
  <c r="Q52" i="91"/>
  <c r="Q54" i="91"/>
  <c r="Q58" i="91"/>
  <c r="R49" i="91"/>
  <c r="Q53" i="91"/>
  <c r="Q55" i="91"/>
  <c r="Q57" i="91"/>
  <c r="Q56" i="91"/>
  <c r="Q59" i="91"/>
  <c r="Q51" i="91"/>
  <c r="F17" i="104"/>
  <c r="H7" i="106"/>
  <c r="J8" i="106"/>
  <c r="J7" i="106" s="1"/>
  <c r="H17" i="105" l="1"/>
  <c r="J17" i="105" s="1"/>
  <c r="E15" i="88" s="1"/>
  <c r="N182" i="47"/>
  <c r="N181" i="47" s="1"/>
  <c r="N180" i="47" s="1"/>
  <c r="N179" i="47" s="1"/>
  <c r="R177" i="47" s="1"/>
  <c r="R173" i="47" s="1"/>
  <c r="G31" i="46"/>
  <c r="R171" i="47"/>
  <c r="R167" i="47" s="1"/>
  <c r="N173" i="47"/>
  <c r="E30" i="46" s="1"/>
  <c r="J30" i="46" s="1"/>
  <c r="B223" i="47"/>
  <c r="A236" i="47"/>
  <c r="A237" i="47" s="1"/>
  <c r="G27" i="56"/>
  <c r="H28" i="56"/>
  <c r="H27" i="56" s="1"/>
  <c r="F14" i="106"/>
  <c r="H14" i="106" s="1"/>
  <c r="J14" i="106" s="1"/>
  <c r="G19" i="56"/>
  <c r="E18" i="56"/>
  <c r="E14" i="88"/>
  <c r="E10" i="88" s="1"/>
  <c r="G15" i="88"/>
  <c r="G14" i="88" s="1"/>
  <c r="G10" i="88" s="1"/>
  <c r="F18" i="104"/>
  <c r="H18" i="104" s="1"/>
  <c r="J18" i="104" s="1"/>
  <c r="H17" i="104"/>
  <c r="J17" i="104" s="1"/>
  <c r="E9" i="88" s="1"/>
  <c r="R53" i="91"/>
  <c r="R59" i="91"/>
  <c r="R54" i="91"/>
  <c r="R55" i="91"/>
  <c r="R57" i="91"/>
  <c r="R51" i="91"/>
  <c r="R56" i="91"/>
  <c r="R52" i="91"/>
  <c r="S49" i="91"/>
  <c r="R58" i="91"/>
  <c r="F19" i="105"/>
  <c r="H19" i="105" s="1"/>
  <c r="J19" i="105" s="1"/>
  <c r="G6" i="88"/>
  <c r="Q171" i="47" l="1"/>
  <c r="I29" i="46"/>
  <c r="N29" i="46" s="1"/>
  <c r="Q177" i="47"/>
  <c r="Q173" i="47" s="1"/>
  <c r="H30" i="46" s="1"/>
  <c r="M30" i="46" s="1"/>
  <c r="I30" i="46"/>
  <c r="N30" i="46" s="1"/>
  <c r="P171" i="47"/>
  <c r="P167" i="47" s="1"/>
  <c r="Q167" i="47"/>
  <c r="H29" i="46" s="1"/>
  <c r="M29" i="46" s="1"/>
  <c r="E35" i="56"/>
  <c r="F36" i="56" s="1"/>
  <c r="E34" i="56"/>
  <c r="E38" i="56" s="1"/>
  <c r="F39" i="56" s="1"/>
  <c r="G18" i="56"/>
  <c r="G34" i="56" s="1"/>
  <c r="H19" i="56"/>
  <c r="H18" i="56" s="1"/>
  <c r="B237" i="47"/>
  <c r="A250" i="47"/>
  <c r="A251" i="47" s="1"/>
  <c r="F35" i="46"/>
  <c r="F30" i="46"/>
  <c r="K30" i="46" s="1"/>
  <c r="C33" i="46"/>
  <c r="B30" i="46"/>
  <c r="D32" i="46"/>
  <c r="C31" i="46"/>
  <c r="E31" i="46"/>
  <c r="H36" i="46"/>
  <c r="F33" i="46"/>
  <c r="G34" i="46"/>
  <c r="D33" i="46"/>
  <c r="I33" i="46"/>
  <c r="B36" i="46"/>
  <c r="C34" i="46"/>
  <c r="C36" i="46"/>
  <c r="B34" i="46"/>
  <c r="F36" i="46"/>
  <c r="E36" i="46"/>
  <c r="H35" i="46"/>
  <c r="D34" i="46"/>
  <c r="G33" i="46"/>
  <c r="E32" i="46"/>
  <c r="B35" i="46"/>
  <c r="F34" i="46"/>
  <c r="E35" i="46"/>
  <c r="B32" i="46"/>
  <c r="I34" i="46"/>
  <c r="G36" i="46"/>
  <c r="D35" i="46"/>
  <c r="C35" i="46"/>
  <c r="H32" i="46"/>
  <c r="I36" i="46"/>
  <c r="C32" i="46"/>
  <c r="G35" i="46"/>
  <c r="F32" i="46"/>
  <c r="H33" i="46"/>
  <c r="D31" i="46"/>
  <c r="F31" i="46"/>
  <c r="E33" i="46"/>
  <c r="I32" i="46"/>
  <c r="E34" i="46"/>
  <c r="D36" i="46"/>
  <c r="B33" i="46"/>
  <c r="I35" i="46"/>
  <c r="G32" i="46"/>
  <c r="H34" i="46"/>
  <c r="H15" i="88"/>
  <c r="H14" i="88" s="1"/>
  <c r="H6" i="88"/>
  <c r="G9" i="88"/>
  <c r="H9" i="88" s="1"/>
  <c r="E7" i="88"/>
  <c r="S52" i="91"/>
  <c r="S55" i="91"/>
  <c r="S54" i="91"/>
  <c r="T49" i="91"/>
  <c r="S58" i="91"/>
  <c r="S59" i="91"/>
  <c r="S51" i="91"/>
  <c r="S56" i="91"/>
  <c r="S57" i="91"/>
  <c r="S53" i="91"/>
  <c r="F19" i="104"/>
  <c r="H19" i="104" s="1"/>
  <c r="J19" i="104" s="1"/>
  <c r="E25" i="88"/>
  <c r="H10" i="88"/>
  <c r="BH78" i="82"/>
  <c r="E27" i="88"/>
  <c r="N170" i="47" l="1"/>
  <c r="N169" i="47" s="1"/>
  <c r="N168" i="47" s="1"/>
  <c r="N167" i="47" s="1"/>
  <c r="G29" i="46"/>
  <c r="L29" i="46" s="1"/>
  <c r="Q165" i="47"/>
  <c r="Q161" i="47" s="1"/>
  <c r="B251" i="47"/>
  <c r="A261" i="47"/>
  <c r="A262" i="47" s="1"/>
  <c r="H34" i="56"/>
  <c r="G25" i="88"/>
  <c r="H25" i="88" s="1"/>
  <c r="T54" i="91"/>
  <c r="T51" i="91"/>
  <c r="T58" i="91"/>
  <c r="T56" i="91"/>
  <c r="T57" i="91"/>
  <c r="T53" i="91"/>
  <c r="T55" i="91"/>
  <c r="T59" i="91"/>
  <c r="U49" i="91"/>
  <c r="T52" i="91"/>
  <c r="G7" i="88"/>
  <c r="G5" i="88" s="1"/>
  <c r="E5" i="88"/>
  <c r="K33" i="46"/>
  <c r="J33" i="46"/>
  <c r="M33" i="46"/>
  <c r="N33" i="46"/>
  <c r="L33" i="46"/>
  <c r="J36" i="46"/>
  <c r="K36" i="46"/>
  <c r="N36" i="46"/>
  <c r="L36" i="46"/>
  <c r="M36" i="46"/>
  <c r="L35" i="46"/>
  <c r="K35" i="46"/>
  <c r="J35" i="46"/>
  <c r="M35" i="46"/>
  <c r="N35" i="46"/>
  <c r="L34" i="46"/>
  <c r="N34" i="46"/>
  <c r="M34" i="46"/>
  <c r="J34" i="46"/>
  <c r="K34" i="46"/>
  <c r="J32" i="46"/>
  <c r="K32" i="46"/>
  <c r="M32" i="46"/>
  <c r="L32" i="46"/>
  <c r="N32" i="46"/>
  <c r="G27" i="88"/>
  <c r="H27" i="88" s="1"/>
  <c r="K31" i="46"/>
  <c r="J31" i="46"/>
  <c r="L31" i="46"/>
  <c r="M31" i="46"/>
  <c r="N31" i="46"/>
  <c r="P165" i="47" l="1"/>
  <c r="P161" i="47" s="1"/>
  <c r="H28" i="46"/>
  <c r="M28" i="46" s="1"/>
  <c r="R165" i="47"/>
  <c r="R161" i="47" s="1"/>
  <c r="I28" i="46" s="1"/>
  <c r="N28" i="46" s="1"/>
  <c r="E29" i="46"/>
  <c r="J29" i="46" s="1"/>
  <c r="Q159" i="47"/>
  <c r="Q153" i="47" s="1"/>
  <c r="A314" i="47"/>
  <c r="B262" i="47"/>
  <c r="F40" i="46"/>
  <c r="C47" i="46"/>
  <c r="I44" i="46"/>
  <c r="I40" i="46"/>
  <c r="C38" i="46"/>
  <c r="H49" i="46"/>
  <c r="I37" i="46"/>
  <c r="H38" i="46"/>
  <c r="I49" i="46"/>
  <c r="E45" i="46"/>
  <c r="F49" i="46"/>
  <c r="G41" i="46"/>
  <c r="H47" i="46"/>
  <c r="H45" i="46"/>
  <c r="E37" i="46"/>
  <c r="D44" i="46"/>
  <c r="I41" i="46"/>
  <c r="H43" i="46"/>
  <c r="F44" i="46"/>
  <c r="C43" i="46"/>
  <c r="G47" i="46"/>
  <c r="D40" i="46"/>
  <c r="I38" i="46"/>
  <c r="F46" i="46"/>
  <c r="B42" i="46"/>
  <c r="B45" i="46"/>
  <c r="D48" i="46"/>
  <c r="C46" i="46"/>
  <c r="G42" i="46"/>
  <c r="B38" i="46"/>
  <c r="F38" i="46"/>
  <c r="C45" i="46"/>
  <c r="G46" i="46"/>
  <c r="B44" i="46"/>
  <c r="F41" i="46"/>
  <c r="I42" i="46"/>
  <c r="B39" i="46"/>
  <c r="D37" i="46"/>
  <c r="B41" i="46"/>
  <c r="G37" i="46"/>
  <c r="H46" i="46"/>
  <c r="E44" i="46"/>
  <c r="F48" i="46"/>
  <c r="C49" i="46"/>
  <c r="G38" i="46"/>
  <c r="B46" i="46"/>
  <c r="H40" i="46"/>
  <c r="D45" i="46"/>
  <c r="G49" i="46"/>
  <c r="H48" i="46"/>
  <c r="E39" i="46"/>
  <c r="I43" i="46"/>
  <c r="H42" i="46"/>
  <c r="I47" i="46"/>
  <c r="E43" i="46"/>
  <c r="G44" i="46"/>
  <c r="E38" i="46"/>
  <c r="I48" i="46"/>
  <c r="D38" i="46"/>
  <c r="F39" i="46"/>
  <c r="E40" i="46"/>
  <c r="C39" i="46"/>
  <c r="C37" i="46"/>
  <c r="I46" i="46"/>
  <c r="B43" i="46"/>
  <c r="C40" i="46"/>
  <c r="B48" i="46"/>
  <c r="G40" i="46"/>
  <c r="C42" i="46"/>
  <c r="B40" i="46"/>
  <c r="D43" i="46"/>
  <c r="F47" i="46"/>
  <c r="C44" i="46"/>
  <c r="G43" i="46"/>
  <c r="E42" i="46"/>
  <c r="G45" i="46"/>
  <c r="F42" i="46"/>
  <c r="D41" i="46"/>
  <c r="D49" i="46"/>
  <c r="B49" i="46"/>
  <c r="C41" i="46"/>
  <c r="H44" i="46"/>
  <c r="H37" i="46"/>
  <c r="D39" i="46"/>
  <c r="B47" i="46"/>
  <c r="E46" i="46"/>
  <c r="E48" i="46"/>
  <c r="E47" i="46"/>
  <c r="E49" i="46"/>
  <c r="D42" i="46"/>
  <c r="F45" i="46"/>
  <c r="E41" i="46"/>
  <c r="D46" i="46"/>
  <c r="C48" i="46"/>
  <c r="G39" i="46"/>
  <c r="D47" i="46"/>
  <c r="I39" i="46"/>
  <c r="H41" i="46"/>
  <c r="H39" i="46"/>
  <c r="I45" i="46"/>
  <c r="G48" i="46"/>
  <c r="F37" i="46"/>
  <c r="B37" i="46"/>
  <c r="F43" i="46"/>
  <c r="BG78" i="82"/>
  <c r="E29" i="88"/>
  <c r="E22" i="88"/>
  <c r="M50" i="65"/>
  <c r="M53" i="65" s="1"/>
  <c r="E32" i="88"/>
  <c r="E17" i="88"/>
  <c r="E34" i="88"/>
  <c r="E33" i="88"/>
  <c r="E21" i="88"/>
  <c r="E26" i="88"/>
  <c r="E24" i="88"/>
  <c r="U51" i="91"/>
  <c r="U59" i="91"/>
  <c r="V49" i="91"/>
  <c r="U58" i="91"/>
  <c r="U54" i="91"/>
  <c r="U56" i="91"/>
  <c r="U55" i="91"/>
  <c r="U57" i="91"/>
  <c r="U52" i="91"/>
  <c r="U53" i="91"/>
  <c r="H7" i="88"/>
  <c r="H5" i="88" s="1"/>
  <c r="P159" i="47" l="1"/>
  <c r="P153" i="47" s="1"/>
  <c r="H27" i="46"/>
  <c r="M27" i="46" s="1"/>
  <c r="N164" i="47"/>
  <c r="N162" i="47" s="1"/>
  <c r="N161" i="47" s="1"/>
  <c r="E28" i="46" s="1"/>
  <c r="J28" i="46" s="1"/>
  <c r="G28" i="46"/>
  <c r="L28" i="46" s="1"/>
  <c r="R151" i="47"/>
  <c r="R145" i="47" s="1"/>
  <c r="L46" i="46"/>
  <c r="M46" i="46"/>
  <c r="N46" i="46"/>
  <c r="K46" i="46"/>
  <c r="J46" i="46"/>
  <c r="M47" i="46"/>
  <c r="L47" i="46"/>
  <c r="J47" i="46"/>
  <c r="K47" i="46"/>
  <c r="N47" i="46"/>
  <c r="J39" i="46"/>
  <c r="M39" i="46"/>
  <c r="K39" i="46"/>
  <c r="N39" i="46"/>
  <c r="L39" i="46"/>
  <c r="L45" i="46"/>
  <c r="N45" i="46"/>
  <c r="K45" i="46"/>
  <c r="J45" i="46"/>
  <c r="M45" i="46"/>
  <c r="N44" i="46"/>
  <c r="L44" i="46"/>
  <c r="K44" i="46"/>
  <c r="J44" i="46"/>
  <c r="M44" i="46"/>
  <c r="K49" i="46"/>
  <c r="L49" i="46"/>
  <c r="J49" i="46"/>
  <c r="M49" i="46"/>
  <c r="N49" i="46"/>
  <c r="L43" i="46"/>
  <c r="M43" i="46"/>
  <c r="N43" i="46"/>
  <c r="J43" i="46"/>
  <c r="K43" i="46"/>
  <c r="N38" i="46"/>
  <c r="M38" i="46"/>
  <c r="L38" i="46"/>
  <c r="J38" i="46"/>
  <c r="K38" i="46"/>
  <c r="K48" i="46"/>
  <c r="N48" i="46"/>
  <c r="J48" i="46"/>
  <c r="L48" i="46"/>
  <c r="M48" i="46"/>
  <c r="J42" i="46"/>
  <c r="K42" i="46"/>
  <c r="L42" i="46"/>
  <c r="N42" i="46"/>
  <c r="M42" i="46"/>
  <c r="K41" i="46"/>
  <c r="N41" i="46"/>
  <c r="L41" i="46"/>
  <c r="M41" i="46"/>
  <c r="J41" i="46"/>
  <c r="N37" i="46"/>
  <c r="L37" i="46"/>
  <c r="M37" i="46"/>
  <c r="J37" i="46"/>
  <c r="K37" i="46"/>
  <c r="K40" i="46"/>
  <c r="M40" i="46"/>
  <c r="L40" i="46"/>
  <c r="N40" i="46"/>
  <c r="J40" i="46"/>
  <c r="G24" i="88"/>
  <c r="H24" i="88" s="1"/>
  <c r="G33" i="88"/>
  <c r="H33" i="88" s="1"/>
  <c r="G32" i="88"/>
  <c r="H32" i="88" s="1"/>
  <c r="AP78" i="82"/>
  <c r="T78" i="82"/>
  <c r="V58" i="91"/>
  <c r="V59" i="91"/>
  <c r="V56" i="91"/>
  <c r="W49" i="91"/>
  <c r="V52" i="91"/>
  <c r="V51" i="91"/>
  <c r="V54" i="91"/>
  <c r="V55" i="91"/>
  <c r="V57" i="91"/>
  <c r="V53" i="91"/>
  <c r="G26" i="88"/>
  <c r="H26" i="88" s="1"/>
  <c r="G34" i="88"/>
  <c r="H34" i="88" s="1"/>
  <c r="AX18" i="84"/>
  <c r="E20" i="88"/>
  <c r="O50" i="65"/>
  <c r="O54" i="65"/>
  <c r="O51" i="65"/>
  <c r="O52" i="65"/>
  <c r="O53" i="65"/>
  <c r="O49" i="65"/>
  <c r="G21" i="88"/>
  <c r="H21" i="88" s="1"/>
  <c r="G17" i="88"/>
  <c r="H17" i="88" s="1"/>
  <c r="G22" i="88"/>
  <c r="H22" i="88" s="1"/>
  <c r="E28" i="88"/>
  <c r="G29" i="88"/>
  <c r="H29" i="88" s="1"/>
  <c r="K51" i="46" l="1"/>
  <c r="F9" i="33" s="1"/>
  <c r="H9" i="33" s="1"/>
  <c r="J9" i="33" s="1"/>
  <c r="M52" i="46"/>
  <c r="F10" i="45" s="1"/>
  <c r="H10" i="45" s="1"/>
  <c r="J10" i="45" s="1"/>
  <c r="Q151" i="47"/>
  <c r="Q145" i="47" s="1"/>
  <c r="I26" i="46"/>
  <c r="N26" i="46" s="1"/>
  <c r="N158" i="47"/>
  <c r="N157" i="47" s="1"/>
  <c r="N156" i="47" s="1"/>
  <c r="N153" i="47" s="1"/>
  <c r="E27" i="46" s="1"/>
  <c r="J27" i="46" s="1"/>
  <c r="G27" i="46"/>
  <c r="L27" i="46" s="1"/>
  <c r="R143" i="47"/>
  <c r="R136" i="47" s="1"/>
  <c r="F14" i="45"/>
  <c r="H14" i="45" s="1"/>
  <c r="J14" i="45" s="1"/>
  <c r="L52" i="46"/>
  <c r="F9" i="45" s="1"/>
  <c r="J52" i="46"/>
  <c r="E12" i="70" s="1"/>
  <c r="N52" i="46"/>
  <c r="F12" i="45" s="1"/>
  <c r="H12" i="45" s="1"/>
  <c r="J12" i="45" s="1"/>
  <c r="K52" i="46"/>
  <c r="G28" i="88"/>
  <c r="G20" i="88"/>
  <c r="G18" i="88" s="1"/>
  <c r="E18" i="88"/>
  <c r="W58" i="91"/>
  <c r="W59" i="91"/>
  <c r="W55" i="91"/>
  <c r="X49" i="91"/>
  <c r="W56" i="91"/>
  <c r="W54" i="91"/>
  <c r="W57" i="91"/>
  <c r="W53" i="91"/>
  <c r="W51" i="91"/>
  <c r="W52" i="91"/>
  <c r="H28" i="88"/>
  <c r="G35" i="88"/>
  <c r="Q143" i="47" l="1"/>
  <c r="Q136" i="47" s="1"/>
  <c r="I25" i="46"/>
  <c r="N25" i="46" s="1"/>
  <c r="P151" i="47"/>
  <c r="P145" i="47" s="1"/>
  <c r="H26" i="46"/>
  <c r="M26" i="46" s="1"/>
  <c r="R134" i="47"/>
  <c r="R127" i="47" s="1"/>
  <c r="H20" i="88"/>
  <c r="H18" i="88" s="1"/>
  <c r="E11" i="70"/>
  <c r="G12" i="70"/>
  <c r="H9" i="45"/>
  <c r="F8" i="45"/>
  <c r="X57" i="91"/>
  <c r="X56" i="91"/>
  <c r="X52" i="91"/>
  <c r="X51" i="91"/>
  <c r="Y49" i="91"/>
  <c r="X54" i="91"/>
  <c r="X53" i="91"/>
  <c r="X59" i="91"/>
  <c r="X55" i="91"/>
  <c r="X58" i="91"/>
  <c r="E36" i="88"/>
  <c r="F37" i="88" s="1"/>
  <c r="E35" i="88"/>
  <c r="H35" i="88" s="1"/>
  <c r="N150" i="47" l="1"/>
  <c r="N149" i="47" s="1"/>
  <c r="N148" i="47" s="1"/>
  <c r="N147" i="47" s="1"/>
  <c r="N146" i="47" s="1"/>
  <c r="N145" i="47" s="1"/>
  <c r="E26" i="46" s="1"/>
  <c r="J26" i="46" s="1"/>
  <c r="G26" i="46"/>
  <c r="L26" i="46" s="1"/>
  <c r="Q134" i="47"/>
  <c r="Q127" i="47" s="1"/>
  <c r="I24" i="46"/>
  <c r="N24" i="46" s="1"/>
  <c r="P143" i="47"/>
  <c r="P136" i="47" s="1"/>
  <c r="H25" i="46"/>
  <c r="M25" i="46" s="1"/>
  <c r="R125" i="47"/>
  <c r="R118" i="47" s="1"/>
  <c r="F15" i="45"/>
  <c r="H15" i="45" s="1"/>
  <c r="J15" i="45" s="1"/>
  <c r="F16" i="45"/>
  <c r="G11" i="70"/>
  <c r="H12" i="70"/>
  <c r="J9" i="45"/>
  <c r="J8" i="45" s="1"/>
  <c r="H8" i="45"/>
  <c r="H11" i="70"/>
  <c r="E39" i="88"/>
  <c r="F40" i="88" s="1"/>
  <c r="Y55" i="91"/>
  <c r="Y59" i="91"/>
  <c r="Y53" i="91"/>
  <c r="Y56" i="91"/>
  <c r="Y54" i="91"/>
  <c r="Y57" i="91"/>
  <c r="Y52" i="91"/>
  <c r="Y58" i="91"/>
  <c r="Y51" i="91"/>
  <c r="Z49" i="91"/>
  <c r="Q125" i="47" l="1"/>
  <c r="Q118" i="47" s="1"/>
  <c r="I23" i="46"/>
  <c r="N23" i="46" s="1"/>
  <c r="P134" i="47"/>
  <c r="P127" i="47" s="1"/>
  <c r="H24" i="46"/>
  <c r="M24" i="46" s="1"/>
  <c r="N142" i="47"/>
  <c r="N141" i="47" s="1"/>
  <c r="N140" i="47" s="1"/>
  <c r="N139" i="47" s="1"/>
  <c r="N136" i="47" s="1"/>
  <c r="E25" i="46" s="1"/>
  <c r="J25" i="46" s="1"/>
  <c r="G25" i="46"/>
  <c r="L25" i="46" s="1"/>
  <c r="R116" i="47"/>
  <c r="R109" i="47" s="1"/>
  <c r="H16" i="45"/>
  <c r="J16" i="45" s="1"/>
  <c r="F17" i="45"/>
  <c r="Z52" i="91"/>
  <c r="Z54" i="91"/>
  <c r="Z59" i="91"/>
  <c r="Z51" i="91"/>
  <c r="Z58" i="91"/>
  <c r="Z57" i="91"/>
  <c r="Z53" i="91"/>
  <c r="Z55" i="91"/>
  <c r="AA49" i="91"/>
  <c r="Z56" i="91"/>
  <c r="Q116" i="47" l="1"/>
  <c r="Q109" i="47" s="1"/>
  <c r="I22" i="46"/>
  <c r="N22" i="46" s="1"/>
  <c r="N133" i="47"/>
  <c r="N132" i="47" s="1"/>
  <c r="N131" i="47" s="1"/>
  <c r="N130" i="47" s="1"/>
  <c r="N129" i="47" s="1"/>
  <c r="N128" i="47" s="1"/>
  <c r="N127" i="47" s="1"/>
  <c r="E24" i="46" s="1"/>
  <c r="J24" i="46" s="1"/>
  <c r="G24" i="46"/>
  <c r="L24" i="46" s="1"/>
  <c r="P125" i="47"/>
  <c r="P118" i="47" s="1"/>
  <c r="H23" i="46"/>
  <c r="M23" i="46" s="1"/>
  <c r="R99" i="47"/>
  <c r="R97" i="47" s="1"/>
  <c r="H17" i="45"/>
  <c r="J17" i="45" s="1"/>
  <c r="E15" i="70" s="1"/>
  <c r="F18" i="45"/>
  <c r="AA51" i="91"/>
  <c r="AB49" i="91"/>
  <c r="AA59" i="91"/>
  <c r="AA58" i="91"/>
  <c r="AA55" i="91"/>
  <c r="AA53" i="91"/>
  <c r="AA56" i="91"/>
  <c r="AA52" i="91"/>
  <c r="AA54" i="91"/>
  <c r="AA57" i="91"/>
  <c r="Q99" i="47" l="1"/>
  <c r="Q97" i="47" s="1"/>
  <c r="I20" i="46"/>
  <c r="N20" i="46" s="1"/>
  <c r="N124" i="47"/>
  <c r="N123" i="47" s="1"/>
  <c r="N122" i="47" s="1"/>
  <c r="N121" i="47" s="1"/>
  <c r="N118" i="47" s="1"/>
  <c r="E23" i="46" s="1"/>
  <c r="J23" i="46" s="1"/>
  <c r="G23" i="46"/>
  <c r="L23" i="46" s="1"/>
  <c r="P116" i="47"/>
  <c r="P109" i="47" s="1"/>
  <c r="H22" i="46"/>
  <c r="M22" i="46" s="1"/>
  <c r="Q85" i="47"/>
  <c r="G15" i="70"/>
  <c r="G14" i="70" s="1"/>
  <c r="G10" i="70" s="1"/>
  <c r="E14" i="70"/>
  <c r="H18" i="45"/>
  <c r="J18" i="45" s="1"/>
  <c r="F19" i="45"/>
  <c r="H19" i="45" s="1"/>
  <c r="J19" i="45" s="1"/>
  <c r="AB59" i="91"/>
  <c r="AB58" i="91"/>
  <c r="AB55" i="91"/>
  <c r="AB52" i="91"/>
  <c r="AB57" i="91"/>
  <c r="AB53" i="91"/>
  <c r="AC49" i="91"/>
  <c r="AB51" i="91"/>
  <c r="AB54" i="91"/>
  <c r="AB56" i="91"/>
  <c r="N115" i="47" l="1"/>
  <c r="N114" i="47" s="1"/>
  <c r="N113" i="47" s="1"/>
  <c r="N112" i="47" s="1"/>
  <c r="N111" i="47" s="1"/>
  <c r="N110" i="47" s="1"/>
  <c r="N109" i="47" s="1"/>
  <c r="G22" i="46"/>
  <c r="L22" i="46" s="1"/>
  <c r="P99" i="47"/>
  <c r="P97" i="47" s="1"/>
  <c r="H20" i="46"/>
  <c r="M20" i="46" s="1"/>
  <c r="P85" i="47"/>
  <c r="H15" i="70"/>
  <c r="H14" i="70"/>
  <c r="E10" i="70"/>
  <c r="AC59" i="91"/>
  <c r="AD49" i="91"/>
  <c r="AC54" i="91"/>
  <c r="AC51" i="91"/>
  <c r="AC53" i="91"/>
  <c r="AC56" i="91"/>
  <c r="AC52" i="91"/>
  <c r="AC58" i="91"/>
  <c r="AC55" i="91"/>
  <c r="AC57" i="91"/>
  <c r="N98" i="47" l="1"/>
  <c r="N97" i="47" s="1"/>
  <c r="G20" i="46"/>
  <c r="L20" i="46" s="1"/>
  <c r="R107" i="47"/>
  <c r="R101" i="47" s="1"/>
  <c r="E22" i="46"/>
  <c r="J22" i="46" s="1"/>
  <c r="R82" i="47"/>
  <c r="Q82" i="47" s="1"/>
  <c r="P82" i="47" s="1"/>
  <c r="R81" i="47" s="1"/>
  <c r="Q81" i="47" s="1"/>
  <c r="P81" i="47" s="1"/>
  <c r="R80" i="47" s="1"/>
  <c r="BH77" i="82"/>
  <c r="E27" i="70"/>
  <c r="H10" i="70"/>
  <c r="E25" i="70"/>
  <c r="M45" i="65"/>
  <c r="AD59" i="91"/>
  <c r="AE49" i="91"/>
  <c r="AD55" i="91"/>
  <c r="AD57" i="91"/>
  <c r="AD54" i="91"/>
  <c r="AD52" i="91"/>
  <c r="AD53" i="91"/>
  <c r="AD56" i="91"/>
  <c r="AD58" i="91"/>
  <c r="AD51" i="91"/>
  <c r="Q107" i="47" l="1"/>
  <c r="Q101" i="47" s="1"/>
  <c r="I21" i="46"/>
  <c r="N21" i="46" s="1"/>
  <c r="R95" i="47"/>
  <c r="R93" i="47" s="1"/>
  <c r="E20" i="46"/>
  <c r="J20" i="46" s="1"/>
  <c r="Q80" i="47"/>
  <c r="R77" i="47"/>
  <c r="I15" i="46" s="1"/>
  <c r="N15" i="46" s="1"/>
  <c r="G25" i="70"/>
  <c r="H25" i="70" s="1"/>
  <c r="G27" i="70"/>
  <c r="H27" i="70" s="1"/>
  <c r="AE51" i="91"/>
  <c r="AE58" i="91"/>
  <c r="AE53" i="91"/>
  <c r="AE52" i="91"/>
  <c r="AE57" i="91"/>
  <c r="AE56" i="91"/>
  <c r="AE54" i="91"/>
  <c r="AF49" i="91"/>
  <c r="AE59" i="91"/>
  <c r="AE55" i="91"/>
  <c r="Q95" i="47" l="1"/>
  <c r="Q93" i="47" s="1"/>
  <c r="I19" i="46"/>
  <c r="N19" i="46" s="1"/>
  <c r="P107" i="47"/>
  <c r="P101" i="47" s="1"/>
  <c r="H21" i="46"/>
  <c r="M21" i="46" s="1"/>
  <c r="P80" i="47"/>
  <c r="Q77" i="47"/>
  <c r="H15" i="46" s="1"/>
  <c r="M15" i="46" s="1"/>
  <c r="AF59" i="91"/>
  <c r="AF53" i="91"/>
  <c r="AF55" i="91"/>
  <c r="AF57" i="91"/>
  <c r="AG49" i="91"/>
  <c r="AF51" i="91"/>
  <c r="AF52" i="91"/>
  <c r="AF54" i="91"/>
  <c r="AF58" i="91"/>
  <c r="AF56" i="91"/>
  <c r="N106" i="47" l="1"/>
  <c r="N105" i="47" s="1"/>
  <c r="N104" i="47" s="1"/>
  <c r="N103" i="47" s="1"/>
  <c r="N102" i="47" s="1"/>
  <c r="N101" i="47" s="1"/>
  <c r="E21" i="46" s="1"/>
  <c r="J21" i="46" s="1"/>
  <c r="G21" i="46"/>
  <c r="L21" i="46" s="1"/>
  <c r="P95" i="47"/>
  <c r="P93" i="47" s="1"/>
  <c r="H19" i="46"/>
  <c r="M19" i="46" s="1"/>
  <c r="N79" i="47"/>
  <c r="N78" i="47" s="1"/>
  <c r="P77" i="47"/>
  <c r="G15" i="46" s="1"/>
  <c r="L15" i="46" s="1"/>
  <c r="AG55" i="91"/>
  <c r="AG57" i="91"/>
  <c r="AG59" i="91"/>
  <c r="AG52" i="91"/>
  <c r="AG56" i="91"/>
  <c r="AG53" i="91"/>
  <c r="AG51" i="91"/>
  <c r="AG54" i="91"/>
  <c r="AH49" i="91"/>
  <c r="AG58" i="91"/>
  <c r="N94" i="47" l="1"/>
  <c r="N93" i="47" s="1"/>
  <c r="G19" i="46"/>
  <c r="L19" i="46" s="1"/>
  <c r="R75" i="47"/>
  <c r="Q75" i="47" s="1"/>
  <c r="P75" i="47" s="1"/>
  <c r="R74" i="47" s="1"/>
  <c r="N77" i="47"/>
  <c r="E15" i="46" s="1"/>
  <c r="J15" i="46" s="1"/>
  <c r="AH55" i="91"/>
  <c r="AH51" i="91"/>
  <c r="AH59" i="91"/>
  <c r="AH54" i="91"/>
  <c r="AH58" i="91"/>
  <c r="AH56" i="91"/>
  <c r="AH57" i="91"/>
  <c r="AH53" i="91"/>
  <c r="AI49" i="91"/>
  <c r="AH52" i="91"/>
  <c r="R91" i="47" l="1"/>
  <c r="R89" i="47" s="1"/>
  <c r="E19" i="46"/>
  <c r="J19" i="46" s="1"/>
  <c r="AI51" i="91"/>
  <c r="AJ49" i="91"/>
  <c r="AI55" i="91"/>
  <c r="AI52" i="91"/>
  <c r="AI53" i="91"/>
  <c r="AI59" i="91"/>
  <c r="AI54" i="91"/>
  <c r="AI58" i="91"/>
  <c r="AI56" i="91"/>
  <c r="AI57" i="91"/>
  <c r="Q91" i="47" l="1"/>
  <c r="Q89" i="47" s="1"/>
  <c r="I18" i="46"/>
  <c r="N18" i="46" s="1"/>
  <c r="N51" i="46" s="1"/>
  <c r="F12" i="107" s="1"/>
  <c r="H12" i="107" s="1"/>
  <c r="J12" i="107" s="1"/>
  <c r="AJ52" i="91"/>
  <c r="AJ56" i="91"/>
  <c r="AJ53" i="91"/>
  <c r="AJ54" i="91"/>
  <c r="AJ55" i="91"/>
  <c r="AK49" i="91"/>
  <c r="AJ58" i="91"/>
  <c r="AJ59" i="91"/>
  <c r="AJ51" i="91"/>
  <c r="AJ57" i="91"/>
  <c r="P91" i="47" l="1"/>
  <c r="P89" i="47" s="1"/>
  <c r="H18" i="46"/>
  <c r="M18" i="46" s="1"/>
  <c r="M51" i="46" s="1"/>
  <c r="F10" i="107" s="1"/>
  <c r="AK55" i="91"/>
  <c r="AK54" i="91"/>
  <c r="AK53" i="91"/>
  <c r="AK57" i="91"/>
  <c r="AK56" i="91"/>
  <c r="AK59" i="91"/>
  <c r="AK58" i="91"/>
  <c r="AL49" i="91"/>
  <c r="AK51" i="91"/>
  <c r="AK52" i="91"/>
  <c r="H10" i="107" l="1"/>
  <c r="J10" i="107" s="1"/>
  <c r="F14" i="107"/>
  <c r="H14" i="107" s="1"/>
  <c r="J14" i="107" s="1"/>
  <c r="N90" i="47"/>
  <c r="N89" i="47" s="1"/>
  <c r="G18" i="46"/>
  <c r="L18" i="46" s="1"/>
  <c r="L51" i="46" s="1"/>
  <c r="F9" i="107" s="1"/>
  <c r="AL58" i="91"/>
  <c r="AL52" i="91"/>
  <c r="AM49" i="91"/>
  <c r="AL55" i="91"/>
  <c r="AL53" i="91"/>
  <c r="AL56" i="91"/>
  <c r="AL51" i="91"/>
  <c r="AL54" i="91"/>
  <c r="AL57" i="91"/>
  <c r="AL59" i="91"/>
  <c r="F8" i="107" l="1"/>
  <c r="H9" i="107"/>
  <c r="R86" i="47"/>
  <c r="Q86" i="47" s="1"/>
  <c r="E18" i="46"/>
  <c r="J18" i="46" s="1"/>
  <c r="J51" i="46" s="1"/>
  <c r="F8" i="33" s="1"/>
  <c r="AM58" i="91"/>
  <c r="AM56" i="91"/>
  <c r="AM51" i="91"/>
  <c r="AM55" i="91"/>
  <c r="AN49" i="91"/>
  <c r="AM54" i="91"/>
  <c r="AM52" i="91"/>
  <c r="AM59" i="91"/>
  <c r="AM57" i="91"/>
  <c r="AM53" i="91"/>
  <c r="F7" i="33" l="1"/>
  <c r="F12" i="33" s="1"/>
  <c r="H8" i="33"/>
  <c r="P86" i="47"/>
  <c r="Q84" i="47"/>
  <c r="H16" i="46" s="1"/>
  <c r="M16" i="46" s="1"/>
  <c r="J9" i="107"/>
  <c r="J8" i="107" s="1"/>
  <c r="H8" i="107"/>
  <c r="F16" i="107"/>
  <c r="H16" i="107" s="1"/>
  <c r="J16" i="107" s="1"/>
  <c r="F15" i="107"/>
  <c r="H15" i="107" s="1"/>
  <c r="J15" i="107" s="1"/>
  <c r="AN54" i="91"/>
  <c r="AN55" i="91"/>
  <c r="AN57" i="91"/>
  <c r="AN52" i="91"/>
  <c r="AO49" i="91"/>
  <c r="AN59" i="91"/>
  <c r="AN51" i="91"/>
  <c r="AN56" i="91"/>
  <c r="AN53" i="91"/>
  <c r="AN58" i="91"/>
  <c r="R85" i="47" l="1"/>
  <c r="R84" i="47" s="1"/>
  <c r="I16" i="46" s="1"/>
  <c r="N16" i="46" s="1"/>
  <c r="P84" i="47"/>
  <c r="G16" i="46" s="1"/>
  <c r="L16" i="46" s="1"/>
  <c r="J8" i="33"/>
  <c r="J7" i="33" s="1"/>
  <c r="H7" i="33"/>
  <c r="F17" i="107"/>
  <c r="F13" i="33"/>
  <c r="H13" i="33" s="1"/>
  <c r="J13" i="33" s="1"/>
  <c r="H12" i="33"/>
  <c r="J12" i="33" s="1"/>
  <c r="E6" i="70" s="1"/>
  <c r="AP49" i="91"/>
  <c r="AO55" i="91"/>
  <c r="AO52" i="91"/>
  <c r="AO54" i="91"/>
  <c r="AO53" i="91"/>
  <c r="AO59" i="91"/>
  <c r="AO57" i="91"/>
  <c r="AO51" i="91"/>
  <c r="AO58" i="91"/>
  <c r="AO56" i="91"/>
  <c r="G6" i="70" l="1"/>
  <c r="H6" i="70" s="1"/>
  <c r="F18" i="107"/>
  <c r="H18" i="107" s="1"/>
  <c r="J18" i="107" s="1"/>
  <c r="H17" i="107"/>
  <c r="J17" i="107" s="1"/>
  <c r="E9" i="70" s="1"/>
  <c r="G9" i="70" s="1"/>
  <c r="H9" i="70" s="1"/>
  <c r="F19" i="107"/>
  <c r="H19" i="107" s="1"/>
  <c r="J19" i="107" s="1"/>
  <c r="F14" i="33"/>
  <c r="H14" i="33" s="1"/>
  <c r="J14" i="33" s="1"/>
  <c r="AP55" i="91"/>
  <c r="AP58" i="91"/>
  <c r="AP57" i="91"/>
  <c r="AQ49" i="91"/>
  <c r="AP56" i="91"/>
  <c r="AP51" i="91"/>
  <c r="AP52" i="91"/>
  <c r="AP59" i="91"/>
  <c r="AP53" i="91"/>
  <c r="AP54" i="91"/>
  <c r="AR49" i="91" l="1"/>
  <c r="AQ51" i="91"/>
  <c r="AQ57" i="91"/>
  <c r="AQ54" i="91"/>
  <c r="AQ58" i="91"/>
  <c r="AQ56" i="91"/>
  <c r="AQ52" i="91"/>
  <c r="AQ55" i="91"/>
  <c r="AQ53" i="91"/>
  <c r="AQ59" i="91"/>
  <c r="AR58" i="91" l="1"/>
  <c r="AR59" i="91"/>
  <c r="AR56" i="91"/>
  <c r="AR52" i="91"/>
  <c r="AR51" i="91"/>
  <c r="AR53" i="91"/>
  <c r="AR55" i="91"/>
  <c r="AS49" i="91"/>
  <c r="AR57" i="91"/>
  <c r="AR54" i="91"/>
  <c r="AS51" i="91" l="1"/>
  <c r="AS52" i="91"/>
  <c r="AS57" i="91"/>
  <c r="AS55" i="91"/>
  <c r="AS58" i="91"/>
  <c r="AS59" i="91"/>
  <c r="AS56" i="91"/>
  <c r="AT49" i="91"/>
  <c r="AS54" i="91"/>
  <c r="AS53" i="91"/>
  <c r="AT57" i="91" l="1"/>
  <c r="AT51" i="91"/>
  <c r="AU49" i="91"/>
  <c r="AT56" i="91"/>
  <c r="AT58" i="91"/>
  <c r="AT53" i="91"/>
  <c r="AT55" i="91"/>
  <c r="AT52" i="91"/>
  <c r="AT59" i="91"/>
  <c r="AT54" i="91"/>
  <c r="AU54" i="91" l="1"/>
  <c r="AV49" i="91"/>
  <c r="AU53" i="91"/>
  <c r="AU52" i="91"/>
  <c r="AU57" i="91"/>
  <c r="AU51" i="91"/>
  <c r="AU56" i="91"/>
  <c r="AU58" i="91"/>
  <c r="AU55" i="91"/>
  <c r="AU59" i="91"/>
  <c r="AV59" i="91" l="1"/>
  <c r="AV51" i="91"/>
  <c r="AV57" i="91"/>
  <c r="AV53" i="91"/>
  <c r="AV54" i="91"/>
  <c r="AV55" i="91"/>
  <c r="AV52" i="91"/>
  <c r="AV56" i="91"/>
  <c r="AV58" i="91"/>
  <c r="AW49" i="91"/>
  <c r="AX49" i="91" l="1"/>
  <c r="AW53" i="91"/>
  <c r="AW52" i="91"/>
  <c r="AW57" i="91"/>
  <c r="AW58" i="91"/>
  <c r="AW54" i="91"/>
  <c r="AW55" i="91"/>
  <c r="AW59" i="91"/>
  <c r="AW51" i="91"/>
  <c r="AW56" i="91"/>
  <c r="AY49" i="91" l="1"/>
  <c r="AX58" i="91"/>
  <c r="AX53" i="91"/>
  <c r="AX55" i="91"/>
  <c r="AX51" i="91"/>
  <c r="AX57" i="91"/>
  <c r="AX54" i="91"/>
  <c r="AX56" i="91"/>
  <c r="AX52" i="91"/>
  <c r="AX59" i="91"/>
  <c r="AY54" i="91" l="1"/>
  <c r="AY52" i="91"/>
  <c r="AY58" i="91"/>
  <c r="AY59" i="91"/>
  <c r="AY57" i="91"/>
  <c r="AY56" i="91"/>
  <c r="AZ49" i="91"/>
  <c r="AY55" i="91"/>
  <c r="AY53" i="91"/>
  <c r="AY51" i="91"/>
  <c r="BA49" i="91" l="1"/>
  <c r="AZ57" i="91"/>
  <c r="AZ58" i="91"/>
  <c r="AZ53" i="91"/>
  <c r="AZ51" i="91"/>
  <c r="AZ56" i="91"/>
  <c r="AZ55" i="91"/>
  <c r="AZ52" i="91"/>
  <c r="AZ54" i="91"/>
  <c r="AZ59" i="91"/>
  <c r="BA54" i="91" l="1"/>
  <c r="BA52" i="91"/>
  <c r="BA59" i="91"/>
  <c r="BA53" i="91"/>
  <c r="BA58" i="91"/>
  <c r="BA57" i="91"/>
  <c r="BA56" i="91"/>
  <c r="BB49" i="91"/>
  <c r="BA51" i="91"/>
  <c r="BA55" i="91"/>
  <c r="BB57" i="91" l="1"/>
  <c r="BB58" i="91"/>
  <c r="BB56" i="91"/>
  <c r="BB54" i="91"/>
  <c r="BB55" i="91"/>
  <c r="BB53" i="91"/>
  <c r="BC49" i="91"/>
  <c r="BB52" i="91"/>
  <c r="BB59" i="91"/>
  <c r="BB51" i="91"/>
  <c r="BC51" i="91" l="1"/>
  <c r="BC58" i="91"/>
  <c r="BC55" i="91"/>
  <c r="BC54" i="91"/>
  <c r="BC52" i="91"/>
  <c r="BC56" i="91"/>
  <c r="BD49" i="91"/>
  <c r="BC53" i="91"/>
  <c r="BC57" i="91"/>
  <c r="BC59" i="91"/>
  <c r="BD56" i="91" l="1"/>
  <c r="BD55" i="91"/>
  <c r="BD58" i="91"/>
  <c r="BD57" i="91"/>
  <c r="BD53" i="91"/>
  <c r="BD52" i="91"/>
  <c r="BD59" i="91"/>
  <c r="BE49" i="91"/>
  <c r="BD51" i="91"/>
  <c r="BD54" i="91"/>
  <c r="BF49" i="91" l="1"/>
  <c r="BE51" i="91"/>
  <c r="BE54" i="91"/>
  <c r="BE53" i="91"/>
  <c r="BE52" i="91"/>
  <c r="BE57" i="91"/>
  <c r="BE58" i="91"/>
  <c r="BE56" i="91"/>
  <c r="BE59" i="91"/>
  <c r="BE55" i="91"/>
  <c r="BF57" i="91" l="1"/>
  <c r="BF53" i="91"/>
  <c r="BF54" i="91"/>
  <c r="BF56" i="91"/>
  <c r="BF59" i="91"/>
  <c r="BF52" i="91"/>
  <c r="BF58" i="91"/>
  <c r="BG49" i="91"/>
  <c r="BF51" i="91"/>
  <c r="BF55" i="91"/>
  <c r="BG51" i="91" l="1"/>
  <c r="BH49" i="91"/>
  <c r="BG52" i="91"/>
  <c r="BG56" i="91"/>
  <c r="BG55" i="91"/>
  <c r="BG58" i="91"/>
  <c r="BG57" i="91"/>
  <c r="BG53" i="91"/>
  <c r="BG54" i="91"/>
  <c r="BG59" i="91"/>
  <c r="BH55" i="91" l="1"/>
  <c r="BH51" i="91"/>
  <c r="BH56" i="91"/>
  <c r="BH58" i="91"/>
  <c r="BH59" i="91"/>
  <c r="BH57" i="91"/>
  <c r="BH53" i="91"/>
  <c r="BI49" i="91"/>
  <c r="BH54" i="91"/>
  <c r="BH52" i="91"/>
  <c r="BJ49" i="91" l="1"/>
  <c r="BI51" i="91"/>
  <c r="BI57" i="91"/>
  <c r="BI53" i="91"/>
  <c r="BI56" i="91"/>
  <c r="BI54" i="91"/>
  <c r="BI59" i="91"/>
  <c r="BI52" i="91"/>
  <c r="BI55" i="91"/>
  <c r="BI58" i="91"/>
  <c r="BJ57" i="91" l="1"/>
  <c r="BJ56" i="91"/>
  <c r="BK49" i="91"/>
  <c r="BJ55" i="91"/>
  <c r="BJ53" i="91"/>
  <c r="BJ58" i="91"/>
  <c r="BJ59" i="91"/>
  <c r="BJ51" i="91"/>
  <c r="BJ52" i="91"/>
  <c r="BJ54" i="91"/>
  <c r="R73" i="47"/>
  <c r="R70" i="47"/>
  <c r="I14" i="46" s="1"/>
  <c r="N14" i="46" s="1"/>
  <c r="Q74" i="47"/>
  <c r="P74" i="47"/>
  <c r="Q73" i="47"/>
  <c r="N11" i="47"/>
  <c r="N10" i="47" s="1"/>
  <c r="E9" i="46" s="1"/>
  <c r="J9" i="46" s="1"/>
  <c r="J50" i="46" s="1"/>
  <c r="N12" i="47"/>
  <c r="N13" i="47"/>
  <c r="N14" i="47"/>
  <c r="N16" i="47"/>
  <c r="N17" i="47"/>
  <c r="N18" i="47"/>
  <c r="N25" i="47"/>
  <c r="N23" i="47" s="1"/>
  <c r="E10" i="46" s="1"/>
  <c r="J10" i="46" s="1"/>
  <c r="N26" i="47"/>
  <c r="N27" i="47"/>
  <c r="N29" i="47"/>
  <c r="N30" i="47"/>
  <c r="N31" i="47"/>
  <c r="R21" i="47"/>
  <c r="Q21" i="47"/>
  <c r="R20" i="47"/>
  <c r="Q20" i="47"/>
  <c r="Q10" i="47" s="1"/>
  <c r="H9" i="46" s="1"/>
  <c r="M9" i="46" s="1"/>
  <c r="M50" i="46" s="1"/>
  <c r="F9" i="108" s="1"/>
  <c r="H9" i="108" s="1"/>
  <c r="J9" i="108" s="1"/>
  <c r="Q19" i="47"/>
  <c r="P20" i="47"/>
  <c r="R19" i="47"/>
  <c r="Q57" i="47"/>
  <c r="Q49" i="47"/>
  <c r="H12" i="46" s="1"/>
  <c r="M12" i="46" s="1"/>
  <c r="P57" i="47"/>
  <c r="Q68" i="47"/>
  <c r="Q61" i="47" s="1"/>
  <c r="H13" i="46" s="1"/>
  <c r="M13" i="46" s="1"/>
  <c r="P45" i="47"/>
  <c r="P36" i="47" s="1"/>
  <c r="G11" i="46" s="1"/>
  <c r="L11" i="46" s="1"/>
  <c r="P46" i="47"/>
  <c r="N44" i="47"/>
  <c r="N43" i="47"/>
  <c r="N42" i="47"/>
  <c r="N40" i="47"/>
  <c r="N39" i="47"/>
  <c r="N38" i="47"/>
  <c r="N36" i="47" s="1"/>
  <c r="E11" i="46" s="1"/>
  <c r="J11" i="46" s="1"/>
  <c r="N37" i="47"/>
  <c r="R10" i="47"/>
  <c r="I9" i="46"/>
  <c r="N9" i="46" s="1"/>
  <c r="P19" i="47"/>
  <c r="N71" i="47"/>
  <c r="N72" i="47"/>
  <c r="N70" i="47"/>
  <c r="E14" i="46" s="1"/>
  <c r="J14" i="46" s="1"/>
  <c r="R68" i="47"/>
  <c r="R34" i="47"/>
  <c r="Q34" i="47"/>
  <c r="R33" i="47"/>
  <c r="Q33" i="47"/>
  <c r="P33" i="47"/>
  <c r="R32" i="47"/>
  <c r="R23" i="47" s="1"/>
  <c r="I10" i="46" s="1"/>
  <c r="N10" i="46" s="1"/>
  <c r="N51" i="47"/>
  <c r="N52" i="47"/>
  <c r="N53" i="47"/>
  <c r="I54" i="47"/>
  <c r="N54" i="47" s="1"/>
  <c r="N49" i="47" s="1"/>
  <c r="E12" i="46" s="1"/>
  <c r="J12" i="46" s="1"/>
  <c r="N55" i="47"/>
  <c r="N56" i="47"/>
  <c r="R47" i="47"/>
  <c r="Q47" i="47"/>
  <c r="R46" i="47"/>
  <c r="Q46" i="47"/>
  <c r="R45" i="47"/>
  <c r="R36" i="47" s="1"/>
  <c r="I11" i="46" s="1"/>
  <c r="N11" i="46" s="1"/>
  <c r="Q32" i="47"/>
  <c r="Q23" i="47" s="1"/>
  <c r="H10" i="46" s="1"/>
  <c r="M10" i="46" s="1"/>
  <c r="P32" i="47"/>
  <c r="Q45" i="47"/>
  <c r="Q36" i="47" s="1"/>
  <c r="H11" i="46" s="1"/>
  <c r="M11" i="46" s="1"/>
  <c r="Q70" i="47"/>
  <c r="H14" i="46" s="1"/>
  <c r="M14" i="46" s="1"/>
  <c r="P73" i="47"/>
  <c r="P70" i="47"/>
  <c r="G14" i="46" s="1"/>
  <c r="L14" i="46" s="1"/>
  <c r="P23" i="47"/>
  <c r="G10" i="46" s="1"/>
  <c r="L10" i="46" s="1"/>
  <c r="O49" i="47"/>
  <c r="F12" i="46" s="1"/>
  <c r="K12" i="46" s="1"/>
  <c r="K50" i="46" s="1"/>
  <c r="R57" i="47"/>
  <c r="R49" i="47" s="1"/>
  <c r="I12" i="46" s="1"/>
  <c r="N12" i="46" s="1"/>
  <c r="R61" i="47"/>
  <c r="I13" i="46" s="1"/>
  <c r="N13" i="46" s="1"/>
  <c r="P10" i="47"/>
  <c r="G9" i="46"/>
  <c r="L9" i="46" s="1"/>
  <c r="F8" i="108" l="1"/>
  <c r="L50" i="46"/>
  <c r="N50" i="46"/>
  <c r="F11" i="108" s="1"/>
  <c r="H11" i="108" s="1"/>
  <c r="J11" i="108" s="1"/>
  <c r="H8" i="108" l="1"/>
  <c r="F7" i="108"/>
  <c r="F13" i="108" l="1"/>
  <c r="H13" i="108" s="1"/>
  <c r="J13" i="108" s="1"/>
  <c r="F14" i="108"/>
  <c r="H14" i="108" s="1"/>
  <c r="J14" i="108" s="1"/>
  <c r="H7" i="108"/>
  <c r="J8" i="108"/>
  <c r="J7" i="108" s="1"/>
  <c r="F15" i="108" l="1"/>
  <c r="H15" i="108" l="1"/>
  <c r="J15" i="108" s="1"/>
  <c r="F16" i="108"/>
  <c r="H16" i="108" l="1"/>
  <c r="J16" i="108" s="1"/>
  <c r="E8" i="70" s="1"/>
  <c r="F17" i="108"/>
  <c r="H17" i="108" s="1"/>
  <c r="J17" i="108" s="1"/>
  <c r="F18" i="108" l="1"/>
  <c r="H18" i="108" s="1"/>
  <c r="J18" i="108" s="1"/>
  <c r="G8" i="70"/>
  <c r="H8" i="70" s="1"/>
  <c r="E7" i="70"/>
  <c r="G7" i="70" l="1"/>
  <c r="G5" i="70" s="1"/>
  <c r="E5" i="70"/>
  <c r="E34" i="70" l="1"/>
  <c r="G34" i="70" s="1"/>
  <c r="H34" i="70" s="1"/>
  <c r="E32" i="70"/>
  <c r="G32" i="70" s="1"/>
  <c r="H32" i="70" s="1"/>
  <c r="E29" i="70"/>
  <c r="E22" i="70"/>
  <c r="G22" i="70" s="1"/>
  <c r="H22" i="70" s="1"/>
  <c r="E24" i="70"/>
  <c r="G24" i="70" s="1"/>
  <c r="H24" i="70" s="1"/>
  <c r="E17" i="70"/>
  <c r="E33" i="70"/>
  <c r="G33" i="70" s="1"/>
  <c r="H33" i="70" s="1"/>
  <c r="E26" i="70"/>
  <c r="G26" i="70" s="1"/>
  <c r="H26" i="70" s="1"/>
  <c r="M44" i="65"/>
  <c r="M47" i="65" s="1"/>
  <c r="E21" i="70"/>
  <c r="G21" i="70" s="1"/>
  <c r="H21" i="70" s="1"/>
  <c r="BG77" i="82"/>
  <c r="H5" i="70"/>
  <c r="H7" i="70"/>
  <c r="O43" i="65" l="1"/>
  <c r="O45" i="65"/>
  <c r="O44" i="65"/>
  <c r="E20" i="70"/>
  <c r="M42" i="65"/>
  <c r="O46" i="65"/>
  <c r="AX16" i="84"/>
  <c r="AX19" i="84" s="1"/>
  <c r="AX20" i="84" s="1"/>
  <c r="P21" i="84" s="1"/>
  <c r="Y21" i="84" s="1"/>
  <c r="Y22" i="84" s="1"/>
  <c r="O48" i="65"/>
  <c r="O47" i="65"/>
  <c r="T77" i="82"/>
  <c r="AP77" i="82"/>
  <c r="AP80" i="82" s="1"/>
  <c r="G29" i="70"/>
  <c r="E28" i="70"/>
  <c r="G17" i="70"/>
  <c r="H17" i="70"/>
  <c r="H29" i="70" l="1"/>
  <c r="H28" i="70" s="1"/>
  <c r="G28" i="70"/>
  <c r="G20" i="70"/>
  <c r="G18" i="70" s="1"/>
  <c r="G35" i="70" s="1"/>
  <c r="E18" i="70"/>
  <c r="AP81" i="82"/>
  <c r="AP220" i="82"/>
  <c r="AP218" i="82" s="1"/>
  <c r="AP223" i="82" s="1"/>
  <c r="O42" i="65"/>
  <c r="M61" i="65"/>
  <c r="E36" i="70" l="1"/>
  <c r="F37" i="70" s="1"/>
  <c r="E35" i="70"/>
  <c r="H35" i="70" s="1"/>
  <c r="BC81" i="82"/>
  <c r="AP217" i="82"/>
  <c r="AP221" i="82" s="1"/>
  <c r="AQ96" i="82"/>
  <c r="O61" i="65"/>
  <c r="O60" i="65"/>
  <c r="H20" i="70"/>
  <c r="H18" i="70" s="1"/>
  <c r="E39" i="70" l="1"/>
  <c r="F40" i="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gia24.vn</author>
    <author>Microsoft Cop.</author>
    <author>THIEN</author>
  </authors>
  <commentList>
    <comment ref="CO45" authorId="0" shapeId="0" xr:uid="{00000000-0006-0000-0000-000001000000}">
      <text>
        <r>
          <rPr>
            <b/>
            <sz val="14"/>
            <color indexed="81"/>
            <rFont val="Times New Roman"/>
            <family val="1"/>
          </rPr>
          <t>Chưa chính xác</t>
        </r>
      </text>
    </comment>
    <comment ref="CO46" authorId="0" shapeId="0" xr:uid="{00000000-0006-0000-0000-000002000000}">
      <text>
        <r>
          <rPr>
            <b/>
            <sz val="14"/>
            <color indexed="81"/>
            <rFont val="Times New Roman"/>
            <family val="1"/>
          </rPr>
          <t>Chưa chính xác</t>
        </r>
      </text>
    </comment>
    <comment ref="CO47" authorId="0" shapeId="0" xr:uid="{00000000-0006-0000-0000-000003000000}">
      <text>
        <r>
          <rPr>
            <b/>
            <sz val="14"/>
            <color indexed="81"/>
            <rFont val="Times New Roman"/>
            <family val="1"/>
          </rPr>
          <t>Chưa chính xác</t>
        </r>
      </text>
    </comment>
    <comment ref="CO48" authorId="0" shapeId="0" xr:uid="{00000000-0006-0000-0000-000004000000}">
      <text>
        <r>
          <rPr>
            <b/>
            <sz val="14"/>
            <color indexed="81"/>
            <rFont val="Times New Roman"/>
            <family val="1"/>
          </rPr>
          <t>Chưa chính xác</t>
        </r>
      </text>
    </comment>
    <comment ref="CO49" authorId="0" shapeId="0" xr:uid="{00000000-0006-0000-0000-000005000000}">
      <text>
        <r>
          <rPr>
            <b/>
            <sz val="14"/>
            <color indexed="81"/>
            <rFont val="Times New Roman"/>
            <family val="1"/>
          </rPr>
          <t>Chưa chính xác</t>
        </r>
      </text>
    </comment>
    <comment ref="CO50" authorId="0" shapeId="0" xr:uid="{00000000-0006-0000-0000-000006000000}">
      <text>
        <r>
          <rPr>
            <b/>
            <sz val="14"/>
            <color indexed="81"/>
            <rFont val="Times New Roman"/>
            <family val="1"/>
          </rPr>
          <t>Chưa chính xác</t>
        </r>
      </text>
    </comment>
    <comment ref="CK77" authorId="1" shapeId="0" xr:uid="{00000000-0006-0000-0000-000007000000}">
      <text>
        <r>
          <rPr>
            <b/>
            <sz val="12"/>
            <color indexed="81"/>
            <rFont val="Times New Roman"/>
            <family val="1"/>
          </rPr>
          <t>HƯỚNG DẪN THIẾT KẾ ĐD TẢI ĐIỆN</t>
        </r>
        <r>
          <rPr>
            <sz val="12"/>
            <color indexed="81"/>
            <rFont val="Times New Roman"/>
            <family val="1"/>
          </rPr>
          <t xml:space="preserve"> PL 1 - Trang 297</t>
        </r>
      </text>
    </comment>
    <comment ref="CL77" authorId="1" shapeId="0" xr:uid="{00000000-0006-0000-0000-000008000000}">
      <text>
        <r>
          <rPr>
            <b/>
            <sz val="12"/>
            <color indexed="81"/>
            <rFont val="Times New Roman"/>
            <family val="1"/>
          </rPr>
          <t>HƯỚNG DẪN THIẾT KẾ ĐD TẢI ĐIỆN</t>
        </r>
        <r>
          <rPr>
            <sz val="12"/>
            <color indexed="81"/>
            <rFont val="Times New Roman"/>
            <family val="1"/>
          </rPr>
          <t xml:space="preserve"> PL 1 - Trang 297</t>
        </r>
      </text>
    </comment>
    <comment ref="CD80" authorId="0" shapeId="0" xr:uid="{00000000-0006-0000-0000-000009000000}">
      <text>
        <r>
          <rPr>
            <b/>
            <sz val="10"/>
            <color indexed="81"/>
            <rFont val="Times New Roman"/>
            <family val="1"/>
          </rPr>
          <t>THIẾT KẾ CẤP ĐIỆN
Bảng</t>
        </r>
        <r>
          <rPr>
            <sz val="10"/>
            <color indexed="81"/>
            <rFont val="Times New Roman"/>
            <family val="1"/>
          </rPr>
          <t xml:space="preserve"> 7.4 - Trang 160</t>
        </r>
      </text>
    </comment>
    <comment ref="CG80" authorId="0" shapeId="0" xr:uid="{00000000-0006-0000-0000-00000A000000}">
      <text>
        <r>
          <rPr>
            <b/>
            <sz val="10"/>
            <color indexed="81"/>
            <rFont val="Times New Roman"/>
            <family val="1"/>
          </rPr>
          <t>HƯỚNG DẪN THIẾT KẾ
ĐƯỜNG DÂY TẢI ĐIỆN</t>
        </r>
        <r>
          <rPr>
            <sz val="10"/>
            <color indexed="81"/>
            <rFont val="Times New Roman"/>
            <family val="1"/>
          </rPr>
          <t xml:space="preserve">
Phụ lục 1 - Trang 297</t>
        </r>
      </text>
    </comment>
    <comment ref="C90" authorId="2" shapeId="0" xr:uid="{00000000-0006-0000-0000-00000B000000}">
      <text>
        <r>
          <rPr>
            <b/>
            <sz val="9"/>
            <color indexed="81"/>
            <rFont val="Tahoma"/>
            <family val="2"/>
          </rPr>
          <t xml:space="preserve">THIEN: </t>
        </r>
        <r>
          <rPr>
            <sz val="9"/>
            <color indexed="81"/>
            <rFont val="Tahoma"/>
            <family val="2"/>
          </rPr>
          <t xml:space="preserve">
Đo vẽ bản đồ:Không sử dụng</t>
        </r>
      </text>
    </comment>
    <comment ref="CC98" authorId="0" shapeId="0" xr:uid="{00000000-0006-0000-0000-00000C000000}">
      <text>
        <r>
          <rPr>
            <sz val="10"/>
            <color indexed="81"/>
            <rFont val="Times New Roman"/>
            <family val="1"/>
          </rPr>
          <t>http://www.thinhphatiz.com</t>
        </r>
      </text>
    </comment>
    <comment ref="CG98" authorId="0" shapeId="0" xr:uid="{00000000-0006-0000-0000-00000D000000}">
      <text>
        <r>
          <rPr>
            <b/>
            <sz val="10"/>
            <color indexed="81"/>
            <rFont val="Times New Roman"/>
            <family val="1"/>
          </rPr>
          <t>HƯỚNG DẪN THIẾT KẾ
ĐƯỜNG DÂY TẢI ĐIỆN</t>
        </r>
        <r>
          <rPr>
            <sz val="10"/>
            <color indexed="81"/>
            <rFont val="Times New Roman"/>
            <family val="1"/>
          </rPr>
          <t xml:space="preserve">
Phụ lục 1 - Trang 297</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Thanh An</author>
  </authors>
  <commentList>
    <comment ref="AB3" authorId="0" shapeId="0" xr:uid="{00000000-0006-0000-1000-000001000000}">
      <text>
        <r>
          <rPr>
            <sz val="8"/>
            <color indexed="81"/>
            <rFont val="Tahoma"/>
            <family val="2"/>
          </rPr>
          <t>Vị trí an toàn cao</t>
        </r>
        <r>
          <rPr>
            <sz val="8"/>
            <color indexed="81"/>
            <rFont val="Tahoma"/>
            <family val="2"/>
          </rPr>
          <t xml:space="preserve">
</t>
        </r>
      </text>
    </comment>
    <comment ref="AE3" authorId="0" shapeId="0" xr:uid="{00000000-0006-0000-1000-000002000000}">
      <text>
        <r>
          <rPr>
            <sz val="8"/>
            <color indexed="81"/>
            <rFont val="Tahoma"/>
            <family val="2"/>
          </rPr>
          <t>Dây trung hòa</t>
        </r>
        <r>
          <rPr>
            <sz val="8"/>
            <color indexed="81"/>
            <rFont val="Tahoma"/>
            <family val="2"/>
          </rPr>
          <t xml:space="preserve">
</t>
        </r>
      </text>
    </comment>
    <comment ref="AF3" authorId="0" shapeId="0" xr:uid="{00000000-0006-0000-1000-000003000000}">
      <text>
        <r>
          <rPr>
            <sz val="8"/>
            <color indexed="81"/>
            <rFont val="Tahoma"/>
            <family val="2"/>
          </rPr>
          <t>Dây trung hòa</t>
        </r>
        <r>
          <rPr>
            <sz val="8"/>
            <color indexed="81"/>
            <rFont val="Tahoma"/>
            <family val="2"/>
          </rPr>
          <t xml:space="preserve">
</t>
        </r>
      </text>
    </comment>
    <comment ref="B7" authorId="0" shapeId="0" xr:uid="{00000000-0006-0000-1000-000004000000}">
      <text>
        <r>
          <rPr>
            <sz val="8"/>
            <color indexed="81"/>
            <rFont val="Tahoma"/>
            <family val="2"/>
          </rPr>
          <t xml:space="preserve">Đỡ thẳng 1 pha
</t>
        </r>
      </text>
    </comment>
    <comment ref="B8" authorId="0" shapeId="0" xr:uid="{00000000-0006-0000-1000-000005000000}">
      <text>
        <r>
          <rPr>
            <sz val="8"/>
            <color indexed="81"/>
            <rFont val="Tahoma"/>
            <family val="2"/>
          </rPr>
          <t xml:space="preserve">Đỡ góc 1 pha
</t>
        </r>
      </text>
    </comment>
    <comment ref="B9" authorId="0" shapeId="0" xr:uid="{00000000-0006-0000-1000-000006000000}">
      <text>
        <r>
          <rPr>
            <sz val="8"/>
            <color indexed="81"/>
            <rFont val="Tahoma"/>
            <family val="2"/>
          </rPr>
          <t>Néo thẳng 1 pha</t>
        </r>
        <r>
          <rPr>
            <sz val="8"/>
            <color indexed="81"/>
            <rFont val="Tahoma"/>
            <family val="2"/>
          </rPr>
          <t xml:space="preserve">
</t>
        </r>
      </text>
    </comment>
    <comment ref="B10" authorId="0" shapeId="0" xr:uid="{00000000-0006-0000-1000-000007000000}">
      <text>
        <r>
          <rPr>
            <sz val="8"/>
            <color indexed="81"/>
            <rFont val="Tahoma"/>
            <family val="2"/>
          </rPr>
          <t>Néo góc 1 pha</t>
        </r>
        <r>
          <rPr>
            <sz val="8"/>
            <color indexed="81"/>
            <rFont val="Tahoma"/>
            <family val="2"/>
          </rPr>
          <t xml:space="preserve">
</t>
        </r>
      </text>
    </comment>
    <comment ref="B11" authorId="0" shapeId="0" xr:uid="{00000000-0006-0000-1000-000008000000}">
      <text>
        <r>
          <rPr>
            <sz val="8"/>
            <color indexed="81"/>
            <rFont val="Tahoma"/>
            <family val="2"/>
          </rPr>
          <t>Dừng - cuối lưới 1 pha</t>
        </r>
      </text>
    </comment>
    <comment ref="B13" authorId="0" shapeId="0" xr:uid="{00000000-0006-0000-1000-000009000000}">
      <text>
        <r>
          <rPr>
            <sz val="8"/>
            <color indexed="81"/>
            <rFont val="Tahoma"/>
            <family val="2"/>
          </rPr>
          <t xml:space="preserve">Đỡ thẳng 1 pha + 
rẽ nhánh 1 pha
</t>
        </r>
      </text>
    </comment>
    <comment ref="B19" authorId="0" shapeId="0" xr:uid="{00000000-0006-0000-1000-00000A000000}">
      <text>
        <r>
          <rPr>
            <sz val="8"/>
            <color indexed="81"/>
            <rFont val="Tahoma"/>
            <family val="2"/>
          </rPr>
          <t>Tương tự 1 pha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Thanh An</author>
  </authors>
  <commentList>
    <comment ref="Y3" authorId="0" shapeId="0" xr:uid="{00000000-0006-0000-1100-000001000000}">
      <text>
        <r>
          <rPr>
            <sz val="8"/>
            <color indexed="81"/>
            <rFont val="Tahoma"/>
            <family val="2"/>
          </rPr>
          <t>Vị trí an toàn cao</t>
        </r>
        <r>
          <rPr>
            <sz val="8"/>
            <color indexed="81"/>
            <rFont val="Tahoma"/>
            <family val="2"/>
          </rPr>
          <t xml:space="preserve">
</t>
        </r>
      </text>
    </comment>
    <comment ref="AB3" authorId="0" shapeId="0" xr:uid="{00000000-0006-0000-1100-000002000000}">
      <text>
        <r>
          <rPr>
            <sz val="8"/>
            <color indexed="81"/>
            <rFont val="Tahoma"/>
            <family val="2"/>
          </rPr>
          <t>Dây trung hòa</t>
        </r>
        <r>
          <rPr>
            <sz val="8"/>
            <color indexed="81"/>
            <rFont val="Tahoma"/>
            <family val="2"/>
          </rPr>
          <t xml:space="preserve">
</t>
        </r>
      </text>
    </comment>
    <comment ref="AC3" authorId="0" shapeId="0" xr:uid="{00000000-0006-0000-1100-000003000000}">
      <text>
        <r>
          <rPr>
            <sz val="8"/>
            <color indexed="81"/>
            <rFont val="Tahoma"/>
            <family val="2"/>
          </rPr>
          <t>Dây trung hòa</t>
        </r>
        <r>
          <rPr>
            <sz val="8"/>
            <color indexed="81"/>
            <rFont val="Tahoma"/>
            <family val="2"/>
          </rPr>
          <t xml:space="preserve">
</t>
        </r>
      </text>
    </comment>
    <comment ref="B7" authorId="0" shapeId="0" xr:uid="{00000000-0006-0000-1100-000004000000}">
      <text>
        <r>
          <rPr>
            <sz val="8"/>
            <color indexed="81"/>
            <rFont val="Tahoma"/>
            <family val="2"/>
          </rPr>
          <t xml:space="preserve">Đỡ thẳng 1 pha
</t>
        </r>
      </text>
    </comment>
    <comment ref="B8" authorId="0" shapeId="0" xr:uid="{00000000-0006-0000-1100-000005000000}">
      <text>
        <r>
          <rPr>
            <sz val="8"/>
            <color indexed="81"/>
            <rFont val="Tahoma"/>
            <family val="2"/>
          </rPr>
          <t xml:space="preserve">Đỡ góc 1 pha
</t>
        </r>
      </text>
    </comment>
    <comment ref="B9" authorId="0" shapeId="0" xr:uid="{00000000-0006-0000-1100-000006000000}">
      <text>
        <r>
          <rPr>
            <sz val="8"/>
            <color indexed="81"/>
            <rFont val="Tahoma"/>
            <family val="2"/>
          </rPr>
          <t>Néo thẳng 1 pha</t>
        </r>
        <r>
          <rPr>
            <sz val="8"/>
            <color indexed="81"/>
            <rFont val="Tahoma"/>
            <family val="2"/>
          </rPr>
          <t xml:space="preserve">
</t>
        </r>
      </text>
    </comment>
    <comment ref="B10" authorId="0" shapeId="0" xr:uid="{00000000-0006-0000-1100-000007000000}">
      <text>
        <r>
          <rPr>
            <sz val="8"/>
            <color indexed="81"/>
            <rFont val="Tahoma"/>
            <family val="2"/>
          </rPr>
          <t>Néo góc 1 pha</t>
        </r>
        <r>
          <rPr>
            <sz val="8"/>
            <color indexed="81"/>
            <rFont val="Tahoma"/>
            <family val="2"/>
          </rPr>
          <t xml:space="preserve">
</t>
        </r>
      </text>
    </comment>
    <comment ref="B11" authorId="0" shapeId="0" xr:uid="{00000000-0006-0000-1100-000008000000}">
      <text>
        <r>
          <rPr>
            <sz val="8"/>
            <color indexed="81"/>
            <rFont val="Tahoma"/>
            <family val="2"/>
          </rPr>
          <t>Dừng - cuối lưới 1 pha</t>
        </r>
      </text>
    </comment>
    <comment ref="B13" authorId="0" shapeId="0" xr:uid="{00000000-0006-0000-1100-000009000000}">
      <text>
        <r>
          <rPr>
            <sz val="8"/>
            <color indexed="81"/>
            <rFont val="Tahoma"/>
            <family val="2"/>
          </rPr>
          <t xml:space="preserve">Đỡ thẳng 1 pha + 
rẽ nhánh 1 pha
</t>
        </r>
      </text>
    </comment>
    <comment ref="B19" authorId="0" shapeId="0" xr:uid="{00000000-0006-0000-1100-00000A000000}">
      <text>
        <r>
          <rPr>
            <sz val="8"/>
            <color indexed="81"/>
            <rFont val="Tahoma"/>
            <family val="2"/>
          </rPr>
          <t>Tương tự 1 pha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THIEN</author>
  </authors>
  <commentList>
    <comment ref="J34" authorId="0" shapeId="0" xr:uid="{00000000-0006-0000-1300-000001000000}">
      <text>
        <r>
          <rPr>
            <b/>
            <sz val="9"/>
            <color indexed="81"/>
            <rFont val="Tahoma"/>
            <family val="2"/>
          </rPr>
          <t>mr.Thien:
ĐDHA ngầm</t>
        </r>
      </text>
    </comment>
    <comment ref="K34" authorId="0" shapeId="0" xr:uid="{00000000-0006-0000-1300-000002000000}">
      <text>
        <r>
          <rPr>
            <b/>
            <sz val="9"/>
            <color indexed="81"/>
            <rFont val="Tahoma"/>
            <family val="2"/>
          </rPr>
          <t xml:space="preserve">mr.Thien:
ĐDHA trên không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Le Binh</author>
  </authors>
  <commentList>
    <comment ref="E9" authorId="0" shapeId="0" xr:uid="{00000000-0006-0000-1900-000001000000}">
      <text>
        <r>
          <rPr>
            <b/>
            <sz val="12"/>
            <color indexed="81"/>
            <rFont val="Times New Roman"/>
            <family val="1"/>
            <charset val="238"/>
          </rPr>
          <t xml:space="preserve">M 200
</t>
        </r>
        <r>
          <rPr>
            <sz val="12"/>
            <color indexed="81"/>
            <rFont val="Times New Roman"/>
            <family val="1"/>
          </rPr>
          <t>Trang 117 DGXD CNgành XLDDTĐiện &amp;TBA
kèm 7606/BCT-NL 5/8/2009</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Thanh An</author>
  </authors>
  <commentList>
    <comment ref="B6" authorId="0" shapeId="0" xr:uid="{00000000-0006-0000-1A00-000001000000}">
      <text>
        <r>
          <rPr>
            <sz val="8"/>
            <color indexed="81"/>
            <rFont val="Tahoma"/>
            <family val="2"/>
          </rPr>
          <t xml:space="preserve">Đỡ thẳng 1 pha
</t>
        </r>
      </text>
    </comment>
    <comment ref="B7" authorId="0" shapeId="0" xr:uid="{00000000-0006-0000-1A00-000002000000}">
      <text>
        <r>
          <rPr>
            <sz val="8"/>
            <color indexed="81"/>
            <rFont val="Tahoma"/>
            <family val="2"/>
          </rPr>
          <t xml:space="preserve">Đỡ góc 1 pha
</t>
        </r>
      </text>
    </comment>
    <comment ref="B8" authorId="0" shapeId="0" xr:uid="{00000000-0006-0000-1A00-000003000000}">
      <text>
        <r>
          <rPr>
            <sz val="8"/>
            <color indexed="81"/>
            <rFont val="Tahoma"/>
            <family val="2"/>
          </rPr>
          <t>Néo thẳng 1 pha</t>
        </r>
        <r>
          <rPr>
            <sz val="8"/>
            <color indexed="81"/>
            <rFont val="Tahoma"/>
            <family val="2"/>
          </rPr>
          <t xml:space="preserve">
</t>
        </r>
      </text>
    </comment>
    <comment ref="B9" authorId="0" shapeId="0" xr:uid="{00000000-0006-0000-1A00-000004000000}">
      <text>
        <r>
          <rPr>
            <sz val="8"/>
            <color indexed="81"/>
            <rFont val="Tahoma"/>
            <family val="2"/>
          </rPr>
          <t>Néo góc 1 pha</t>
        </r>
        <r>
          <rPr>
            <sz val="8"/>
            <color indexed="81"/>
            <rFont val="Tahoma"/>
            <family val="2"/>
          </rPr>
          <t xml:space="preserve">
</t>
        </r>
      </text>
    </comment>
    <comment ref="B10" authorId="0" shapeId="0" xr:uid="{00000000-0006-0000-1A00-000005000000}">
      <text>
        <r>
          <rPr>
            <sz val="8"/>
            <color indexed="81"/>
            <rFont val="Tahoma"/>
            <family val="2"/>
          </rPr>
          <t>Dừng - cuối lưới 1 pha</t>
        </r>
      </text>
    </comment>
    <comment ref="B12" authorId="0" shapeId="0" xr:uid="{00000000-0006-0000-1A00-000006000000}">
      <text>
        <r>
          <rPr>
            <sz val="8"/>
            <color indexed="81"/>
            <rFont val="Tahoma"/>
            <family val="2"/>
          </rPr>
          <t xml:space="preserve">Đỡ thẳng 1 pha + 
rẽ nhánh 1 pha
</t>
        </r>
      </text>
    </comment>
    <comment ref="B18" authorId="0" shapeId="0" xr:uid="{00000000-0006-0000-1A00-000007000000}">
      <text>
        <r>
          <rPr>
            <sz val="8"/>
            <color indexed="81"/>
            <rFont val="Tahoma"/>
            <family val="2"/>
          </rPr>
          <t>Tương tự 1 pha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Thanh An</author>
  </authors>
  <commentList>
    <comment ref="B6" authorId="0" shapeId="0" xr:uid="{00000000-0006-0000-1B00-000001000000}">
      <text>
        <r>
          <rPr>
            <sz val="8"/>
            <color indexed="81"/>
            <rFont val="Tahoma"/>
            <family val="2"/>
          </rPr>
          <t xml:space="preserve">Đỡ thẳng 1 pha
</t>
        </r>
      </text>
    </comment>
    <comment ref="B7" authorId="0" shapeId="0" xr:uid="{00000000-0006-0000-1B00-000002000000}">
      <text>
        <r>
          <rPr>
            <sz val="8"/>
            <color indexed="81"/>
            <rFont val="Tahoma"/>
            <family val="2"/>
          </rPr>
          <t xml:space="preserve">Đỡ góc 1 pha
</t>
        </r>
      </text>
    </comment>
    <comment ref="B8" authorId="0" shapeId="0" xr:uid="{00000000-0006-0000-1B00-000003000000}">
      <text>
        <r>
          <rPr>
            <sz val="8"/>
            <color indexed="81"/>
            <rFont val="Tahoma"/>
            <family val="2"/>
          </rPr>
          <t>Néo thẳng 1 pha</t>
        </r>
        <r>
          <rPr>
            <sz val="8"/>
            <color indexed="81"/>
            <rFont val="Tahoma"/>
            <family val="2"/>
          </rPr>
          <t xml:space="preserve">
</t>
        </r>
      </text>
    </comment>
    <comment ref="B9" authorId="0" shapeId="0" xr:uid="{00000000-0006-0000-1B00-000004000000}">
      <text>
        <r>
          <rPr>
            <sz val="8"/>
            <color indexed="81"/>
            <rFont val="Tahoma"/>
            <family val="2"/>
          </rPr>
          <t>Néo góc 1 pha</t>
        </r>
        <r>
          <rPr>
            <sz val="8"/>
            <color indexed="81"/>
            <rFont val="Tahoma"/>
            <family val="2"/>
          </rPr>
          <t xml:space="preserve">
</t>
        </r>
      </text>
    </comment>
    <comment ref="B10" authorId="0" shapeId="0" xr:uid="{00000000-0006-0000-1B00-000005000000}">
      <text>
        <r>
          <rPr>
            <sz val="8"/>
            <color indexed="81"/>
            <rFont val="Tahoma"/>
            <family val="2"/>
          </rPr>
          <t>Dừng - cuối lưới 1 pha</t>
        </r>
      </text>
    </comment>
    <comment ref="B12" authorId="0" shapeId="0" xr:uid="{00000000-0006-0000-1B00-000006000000}">
      <text>
        <r>
          <rPr>
            <sz val="8"/>
            <color indexed="81"/>
            <rFont val="Tahoma"/>
            <family val="2"/>
          </rPr>
          <t xml:space="preserve">Đỡ thẳng 1 pha + 
rẽ nhánh 1 pha
</t>
        </r>
      </text>
    </comment>
    <comment ref="B18" authorId="0" shapeId="0" xr:uid="{00000000-0006-0000-1B00-000007000000}">
      <text>
        <r>
          <rPr>
            <sz val="8"/>
            <color indexed="81"/>
            <rFont val="Tahoma"/>
            <family val="2"/>
          </rPr>
          <t>Tương tự 1 pha</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Thanh An</author>
  </authors>
  <commentList>
    <comment ref="E10" authorId="0" shapeId="0" xr:uid="{00000000-0006-0000-1F00-000001000000}">
      <text>
        <r>
          <rPr>
            <sz val="8"/>
            <color indexed="81"/>
            <rFont val="Tahoma"/>
            <family val="2"/>
          </rPr>
          <t>Ngày 21/12/2016</t>
        </r>
      </text>
    </comment>
    <comment ref="E12" authorId="0" shapeId="0" xr:uid="{00000000-0006-0000-1F00-000002000000}">
      <text>
        <r>
          <rPr>
            <sz val="8"/>
            <color indexed="81"/>
            <rFont val="Tahoma"/>
            <family val="2"/>
          </rPr>
          <t>Thay thế ĐM 7606 (6060/QĐ-BCT; 6061/QĐ-BCT ngày 14/11/2008 và 8001/BCT-TCNL ngày 29/8/2015)</t>
        </r>
      </text>
    </comment>
    <comment ref="E13" authorId="0" shapeId="0" xr:uid="{00000000-0006-0000-1F00-000003000000}">
      <text>
        <r>
          <rPr>
            <sz val="8"/>
            <color indexed="81"/>
            <rFont val="Tahoma"/>
            <family val="2"/>
          </rPr>
          <t>Bảng 3.8 TT 06/2016/TT-BCT ngày 10/03/2016 (VBHD: 1209/EVN SPC-QLĐT 20/02/2017)</t>
        </r>
      </text>
    </comment>
    <comment ref="E15" authorId="0" shapeId="0" xr:uid="{00000000-0006-0000-1F00-000004000000}">
      <text>
        <r>
          <rPr>
            <sz val="8"/>
            <color indexed="81"/>
            <rFont val="Tahoma"/>
            <family val="2"/>
          </rPr>
          <t xml:space="preserve">Bảng 3.9 TT 06/2016/TT-BCT ngày 10/03/2016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Thanh An</author>
  </authors>
  <commentList>
    <comment ref="E10" authorId="0" shapeId="0" xr:uid="{00000000-0006-0000-2000-000001000000}">
      <text>
        <r>
          <rPr>
            <sz val="8"/>
            <color indexed="81"/>
            <rFont val="Tahoma"/>
            <family val="2"/>
          </rPr>
          <t>Ngày 21/12/2016</t>
        </r>
        <r>
          <rPr>
            <sz val="8"/>
            <color indexed="81"/>
            <rFont val="Tahoma"/>
            <family val="2"/>
          </rPr>
          <t xml:space="preserve">
</t>
        </r>
      </text>
    </comment>
    <comment ref="E12" authorId="0" shapeId="0" xr:uid="{00000000-0006-0000-2000-000002000000}">
      <text>
        <r>
          <rPr>
            <sz val="8"/>
            <color indexed="81"/>
            <rFont val="Tahoma"/>
            <family val="2"/>
          </rPr>
          <t>Thay thế ĐM 7606 (6060/QĐ-BCT; 6061/QĐ-BCT ngày 14/11/2008 và 8001/BCT-TCNL ngày 29/8/2015)</t>
        </r>
      </text>
    </comment>
    <comment ref="E13" authorId="0" shapeId="0" xr:uid="{00000000-0006-0000-2000-000003000000}">
      <text>
        <r>
          <rPr>
            <sz val="8"/>
            <color indexed="81"/>
            <rFont val="Tahoma"/>
            <family val="2"/>
          </rPr>
          <t>Bảng 3.8 TT 06/2016/TT-BCT ngày 10/03/2016 (VBHD: 1209/EVN SPC-QLĐT 20/02/2017)</t>
        </r>
      </text>
    </comment>
    <comment ref="E15" authorId="0" shapeId="0" xr:uid="{00000000-0006-0000-2000-000004000000}">
      <text>
        <r>
          <rPr>
            <sz val="8"/>
            <color indexed="81"/>
            <rFont val="Tahoma"/>
            <family val="2"/>
          </rPr>
          <t xml:space="preserve">Bảng 3.9 TT 06/2016/TT-BCT ngày 10/03/2016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Thanh An</author>
  </authors>
  <commentList>
    <comment ref="E10" authorId="0" shapeId="0" xr:uid="{00000000-0006-0000-2100-000001000000}">
      <text>
        <r>
          <rPr>
            <sz val="8"/>
            <color indexed="81"/>
            <rFont val="Tahoma"/>
            <family val="2"/>
          </rPr>
          <t>Ngày 21/12/2016</t>
        </r>
        <r>
          <rPr>
            <sz val="8"/>
            <color indexed="81"/>
            <rFont val="Tahoma"/>
            <family val="2"/>
          </rPr>
          <t xml:space="preserve">
</t>
        </r>
      </text>
    </comment>
    <comment ref="E12" authorId="0" shapeId="0" xr:uid="{00000000-0006-0000-2100-000002000000}">
      <text>
        <r>
          <rPr>
            <sz val="8"/>
            <color indexed="81"/>
            <rFont val="Tahoma"/>
            <family val="2"/>
          </rPr>
          <t>Thay thế ĐM 7606 (6060/QĐ-BCT; 6061/QĐ-BCT ngày 14/11/2008 và 8001/BCT-TCNL ngày 29/8/2015)</t>
        </r>
        <r>
          <rPr>
            <sz val="8"/>
            <color indexed="81"/>
            <rFont val="Tahoma"/>
            <family val="2"/>
          </rPr>
          <t xml:space="preserve">
</t>
        </r>
      </text>
    </comment>
    <comment ref="E13" authorId="0" shapeId="0" xr:uid="{00000000-0006-0000-2100-000003000000}">
      <text>
        <r>
          <rPr>
            <sz val="8"/>
            <color indexed="81"/>
            <rFont val="Tahoma"/>
            <family val="2"/>
          </rPr>
          <t>Bảng 3.7 TT 06/2016/TT-BCT ngày 10/0/2016 (VBHD: 1209/EVN SPC-QLĐT 20/02/2017)</t>
        </r>
      </text>
    </comment>
    <comment ref="E15" authorId="0" shapeId="0" xr:uid="{00000000-0006-0000-2100-000004000000}">
      <text>
        <r>
          <rPr>
            <sz val="8"/>
            <color indexed="81"/>
            <rFont val="Tahoma"/>
            <family val="2"/>
          </rPr>
          <t>Bảng 3.9 TT 06/2016/TT-BCT ngày 10/03/2016</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Thanh</author>
  </authors>
  <commentList>
    <comment ref="H46" authorId="0" shapeId="0" xr:uid="{00000000-0006-0000-2B00-000001000000}">
      <text>
        <r>
          <rPr>
            <b/>
            <sz val="8"/>
            <color indexed="81"/>
            <rFont val="Tahoma"/>
            <family val="2"/>
          </rPr>
          <t>Thanh:</t>
        </r>
        <r>
          <rPr>
            <sz val="8"/>
            <color indexed="81"/>
            <rFont val="Tahoma"/>
            <family val="2"/>
          </rPr>
          <t xml:space="preserve">
Theo CV 655/SXD-KTXD 27/8/2010 và QĐ41/2006/QĐ-UDND tỉnh HG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Nhut Tuong</author>
    <author>Nhut Truong</author>
    <author>Microsoft Cop.</author>
  </authors>
  <commentList>
    <comment ref="E153" authorId="0" shapeId="0" xr:uid="{00000000-0006-0000-0100-000001000000}">
      <text>
        <r>
          <rPr>
            <b/>
            <sz val="8"/>
            <color indexed="81"/>
            <rFont val="Tahoma"/>
            <family val="2"/>
          </rPr>
          <t>Đg 29/12/2010
Hãng MITSUBISHI</t>
        </r>
        <r>
          <rPr>
            <sz val="8"/>
            <color indexed="81"/>
            <rFont val="Tahoma"/>
            <family val="2"/>
          </rPr>
          <t xml:space="preserve">
</t>
        </r>
      </text>
    </comment>
    <comment ref="E162" authorId="0" shapeId="0" xr:uid="{00000000-0006-0000-0100-000002000000}">
      <text>
        <r>
          <rPr>
            <b/>
            <sz val="8"/>
            <color indexed="81"/>
            <rFont val="Tahoma"/>
            <family val="2"/>
          </rPr>
          <t>Đg 29/12/2010
Hãng MITSUBISHI</t>
        </r>
        <r>
          <rPr>
            <sz val="8"/>
            <color indexed="81"/>
            <rFont val="Tahoma"/>
            <family val="2"/>
          </rPr>
          <t xml:space="preserve">
</t>
        </r>
      </text>
    </comment>
    <comment ref="E164" authorId="0" shapeId="0" xr:uid="{00000000-0006-0000-0100-000003000000}">
      <text>
        <r>
          <rPr>
            <b/>
            <sz val="8"/>
            <color indexed="81"/>
            <rFont val="Tahoma"/>
            <family val="2"/>
          </rPr>
          <t>Đg 29/12/2010
Hãng MITSUBISHI</t>
        </r>
        <r>
          <rPr>
            <sz val="8"/>
            <color indexed="81"/>
            <rFont val="Tahoma"/>
            <family val="2"/>
          </rPr>
          <t xml:space="preserve">
</t>
        </r>
      </text>
    </comment>
    <comment ref="E174" authorId="0" shapeId="0" xr:uid="{00000000-0006-0000-0100-000004000000}">
      <text>
        <r>
          <rPr>
            <b/>
            <sz val="8"/>
            <color indexed="81"/>
            <rFont val="Tahoma"/>
            <family val="2"/>
          </rPr>
          <t>Đg 29/12/2010
Hãng MITSUBISHI</t>
        </r>
        <r>
          <rPr>
            <sz val="8"/>
            <color indexed="81"/>
            <rFont val="Tahoma"/>
            <family val="2"/>
          </rPr>
          <t xml:space="preserve">
</t>
        </r>
      </text>
    </comment>
    <comment ref="E176" authorId="0" shapeId="0" xr:uid="{00000000-0006-0000-0100-000005000000}">
      <text>
        <r>
          <rPr>
            <b/>
            <sz val="8"/>
            <color indexed="81"/>
            <rFont val="Tahoma"/>
            <family val="2"/>
          </rPr>
          <t>Đg 29/12/2010
Hãng SIEMENS</t>
        </r>
        <r>
          <rPr>
            <sz val="8"/>
            <color indexed="81"/>
            <rFont val="Tahoma"/>
            <family val="2"/>
          </rPr>
          <t xml:space="preserve">
</t>
        </r>
      </text>
    </comment>
    <comment ref="E177" authorId="0" shapeId="0" xr:uid="{00000000-0006-0000-0100-000006000000}">
      <text>
        <r>
          <rPr>
            <b/>
            <sz val="8"/>
            <color indexed="81"/>
            <rFont val="Tahoma"/>
            <family val="2"/>
          </rPr>
          <t>Đg 29/12/2010
Hãng SIEMENS</t>
        </r>
        <r>
          <rPr>
            <sz val="8"/>
            <color indexed="81"/>
            <rFont val="Tahoma"/>
            <family val="2"/>
          </rPr>
          <t xml:space="preserve">
</t>
        </r>
      </text>
    </comment>
    <comment ref="E248" authorId="0" shapeId="0" xr:uid="{00000000-0006-0000-0100-000007000000}">
      <text>
        <r>
          <rPr>
            <b/>
            <sz val="8"/>
            <color indexed="81"/>
            <rFont val="Tahoma"/>
            <family val="2"/>
          </rPr>
          <t>đg VLXD lên Sở TC-XD ngày 09/12/2010
Cty CP Co Dien Can Tho</t>
        </r>
        <r>
          <rPr>
            <sz val="8"/>
            <color indexed="81"/>
            <rFont val="Tahoma"/>
            <family val="2"/>
          </rPr>
          <t xml:space="preserve">
</t>
        </r>
      </text>
    </comment>
    <comment ref="E251" authorId="0" shapeId="0" xr:uid="{00000000-0006-0000-0100-000008000000}">
      <text>
        <r>
          <rPr>
            <b/>
            <sz val="8"/>
            <color indexed="81"/>
            <rFont val="Tahoma"/>
            <family val="2"/>
          </rPr>
          <t xml:space="preserve">đg VLXD lên Sở TC-XD ngày 09/12/2010
Cty CP Co Dien Can Tho
</t>
        </r>
        <r>
          <rPr>
            <sz val="8"/>
            <color indexed="81"/>
            <rFont val="Tahoma"/>
            <family val="2"/>
          </rPr>
          <t xml:space="preserve">
</t>
        </r>
      </text>
    </comment>
    <comment ref="E296" authorId="0" shapeId="0" xr:uid="{00000000-0006-0000-0100-000009000000}">
      <text>
        <r>
          <rPr>
            <b/>
            <sz val="8"/>
            <color indexed="81"/>
            <rFont val="Tahoma"/>
            <family val="2"/>
          </rPr>
          <t>đg VLXD lên Sở TC-XD ngày 3/2011
Cty Cadivi</t>
        </r>
      </text>
    </comment>
    <comment ref="E366" authorId="0" shapeId="0" xr:uid="{00000000-0006-0000-0100-00000A000000}">
      <text>
        <r>
          <rPr>
            <b/>
            <sz val="8"/>
            <color indexed="81"/>
            <rFont val="Tahoma"/>
            <family val="2"/>
          </rPr>
          <t>Đg VLXD lên Sở TC-XD ngày3/2011
Cty Cadivi</t>
        </r>
        <r>
          <rPr>
            <sz val="8"/>
            <color indexed="81"/>
            <rFont val="Tahoma"/>
            <family val="2"/>
          </rPr>
          <t xml:space="preserve">
</t>
        </r>
      </text>
    </comment>
    <comment ref="E367" authorId="0" shapeId="0" xr:uid="{00000000-0006-0000-0100-00000B000000}">
      <text>
        <r>
          <rPr>
            <b/>
            <sz val="8"/>
            <color indexed="81"/>
            <rFont val="Tahoma"/>
            <family val="2"/>
          </rPr>
          <t>đg Cadivi
3/2011</t>
        </r>
      </text>
    </comment>
    <comment ref="E370" authorId="0" shapeId="0" xr:uid="{00000000-0006-0000-0100-00000C000000}">
      <text>
        <r>
          <rPr>
            <b/>
            <sz val="8"/>
            <color indexed="81"/>
            <rFont val="Tahoma"/>
            <family val="2"/>
          </rPr>
          <t xml:space="preserve">đg Cadivi
ngày 3/2011
</t>
        </r>
      </text>
    </comment>
    <comment ref="E372" authorId="0" shapeId="0" xr:uid="{00000000-0006-0000-0100-00000D000000}">
      <text>
        <r>
          <rPr>
            <b/>
            <sz val="8"/>
            <color indexed="81"/>
            <rFont val="Tahoma"/>
            <family val="2"/>
          </rPr>
          <t xml:space="preserve">đg VLXD lên Sở TC-XD ngày 08/2008
</t>
        </r>
        <r>
          <rPr>
            <sz val="8"/>
            <color indexed="81"/>
            <rFont val="Tahoma"/>
            <family val="2"/>
          </rPr>
          <t xml:space="preserve">
</t>
        </r>
      </text>
    </comment>
    <comment ref="E379" authorId="0" shapeId="0" xr:uid="{00000000-0006-0000-0100-00000E000000}">
      <text>
        <r>
          <rPr>
            <b/>
            <sz val="8"/>
            <color indexed="81"/>
            <rFont val="Tahoma"/>
            <family val="2"/>
          </rPr>
          <t>đg VLXD lên Sở TC-XD ngày 08/2008</t>
        </r>
        <r>
          <rPr>
            <sz val="8"/>
            <color indexed="81"/>
            <rFont val="Tahoma"/>
            <family val="2"/>
          </rPr>
          <t xml:space="preserve">
</t>
        </r>
      </text>
    </comment>
    <comment ref="E381" authorId="0" shapeId="0" xr:uid="{00000000-0006-0000-0100-00000F000000}">
      <text>
        <r>
          <rPr>
            <b/>
            <sz val="8"/>
            <color indexed="81"/>
            <rFont val="Tahoma"/>
            <family val="2"/>
          </rPr>
          <t>Đg VLXD lên Sở TC-XD ngày 3/2011
Cty Cadivi</t>
        </r>
        <r>
          <rPr>
            <sz val="8"/>
            <color indexed="81"/>
            <rFont val="Tahoma"/>
            <family val="2"/>
          </rPr>
          <t xml:space="preserve">
</t>
        </r>
      </text>
    </comment>
    <comment ref="E386" authorId="0" shapeId="0" xr:uid="{00000000-0006-0000-0100-000010000000}">
      <text>
        <r>
          <rPr>
            <b/>
            <sz val="8"/>
            <color indexed="81"/>
            <rFont val="Tahoma"/>
            <family val="2"/>
          </rPr>
          <t>Đg VLXD lên Sở TC-XD ngày 3/2011
Cty Cadivi</t>
        </r>
      </text>
    </comment>
    <comment ref="E387" authorId="0" shapeId="0" xr:uid="{00000000-0006-0000-0100-000011000000}">
      <text>
        <r>
          <rPr>
            <b/>
            <sz val="8"/>
            <color indexed="81"/>
            <rFont val="Tahoma"/>
            <family val="2"/>
          </rPr>
          <t>Đg VLXD lên Sở TC-XD ngày 3/2011
Cty Cadivi</t>
        </r>
      </text>
    </comment>
    <comment ref="E408" authorId="0" shapeId="0" xr:uid="{00000000-0006-0000-0100-000012000000}">
      <text>
        <r>
          <rPr>
            <b/>
            <sz val="8"/>
            <color indexed="81"/>
            <rFont val="Tahoma"/>
            <family val="2"/>
          </rPr>
          <t>ngày 2/2011
Cty CADIVI</t>
        </r>
        <r>
          <rPr>
            <sz val="8"/>
            <color indexed="81"/>
            <rFont val="Tahoma"/>
            <family val="2"/>
          </rPr>
          <t xml:space="preserve">
</t>
        </r>
      </text>
    </comment>
    <comment ref="E415" authorId="0" shapeId="0" xr:uid="{00000000-0006-0000-0100-000013000000}">
      <text>
        <r>
          <rPr>
            <b/>
            <sz val="8"/>
            <color indexed="81"/>
            <rFont val="Tahoma"/>
            <family val="2"/>
          </rPr>
          <t>ngày 2/2011
Cty CADIVI</t>
        </r>
        <r>
          <rPr>
            <sz val="8"/>
            <color indexed="81"/>
            <rFont val="Tahoma"/>
            <family val="2"/>
          </rPr>
          <t xml:space="preserve">
</t>
        </r>
      </text>
    </comment>
    <comment ref="E417" authorId="0" shapeId="0" xr:uid="{00000000-0006-0000-0100-000014000000}">
      <text>
        <r>
          <rPr>
            <b/>
            <sz val="8"/>
            <color indexed="81"/>
            <rFont val="Tahoma"/>
            <family val="2"/>
          </rPr>
          <t>ngày 2/2011
Cty CADIVI</t>
        </r>
        <r>
          <rPr>
            <sz val="8"/>
            <color indexed="81"/>
            <rFont val="Tahoma"/>
            <family val="2"/>
          </rPr>
          <t xml:space="preserve">
</t>
        </r>
      </text>
    </comment>
    <comment ref="E424" authorId="0" shapeId="0" xr:uid="{00000000-0006-0000-0100-000015000000}">
      <text>
        <r>
          <rPr>
            <b/>
            <sz val="8"/>
            <color indexed="81"/>
            <rFont val="Tahoma"/>
            <family val="2"/>
          </rPr>
          <t>ngày 2/2011
Cty CADIVI</t>
        </r>
        <r>
          <rPr>
            <sz val="8"/>
            <color indexed="81"/>
            <rFont val="Tahoma"/>
            <family val="2"/>
          </rPr>
          <t xml:space="preserve">
</t>
        </r>
      </text>
    </comment>
    <comment ref="E426" authorId="0" shapeId="0" xr:uid="{00000000-0006-0000-0100-000016000000}">
      <text>
        <r>
          <rPr>
            <b/>
            <sz val="8"/>
            <color indexed="81"/>
            <rFont val="Tahoma"/>
            <family val="2"/>
          </rPr>
          <t>Đg VLXD lên Sở TC-XD ngày 09/12/2010
Cty CADIVI</t>
        </r>
        <r>
          <rPr>
            <sz val="8"/>
            <color indexed="81"/>
            <rFont val="Tahoma"/>
            <family val="2"/>
          </rPr>
          <t xml:space="preserve">
</t>
        </r>
      </text>
    </comment>
    <comment ref="E434" authorId="0" shapeId="0" xr:uid="{00000000-0006-0000-0100-000017000000}">
      <text>
        <r>
          <rPr>
            <b/>
            <sz val="8"/>
            <color indexed="81"/>
            <rFont val="Tahoma"/>
            <family val="2"/>
          </rPr>
          <t>Đg VLXD lên Sở TC-XD ngày 09/12/2010
Cty CADIVI</t>
        </r>
        <r>
          <rPr>
            <sz val="8"/>
            <color indexed="81"/>
            <rFont val="Tahoma"/>
            <family val="2"/>
          </rPr>
          <t xml:space="preserve">
</t>
        </r>
      </text>
    </comment>
    <comment ref="E436" authorId="0" shapeId="0" xr:uid="{00000000-0006-0000-0100-000018000000}">
      <text>
        <r>
          <rPr>
            <b/>
            <sz val="8"/>
            <color indexed="81"/>
            <rFont val="Tahoma"/>
            <family val="2"/>
          </rPr>
          <t>Đg VLXD lên Sở TC-XD ngày 3/2011
Cty CADIVI</t>
        </r>
        <r>
          <rPr>
            <sz val="8"/>
            <color indexed="81"/>
            <rFont val="Tahoma"/>
            <family val="2"/>
          </rPr>
          <t xml:space="preserve">
</t>
        </r>
      </text>
    </comment>
    <comment ref="E444" authorId="0" shapeId="0" xr:uid="{00000000-0006-0000-0100-000019000000}">
      <text>
        <r>
          <rPr>
            <b/>
            <sz val="8"/>
            <color indexed="81"/>
            <rFont val="Tahoma"/>
            <family val="2"/>
          </rPr>
          <t>Đg VLXD lên Sở TC-XD ngày 3/201
Cty CADIVI</t>
        </r>
        <r>
          <rPr>
            <sz val="8"/>
            <color indexed="81"/>
            <rFont val="Tahoma"/>
            <family val="2"/>
          </rPr>
          <t xml:space="preserve">
</t>
        </r>
      </text>
    </comment>
    <comment ref="E456" authorId="0" shapeId="0" xr:uid="{00000000-0006-0000-0100-00001A000000}">
      <text>
        <r>
          <rPr>
            <b/>
            <sz val="8"/>
            <color indexed="81"/>
            <rFont val="Tahoma"/>
            <family val="2"/>
          </rPr>
          <t>Đg VLXD lên Sở TC-XD ngày 09/12/2010
Cty CADIVI</t>
        </r>
        <r>
          <rPr>
            <sz val="8"/>
            <color indexed="81"/>
            <rFont val="Tahoma"/>
            <family val="2"/>
          </rPr>
          <t xml:space="preserve">
</t>
        </r>
      </text>
    </comment>
    <comment ref="E464" authorId="0" shapeId="0" xr:uid="{00000000-0006-0000-0100-00001B000000}">
      <text>
        <r>
          <rPr>
            <b/>
            <sz val="8"/>
            <color indexed="81"/>
            <rFont val="Tahoma"/>
            <family val="2"/>
          </rPr>
          <t>Đg VLXD lên Sở TC-XD ngày 09/12/2010
Cty CADIVI</t>
        </r>
        <r>
          <rPr>
            <sz val="8"/>
            <color indexed="81"/>
            <rFont val="Tahoma"/>
            <family val="2"/>
          </rPr>
          <t xml:space="preserve">
</t>
        </r>
      </text>
    </comment>
    <comment ref="E468" authorId="0" shapeId="0" xr:uid="{00000000-0006-0000-0100-00001C000000}">
      <text>
        <r>
          <rPr>
            <b/>
            <sz val="8"/>
            <color indexed="81"/>
            <rFont val="Tahoma"/>
            <family val="2"/>
          </rPr>
          <t>Đg VLXD lên Sở TC-XD ngày 09/12/2010
Cty CADIVI</t>
        </r>
        <r>
          <rPr>
            <sz val="8"/>
            <color indexed="81"/>
            <rFont val="Tahoma"/>
            <family val="2"/>
          </rPr>
          <t xml:space="preserve">
</t>
        </r>
      </text>
    </comment>
    <comment ref="E470" authorId="0" shapeId="0" xr:uid="{00000000-0006-0000-0100-00001D000000}">
      <text>
        <r>
          <rPr>
            <b/>
            <sz val="8"/>
            <color indexed="81"/>
            <rFont val="Tahoma"/>
            <family val="2"/>
          </rPr>
          <t>Đg VLXD lên Sở TC-XD ngày 09/12/2010
Cty CADIVI</t>
        </r>
        <r>
          <rPr>
            <sz val="8"/>
            <color indexed="81"/>
            <rFont val="Tahoma"/>
            <family val="2"/>
          </rPr>
          <t xml:space="preserve">
</t>
        </r>
      </text>
    </comment>
    <comment ref="E477" authorId="0" shapeId="0" xr:uid="{00000000-0006-0000-0100-00001E000000}">
      <text>
        <r>
          <rPr>
            <b/>
            <sz val="8"/>
            <color indexed="81"/>
            <rFont val="Tahoma"/>
            <family val="2"/>
          </rPr>
          <t>Đg VLXD lên Sở TC-XD ngày 09/12/2010
Cty CADIVI</t>
        </r>
        <r>
          <rPr>
            <sz val="8"/>
            <color indexed="81"/>
            <rFont val="Tahoma"/>
            <family val="2"/>
          </rPr>
          <t xml:space="preserve">
</t>
        </r>
      </text>
    </comment>
    <comment ref="E487" authorId="0" shapeId="0" xr:uid="{00000000-0006-0000-0100-00001F000000}">
      <text>
        <r>
          <rPr>
            <b/>
            <sz val="8"/>
            <color indexed="81"/>
            <rFont val="Tahoma"/>
            <family val="2"/>
          </rPr>
          <t>Đg VLXD lên Sở TC-XD ngày 09/12/2010
Cty CADIVI</t>
        </r>
        <r>
          <rPr>
            <sz val="8"/>
            <color indexed="81"/>
            <rFont val="Tahoma"/>
            <family val="2"/>
          </rPr>
          <t xml:space="preserve">
</t>
        </r>
      </text>
    </comment>
    <comment ref="E494" authorId="0" shapeId="0" xr:uid="{00000000-0006-0000-0100-000020000000}">
      <text>
        <r>
          <rPr>
            <b/>
            <sz val="8"/>
            <color indexed="81"/>
            <rFont val="Tahoma"/>
            <family val="2"/>
          </rPr>
          <t>Đg VLXD lên Sở TC-XD ngày 09/12/2010
Cty CADIVI</t>
        </r>
        <r>
          <rPr>
            <sz val="8"/>
            <color indexed="81"/>
            <rFont val="Tahoma"/>
            <family val="2"/>
          </rPr>
          <t xml:space="preserve">
</t>
        </r>
      </text>
    </comment>
    <comment ref="E504" authorId="0" shapeId="0" xr:uid="{00000000-0006-0000-0100-000021000000}">
      <text>
        <r>
          <rPr>
            <b/>
            <sz val="8"/>
            <color indexed="81"/>
            <rFont val="Tahoma"/>
            <family val="2"/>
          </rPr>
          <t>Đg VLXD lên Sở TC-XD ngày 09/12/2010
Cty CADIVI</t>
        </r>
        <r>
          <rPr>
            <sz val="8"/>
            <color indexed="81"/>
            <rFont val="Tahoma"/>
            <family val="2"/>
          </rPr>
          <t xml:space="preserve">
</t>
        </r>
      </text>
    </comment>
    <comment ref="E511" authorId="0" shapeId="0" xr:uid="{00000000-0006-0000-0100-000022000000}">
      <text>
        <r>
          <rPr>
            <b/>
            <sz val="8"/>
            <color indexed="81"/>
            <rFont val="Tahoma"/>
            <family val="2"/>
          </rPr>
          <t>Đg VLXD lên Sở TC-XD ngày 09/12/2010
Cty CADIVI</t>
        </r>
        <r>
          <rPr>
            <sz val="8"/>
            <color indexed="81"/>
            <rFont val="Tahoma"/>
            <family val="2"/>
          </rPr>
          <t xml:space="preserve">
</t>
        </r>
      </text>
    </comment>
    <comment ref="E520" authorId="0" shapeId="0" xr:uid="{00000000-0006-0000-0100-000023000000}">
      <text>
        <r>
          <rPr>
            <b/>
            <sz val="8"/>
            <color indexed="81"/>
            <rFont val="Tahoma"/>
            <family val="2"/>
          </rPr>
          <t>Đg VLXD lên Sở TC-XD ngày 09/12/2010
Cty CADIVI</t>
        </r>
        <r>
          <rPr>
            <sz val="8"/>
            <color indexed="81"/>
            <rFont val="Tahoma"/>
            <family val="2"/>
          </rPr>
          <t xml:space="preserve">
</t>
        </r>
      </text>
    </comment>
    <comment ref="E523" authorId="0" shapeId="0" xr:uid="{00000000-0006-0000-0100-000024000000}">
      <text>
        <r>
          <rPr>
            <b/>
            <sz val="8"/>
            <color indexed="81"/>
            <rFont val="Tahoma"/>
            <family val="2"/>
          </rPr>
          <t>Đg VLXD lên Sở TC-XD ngày 09/12/2010
Cty CADIVI</t>
        </r>
        <r>
          <rPr>
            <sz val="8"/>
            <color indexed="81"/>
            <rFont val="Tahoma"/>
            <family val="2"/>
          </rPr>
          <t xml:space="preserve">
</t>
        </r>
      </text>
    </comment>
    <comment ref="E531" authorId="0" shapeId="0" xr:uid="{00000000-0006-0000-0100-000025000000}">
      <text>
        <r>
          <rPr>
            <b/>
            <sz val="8"/>
            <color indexed="81"/>
            <rFont val="Tahoma"/>
            <family val="2"/>
          </rPr>
          <t>Đg VLXD lên Sở TC-XD ngày 09/12/2010
Cty CADIVI</t>
        </r>
        <r>
          <rPr>
            <sz val="8"/>
            <color indexed="81"/>
            <rFont val="Tahoma"/>
            <family val="2"/>
          </rPr>
          <t xml:space="preserve">
</t>
        </r>
      </text>
    </comment>
    <comment ref="E535" authorId="0" shapeId="0" xr:uid="{00000000-0006-0000-0100-000026000000}">
      <text>
        <r>
          <rPr>
            <b/>
            <sz val="8"/>
            <color indexed="81"/>
            <rFont val="Tahoma"/>
            <family val="2"/>
          </rPr>
          <t>Đg VLXD lên Sở TC-XD ngày 09/12/2010
Cty CADIVI</t>
        </r>
        <r>
          <rPr>
            <sz val="8"/>
            <color indexed="81"/>
            <rFont val="Tahoma"/>
            <family val="2"/>
          </rPr>
          <t xml:space="preserve">
</t>
        </r>
      </text>
    </comment>
    <comment ref="E544" authorId="0" shapeId="0" xr:uid="{00000000-0006-0000-0100-000027000000}">
      <text>
        <r>
          <rPr>
            <b/>
            <sz val="8"/>
            <color indexed="81"/>
            <rFont val="Tahoma"/>
            <family val="2"/>
          </rPr>
          <t>Đg VLXD lên Sở TC-XD ngày 09/12/2010
Cty CADIVI</t>
        </r>
        <r>
          <rPr>
            <sz val="8"/>
            <color indexed="81"/>
            <rFont val="Tahoma"/>
            <family val="2"/>
          </rPr>
          <t xml:space="preserve">
</t>
        </r>
      </text>
    </comment>
    <comment ref="E548" authorId="0" shapeId="0" xr:uid="{00000000-0006-0000-0100-000028000000}">
      <text>
        <r>
          <rPr>
            <b/>
            <sz val="8"/>
            <color indexed="81"/>
            <rFont val="Tahoma"/>
            <family val="2"/>
          </rPr>
          <t>Đg VLXD lên Sở TC-XD ngày 09/12/2010
Cty Trường Thịnh</t>
        </r>
        <r>
          <rPr>
            <sz val="8"/>
            <color indexed="81"/>
            <rFont val="Tahoma"/>
            <family val="2"/>
          </rPr>
          <t xml:space="preserve">
</t>
        </r>
      </text>
    </comment>
    <comment ref="E557" authorId="0" shapeId="0" xr:uid="{00000000-0006-0000-0100-000029000000}">
      <text>
        <r>
          <rPr>
            <b/>
            <sz val="8"/>
            <color indexed="81"/>
            <rFont val="Tahoma"/>
            <family val="2"/>
          </rPr>
          <t>Đg VLXD lên Sở TC-XD ngày 09/12/2010
Cty Trường Thịnh</t>
        </r>
        <r>
          <rPr>
            <sz val="8"/>
            <color indexed="81"/>
            <rFont val="Tahoma"/>
            <family val="2"/>
          </rPr>
          <t xml:space="preserve">
</t>
        </r>
      </text>
    </comment>
    <comment ref="E559" authorId="0" shapeId="0" xr:uid="{00000000-0006-0000-0100-00002A000000}">
      <text>
        <r>
          <rPr>
            <b/>
            <sz val="8"/>
            <color indexed="81"/>
            <rFont val="Tahoma"/>
            <family val="2"/>
          </rPr>
          <t>Đg VLXD lên Sở TC-XD ngày 09/12/2010
Cty Trường Thịnh</t>
        </r>
        <r>
          <rPr>
            <sz val="8"/>
            <color indexed="81"/>
            <rFont val="Tahoma"/>
            <family val="2"/>
          </rPr>
          <t xml:space="preserve">
</t>
        </r>
      </text>
    </comment>
    <comment ref="E567" authorId="0" shapeId="0" xr:uid="{00000000-0006-0000-0100-00002B000000}">
      <text>
        <r>
          <rPr>
            <b/>
            <sz val="8"/>
            <color indexed="81"/>
            <rFont val="Tahoma"/>
            <family val="2"/>
          </rPr>
          <t>Đg VLXD lên Sở TC-XD ngày 09/12/2010
Cty Trường Thịnh</t>
        </r>
        <r>
          <rPr>
            <sz val="8"/>
            <color indexed="81"/>
            <rFont val="Tahoma"/>
            <family val="2"/>
          </rPr>
          <t xml:space="preserve">
</t>
        </r>
      </text>
    </comment>
    <comment ref="E625" authorId="0" shapeId="0" xr:uid="{00000000-0006-0000-0100-00002C000000}">
      <text>
        <r>
          <rPr>
            <b/>
            <sz val="8"/>
            <color indexed="81"/>
            <rFont val="Tahoma"/>
            <family val="2"/>
          </rPr>
          <t>đg VLXD lên Sở TC-XD ngày 09/12/2010
Cty CP Co Dien Can Tho</t>
        </r>
        <r>
          <rPr>
            <sz val="8"/>
            <color indexed="81"/>
            <rFont val="Tahoma"/>
            <family val="2"/>
          </rPr>
          <t xml:space="preserve">
</t>
        </r>
      </text>
    </comment>
    <comment ref="E666" authorId="1" shapeId="0" xr:uid="{00000000-0006-0000-0100-00002D000000}">
      <text>
        <r>
          <rPr>
            <b/>
            <sz val="8"/>
            <color indexed="81"/>
            <rFont val="Tahoma"/>
            <family val="2"/>
          </rPr>
          <t>đg VLXD lên Sở TC-XD ngày 2/2011
Cty nhựa Tân Tiến</t>
        </r>
        <r>
          <rPr>
            <sz val="8"/>
            <color indexed="81"/>
            <rFont val="Tahoma"/>
            <family val="2"/>
          </rPr>
          <t xml:space="preserve">
</t>
        </r>
      </text>
    </comment>
    <comment ref="E861" authorId="0" shapeId="0" xr:uid="{00000000-0006-0000-0100-00002E000000}">
      <text>
        <r>
          <rPr>
            <b/>
            <sz val="8"/>
            <color indexed="81"/>
            <rFont val="Tahoma"/>
            <family val="2"/>
          </rPr>
          <t>đg VLXD lên Sở TC-XD ngày 09/12/2010
Cty Cp Co Dien Can Tho</t>
        </r>
        <r>
          <rPr>
            <sz val="8"/>
            <color indexed="81"/>
            <rFont val="Tahoma"/>
            <family val="2"/>
          </rPr>
          <t xml:space="preserve">
</t>
        </r>
      </text>
    </comment>
    <comment ref="E863" authorId="0" shapeId="0" xr:uid="{00000000-0006-0000-0100-00002F000000}">
      <text>
        <r>
          <rPr>
            <b/>
            <sz val="8"/>
            <color indexed="81"/>
            <rFont val="Tahoma"/>
            <family val="2"/>
          </rPr>
          <t>đg VLXD lên Sở TC-XD ngày 09/12/2010
Cty Cp Co Dien Can Tho</t>
        </r>
        <r>
          <rPr>
            <sz val="8"/>
            <color indexed="81"/>
            <rFont val="Tahoma"/>
            <family val="2"/>
          </rPr>
          <t xml:space="preserve">
</t>
        </r>
      </text>
    </comment>
    <comment ref="E872" authorId="0" shapeId="0" xr:uid="{00000000-0006-0000-0100-000030000000}">
      <text>
        <r>
          <rPr>
            <b/>
            <sz val="8"/>
            <color indexed="81"/>
            <rFont val="Tahoma"/>
            <family val="2"/>
          </rPr>
          <t xml:space="preserve">g VLXD lên Sở TC-XD ngày 09/12/2010
Cty Cp Co Dien Can Tho
</t>
        </r>
        <r>
          <rPr>
            <sz val="8"/>
            <color indexed="81"/>
            <rFont val="Tahoma"/>
            <family val="2"/>
          </rPr>
          <t xml:space="preserve">
</t>
        </r>
      </text>
    </comment>
    <comment ref="E887" authorId="0" shapeId="0" xr:uid="{00000000-0006-0000-0100-000031000000}">
      <text>
        <r>
          <rPr>
            <b/>
            <sz val="8"/>
            <color indexed="81"/>
            <rFont val="Tahoma"/>
            <family val="2"/>
          </rPr>
          <t xml:space="preserve">g VLXD lên Sở TC-XD ngày 09/12/2010
Cty Cp Co Dien Can Tho
</t>
        </r>
        <r>
          <rPr>
            <sz val="8"/>
            <color indexed="81"/>
            <rFont val="Tahoma"/>
            <family val="2"/>
          </rPr>
          <t xml:space="preserve">
</t>
        </r>
      </text>
    </comment>
    <comment ref="E986" authorId="2" shapeId="0" xr:uid="{00000000-0006-0000-0100-000032000000}">
      <text>
        <r>
          <rPr>
            <b/>
            <sz val="12"/>
            <color indexed="81"/>
            <rFont val="Times New Roman"/>
            <family val="1"/>
          </rPr>
          <t>đg VLXD lên Sở TC-XD ngày 2/2011</t>
        </r>
      </text>
    </comment>
    <comment ref="E987" authorId="2" shapeId="0" xr:uid="{00000000-0006-0000-0100-000033000000}">
      <text>
        <r>
          <rPr>
            <b/>
            <sz val="12"/>
            <color indexed="81"/>
            <rFont val="Times New Roman"/>
            <family val="1"/>
          </rPr>
          <t>đg VLXD lên Sở TC-XD ngày 2/2011</t>
        </r>
      </text>
    </comment>
    <comment ref="E988" authorId="2" shapeId="0" xr:uid="{00000000-0006-0000-0100-000034000000}">
      <text>
        <r>
          <rPr>
            <b/>
            <sz val="12"/>
            <color indexed="81"/>
            <rFont val="Times New Roman"/>
            <family val="1"/>
          </rPr>
          <t>đg VLXD lên Sở TC-XD ngày 2/2011</t>
        </r>
      </text>
    </comment>
    <comment ref="E991" authorId="2" shapeId="0" xr:uid="{00000000-0006-0000-0100-000035000000}">
      <text>
        <r>
          <rPr>
            <b/>
            <sz val="12"/>
            <color indexed="81"/>
            <rFont val="Times New Roman"/>
            <family val="1"/>
          </rPr>
          <t>đg VLXD lên Sở TC-XD ngày 2/2011</t>
        </r>
      </text>
    </comment>
    <comment ref="E992" authorId="2" shapeId="0" xr:uid="{00000000-0006-0000-0100-000036000000}">
      <text>
        <r>
          <rPr>
            <b/>
            <sz val="12"/>
            <color indexed="81"/>
            <rFont val="Times New Roman"/>
            <family val="1"/>
          </rPr>
          <t>đg VLXD lên Sở TC-XD ngày 2/2011</t>
        </r>
      </text>
    </comment>
    <comment ref="E999" authorId="2" shapeId="0" xr:uid="{00000000-0006-0000-0100-000037000000}">
      <text>
        <r>
          <rPr>
            <b/>
            <sz val="12"/>
            <color indexed="81"/>
            <rFont val="Times New Roman"/>
            <family val="1"/>
          </rPr>
          <t>đg VLXD lên Sở TC-XD ngày 21/7/2008</t>
        </r>
      </text>
    </comment>
    <comment ref="E1000" authorId="2" shapeId="0" xr:uid="{00000000-0006-0000-0100-000038000000}">
      <text>
        <r>
          <rPr>
            <b/>
            <sz val="12"/>
            <color indexed="81"/>
            <rFont val="Times New Roman"/>
            <family val="1"/>
          </rPr>
          <t>đg VLXD lên Sở TC-XD ngày 21/7/2008</t>
        </r>
      </text>
    </comment>
    <comment ref="E1001" authorId="2" shapeId="0" xr:uid="{00000000-0006-0000-0100-000039000000}">
      <text>
        <r>
          <rPr>
            <b/>
            <sz val="12"/>
            <color indexed="81"/>
            <rFont val="Times New Roman"/>
            <family val="1"/>
          </rPr>
          <t>đg VLXD lên Sở TC-XD ngày 21/7/2008</t>
        </r>
      </text>
    </comment>
    <comment ref="E1005" authorId="0" shapeId="0" xr:uid="{00000000-0006-0000-0100-00003A000000}">
      <text>
        <r>
          <rPr>
            <b/>
            <sz val="8"/>
            <color indexed="81"/>
            <rFont val="Tahoma"/>
            <family val="2"/>
          </rPr>
          <t>đg VLXD lên Sở TC-XD ngày 9/12/2010
Tong cty thep Viet Nam</t>
        </r>
      </text>
    </comment>
    <comment ref="E1006" authorId="0" shapeId="0" xr:uid="{00000000-0006-0000-0100-00003B000000}">
      <text>
        <r>
          <rPr>
            <b/>
            <sz val="8"/>
            <color indexed="81"/>
            <rFont val="Tahoma"/>
            <family val="2"/>
          </rPr>
          <t>đg VLXD lên Sở TC-XD ngày 9/12/2010
Tong Cty Thep Viet Nam</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HuynhLe</author>
  </authors>
  <commentList>
    <comment ref="D21" authorId="0" shapeId="0" xr:uid="{00000000-0006-0000-2C00-000001000000}">
      <text>
        <r>
          <rPr>
            <b/>
            <sz val="9"/>
            <color indexed="81"/>
            <rFont val="Tahoma"/>
            <family val="2"/>
          </rPr>
          <t>HuynhLe:</t>
        </r>
        <r>
          <rPr>
            <sz val="9"/>
            <color indexed="81"/>
            <rFont val="Tahoma"/>
            <family val="2"/>
          </rPr>
          <t xml:space="preserve">
Vùng IV: 1.900.000
Vùng III:2.000.000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J57" authorId="0" shapeId="0" xr:uid="{00000000-0006-0000-2D00-000001000000}">
      <text>
        <r>
          <rPr>
            <b/>
            <sz val="9"/>
            <color indexed="81"/>
            <rFont val="Tahoma"/>
            <family val="2"/>
          </rPr>
          <t>Soan: 3</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Tai</author>
  </authors>
  <commentList>
    <comment ref="A13" authorId="0" shapeId="0" xr:uid="{00000000-0006-0000-3500-000001000000}">
      <text>
        <r>
          <rPr>
            <sz val="9"/>
            <color indexed="81"/>
            <rFont val="Tahoma"/>
            <family val="2"/>
          </rPr>
          <t>Ô đặc biệt, dùng để xác định bảng</t>
        </r>
      </text>
    </comment>
    <comment ref="A18" authorId="0" shapeId="0" xr:uid="{00000000-0006-0000-3500-000002000000}">
      <text>
        <r>
          <rPr>
            <sz val="9"/>
            <color indexed="81"/>
            <rFont val="Tahoma"/>
            <family val="2"/>
          </rPr>
          <t xml:space="preserve">Ô đặc biệt, dùng để xác định bảng
</t>
        </r>
      </text>
    </comment>
    <comment ref="N18" authorId="0" shapeId="0" xr:uid="{00000000-0006-0000-3500-000003000000}">
      <text>
        <r>
          <rPr>
            <sz val="9"/>
            <color indexed="81"/>
            <rFont val="Tahoma"/>
            <family val="2"/>
          </rPr>
          <t xml:space="preserve">Ô đặc biệt, dùng để xác định bảng
</t>
        </r>
      </text>
    </comment>
    <comment ref="A26" authorId="0" shapeId="0" xr:uid="{00000000-0006-0000-3500-000004000000}">
      <text>
        <r>
          <rPr>
            <sz val="9"/>
            <color indexed="81"/>
            <rFont val="Tahoma"/>
            <family val="2"/>
          </rPr>
          <t>Ô đặc biệt, dùng để xác định bảng</t>
        </r>
      </text>
    </comment>
    <comment ref="A30" authorId="0" shapeId="0" xr:uid="{00000000-0006-0000-3500-000005000000}">
      <text>
        <r>
          <rPr>
            <sz val="9"/>
            <color indexed="81"/>
            <rFont val="Tahoma"/>
            <family val="2"/>
          </rPr>
          <t xml:space="preserve">Ô đặc biệt, dùng để xác định bảng
</t>
        </r>
      </text>
    </comment>
    <comment ref="N30" authorId="0" shapeId="0" xr:uid="{00000000-0006-0000-3500-000006000000}">
      <text>
        <r>
          <rPr>
            <sz val="9"/>
            <color indexed="81"/>
            <rFont val="Tahoma"/>
            <family val="2"/>
          </rPr>
          <t xml:space="preserve">Ô đặc biệt, dùng để xác định bảng
</t>
        </r>
      </text>
    </comment>
    <comment ref="A38" authorId="0" shapeId="0" xr:uid="{00000000-0006-0000-3500-000007000000}">
      <text>
        <r>
          <rPr>
            <sz val="9"/>
            <color indexed="81"/>
            <rFont val="Tahoma"/>
            <family val="2"/>
          </rPr>
          <t>Ô đặc biệt, dùng để xác định bảng</t>
        </r>
      </text>
    </comment>
    <comment ref="A42" authorId="0" shapeId="0" xr:uid="{00000000-0006-0000-3500-000008000000}">
      <text>
        <r>
          <rPr>
            <sz val="9"/>
            <color indexed="81"/>
            <rFont val="Tahoma"/>
            <family val="2"/>
          </rPr>
          <t xml:space="preserve">Ô đặc biệt, dùng để xác định bảng
</t>
        </r>
      </text>
    </comment>
    <comment ref="N42" authorId="0" shapeId="0" xr:uid="{00000000-0006-0000-3500-000009000000}">
      <text>
        <r>
          <rPr>
            <sz val="9"/>
            <color indexed="81"/>
            <rFont val="Tahoma"/>
            <family val="2"/>
          </rPr>
          <t xml:space="preserve">Ô đặc biệt, dùng để xác định bảng
</t>
        </r>
      </text>
    </comment>
    <comment ref="A50" authorId="0" shapeId="0" xr:uid="{00000000-0006-0000-3500-00000A000000}">
      <text>
        <r>
          <rPr>
            <sz val="9"/>
            <color indexed="81"/>
            <rFont val="Tahoma"/>
            <family val="2"/>
          </rPr>
          <t>Ô đặc biệt, dùng để xác định bảng</t>
        </r>
      </text>
    </comment>
    <comment ref="A54" authorId="0" shapeId="0" xr:uid="{00000000-0006-0000-3500-00000B000000}">
      <text>
        <r>
          <rPr>
            <sz val="9"/>
            <color indexed="81"/>
            <rFont val="Tahoma"/>
            <family val="2"/>
          </rPr>
          <t xml:space="preserve">Ô đặc biệt, dùng để xác định bảng
</t>
        </r>
      </text>
    </comment>
    <comment ref="F54" authorId="0" shapeId="0" xr:uid="{00000000-0006-0000-3500-00000C000000}">
      <text>
        <r>
          <rPr>
            <sz val="9"/>
            <color indexed="81"/>
            <rFont val="Tahoma"/>
            <family val="2"/>
          </rPr>
          <t xml:space="preserve">Ô đặc biệt, dùng để xác định bảng
</t>
        </r>
      </text>
    </comment>
    <comment ref="A62" authorId="0" shapeId="0" xr:uid="{00000000-0006-0000-3500-00000D000000}">
      <text>
        <r>
          <rPr>
            <sz val="9"/>
            <color indexed="81"/>
            <rFont val="Tahoma"/>
            <family val="2"/>
          </rPr>
          <t>Ô đặc biệt, dùng để xác định bảng</t>
        </r>
      </text>
    </comment>
    <comment ref="A66" authorId="0" shapeId="0" xr:uid="{00000000-0006-0000-3500-00000E000000}">
      <text>
        <r>
          <rPr>
            <sz val="9"/>
            <color indexed="81"/>
            <rFont val="Tahoma"/>
            <family val="2"/>
          </rPr>
          <t xml:space="preserve">Ô đặc biệt, dùng để xác định bảng
</t>
        </r>
      </text>
    </comment>
    <comment ref="M66" authorId="0" shapeId="0" xr:uid="{00000000-0006-0000-3500-00000F000000}">
      <text>
        <r>
          <rPr>
            <sz val="9"/>
            <color indexed="81"/>
            <rFont val="Tahoma"/>
            <family val="2"/>
          </rPr>
          <t xml:space="preserve">Ô đặc biệt, dùng để xác định bảng
</t>
        </r>
      </text>
    </comment>
    <comment ref="A134" authorId="0" shapeId="0" xr:uid="{00000000-0006-0000-3500-000010000000}">
      <text>
        <r>
          <rPr>
            <sz val="9"/>
            <color indexed="81"/>
            <rFont val="Tahoma"/>
            <family val="2"/>
          </rPr>
          <t>Ô đặc biệt, dùng để xác định bảng</t>
        </r>
      </text>
    </comment>
    <comment ref="A138" authorId="0" shapeId="0" xr:uid="{00000000-0006-0000-3500-000011000000}">
      <text>
        <r>
          <rPr>
            <sz val="9"/>
            <color indexed="81"/>
            <rFont val="Tahoma"/>
            <family val="2"/>
          </rPr>
          <t xml:space="preserve">Ô đặc biệt, dùng để xác định bảng
</t>
        </r>
      </text>
    </comment>
    <comment ref="N138" authorId="0" shapeId="0" xr:uid="{00000000-0006-0000-3500-000012000000}">
      <text>
        <r>
          <rPr>
            <sz val="9"/>
            <color indexed="81"/>
            <rFont val="Tahoma"/>
            <family val="2"/>
          </rPr>
          <t xml:space="preserve">Ô đặc biệt, dùng để xác định bảng
</t>
        </r>
      </text>
    </comment>
    <comment ref="A146" authorId="0" shapeId="0" xr:uid="{00000000-0006-0000-3500-000013000000}">
      <text>
        <r>
          <rPr>
            <sz val="9"/>
            <color indexed="81"/>
            <rFont val="Tahoma"/>
            <family val="2"/>
          </rPr>
          <t>Ô đặc biệt, dùng để xác định bảng</t>
        </r>
      </text>
    </comment>
    <comment ref="A150" authorId="0" shapeId="0" xr:uid="{00000000-0006-0000-3500-000014000000}">
      <text>
        <r>
          <rPr>
            <sz val="9"/>
            <color indexed="81"/>
            <rFont val="Tahoma"/>
            <family val="2"/>
          </rPr>
          <t xml:space="preserve">Ô đặc biệt, dùng để xác định bảng
</t>
        </r>
      </text>
    </comment>
    <comment ref="N150" authorId="0" shapeId="0" xr:uid="{00000000-0006-0000-3500-000015000000}">
      <text>
        <r>
          <rPr>
            <sz val="9"/>
            <color indexed="81"/>
            <rFont val="Tahoma"/>
            <family val="2"/>
          </rPr>
          <t xml:space="preserve">Ô đặc biệt, dùng để xác định bảng
</t>
        </r>
      </text>
    </comment>
    <comment ref="A158" authorId="0" shapeId="0" xr:uid="{00000000-0006-0000-3500-000016000000}">
      <text>
        <r>
          <rPr>
            <sz val="9"/>
            <color indexed="81"/>
            <rFont val="Tahoma"/>
            <family val="2"/>
          </rPr>
          <t>Ô đặc biệt, dùng để xác định bảng</t>
        </r>
      </text>
    </comment>
    <comment ref="A162" authorId="0" shapeId="0" xr:uid="{00000000-0006-0000-3500-000017000000}">
      <text>
        <r>
          <rPr>
            <sz val="9"/>
            <color indexed="81"/>
            <rFont val="Tahoma"/>
            <family val="2"/>
          </rPr>
          <t xml:space="preserve">Ô đặc biệt, dùng để xác định bảng
</t>
        </r>
      </text>
    </comment>
    <comment ref="M162" authorId="0" shapeId="0" xr:uid="{00000000-0006-0000-3500-000018000000}">
      <text>
        <r>
          <rPr>
            <sz val="9"/>
            <color indexed="81"/>
            <rFont val="Tahoma"/>
            <family val="2"/>
          </rPr>
          <t xml:space="preserve">Ô đặc biệt, dùng để xác định bảng
</t>
        </r>
      </text>
    </comment>
    <comment ref="A170" authorId="0" shapeId="0" xr:uid="{00000000-0006-0000-3500-000019000000}">
      <text>
        <r>
          <rPr>
            <sz val="9"/>
            <color indexed="81"/>
            <rFont val="Tahoma"/>
            <family val="2"/>
          </rPr>
          <t>Ô đặc biệt, dùng để xác định bảng</t>
        </r>
      </text>
    </comment>
    <comment ref="A174" authorId="0" shapeId="0" xr:uid="{00000000-0006-0000-3500-00001A000000}">
      <text>
        <r>
          <rPr>
            <sz val="9"/>
            <color indexed="81"/>
            <rFont val="Tahoma"/>
            <family val="2"/>
          </rPr>
          <t xml:space="preserve">Ô đặc biệt, dùng để xác định bảng
</t>
        </r>
      </text>
    </comment>
    <comment ref="M174" authorId="0" shapeId="0" xr:uid="{00000000-0006-0000-3500-00001B000000}">
      <text>
        <r>
          <rPr>
            <sz val="9"/>
            <color indexed="81"/>
            <rFont val="Tahoma"/>
            <family val="2"/>
          </rPr>
          <t xml:space="preserve">Ô đặc biệt, dùng để xác định bảng
</t>
        </r>
      </text>
    </comment>
    <comment ref="A182" authorId="0" shapeId="0" xr:uid="{00000000-0006-0000-3500-00001C000000}">
      <text>
        <r>
          <rPr>
            <sz val="9"/>
            <color indexed="81"/>
            <rFont val="Tahoma"/>
            <family val="2"/>
          </rPr>
          <t>Ô đặc biệt, dùng để xác định bảng</t>
        </r>
      </text>
    </comment>
    <comment ref="A186" authorId="0" shapeId="0" xr:uid="{00000000-0006-0000-3500-00001D000000}">
      <text>
        <r>
          <rPr>
            <sz val="9"/>
            <color indexed="81"/>
            <rFont val="Tahoma"/>
            <family val="2"/>
          </rPr>
          <t xml:space="preserve">Ô đặc biệt, dùng để xác định bảng
</t>
        </r>
      </text>
    </comment>
    <comment ref="I186" authorId="0" shapeId="0" xr:uid="{00000000-0006-0000-3500-00001E000000}">
      <text>
        <r>
          <rPr>
            <sz val="9"/>
            <color indexed="81"/>
            <rFont val="Tahoma"/>
            <family val="2"/>
          </rPr>
          <t xml:space="preserve">Ô đặc biệt, dùng để xác định bảng
</t>
        </r>
      </text>
    </comment>
    <comment ref="A190" authorId="0" shapeId="0" xr:uid="{00000000-0006-0000-3500-00001F000000}">
      <text>
        <r>
          <rPr>
            <sz val="9"/>
            <color indexed="81"/>
            <rFont val="Tahoma"/>
            <family val="2"/>
          </rPr>
          <t>Ô đặc biệt, dùng để xác định bảng</t>
        </r>
      </text>
    </comment>
    <comment ref="A194" authorId="0" shapeId="0" xr:uid="{00000000-0006-0000-3500-000020000000}">
      <text>
        <r>
          <rPr>
            <sz val="9"/>
            <color indexed="81"/>
            <rFont val="Tahoma"/>
            <family val="2"/>
          </rPr>
          <t xml:space="preserve">Ô đặc biệt, dùng để xác định bảng
</t>
        </r>
      </text>
    </comment>
    <comment ref="J194" authorId="0" shapeId="0" xr:uid="{00000000-0006-0000-3500-000021000000}">
      <text>
        <r>
          <rPr>
            <sz val="9"/>
            <color indexed="81"/>
            <rFont val="Tahoma"/>
            <family val="2"/>
          </rPr>
          <t xml:space="preserve">Ô đặc biệt, dùng để xác định bảng
</t>
        </r>
      </text>
    </comment>
    <comment ref="A202" authorId="0" shapeId="0" xr:uid="{00000000-0006-0000-3500-000022000000}">
      <text>
        <r>
          <rPr>
            <sz val="9"/>
            <color indexed="81"/>
            <rFont val="Tahoma"/>
            <family val="2"/>
          </rPr>
          <t>Ô đặc biệt, dùng để xác định bảng</t>
        </r>
      </text>
    </comment>
    <comment ref="A206" authorId="0" shapeId="0" xr:uid="{00000000-0006-0000-3500-000023000000}">
      <text>
        <r>
          <rPr>
            <sz val="9"/>
            <color indexed="81"/>
            <rFont val="Tahoma"/>
            <family val="2"/>
          </rPr>
          <t xml:space="preserve">Ô đặc biệt, dùng để xác định bảng
</t>
        </r>
      </text>
    </comment>
    <comment ref="J206" authorId="0" shapeId="0" xr:uid="{00000000-0006-0000-3500-000024000000}">
      <text>
        <r>
          <rPr>
            <sz val="9"/>
            <color indexed="81"/>
            <rFont val="Tahoma"/>
            <family val="2"/>
          </rPr>
          <t xml:space="preserve">Ô đặc biệt, dùng để xác định bảng
</t>
        </r>
      </text>
    </comment>
    <comment ref="A214" authorId="0" shapeId="0" xr:uid="{00000000-0006-0000-3500-000025000000}">
      <text>
        <r>
          <rPr>
            <sz val="9"/>
            <color indexed="81"/>
            <rFont val="Tahoma"/>
            <family val="2"/>
          </rPr>
          <t>Ô đặc biệt, dùng để xác định bảng</t>
        </r>
      </text>
    </comment>
    <comment ref="A218" authorId="0" shapeId="0" xr:uid="{00000000-0006-0000-3500-000026000000}">
      <text>
        <r>
          <rPr>
            <sz val="9"/>
            <color indexed="81"/>
            <rFont val="Tahoma"/>
            <family val="2"/>
          </rPr>
          <t xml:space="preserve">Ô đặc biệt, dùng để xác định bảng
</t>
        </r>
      </text>
    </comment>
    <comment ref="M218" authorId="0" shapeId="0" xr:uid="{00000000-0006-0000-3500-000027000000}">
      <text>
        <r>
          <rPr>
            <sz val="9"/>
            <color indexed="81"/>
            <rFont val="Tahoma"/>
            <family val="2"/>
          </rPr>
          <t xml:space="preserve">Ô đặc biệt, dùng để xác định bảng
</t>
        </r>
      </text>
    </comment>
    <comment ref="A226" authorId="0" shapeId="0" xr:uid="{00000000-0006-0000-3500-000028000000}">
      <text>
        <r>
          <rPr>
            <sz val="9"/>
            <color indexed="81"/>
            <rFont val="Tahoma"/>
            <family val="2"/>
          </rPr>
          <t>Ô đặc biệt, dùng để xác định bảng</t>
        </r>
      </text>
    </comment>
    <comment ref="A230" authorId="0" shapeId="0" xr:uid="{00000000-0006-0000-3500-000029000000}">
      <text>
        <r>
          <rPr>
            <sz val="9"/>
            <color indexed="81"/>
            <rFont val="Tahoma"/>
            <family val="2"/>
          </rPr>
          <t xml:space="preserve">Ô đặc biệt, dùng để xác định bảng
</t>
        </r>
      </text>
    </comment>
    <comment ref="M230" authorId="0" shapeId="0" xr:uid="{00000000-0006-0000-3500-00002A000000}">
      <text>
        <r>
          <rPr>
            <sz val="9"/>
            <color indexed="81"/>
            <rFont val="Tahoma"/>
            <family val="2"/>
          </rPr>
          <t xml:space="preserve">Ô đặc biệt, dùng để xác định bảng
</t>
        </r>
      </text>
    </comment>
    <comment ref="A238" authorId="0" shapeId="0" xr:uid="{00000000-0006-0000-3500-00002B000000}">
      <text>
        <r>
          <rPr>
            <sz val="9"/>
            <color indexed="81"/>
            <rFont val="Tahoma"/>
            <family val="2"/>
          </rPr>
          <t>Ô đặc biệt, dùng để xác định bảng</t>
        </r>
      </text>
    </comment>
    <comment ref="A242" authorId="0" shapeId="0" xr:uid="{00000000-0006-0000-3500-00002C000000}">
      <text>
        <r>
          <rPr>
            <sz val="9"/>
            <color indexed="81"/>
            <rFont val="Tahoma"/>
            <family val="2"/>
          </rPr>
          <t xml:space="preserve">Ô đặc biệt, dùng để xác định bảng
</t>
        </r>
      </text>
    </comment>
    <comment ref="G242" authorId="0" shapeId="0" xr:uid="{00000000-0006-0000-3500-00002D000000}">
      <text>
        <r>
          <rPr>
            <sz val="9"/>
            <color indexed="81"/>
            <rFont val="Tahoma"/>
            <family val="2"/>
          </rPr>
          <t xml:space="preserve">Ô đặc biệt, dùng để xác định bảng
</t>
        </r>
      </text>
    </comment>
    <comment ref="A250" authorId="0" shapeId="0" xr:uid="{00000000-0006-0000-3500-00002E000000}">
      <text>
        <r>
          <rPr>
            <sz val="9"/>
            <color indexed="81"/>
            <rFont val="Tahoma"/>
            <family val="2"/>
          </rPr>
          <t xml:space="preserve">Ô đặc biệt, dùng để xác định bảng
</t>
        </r>
      </text>
    </comment>
    <comment ref="L250" authorId="0" shapeId="0" xr:uid="{00000000-0006-0000-3500-00002F000000}">
      <text>
        <r>
          <rPr>
            <sz val="9"/>
            <color indexed="81"/>
            <rFont val="Tahoma"/>
            <family val="2"/>
          </rPr>
          <t xml:space="preserve">Ô đặc biệt, dùng để xác định bảng
</t>
        </r>
      </text>
    </comment>
    <comment ref="A254" authorId="0" shapeId="0" xr:uid="{00000000-0006-0000-3500-000030000000}">
      <text>
        <r>
          <rPr>
            <sz val="9"/>
            <color indexed="81"/>
            <rFont val="Tahoma"/>
            <family val="2"/>
          </rPr>
          <t>Ô đặc biệt, dùng để xác định bảng</t>
        </r>
      </text>
    </comment>
    <comment ref="A260" authorId="0" shapeId="0" xr:uid="{00000000-0006-0000-3500-000031000000}">
      <text>
        <r>
          <rPr>
            <sz val="9"/>
            <color indexed="81"/>
            <rFont val="Tahoma"/>
            <family val="2"/>
          </rPr>
          <t xml:space="preserve">Ô đặc biệt, dùng để xác định bảng
</t>
        </r>
      </text>
    </comment>
    <comment ref="I260" authorId="0" shapeId="0" xr:uid="{00000000-0006-0000-3500-000032000000}">
      <text>
        <r>
          <rPr>
            <sz val="9"/>
            <color indexed="81"/>
            <rFont val="Tahoma"/>
            <family val="2"/>
          </rPr>
          <t xml:space="preserve">Ô đặc biệt, dùng để xác định bảng
</t>
        </r>
      </text>
    </comment>
    <comment ref="A264" authorId="0" shapeId="0" xr:uid="{00000000-0006-0000-3500-000033000000}">
      <text>
        <r>
          <rPr>
            <sz val="9"/>
            <color indexed="81"/>
            <rFont val="Tahoma"/>
            <family val="2"/>
          </rPr>
          <t>Ô đặc biệt, dùng để xác định bảng</t>
        </r>
      </text>
    </comment>
    <comment ref="A267" authorId="0" shapeId="0" xr:uid="{00000000-0006-0000-3500-000034000000}">
      <text>
        <r>
          <rPr>
            <sz val="9"/>
            <color indexed="81"/>
            <rFont val="Tahoma"/>
            <family val="2"/>
          </rPr>
          <t xml:space="preserve">Ô đặc biệt, dùng để xác định bảng
</t>
        </r>
      </text>
    </comment>
    <comment ref="I267" authorId="0" shapeId="0" xr:uid="{00000000-0006-0000-3500-000035000000}">
      <text>
        <r>
          <rPr>
            <sz val="9"/>
            <color indexed="81"/>
            <rFont val="Tahoma"/>
            <family val="2"/>
          </rPr>
          <t xml:space="preserve">Ô đặc biệt, dùng để xác định bảng
</t>
        </r>
      </text>
    </comment>
    <comment ref="A271" authorId="0" shapeId="0" xr:uid="{00000000-0006-0000-3500-000036000000}">
      <text>
        <r>
          <rPr>
            <sz val="9"/>
            <color indexed="81"/>
            <rFont val="Tahoma"/>
            <family val="2"/>
          </rPr>
          <t>Ô đặc biệt, dùng để xác định bảng</t>
        </r>
      </text>
    </comment>
    <comment ref="A279" authorId="0" shapeId="0" xr:uid="{00000000-0006-0000-3500-000037000000}">
      <text>
        <r>
          <rPr>
            <sz val="9"/>
            <color indexed="81"/>
            <rFont val="Tahoma"/>
            <family val="2"/>
          </rPr>
          <t xml:space="preserve">Ô đặc biệt, dùng để xác định bảng
</t>
        </r>
      </text>
    </comment>
    <comment ref="K279" authorId="0" shapeId="0" xr:uid="{00000000-0006-0000-3500-000038000000}">
      <text>
        <r>
          <rPr>
            <sz val="9"/>
            <color indexed="81"/>
            <rFont val="Tahoma"/>
            <family val="2"/>
          </rPr>
          <t xml:space="preserve">Ô đặc biệt, dùng để xác định bảng
</t>
        </r>
      </text>
    </comment>
    <comment ref="A300" authorId="0" shapeId="0" xr:uid="{00000000-0006-0000-3500-000039000000}">
      <text>
        <r>
          <rPr>
            <sz val="9"/>
            <color indexed="81"/>
            <rFont val="Tahoma"/>
            <family val="2"/>
          </rPr>
          <t>Ô đặc biệt, dùng để xác định bảng</t>
        </r>
      </text>
    </comment>
    <comment ref="A304" authorId="0" shapeId="0" xr:uid="{00000000-0006-0000-3500-00003A000000}">
      <text>
        <r>
          <rPr>
            <sz val="9"/>
            <color indexed="81"/>
            <rFont val="Tahoma"/>
            <family val="2"/>
          </rPr>
          <t xml:space="preserve">Ô đặc biệt, dùng để xác định bảng
</t>
        </r>
      </text>
    </comment>
    <comment ref="K304" authorId="0" shapeId="0" xr:uid="{00000000-0006-0000-3500-00003B000000}">
      <text>
        <r>
          <rPr>
            <sz val="9"/>
            <color indexed="81"/>
            <rFont val="Tahoma"/>
            <family val="2"/>
          </rPr>
          <t xml:space="preserve">Ô đặc biệt, dùng để xác định bảng
</t>
        </r>
      </text>
    </comment>
    <comment ref="A319" authorId="0" shapeId="0" xr:uid="{00000000-0006-0000-3500-00003C000000}">
      <text>
        <r>
          <rPr>
            <sz val="9"/>
            <color indexed="81"/>
            <rFont val="Tahoma"/>
            <family val="2"/>
          </rPr>
          <t>Ô đặc biệt, dùng để xác định bảng</t>
        </r>
      </text>
    </comment>
    <comment ref="A327" authorId="0" shapeId="0" xr:uid="{00000000-0006-0000-3500-00003D000000}">
      <text>
        <r>
          <rPr>
            <sz val="9"/>
            <color indexed="81"/>
            <rFont val="Tahoma"/>
            <family val="2"/>
          </rPr>
          <t xml:space="preserve">Ô đặc biệt, dùng để xác định bảng
</t>
        </r>
      </text>
    </comment>
    <comment ref="I327" authorId="0" shapeId="0" xr:uid="{00000000-0006-0000-3500-00003E000000}">
      <text>
        <r>
          <rPr>
            <sz val="9"/>
            <color indexed="81"/>
            <rFont val="Tahoma"/>
            <family val="2"/>
          </rPr>
          <t xml:space="preserve">Ô đặc biệt, dùng để xác định bảng
</t>
        </r>
      </text>
    </comment>
    <comment ref="A333" authorId="0" shapeId="0" xr:uid="{00000000-0006-0000-3500-00003F000000}">
      <text>
        <r>
          <rPr>
            <b/>
            <sz val="9"/>
            <color indexed="81"/>
            <rFont val="Tahoma"/>
            <family val="2"/>
          </rPr>
          <t>Tai:</t>
        </r>
        <r>
          <rPr>
            <sz val="9"/>
            <color indexed="81"/>
            <rFont val="Tahoma"/>
            <family val="2"/>
          </rPr>
          <t xml:space="preserve">
Số thứ tự là 5 vì thiếu Công trình thủy lợi trong TT150/2014/TT-BTC</t>
        </r>
      </text>
    </comment>
    <comment ref="A334" authorId="0" shapeId="0" xr:uid="{00000000-0006-0000-3500-000040000000}">
      <text>
        <r>
          <rPr>
            <sz val="9"/>
            <color indexed="81"/>
            <rFont val="Tahoma"/>
            <family val="2"/>
          </rPr>
          <t>Ô đặc biệt, dùng để xác định bảng</t>
        </r>
      </text>
    </comment>
    <comment ref="A340" authorId="0" shapeId="0" xr:uid="{00000000-0006-0000-3500-000041000000}">
      <text>
        <r>
          <rPr>
            <sz val="9"/>
            <color indexed="81"/>
            <rFont val="Tahoma"/>
            <family val="2"/>
          </rPr>
          <t xml:space="preserve">Ô đặc biệt, dùng để xác định bảng
</t>
        </r>
      </text>
    </comment>
    <comment ref="I340" authorId="0" shapeId="0" xr:uid="{00000000-0006-0000-3500-000042000000}">
      <text>
        <r>
          <rPr>
            <sz val="9"/>
            <color indexed="81"/>
            <rFont val="Tahoma"/>
            <family val="2"/>
          </rPr>
          <t xml:space="preserve">Ô đặc biệt, dùng để xác định bảng
</t>
        </r>
      </text>
    </comment>
    <comment ref="A344" authorId="0" shapeId="0" xr:uid="{00000000-0006-0000-3500-000043000000}">
      <text>
        <r>
          <rPr>
            <sz val="9"/>
            <color indexed="81"/>
            <rFont val="Tahoma"/>
            <family val="2"/>
          </rPr>
          <t>Ô đặc biệt, dùng để xác định bảng</t>
        </r>
      </text>
    </comment>
    <comment ref="A347" authorId="0" shapeId="0" xr:uid="{00000000-0006-0000-3500-000044000000}">
      <text>
        <r>
          <rPr>
            <sz val="9"/>
            <color indexed="81"/>
            <rFont val="Tahoma"/>
            <family val="2"/>
          </rPr>
          <t xml:space="preserve">Ô đặc biệt, dùng để xác định bảng
</t>
        </r>
      </text>
    </comment>
    <comment ref="I347" authorId="0" shapeId="0" xr:uid="{00000000-0006-0000-3500-000045000000}">
      <text>
        <r>
          <rPr>
            <sz val="9"/>
            <color indexed="81"/>
            <rFont val="Tahoma"/>
            <family val="2"/>
          </rPr>
          <t xml:space="preserve">Ô đặc biệt, dùng để xác định bảng
</t>
        </r>
      </text>
    </comment>
    <comment ref="A351" authorId="0" shapeId="0" xr:uid="{00000000-0006-0000-3500-000046000000}">
      <text>
        <r>
          <rPr>
            <sz val="9"/>
            <color indexed="81"/>
            <rFont val="Tahoma"/>
            <family val="2"/>
          </rPr>
          <t>Ô đặc biệt, dùng để xác định bảng</t>
        </r>
      </text>
    </comment>
    <comment ref="A357" authorId="0" shapeId="0" xr:uid="{00000000-0006-0000-3500-000047000000}">
      <text>
        <r>
          <rPr>
            <sz val="9"/>
            <color indexed="81"/>
            <rFont val="Tahoma"/>
            <family val="2"/>
          </rPr>
          <t xml:space="preserve">Ô đặc biệt, dùng để xác định bảng
</t>
        </r>
      </text>
    </comment>
    <comment ref="L357" authorId="0" shapeId="0" xr:uid="{00000000-0006-0000-3500-000048000000}">
      <text>
        <r>
          <rPr>
            <sz val="9"/>
            <color indexed="81"/>
            <rFont val="Tahoma"/>
            <family val="2"/>
          </rPr>
          <t xml:space="preserve">Ô đặc biệt, dùng để xác định bảng
</t>
        </r>
      </text>
    </comment>
    <comment ref="A361" authorId="0" shapeId="0" xr:uid="{00000000-0006-0000-3500-000049000000}">
      <text>
        <r>
          <rPr>
            <sz val="9"/>
            <color indexed="81"/>
            <rFont val="Tahoma"/>
            <family val="2"/>
          </rPr>
          <t>Ô đặc biệt, dùng để xác định bảng</t>
        </r>
      </text>
    </comment>
    <comment ref="A369" authorId="0" shapeId="0" xr:uid="{00000000-0006-0000-3500-00004A000000}">
      <text>
        <r>
          <rPr>
            <sz val="9"/>
            <color indexed="81"/>
            <rFont val="Tahoma"/>
            <family val="2"/>
          </rPr>
          <t xml:space="preserve">Ô đặc biệt, dùng để xác định bảng
</t>
        </r>
      </text>
    </comment>
    <comment ref="K369" authorId="0" shapeId="0" xr:uid="{00000000-0006-0000-3500-00004B000000}">
      <text>
        <r>
          <rPr>
            <sz val="9"/>
            <color indexed="81"/>
            <rFont val="Tahoma"/>
            <family val="2"/>
          </rPr>
          <t xml:space="preserve">Ô đặc biệt, dùng để xác định bảng
</t>
        </r>
      </text>
    </comment>
    <comment ref="A384" authorId="0" shapeId="0" xr:uid="{00000000-0006-0000-3500-00004C000000}">
      <text>
        <r>
          <rPr>
            <sz val="9"/>
            <color indexed="81"/>
            <rFont val="Tahoma"/>
            <family val="2"/>
          </rPr>
          <t>Ô đặc biệt, dùng để xác định bảng</t>
        </r>
      </text>
    </comment>
    <comment ref="A388" authorId="0" shapeId="0" xr:uid="{00000000-0006-0000-3500-00004D000000}">
      <text>
        <r>
          <rPr>
            <sz val="9"/>
            <color indexed="81"/>
            <rFont val="Tahoma"/>
            <family val="2"/>
          </rPr>
          <t xml:space="preserve">Ô đặc biệt, dùng để xác định bảng
</t>
        </r>
      </text>
    </comment>
    <comment ref="K388" authorId="0" shapeId="0" xr:uid="{00000000-0006-0000-3500-00004E000000}">
      <text>
        <r>
          <rPr>
            <sz val="9"/>
            <color indexed="81"/>
            <rFont val="Tahoma"/>
            <family val="2"/>
          </rPr>
          <t xml:space="preserve">Ô đặc biệt, dùng để xác định bảng
</t>
        </r>
      </text>
    </comment>
    <comment ref="A403" authorId="0" shapeId="0" xr:uid="{00000000-0006-0000-3500-00004F000000}">
      <text>
        <r>
          <rPr>
            <sz val="9"/>
            <color indexed="81"/>
            <rFont val="Tahoma"/>
            <family val="2"/>
          </rPr>
          <t>Ô đặc biệt, dùng để xác định bảng</t>
        </r>
      </text>
    </comment>
    <comment ref="A405" authorId="0" shapeId="0" xr:uid="{00000000-0006-0000-3500-000050000000}">
      <text>
        <r>
          <rPr>
            <sz val="9"/>
            <color indexed="81"/>
            <rFont val="Tahoma"/>
            <family val="2"/>
          </rPr>
          <t>Ô đặc biệt, dùng để xác định bảng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gia24.vn</author>
    <author>Microsoft Cop.</author>
  </authors>
  <commentList>
    <comment ref="R4" authorId="0" shapeId="0" xr:uid="{00000000-0006-0000-0200-000001000000}">
      <text>
        <r>
          <rPr>
            <b/>
            <sz val="10"/>
            <color indexed="81"/>
            <rFont val="Times New Roman"/>
            <family val="1"/>
          </rPr>
          <t>THIẾT KẾ CẤP ĐIỆN</t>
        </r>
        <r>
          <rPr>
            <sz val="10"/>
            <color indexed="81"/>
            <rFont val="Times New Roman"/>
            <family val="1"/>
          </rPr>
          <t xml:space="preserve">
Trang 156</t>
        </r>
      </text>
    </comment>
    <comment ref="Q6" authorId="0" shapeId="0" xr:uid="{00000000-0006-0000-0200-000002000000}">
      <text>
        <r>
          <rPr>
            <b/>
            <sz val="10"/>
            <color indexed="81"/>
            <rFont val="Times New Roman"/>
            <family val="1"/>
          </rPr>
          <t>THIẾT KẾ CẤP ĐIỆN</t>
        </r>
        <r>
          <rPr>
            <sz val="10"/>
            <color indexed="81"/>
            <rFont val="Times New Roman"/>
            <family val="1"/>
          </rPr>
          <t xml:space="preserve">
Trang 157</t>
        </r>
      </text>
    </comment>
    <comment ref="T11" authorId="0" shapeId="0" xr:uid="{00000000-0006-0000-0200-000003000000}">
      <text>
        <r>
          <rPr>
            <b/>
            <sz val="10"/>
            <color indexed="81"/>
            <rFont val="Times New Roman"/>
            <family val="1"/>
          </rPr>
          <t>THIẾT KẾ CẤP ĐIỆN</t>
        </r>
        <r>
          <rPr>
            <sz val="10"/>
            <color indexed="81"/>
            <rFont val="Times New Roman"/>
            <family val="1"/>
          </rPr>
          <t xml:space="preserve">
Trang 157</t>
        </r>
      </text>
    </comment>
    <comment ref="Q21" authorId="0" shapeId="0" xr:uid="{00000000-0006-0000-0200-000004000000}">
      <text>
        <r>
          <rPr>
            <b/>
            <sz val="10"/>
            <color indexed="81"/>
            <rFont val="Times New Roman"/>
            <family val="1"/>
          </rPr>
          <t>THIẾT KẾ CẤP ĐIỆN</t>
        </r>
        <r>
          <rPr>
            <sz val="10"/>
            <color indexed="81"/>
            <rFont val="Times New Roman"/>
            <family val="1"/>
          </rPr>
          <t xml:space="preserve">
Trang 158</t>
        </r>
      </text>
    </comment>
    <comment ref="W38" authorId="0" shapeId="0" xr:uid="{00000000-0006-0000-0200-000005000000}">
      <text>
        <r>
          <rPr>
            <b/>
            <sz val="10"/>
            <color indexed="81"/>
            <rFont val="Times New Roman"/>
            <family val="1"/>
          </rPr>
          <t xml:space="preserve">THIẾT KẾ CẤP ĐIỆN
</t>
        </r>
        <r>
          <rPr>
            <sz val="10"/>
            <color indexed="81"/>
            <rFont val="Times New Roman"/>
            <family val="1"/>
          </rPr>
          <t>Trang 159</t>
        </r>
      </text>
    </comment>
    <comment ref="M42" authorId="1" shapeId="0" xr:uid="{00000000-0006-0000-0200-000006000000}">
      <text>
        <r>
          <rPr>
            <b/>
            <sz val="10"/>
            <color indexed="81"/>
            <rFont val="Times New Roman"/>
            <family val="1"/>
          </rPr>
          <t xml:space="preserve">THIẾT KẾ CẤP ĐIỆN
</t>
        </r>
        <r>
          <rPr>
            <sz val="10"/>
            <color indexed="81"/>
            <rFont val="Times New Roman"/>
            <family val="1"/>
          </rPr>
          <t>Bảng 7.4 Trang 160</t>
        </r>
      </text>
    </comment>
    <comment ref="P90" authorId="0" shapeId="0" xr:uid="{00000000-0006-0000-0200-000007000000}">
      <text>
        <r>
          <rPr>
            <b/>
            <sz val="10"/>
            <color indexed="81"/>
            <rFont val="Times New Roman"/>
            <family val="1"/>
          </rPr>
          <t xml:space="preserve">THIẾT KẾ CẤP ĐIỆN
</t>
        </r>
        <r>
          <rPr>
            <sz val="10"/>
            <color indexed="81"/>
            <rFont val="Times New Roman"/>
            <family val="1"/>
          </rPr>
          <t>Trang 159</t>
        </r>
      </text>
    </comment>
    <comment ref="S105" authorId="0" shapeId="0" xr:uid="{00000000-0006-0000-0200-000008000000}">
      <text>
        <r>
          <rPr>
            <b/>
            <sz val="10"/>
            <color indexed="81"/>
            <rFont val="Times New Roman"/>
            <family val="1"/>
          </rPr>
          <t xml:space="preserve">THIẾT KẾ CẤP ĐIỆN
</t>
        </r>
        <r>
          <rPr>
            <sz val="10"/>
            <color indexed="81"/>
            <rFont val="Times New Roman"/>
            <family val="1"/>
          </rPr>
          <t>Trang 159</t>
        </r>
      </text>
    </comment>
    <comment ref="S150" authorId="0" shapeId="0" xr:uid="{00000000-0006-0000-0200-000009000000}">
      <text>
        <r>
          <rPr>
            <b/>
            <sz val="10"/>
            <color indexed="81"/>
            <rFont val="Times New Roman"/>
            <family val="1"/>
          </rPr>
          <t xml:space="preserve">THIẾT KẾ CẤP ĐIỆN
</t>
        </r>
        <r>
          <rPr>
            <sz val="10"/>
            <color indexed="81"/>
            <rFont val="Times New Roman"/>
            <family val="1"/>
          </rPr>
          <t>Trang 161</t>
        </r>
      </text>
    </comment>
    <comment ref="P152" authorId="0" shapeId="0" xr:uid="{00000000-0006-0000-0200-00000A000000}">
      <text>
        <r>
          <rPr>
            <b/>
            <sz val="10"/>
            <color indexed="81"/>
            <rFont val="Times New Roman"/>
            <family val="1"/>
          </rPr>
          <t xml:space="preserve">THIẾT KẾ CẤP ĐIỆN
</t>
        </r>
        <r>
          <rPr>
            <sz val="10"/>
            <color indexed="81"/>
            <rFont val="Times New Roman"/>
            <family val="1"/>
          </rPr>
          <t>Trang 164</t>
        </r>
      </text>
    </comment>
    <comment ref="AK159" authorId="0" shapeId="0" xr:uid="{00000000-0006-0000-0200-00000B000000}">
      <text>
        <r>
          <rPr>
            <b/>
            <sz val="10"/>
            <color indexed="81"/>
            <rFont val="Times New Roman"/>
            <family val="1"/>
          </rPr>
          <t xml:space="preserve">THIẾT KẾ CẤP ĐIỆN
</t>
        </r>
        <r>
          <rPr>
            <sz val="8"/>
            <color indexed="81"/>
            <rFont val="Times New Roman"/>
            <family val="1"/>
          </rPr>
          <t>Trang 158</t>
        </r>
      </text>
    </comment>
    <comment ref="AK160" authorId="0" shapeId="0" xr:uid="{00000000-0006-0000-0200-00000C000000}">
      <text>
        <r>
          <rPr>
            <b/>
            <sz val="10"/>
            <color indexed="81"/>
            <rFont val="Times New Roman"/>
            <family val="1"/>
          </rPr>
          <t xml:space="preserve">THIẾT KẾ CẤP ĐIỆN
</t>
        </r>
        <r>
          <rPr>
            <sz val="8"/>
            <color indexed="81"/>
            <rFont val="Times New Roman"/>
            <family val="1"/>
          </rPr>
          <t>Trang 158</t>
        </r>
      </text>
    </comment>
    <comment ref="AA161" authorId="0" shapeId="0" xr:uid="{00000000-0006-0000-0200-00000D000000}">
      <text>
        <r>
          <rPr>
            <b/>
            <sz val="10"/>
            <color indexed="81"/>
            <rFont val="Times New Roman"/>
            <family val="1"/>
          </rPr>
          <t xml:space="preserve">THIẾT KẾ CẤP ĐIỆN
</t>
        </r>
        <r>
          <rPr>
            <sz val="10"/>
            <color indexed="81"/>
            <rFont val="Times New Roman"/>
            <family val="1"/>
          </rPr>
          <t xml:space="preserve">Bảng 7.3 - </t>
        </r>
        <r>
          <rPr>
            <sz val="8"/>
            <color indexed="81"/>
            <rFont val="Times New Roman"/>
            <family val="1"/>
          </rPr>
          <t>Trang 157</t>
        </r>
      </text>
    </comment>
    <comment ref="AE180" authorId="0" shapeId="0" xr:uid="{00000000-0006-0000-0200-00000E000000}">
      <text>
        <r>
          <rPr>
            <b/>
            <sz val="10"/>
            <color indexed="81"/>
            <rFont val="Times New Roman"/>
            <family val="1"/>
          </rPr>
          <t xml:space="preserve">THIẾT KẾ CẤP ĐIỆN
</t>
        </r>
        <r>
          <rPr>
            <sz val="10"/>
            <color indexed="81"/>
            <rFont val="Times New Roman"/>
            <family val="1"/>
          </rPr>
          <t>Bảng 7.8</t>
        </r>
        <r>
          <rPr>
            <b/>
            <sz val="10"/>
            <color indexed="81"/>
            <rFont val="Times New Roman"/>
            <family val="1"/>
          </rPr>
          <t xml:space="preserve"> - </t>
        </r>
        <r>
          <rPr>
            <sz val="8"/>
            <color indexed="81"/>
            <rFont val="Times New Roman"/>
            <family val="1"/>
          </rPr>
          <t>Trang 165</t>
        </r>
      </text>
    </comment>
    <comment ref="W210" authorId="0" shapeId="0" xr:uid="{00000000-0006-0000-0200-00000F000000}">
      <text>
        <r>
          <rPr>
            <b/>
            <sz val="10"/>
            <color indexed="81"/>
            <rFont val="Times New Roman"/>
            <family val="1"/>
          </rPr>
          <t xml:space="preserve">THIẾT KẾ CẤP ĐIỆN
</t>
        </r>
        <r>
          <rPr>
            <sz val="10"/>
            <color indexed="81"/>
            <rFont val="Times New Roman"/>
            <family val="1"/>
          </rPr>
          <t>Bảng 7.8</t>
        </r>
        <r>
          <rPr>
            <b/>
            <sz val="10"/>
            <color indexed="81"/>
            <rFont val="Times New Roman"/>
            <family val="1"/>
          </rPr>
          <t xml:space="preserve"> - </t>
        </r>
        <r>
          <rPr>
            <sz val="8"/>
            <color indexed="81"/>
            <rFont val="Times New Roman"/>
            <family val="1"/>
          </rPr>
          <t>Trang 165</t>
        </r>
      </text>
    </comment>
    <comment ref="W233" authorId="0" shapeId="0" xr:uid="{00000000-0006-0000-0200-000010000000}">
      <text>
        <r>
          <rPr>
            <b/>
            <sz val="10"/>
            <color indexed="81"/>
            <rFont val="Times New Roman"/>
            <family val="1"/>
          </rPr>
          <t xml:space="preserve">THIẾT KẾ CẤP ĐIỆN
</t>
        </r>
        <r>
          <rPr>
            <sz val="10"/>
            <color indexed="81"/>
            <rFont val="Times New Roman"/>
            <family val="1"/>
          </rPr>
          <t>Bảng 7.8</t>
        </r>
        <r>
          <rPr>
            <b/>
            <sz val="10"/>
            <color indexed="81"/>
            <rFont val="Times New Roman"/>
            <family val="1"/>
          </rPr>
          <t xml:space="preserve"> - </t>
        </r>
        <r>
          <rPr>
            <sz val="8"/>
            <color indexed="81"/>
            <rFont val="Times New Roman"/>
            <family val="1"/>
          </rPr>
          <t>Trang 165</t>
        </r>
      </text>
    </comment>
    <comment ref="T244" authorId="0" shapeId="0" xr:uid="{00000000-0006-0000-0200-000011000000}">
      <text>
        <r>
          <rPr>
            <b/>
            <sz val="10"/>
            <color indexed="81"/>
            <rFont val="Times New Roman"/>
            <family val="1"/>
          </rPr>
          <t xml:space="preserve">THIẾT KẾ CẤP ĐIỆN
</t>
        </r>
        <r>
          <rPr>
            <sz val="8"/>
            <color indexed="81"/>
            <rFont val="Times New Roman"/>
            <family val="1"/>
          </rPr>
          <t>Trang 168</t>
        </r>
      </text>
    </comment>
    <comment ref="Y245" authorId="0" shapeId="0" xr:uid="{00000000-0006-0000-0200-000012000000}">
      <text>
        <r>
          <rPr>
            <b/>
            <sz val="10"/>
            <color indexed="81"/>
            <rFont val="Times New Roman"/>
            <family val="1"/>
          </rPr>
          <t xml:space="preserve">THIẾT KẾ CẤP ĐIỆN
</t>
        </r>
        <r>
          <rPr>
            <sz val="8"/>
            <color indexed="81"/>
            <rFont val="Times New Roman"/>
            <family val="1"/>
          </rPr>
          <t>Trang 171</t>
        </r>
      </text>
    </comment>
    <comment ref="R261" authorId="0" shapeId="0" xr:uid="{00000000-0006-0000-0200-000013000000}">
      <text>
        <r>
          <rPr>
            <b/>
            <sz val="10"/>
            <color indexed="81"/>
            <rFont val="Times New Roman"/>
            <family val="1"/>
          </rPr>
          <t xml:space="preserve">THIẾT KẾ CẤP ĐIỆN
</t>
        </r>
        <r>
          <rPr>
            <sz val="10"/>
            <color indexed="81"/>
            <rFont val="Times New Roman"/>
            <family val="1"/>
          </rPr>
          <t>PL VII.9</t>
        </r>
        <r>
          <rPr>
            <b/>
            <sz val="10"/>
            <color indexed="81"/>
            <rFont val="Times New Roman"/>
            <family val="1"/>
          </rPr>
          <t xml:space="preserve"> - </t>
        </r>
        <r>
          <rPr>
            <sz val="8"/>
            <color indexed="81"/>
            <rFont val="Times New Roman"/>
            <family val="1"/>
          </rPr>
          <t>Trang 321</t>
        </r>
      </text>
    </comment>
    <comment ref="AB317" authorId="1" shapeId="0" xr:uid="{00000000-0006-0000-0200-000014000000}">
      <text>
        <r>
          <rPr>
            <sz val="12"/>
            <color indexed="81"/>
            <rFont val="Times New Roman"/>
            <family val="1"/>
          </rPr>
          <t xml:space="preserve">HD Đồ án môn học điện 1
</t>
        </r>
        <r>
          <rPr>
            <b/>
            <sz val="12"/>
            <color indexed="81"/>
            <rFont val="Times New Roman"/>
            <family val="1"/>
          </rPr>
          <t xml:space="preserve">THIẾT KẾ MẠCH ĐIỆN
</t>
        </r>
        <r>
          <rPr>
            <sz val="12"/>
            <color indexed="81"/>
            <rFont val="Times New Roman"/>
            <family val="1"/>
          </rPr>
          <t xml:space="preserve">Trang 96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TOSHIBA</author>
    <author>gia24.vn</author>
    <author>Microsoft Cop.</author>
  </authors>
  <commentList>
    <comment ref="S85" authorId="0" shapeId="0" xr:uid="{00000000-0006-0000-0300-000001000000}">
      <text>
        <r>
          <rPr>
            <b/>
            <sz val="8"/>
            <color indexed="81"/>
            <rFont val="Tahoma"/>
            <family val="2"/>
          </rPr>
          <t>Với cáp nhôm là 31,5</t>
        </r>
      </text>
    </comment>
    <comment ref="S86" authorId="0" shapeId="0" xr:uid="{00000000-0006-0000-0300-000002000000}">
      <text>
        <r>
          <rPr>
            <b/>
            <sz val="8"/>
            <color indexed="81"/>
            <rFont val="Tahoma"/>
            <family val="2"/>
          </rPr>
          <t>lấy gần đúng từ 0.08 đến 0.1</t>
        </r>
      </text>
    </comment>
    <comment ref="L99" authorId="1" shapeId="0" xr:uid="{00000000-0006-0000-0300-000003000000}">
      <text>
        <r>
          <rPr>
            <sz val="10"/>
            <color indexed="81"/>
            <rFont val="Times New Roman"/>
            <family val="1"/>
          </rPr>
          <t>SỔ TAY LỰA CHỌN VÀ TRA CỨU THIẾT BỊ ĐIỆN TỪ 0,4 - 500kV</t>
        </r>
      </text>
    </comment>
    <comment ref="L100" authorId="1" shapeId="0" xr:uid="{00000000-0006-0000-0300-000004000000}">
      <text>
        <r>
          <rPr>
            <sz val="10"/>
            <color indexed="81"/>
            <rFont val="Times New Roman"/>
            <family val="1"/>
          </rPr>
          <t>SỔ TAY LỰA CHỌN VÀ TRA CỨU THIẾT BỊ ĐIỆN TỪ 0,4 - 500kV</t>
        </r>
      </text>
    </comment>
    <comment ref="L101" authorId="1" shapeId="0" xr:uid="{00000000-0006-0000-0300-000005000000}">
      <text>
        <r>
          <rPr>
            <sz val="10"/>
            <color indexed="81"/>
            <rFont val="Times New Roman"/>
            <family val="1"/>
          </rPr>
          <t>SỔ TAY LỰA CHỌN VÀ TRA CỨU THIẾT BỊ ĐIỆN TỪ 0,4 - 500kV</t>
        </r>
      </text>
    </comment>
    <comment ref="W142" authorId="1" shapeId="0" xr:uid="{00000000-0006-0000-0300-000006000000}">
      <text>
        <r>
          <rPr>
            <b/>
            <sz val="10"/>
            <color indexed="81"/>
            <rFont val="Times New Roman"/>
            <family val="1"/>
          </rPr>
          <t>SỔ TAY LỰA CHỌN VÀ TRA CỨU THIẾT BỊ ĐIỆN TỪ 0,4 - 500kV</t>
        </r>
        <r>
          <rPr>
            <sz val="10"/>
            <color indexed="81"/>
            <rFont val="Times New Roman"/>
            <family val="1"/>
          </rPr>
          <t xml:space="preserve">
Trang 209</t>
        </r>
      </text>
    </comment>
    <comment ref="S174" authorId="0" shapeId="0" xr:uid="{00000000-0006-0000-0300-000007000000}">
      <text>
        <r>
          <rPr>
            <b/>
            <sz val="8"/>
            <color indexed="81"/>
            <rFont val="Tahoma"/>
            <family val="2"/>
          </rPr>
          <t>Với cáp nhôm là 31,5</t>
        </r>
      </text>
    </comment>
    <comment ref="S175" authorId="0" shapeId="0" xr:uid="{00000000-0006-0000-0300-000008000000}">
      <text>
        <r>
          <rPr>
            <b/>
            <sz val="8"/>
            <color indexed="81"/>
            <rFont val="Tahoma"/>
            <family val="2"/>
          </rPr>
          <t>lấy gần đúng từ 0.08 đến 0.1</t>
        </r>
      </text>
    </comment>
    <comment ref="X189" authorId="1" shapeId="0" xr:uid="{00000000-0006-0000-0300-000009000000}">
      <text>
        <r>
          <rPr>
            <b/>
            <sz val="10"/>
            <color indexed="81"/>
            <rFont val="Times New Roman"/>
            <family val="1"/>
          </rPr>
          <t>SỔ TAY LỰA CHỌN VÀ TRA CỨU THIẾT BỊ ĐIỆN TỪ 0,4 - 500kV</t>
        </r>
        <r>
          <rPr>
            <sz val="10"/>
            <color indexed="81"/>
            <rFont val="Times New Roman"/>
            <family val="1"/>
          </rPr>
          <t xml:space="preserve">
Trang 209</t>
        </r>
      </text>
    </comment>
    <comment ref="S238" authorId="1" shapeId="0" xr:uid="{00000000-0006-0000-0300-00000A000000}">
      <text>
        <r>
          <rPr>
            <b/>
            <sz val="10"/>
            <color indexed="81"/>
            <rFont val="Times New Roman"/>
            <family val="1"/>
          </rPr>
          <t>THIẾT KẾ CẤP ĐIỆN</t>
        </r>
        <r>
          <rPr>
            <sz val="10"/>
            <color indexed="81"/>
            <rFont val="Times New Roman"/>
            <family val="1"/>
          </rPr>
          <t xml:space="preserve">
Trang 156</t>
        </r>
      </text>
    </comment>
    <comment ref="R240" authorId="1" shapeId="0" xr:uid="{00000000-0006-0000-0300-00000B000000}">
      <text>
        <r>
          <rPr>
            <b/>
            <sz val="10"/>
            <color indexed="81"/>
            <rFont val="Times New Roman"/>
            <family val="1"/>
          </rPr>
          <t>THIẾT KẾ CẤP ĐIỆN</t>
        </r>
        <r>
          <rPr>
            <sz val="10"/>
            <color indexed="81"/>
            <rFont val="Times New Roman"/>
            <family val="1"/>
          </rPr>
          <t xml:space="preserve">
Trang 157</t>
        </r>
      </text>
    </comment>
    <comment ref="U245" authorId="1" shapeId="0" xr:uid="{00000000-0006-0000-0300-00000C000000}">
      <text>
        <r>
          <rPr>
            <b/>
            <sz val="10"/>
            <color indexed="81"/>
            <rFont val="Times New Roman"/>
            <family val="1"/>
          </rPr>
          <t>THIẾT KẾ CẤP ĐIỆN</t>
        </r>
        <r>
          <rPr>
            <sz val="10"/>
            <color indexed="81"/>
            <rFont val="Times New Roman"/>
            <family val="1"/>
          </rPr>
          <t xml:space="preserve">
Trang 157</t>
        </r>
      </text>
    </comment>
    <comment ref="R255" authorId="1" shapeId="0" xr:uid="{00000000-0006-0000-0300-00000D000000}">
      <text>
        <r>
          <rPr>
            <b/>
            <sz val="10"/>
            <color indexed="81"/>
            <rFont val="Times New Roman"/>
            <family val="1"/>
          </rPr>
          <t>THIẾT KẾ CẤP ĐIỆN</t>
        </r>
        <r>
          <rPr>
            <sz val="10"/>
            <color indexed="81"/>
            <rFont val="Times New Roman"/>
            <family val="1"/>
          </rPr>
          <t xml:space="preserve">
Trang 158</t>
        </r>
      </text>
    </comment>
    <comment ref="X272" authorId="1" shapeId="0" xr:uid="{00000000-0006-0000-0300-00000E000000}">
      <text>
        <r>
          <rPr>
            <b/>
            <sz val="10"/>
            <color indexed="81"/>
            <rFont val="Times New Roman"/>
            <family val="1"/>
          </rPr>
          <t xml:space="preserve">THIẾT KẾ CẤP ĐIỆN
</t>
        </r>
        <r>
          <rPr>
            <sz val="10"/>
            <color indexed="81"/>
            <rFont val="Times New Roman"/>
            <family val="1"/>
          </rPr>
          <t>Trang 159</t>
        </r>
      </text>
    </comment>
    <comment ref="N276" authorId="2" shapeId="0" xr:uid="{00000000-0006-0000-0300-00000F000000}">
      <text>
        <r>
          <rPr>
            <b/>
            <sz val="10"/>
            <color indexed="81"/>
            <rFont val="Times New Roman"/>
            <family val="1"/>
          </rPr>
          <t xml:space="preserve">THIẾT KẾ CẤP ĐIỆN
</t>
        </r>
        <r>
          <rPr>
            <sz val="10"/>
            <color indexed="81"/>
            <rFont val="Times New Roman"/>
            <family val="1"/>
          </rPr>
          <t>Bảng 7.4 Trang 160</t>
        </r>
      </text>
    </comment>
    <comment ref="Q324" authorId="1" shapeId="0" xr:uid="{00000000-0006-0000-0300-000010000000}">
      <text>
        <r>
          <rPr>
            <b/>
            <sz val="10"/>
            <color indexed="81"/>
            <rFont val="Times New Roman"/>
            <family val="1"/>
          </rPr>
          <t xml:space="preserve">THIẾT KẾ CẤP ĐIỆN
</t>
        </r>
        <r>
          <rPr>
            <sz val="10"/>
            <color indexed="81"/>
            <rFont val="Times New Roman"/>
            <family val="1"/>
          </rPr>
          <t>Trang 159</t>
        </r>
      </text>
    </comment>
    <comment ref="T339" authorId="1" shapeId="0" xr:uid="{00000000-0006-0000-0300-000011000000}">
      <text>
        <r>
          <rPr>
            <b/>
            <sz val="10"/>
            <color indexed="81"/>
            <rFont val="Times New Roman"/>
            <family val="1"/>
          </rPr>
          <t xml:space="preserve">THIẾT KẾ CẤP ĐIỆN
</t>
        </r>
        <r>
          <rPr>
            <sz val="10"/>
            <color indexed="81"/>
            <rFont val="Times New Roman"/>
            <family val="1"/>
          </rPr>
          <t>Trang 159</t>
        </r>
      </text>
    </comment>
    <comment ref="T384" authorId="1" shapeId="0" xr:uid="{00000000-0006-0000-0300-000012000000}">
      <text>
        <r>
          <rPr>
            <b/>
            <sz val="10"/>
            <color indexed="81"/>
            <rFont val="Times New Roman"/>
            <family val="1"/>
          </rPr>
          <t xml:space="preserve">THIẾT KẾ CẤP ĐIỆN
</t>
        </r>
        <r>
          <rPr>
            <sz val="10"/>
            <color indexed="81"/>
            <rFont val="Times New Roman"/>
            <family val="1"/>
          </rPr>
          <t>Trang 161</t>
        </r>
      </text>
    </comment>
    <comment ref="Q386" authorId="1" shapeId="0" xr:uid="{00000000-0006-0000-0300-000013000000}">
      <text>
        <r>
          <rPr>
            <b/>
            <sz val="10"/>
            <color indexed="81"/>
            <rFont val="Times New Roman"/>
            <family val="1"/>
          </rPr>
          <t xml:space="preserve">THIẾT KẾ CẤP ĐIỆN
</t>
        </r>
        <r>
          <rPr>
            <sz val="10"/>
            <color indexed="81"/>
            <rFont val="Times New Roman"/>
            <family val="1"/>
          </rPr>
          <t>Trang 164</t>
        </r>
      </text>
    </comment>
    <comment ref="AL393" authorId="1" shapeId="0" xr:uid="{00000000-0006-0000-0300-000014000000}">
      <text>
        <r>
          <rPr>
            <b/>
            <sz val="10"/>
            <color indexed="81"/>
            <rFont val="Times New Roman"/>
            <family val="1"/>
          </rPr>
          <t xml:space="preserve">THIẾT KẾ CẤP ĐIỆN
</t>
        </r>
        <r>
          <rPr>
            <sz val="8"/>
            <color indexed="81"/>
            <rFont val="Times New Roman"/>
            <family val="1"/>
          </rPr>
          <t>Trang 158</t>
        </r>
      </text>
    </comment>
    <comment ref="AL394" authorId="1" shapeId="0" xr:uid="{00000000-0006-0000-0300-000015000000}">
      <text>
        <r>
          <rPr>
            <b/>
            <sz val="10"/>
            <color indexed="81"/>
            <rFont val="Times New Roman"/>
            <family val="1"/>
          </rPr>
          <t xml:space="preserve">THIẾT KẾ CẤP ĐIỆN
</t>
        </r>
        <r>
          <rPr>
            <sz val="8"/>
            <color indexed="81"/>
            <rFont val="Times New Roman"/>
            <family val="1"/>
          </rPr>
          <t>Trang 158</t>
        </r>
      </text>
    </comment>
    <comment ref="AB395" authorId="1" shapeId="0" xr:uid="{00000000-0006-0000-0300-000016000000}">
      <text>
        <r>
          <rPr>
            <b/>
            <sz val="10"/>
            <color indexed="81"/>
            <rFont val="Times New Roman"/>
            <family val="1"/>
          </rPr>
          <t xml:space="preserve">THIẾT KẾ CẤP ĐIỆN
</t>
        </r>
        <r>
          <rPr>
            <sz val="10"/>
            <color indexed="81"/>
            <rFont val="Times New Roman"/>
            <family val="1"/>
          </rPr>
          <t xml:space="preserve">Bảng 7.3 - </t>
        </r>
        <r>
          <rPr>
            <sz val="8"/>
            <color indexed="81"/>
            <rFont val="Times New Roman"/>
            <family val="1"/>
          </rPr>
          <t>Trang 157</t>
        </r>
      </text>
    </comment>
    <comment ref="AF414" authorId="1" shapeId="0" xr:uid="{00000000-0006-0000-0300-000017000000}">
      <text>
        <r>
          <rPr>
            <b/>
            <sz val="10"/>
            <color indexed="81"/>
            <rFont val="Times New Roman"/>
            <family val="1"/>
          </rPr>
          <t xml:space="preserve">THIẾT KẾ CẤP ĐIỆN
</t>
        </r>
        <r>
          <rPr>
            <sz val="10"/>
            <color indexed="81"/>
            <rFont val="Times New Roman"/>
            <family val="1"/>
          </rPr>
          <t>Bảng 7.8</t>
        </r>
        <r>
          <rPr>
            <b/>
            <sz val="10"/>
            <color indexed="81"/>
            <rFont val="Times New Roman"/>
            <family val="1"/>
          </rPr>
          <t xml:space="preserve"> - </t>
        </r>
        <r>
          <rPr>
            <sz val="8"/>
            <color indexed="81"/>
            <rFont val="Times New Roman"/>
            <family val="1"/>
          </rPr>
          <t>Trang 165</t>
        </r>
      </text>
    </comment>
    <comment ref="X444" authorId="1" shapeId="0" xr:uid="{00000000-0006-0000-0300-000018000000}">
      <text>
        <r>
          <rPr>
            <b/>
            <sz val="10"/>
            <color indexed="81"/>
            <rFont val="Times New Roman"/>
            <family val="1"/>
          </rPr>
          <t xml:space="preserve">THIẾT KẾ CẤP ĐIỆN
</t>
        </r>
        <r>
          <rPr>
            <sz val="10"/>
            <color indexed="81"/>
            <rFont val="Times New Roman"/>
            <family val="1"/>
          </rPr>
          <t>Bảng 7.8</t>
        </r>
        <r>
          <rPr>
            <b/>
            <sz val="10"/>
            <color indexed="81"/>
            <rFont val="Times New Roman"/>
            <family val="1"/>
          </rPr>
          <t xml:space="preserve"> - </t>
        </r>
        <r>
          <rPr>
            <sz val="8"/>
            <color indexed="81"/>
            <rFont val="Times New Roman"/>
            <family val="1"/>
          </rPr>
          <t>Trang 165</t>
        </r>
      </text>
    </comment>
    <comment ref="X467" authorId="1" shapeId="0" xr:uid="{00000000-0006-0000-0300-000019000000}">
      <text>
        <r>
          <rPr>
            <b/>
            <sz val="10"/>
            <color indexed="81"/>
            <rFont val="Times New Roman"/>
            <family val="1"/>
          </rPr>
          <t xml:space="preserve">THIẾT KẾ CẤP ĐIỆN
</t>
        </r>
        <r>
          <rPr>
            <sz val="10"/>
            <color indexed="81"/>
            <rFont val="Times New Roman"/>
            <family val="1"/>
          </rPr>
          <t>Bảng 7.8</t>
        </r>
        <r>
          <rPr>
            <b/>
            <sz val="10"/>
            <color indexed="81"/>
            <rFont val="Times New Roman"/>
            <family val="1"/>
          </rPr>
          <t xml:space="preserve"> - </t>
        </r>
        <r>
          <rPr>
            <sz val="8"/>
            <color indexed="81"/>
            <rFont val="Times New Roman"/>
            <family val="1"/>
          </rPr>
          <t>Trang 165</t>
        </r>
      </text>
    </comment>
    <comment ref="U478" authorId="1" shapeId="0" xr:uid="{00000000-0006-0000-0300-00001A000000}">
      <text>
        <r>
          <rPr>
            <b/>
            <sz val="10"/>
            <color indexed="81"/>
            <rFont val="Times New Roman"/>
            <family val="1"/>
          </rPr>
          <t xml:space="preserve">THIẾT KẾ CẤP ĐIỆN
</t>
        </r>
        <r>
          <rPr>
            <sz val="8"/>
            <color indexed="81"/>
            <rFont val="Times New Roman"/>
            <family val="1"/>
          </rPr>
          <t>Trang 168</t>
        </r>
      </text>
    </comment>
    <comment ref="Z479" authorId="1" shapeId="0" xr:uid="{00000000-0006-0000-0300-00001B000000}">
      <text>
        <r>
          <rPr>
            <b/>
            <sz val="10"/>
            <color indexed="81"/>
            <rFont val="Times New Roman"/>
            <family val="1"/>
          </rPr>
          <t xml:space="preserve">THIẾT KẾ CẤP ĐIỆN
</t>
        </r>
        <r>
          <rPr>
            <sz val="8"/>
            <color indexed="81"/>
            <rFont val="Times New Roman"/>
            <family val="1"/>
          </rPr>
          <t>Trang 171</t>
        </r>
      </text>
    </comment>
    <comment ref="S495" authorId="1" shapeId="0" xr:uid="{00000000-0006-0000-0300-00001C000000}">
      <text>
        <r>
          <rPr>
            <b/>
            <sz val="10"/>
            <color indexed="81"/>
            <rFont val="Times New Roman"/>
            <family val="1"/>
          </rPr>
          <t xml:space="preserve">THIẾT KẾ CẤP ĐIỆN
</t>
        </r>
        <r>
          <rPr>
            <sz val="10"/>
            <color indexed="81"/>
            <rFont val="Times New Roman"/>
            <family val="1"/>
          </rPr>
          <t>PL VII.9</t>
        </r>
        <r>
          <rPr>
            <b/>
            <sz val="10"/>
            <color indexed="81"/>
            <rFont val="Times New Roman"/>
            <family val="1"/>
          </rPr>
          <t xml:space="preserve"> - </t>
        </r>
        <r>
          <rPr>
            <sz val="8"/>
            <color indexed="81"/>
            <rFont val="Times New Roman"/>
            <family val="1"/>
          </rPr>
          <t>Trang 321</t>
        </r>
      </text>
    </comment>
    <comment ref="AC551" authorId="2" shapeId="0" xr:uid="{00000000-0006-0000-0300-00001D000000}">
      <text>
        <r>
          <rPr>
            <sz val="12"/>
            <color indexed="81"/>
            <rFont val="Times New Roman"/>
            <family val="1"/>
          </rPr>
          <t xml:space="preserve">HD Đồ án môn học điện 1
</t>
        </r>
        <r>
          <rPr>
            <b/>
            <sz val="12"/>
            <color indexed="81"/>
            <rFont val="Times New Roman"/>
            <family val="1"/>
          </rPr>
          <t xml:space="preserve">THIẾT KẾ MẠCH ĐIỆN
</t>
        </r>
        <r>
          <rPr>
            <sz val="12"/>
            <color indexed="81"/>
            <rFont val="Times New Roman"/>
            <family val="1"/>
          </rPr>
          <t xml:space="preserve">Trang 96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Thanh An</author>
    <author>THIEN</author>
  </authors>
  <commentList>
    <comment ref="K11" authorId="0" shapeId="0" xr:uid="{00000000-0006-0000-0600-000001000000}">
      <text>
        <r>
          <rPr>
            <sz val="8"/>
            <color indexed="81"/>
            <rFont val="Tahoma"/>
            <family val="2"/>
          </rPr>
          <t>(CPXD + CPTB) nằm trong khoảng giá trị trong bảng thì phải nội suy</t>
        </r>
        <r>
          <rPr>
            <sz val="8"/>
            <color indexed="81"/>
            <rFont val="Tahoma"/>
            <family val="2"/>
          </rPr>
          <t xml:space="preserve">
</t>
        </r>
      </text>
    </comment>
    <comment ref="K16" authorId="0" shapeId="0" xr:uid="{00000000-0006-0000-0600-000002000000}">
      <text>
        <r>
          <rPr>
            <sz val="8"/>
            <color indexed="81"/>
            <rFont val="Tahoma"/>
            <family val="2"/>
          </rPr>
          <t>Tối thiểu 5.000.000đ</t>
        </r>
      </text>
    </comment>
    <comment ref="K19" authorId="0" shapeId="0" xr:uid="{00000000-0006-0000-0600-000003000000}">
      <text>
        <r>
          <rPr>
            <sz val="8"/>
            <color indexed="81"/>
            <rFont val="Tahoma"/>
            <family val="2"/>
          </rPr>
          <t>Tối thiểu 2.000.000đ</t>
        </r>
        <r>
          <rPr>
            <sz val="8"/>
            <color indexed="81"/>
            <rFont val="Tahoma"/>
            <family val="2"/>
          </rPr>
          <t xml:space="preserve">
</t>
        </r>
      </text>
    </comment>
    <comment ref="K20" authorId="0" shapeId="0" xr:uid="{00000000-0006-0000-0600-000004000000}">
      <text>
        <r>
          <rPr>
            <sz val="8"/>
            <color indexed="81"/>
            <rFont val="Tahoma"/>
            <family val="2"/>
          </rPr>
          <t>Tối thiểu 2.000.000đ</t>
        </r>
        <r>
          <rPr>
            <sz val="8"/>
            <color indexed="81"/>
            <rFont val="Tahoma"/>
            <family val="2"/>
          </rPr>
          <t xml:space="preserve">
</t>
        </r>
      </text>
    </comment>
    <comment ref="J32" authorId="1" shapeId="0" xr:uid="{00000000-0006-0000-0600-000005000000}">
      <text>
        <r>
          <rPr>
            <b/>
            <sz val="9"/>
            <color indexed="81"/>
            <rFont val="Tahoma"/>
            <family val="2"/>
          </rPr>
          <t>mr.Thien:
ĐDTA Ngầm</t>
        </r>
      </text>
    </comment>
    <comment ref="K32" authorId="1" shapeId="0" xr:uid="{00000000-0006-0000-0600-000006000000}">
      <text>
        <r>
          <rPr>
            <b/>
            <sz val="9"/>
            <color indexed="81"/>
            <rFont val="Tahoma"/>
            <family val="2"/>
          </rPr>
          <t>mr.Thien:
ĐDTA trên không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THIEN</author>
  </authors>
  <commentList>
    <comment ref="J34" authorId="0" shapeId="0" xr:uid="{00000000-0006-0000-0700-000001000000}">
      <text>
        <r>
          <rPr>
            <b/>
            <sz val="9"/>
            <color indexed="81"/>
            <rFont val="Tahoma"/>
            <family val="2"/>
          </rPr>
          <t>mr.Thien:
ĐDTA Ngầm</t>
        </r>
      </text>
    </comment>
    <comment ref="K34" authorId="0" shapeId="0" xr:uid="{00000000-0006-0000-0700-000002000000}">
      <text>
        <r>
          <rPr>
            <b/>
            <sz val="9"/>
            <color indexed="81"/>
            <rFont val="Tahoma"/>
            <family val="2"/>
          </rPr>
          <t>mr.Thien:
ĐDTA trên không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Le Binh</author>
  </authors>
  <commentList>
    <comment ref="E49" authorId="0" shapeId="0" xr:uid="{00000000-0006-0000-0D00-000001000000}">
      <text>
        <r>
          <rPr>
            <b/>
            <sz val="12"/>
            <color indexed="81"/>
            <rFont val="Times New Roman"/>
            <family val="1"/>
            <charset val="238"/>
          </rPr>
          <t xml:space="preserve">M 200
</t>
        </r>
        <r>
          <rPr>
            <sz val="12"/>
            <color indexed="81"/>
            <rFont val="Times New Roman"/>
            <family val="1"/>
          </rPr>
          <t>Trang 117 DGXD CNgành XLDDTĐiện &amp;TBA kèm 7606/BCT-NL 5/8/2009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Thanh An</author>
  </authors>
  <commentList>
    <comment ref="AJ3" authorId="0" shapeId="0" xr:uid="{00000000-0006-0000-0E00-000001000000}">
      <text>
        <r>
          <rPr>
            <sz val="8"/>
            <color indexed="81"/>
            <rFont val="Tahoma"/>
            <family val="2"/>
          </rPr>
          <t>Vị trí an toàn cao</t>
        </r>
        <r>
          <rPr>
            <sz val="8"/>
            <color indexed="81"/>
            <rFont val="Tahoma"/>
            <family val="2"/>
          </rPr>
          <t xml:space="preserve">
</t>
        </r>
      </text>
    </comment>
    <comment ref="AM3" authorId="0" shapeId="0" xr:uid="{00000000-0006-0000-0E00-000002000000}">
      <text>
        <r>
          <rPr>
            <sz val="8"/>
            <color indexed="81"/>
            <rFont val="Tahoma"/>
            <family val="2"/>
          </rPr>
          <t>Dây trung hòa</t>
        </r>
        <r>
          <rPr>
            <sz val="8"/>
            <color indexed="81"/>
            <rFont val="Tahoma"/>
            <family val="2"/>
          </rPr>
          <t xml:space="preserve">
</t>
        </r>
      </text>
    </comment>
    <comment ref="B7" authorId="0" shapeId="0" xr:uid="{00000000-0006-0000-0E00-000003000000}">
      <text>
        <r>
          <rPr>
            <sz val="8"/>
            <color indexed="81"/>
            <rFont val="Tahoma"/>
            <family val="2"/>
          </rPr>
          <t xml:space="preserve">Đỡ thẳng 1 pha
</t>
        </r>
      </text>
    </comment>
    <comment ref="B8" authorId="0" shapeId="0" xr:uid="{00000000-0006-0000-0E00-000004000000}">
      <text>
        <r>
          <rPr>
            <sz val="8"/>
            <color indexed="81"/>
            <rFont val="Tahoma"/>
            <family val="2"/>
          </rPr>
          <t xml:space="preserve">Đỡ góc 1 pha
</t>
        </r>
      </text>
    </comment>
    <comment ref="B9" authorId="0" shapeId="0" xr:uid="{00000000-0006-0000-0E00-000005000000}">
      <text>
        <r>
          <rPr>
            <sz val="8"/>
            <color indexed="81"/>
            <rFont val="Tahoma"/>
            <family val="2"/>
          </rPr>
          <t>Néo thẳng 1 pha</t>
        </r>
        <r>
          <rPr>
            <sz val="8"/>
            <color indexed="81"/>
            <rFont val="Tahoma"/>
            <family val="2"/>
          </rPr>
          <t xml:space="preserve">
</t>
        </r>
      </text>
    </comment>
    <comment ref="B10" authorId="0" shapeId="0" xr:uid="{00000000-0006-0000-0E00-000006000000}">
      <text>
        <r>
          <rPr>
            <sz val="8"/>
            <color indexed="81"/>
            <rFont val="Tahoma"/>
            <family val="2"/>
          </rPr>
          <t>Néo góc 1 pha</t>
        </r>
        <r>
          <rPr>
            <sz val="8"/>
            <color indexed="81"/>
            <rFont val="Tahoma"/>
            <family val="2"/>
          </rPr>
          <t xml:space="preserve">
</t>
        </r>
      </text>
    </comment>
    <comment ref="B11" authorId="0" shapeId="0" xr:uid="{00000000-0006-0000-0E00-000007000000}">
      <text>
        <r>
          <rPr>
            <sz val="8"/>
            <color indexed="81"/>
            <rFont val="Tahoma"/>
            <family val="2"/>
          </rPr>
          <t>Dừng - cuối lưới 1 pha</t>
        </r>
      </text>
    </comment>
    <comment ref="B13" authorId="0" shapeId="0" xr:uid="{00000000-0006-0000-0E00-000008000000}">
      <text>
        <r>
          <rPr>
            <sz val="8"/>
            <color indexed="81"/>
            <rFont val="Tahoma"/>
            <family val="2"/>
          </rPr>
          <t xml:space="preserve">Đỡ thẳng 1 pha + 
rẽ nhánh 1 pha
</t>
        </r>
      </text>
    </comment>
    <comment ref="B19" authorId="0" shapeId="0" xr:uid="{00000000-0006-0000-0E00-000009000000}">
      <text>
        <r>
          <rPr>
            <sz val="8"/>
            <color indexed="81"/>
            <rFont val="Tahoma"/>
            <family val="2"/>
          </rPr>
          <t>Tương tự 1 pha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Thanh An</author>
  </authors>
  <commentList>
    <comment ref="AD3" authorId="0" shapeId="0" xr:uid="{00000000-0006-0000-0F00-000001000000}">
      <text>
        <r>
          <rPr>
            <sz val="8"/>
            <color indexed="81"/>
            <rFont val="Tahoma"/>
            <family val="2"/>
          </rPr>
          <t>Vị trí an toàn cao</t>
        </r>
        <r>
          <rPr>
            <sz val="8"/>
            <color indexed="81"/>
            <rFont val="Tahoma"/>
            <family val="2"/>
          </rPr>
          <t xml:space="preserve">
</t>
        </r>
      </text>
    </comment>
    <comment ref="AG3" authorId="0" shapeId="0" xr:uid="{00000000-0006-0000-0F00-000002000000}">
      <text>
        <r>
          <rPr>
            <sz val="8"/>
            <color indexed="81"/>
            <rFont val="Tahoma"/>
            <family val="2"/>
          </rPr>
          <t>Dây trung hòa</t>
        </r>
        <r>
          <rPr>
            <sz val="8"/>
            <color indexed="81"/>
            <rFont val="Tahoma"/>
            <family val="2"/>
          </rPr>
          <t xml:space="preserve">
</t>
        </r>
      </text>
    </comment>
    <comment ref="AH3" authorId="0" shapeId="0" xr:uid="{00000000-0006-0000-0F00-000003000000}">
      <text>
        <r>
          <rPr>
            <sz val="8"/>
            <color indexed="81"/>
            <rFont val="Tahoma"/>
            <family val="2"/>
          </rPr>
          <t>Dây trung hòa</t>
        </r>
        <r>
          <rPr>
            <sz val="8"/>
            <color indexed="81"/>
            <rFont val="Tahoma"/>
            <family val="2"/>
          </rPr>
          <t xml:space="preserve">
</t>
        </r>
      </text>
    </comment>
    <comment ref="B7" authorId="0" shapeId="0" xr:uid="{00000000-0006-0000-0F00-000004000000}">
      <text>
        <r>
          <rPr>
            <sz val="8"/>
            <color indexed="81"/>
            <rFont val="Tahoma"/>
            <family val="2"/>
          </rPr>
          <t xml:space="preserve">Đỡ thẳng 1 pha
</t>
        </r>
      </text>
    </comment>
    <comment ref="B8" authorId="0" shapeId="0" xr:uid="{00000000-0006-0000-0F00-000005000000}">
      <text>
        <r>
          <rPr>
            <sz val="8"/>
            <color indexed="81"/>
            <rFont val="Tahoma"/>
            <family val="2"/>
          </rPr>
          <t xml:space="preserve">Đỡ góc 1 pha
</t>
        </r>
      </text>
    </comment>
    <comment ref="B9" authorId="0" shapeId="0" xr:uid="{00000000-0006-0000-0F00-000006000000}">
      <text>
        <r>
          <rPr>
            <sz val="8"/>
            <color indexed="81"/>
            <rFont val="Tahoma"/>
            <family val="2"/>
          </rPr>
          <t>Néo thẳng 1 pha</t>
        </r>
        <r>
          <rPr>
            <sz val="8"/>
            <color indexed="81"/>
            <rFont val="Tahoma"/>
            <family val="2"/>
          </rPr>
          <t xml:space="preserve">
</t>
        </r>
      </text>
    </comment>
    <comment ref="B10" authorId="0" shapeId="0" xr:uid="{00000000-0006-0000-0F00-000007000000}">
      <text>
        <r>
          <rPr>
            <sz val="8"/>
            <color indexed="81"/>
            <rFont val="Tahoma"/>
            <family val="2"/>
          </rPr>
          <t>Néo góc 1 pha</t>
        </r>
        <r>
          <rPr>
            <sz val="8"/>
            <color indexed="81"/>
            <rFont val="Tahoma"/>
            <family val="2"/>
          </rPr>
          <t xml:space="preserve">
</t>
        </r>
      </text>
    </comment>
    <comment ref="B11" authorId="0" shapeId="0" xr:uid="{00000000-0006-0000-0F00-000008000000}">
      <text>
        <r>
          <rPr>
            <sz val="8"/>
            <color indexed="81"/>
            <rFont val="Tahoma"/>
            <family val="2"/>
          </rPr>
          <t>Dừng - cuối lưới 1 pha</t>
        </r>
      </text>
    </comment>
    <comment ref="B13" authorId="0" shapeId="0" xr:uid="{00000000-0006-0000-0F00-000009000000}">
      <text>
        <r>
          <rPr>
            <sz val="8"/>
            <color indexed="81"/>
            <rFont val="Tahoma"/>
            <family val="2"/>
          </rPr>
          <t xml:space="preserve">Đỡ thẳng 1 pha + 
rẽ nhánh 1 pha
</t>
        </r>
      </text>
    </comment>
    <comment ref="B19" authorId="0" shapeId="0" xr:uid="{00000000-0006-0000-0F00-00000A000000}">
      <text>
        <r>
          <rPr>
            <sz val="8"/>
            <color indexed="81"/>
            <rFont val="Tahoma"/>
            <family val="2"/>
          </rPr>
          <t>Tương tự 1 pha</t>
        </r>
      </text>
    </comment>
  </commentList>
</comments>
</file>

<file path=xl/sharedStrings.xml><?xml version="1.0" encoding="utf-8"?>
<sst xmlns="http://schemas.openxmlformats.org/spreadsheetml/2006/main" count="16191" uniqueCount="6662">
  <si>
    <t>Cosse ép dùng cho dây đồng 150mm2</t>
  </si>
  <si>
    <t>OA009</t>
  </si>
  <si>
    <t>Cosse ép dùng cho dây đồng 185mm2</t>
  </si>
  <si>
    <t>OA010</t>
  </si>
  <si>
    <t>Cosse ép dùng cho dây đồng 200mm2</t>
  </si>
  <si>
    <t>OA011</t>
  </si>
  <si>
    <t>Cosse ép dùng cho dây đồng 240mm2</t>
  </si>
  <si>
    <t>OA012</t>
  </si>
  <si>
    <t>Ép đầu Cosse  ≤ 70mm2</t>
  </si>
  <si>
    <t>Ép đầu Cosse  ≤ 95mm2</t>
  </si>
  <si>
    <t>Ép đầu Cosse  ≤ 120mm2</t>
  </si>
  <si>
    <t>Ép đầu Cosse  ≤ 150mm2</t>
  </si>
  <si>
    <t>Ép đầu Cosse  ≤ 185mm2</t>
  </si>
  <si>
    <t xml:space="preserve">  Lập Báo cáo kinh tế kỹ thuật</t>
  </si>
  <si>
    <r>
      <t>g</t>
    </r>
    <r>
      <rPr>
        <vertAlign val="subscript"/>
        <sz val="13"/>
        <rFont val="Times New Roman"/>
        <family val="1"/>
      </rPr>
      <t>bão</t>
    </r>
  </si>
  <si>
    <r>
      <t>g</t>
    </r>
    <r>
      <rPr>
        <vertAlign val="subscript"/>
        <sz val="13"/>
        <rFont val="Times New Roman"/>
        <family val="1"/>
      </rPr>
      <t>θmin</t>
    </r>
  </si>
  <si>
    <t>Ứng
suất
gh</t>
  </si>
  <si>
    <r>
      <t xml:space="preserve">I </t>
    </r>
    <r>
      <rPr>
        <vertAlign val="subscript"/>
        <sz val="13"/>
        <rFont val="Times New Roman"/>
        <family val="1"/>
      </rPr>
      <t>NM</t>
    </r>
  </si>
  <si>
    <r>
      <t>R</t>
    </r>
    <r>
      <rPr>
        <vertAlign val="subscript"/>
        <sz val="13"/>
        <rFont val="Times New Roman"/>
        <family val="1"/>
      </rPr>
      <t xml:space="preserve">tiếp xúc </t>
    </r>
  </si>
  <si>
    <r>
      <t>R</t>
    </r>
    <r>
      <rPr>
        <vertAlign val="subscript"/>
        <sz val="13"/>
        <rFont val="Times New Roman"/>
        <family val="1"/>
      </rPr>
      <t xml:space="preserve">cuộn dây </t>
    </r>
  </si>
  <si>
    <t>L</t>
  </si>
  <si>
    <t>Độ dài tính toán của đà cản để đảm bảo chống lật</t>
  </si>
  <si>
    <t>M10ba</t>
  </si>
  <si>
    <t>M12ba</t>
  </si>
  <si>
    <t>M14ba</t>
  </si>
  <si>
    <t>f = tgφ =</t>
  </si>
  <si>
    <t>Bù lon mạ kẽm VRS 22x650</t>
  </si>
  <si>
    <t>QH006</t>
  </si>
  <si>
    <t>Bù lon mạ kẽm VRS 22x700</t>
  </si>
  <si>
    <t>QH007</t>
  </si>
  <si>
    <t>Bù lon mạ kẽm VRS 22x750</t>
  </si>
  <si>
    <t>QH008</t>
  </si>
  <si>
    <t>Bù lon mạ kẽm VRS 22x800</t>
  </si>
  <si>
    <t>QH009</t>
  </si>
  <si>
    <t>Ông Trần Ngọc Linh</t>
  </si>
  <si>
    <t>Ông Trịnh Trung Kiên</t>
  </si>
  <si>
    <t>Ông Hà Hùng</t>
  </si>
  <si>
    <t>Ông Nguyễn Văn Ngoan</t>
  </si>
  <si>
    <t>Ông Lê Văn Soan</t>
  </si>
  <si>
    <t>Ông Nguyễn Tấn Phương</t>
  </si>
  <si>
    <t>Ông Thái Đắc Hoàng Quốc</t>
  </si>
  <si>
    <t>Ông Phan Văn Tùng</t>
  </si>
  <si>
    <t>THÙNG ĐIỆN KẾ</t>
  </si>
  <si>
    <t>FA000</t>
  </si>
  <si>
    <t>Thùng điện kế 1 ngăn 0,6x0,5x0,35 (STĐ)</t>
  </si>
  <si>
    <t>FA001</t>
  </si>
  <si>
    <t>Thùng điện kế 1 ngăn 1x0,5x0,35 (STĐ)</t>
  </si>
  <si>
    <t>FA002</t>
  </si>
  <si>
    <t>Thùng điện kế 2 ngăn 1x0,5x0,35 (STĐ)</t>
  </si>
  <si>
    <t>FA003</t>
  </si>
  <si>
    <t>Dòng định mức qua dây dẫn:</t>
  </si>
  <si>
    <t>Sản phẩm khảo sát là báo cáo kết quả khảo sát được thực hiện theo quy định tại Điều 48</t>
  </si>
  <si>
    <t>Ép đầu cosse ≤ 70mm2</t>
  </si>
  <si>
    <t>Ép đầu cosse ≤ 95mm2</t>
  </si>
  <si>
    <t>- Cộng</t>
  </si>
  <si>
    <t>-  Trường hợp bất khả kháng: Bên A và Bên B thương thảo xác định giá trị hợp đồng điều</t>
  </si>
  <si>
    <t>V/c đà bằng thủ công (&gt;500m)</t>
  </si>
  <si>
    <t>V/c phụ kiện các loại bằng TC</t>
  </si>
  <si>
    <t>V/c phụ kiện các loại bằng TC ( &gt; 500m)</t>
  </si>
  <si>
    <t>02.1042</t>
  </si>
  <si>
    <t>02.1043</t>
  </si>
  <si>
    <t>02.1044</t>
  </si>
  <si>
    <t>02.1045</t>
  </si>
  <si>
    <t>Làm đầu cáp ≤ 22kV, 1 pha ≤ 300mm2</t>
  </si>
  <si>
    <t>Làm đầu cáp ≤ 22kV, 1 pha ≤ 400mm2</t>
  </si>
  <si>
    <t xml:space="preserve">Một bên có quyền tạm dừng hợp đồng do lỗi bên kia gây ra, nhưng phải báo cho bên kia biết </t>
  </si>
  <si>
    <t xml:space="preserve">bằng văn bản và cùng bàn bạc giải quyết để tiếp tục thực hiện hợp đồng đã ký kết; trường hợp bên </t>
  </si>
  <si>
    <t>tạm dừng không thông báo mà tạm dừng gây thiệt hại thì phải bồi thường cho bên thiệt hại.</t>
  </si>
  <si>
    <t>7,852,629,350 (17.12.2018)</t>
  </si>
  <si>
    <t>Cáp duplex đồng bọc PVC 0,6/1kV 2x7</t>
  </si>
  <si>
    <t>KH001</t>
  </si>
  <si>
    <t>nhôm LV-ABC 0,6/1kV 3x120mm2</t>
  </si>
  <si>
    <t>nhôm LV-ABC 0,6/1kV 3x150mm2</t>
  </si>
  <si>
    <t>nhôm LV-ABC 0,6/1kV 4x50mm2</t>
  </si>
  <si>
    <t>nhôm LV-ABC 0,6/1kV 4x70mm2</t>
  </si>
  <si>
    <t>nhôm LV-ABC 0,6/1kV 4x95mm2</t>
  </si>
  <si>
    <t>nhôm LV-ABC 0,6/1kV 4x120mm2</t>
  </si>
  <si>
    <t>nhôm LV-ABC 0,6/1kV 4x150mm2</t>
  </si>
  <si>
    <t>Lắp khóa treo, khóa hãm, kéo rải căng dây, bịt đầu cáp (bao gồm cả lắp kẹp treo, kẹp đỡ, ống nối) theo đúng yêu cầu kỹ thuật. Thu dọn, hoàn chỉnh nghiệm thu bàn giao.</t>
  </si>
  <si>
    <t>Lắp đặt cáp vặn xoắn 4 x 16 mm2</t>
  </si>
  <si>
    <t>04.4103</t>
  </si>
  <si>
    <t>04.4104</t>
  </si>
  <si>
    <t>04.4201</t>
  </si>
  <si>
    <t>04.4202</t>
  </si>
  <si>
    <t>249538*75%</t>
  </si>
  <si>
    <t>Nội dung công việc</t>
  </si>
  <si>
    <t>Đơn vị</t>
  </si>
  <si>
    <t>Đơn giá</t>
  </si>
  <si>
    <t>Thành tiền</t>
  </si>
  <si>
    <t xml:space="preserve">Nhân công </t>
  </si>
  <si>
    <t>Lắp Aptomat</t>
  </si>
  <si>
    <t>TR.02.8400a</t>
  </si>
  <si>
    <t>02.8400</t>
  </si>
  <si>
    <t>TR.02.8400b</t>
  </si>
  <si>
    <t>TR.02.8400c</t>
  </si>
  <si>
    <t>90% x (Bảng II.2.5)</t>
  </si>
  <si>
    <t>(Bảng II.3.5)</t>
  </si>
  <si>
    <t>Theo Quyết định số 79/QĐ-BXD ngày 15/02/2017 của Bộ xây dựng</t>
  </si>
  <si>
    <t>Định mức chi phí quản lý dự án và tư vấn đầu tư xây dựng</t>
  </si>
  <si>
    <t>Chi phí xây dựng (Gxd):</t>
  </si>
  <si>
    <t>(tỷ đồng)</t>
  </si>
  <si>
    <t>Giá đỡ FCO, LA trạm 1 pha</t>
  </si>
  <si>
    <t>IE002</t>
  </si>
  <si>
    <t>Ép nối lèo, khoá néo, tiết diện ≤ 120mm2</t>
  </si>
  <si>
    <t>Ép nối lèo, khoá néo, tiết diện &gt; 500mm2</t>
  </si>
  <si>
    <t>Ép vá dây, tiết diện ≤ 150mm2</t>
  </si>
  <si>
    <t xml:space="preserve">           Căn cứ quyết định số 3242/QĐ-EVN SPC ngày 30/12/2014 của Tổng Công ty Điện lực Miền Nam về việc Ban hành Quy định cấp điện theo yêu cầu của khách hàng từ lưới điện trung áp và rút ngắn chỉ số tiếp cận điện năng áp dụng trong Tổng Công ty Điện lực Miền Nam.;</t>
  </si>
  <si>
    <t xml:space="preserve">công trình, thành phần của Hội đồng nghiệm thu theo quy định của pháp luật về nghiệm thu, bàn </t>
  </si>
  <si>
    <t>giao công trình.</t>
  </si>
  <si>
    <t>ID002</t>
  </si>
  <si>
    <t>Đế đỡ TU - TI</t>
  </si>
  <si>
    <t xml:space="preserve"> cái</t>
  </si>
  <si>
    <t>IE000</t>
  </si>
  <si>
    <t xml:space="preserve">Giá đỡ chân sứ đỉnh </t>
  </si>
  <si>
    <t>IE001</t>
  </si>
  <si>
    <t>CP chuyên gia (tỷ đồng)</t>
  </si>
  <si>
    <t>&lt; 1</t>
  </si>
  <si>
    <t>1 ÷ &lt; 5</t>
  </si>
  <si>
    <t>≥ 5</t>
  </si>
  <si>
    <t>PHẦN ĐƯỜNG DÂY TRUNG ÁP</t>
  </si>
  <si>
    <t>Chi phí chuyên gia</t>
  </si>
  <si>
    <r>
      <t>C</t>
    </r>
    <r>
      <rPr>
        <vertAlign val="subscript"/>
        <sz val="10"/>
        <rFont val="Times New Roman"/>
        <family val="1"/>
      </rPr>
      <t>CG</t>
    </r>
  </si>
  <si>
    <t>Mục I (Bảng II.10a)</t>
  </si>
  <si>
    <t>Tỷ lệ (%)</t>
  </si>
  <si>
    <t>Chi phí quản lý</t>
  </si>
  <si>
    <r>
      <t>C</t>
    </r>
    <r>
      <rPr>
        <vertAlign val="subscript"/>
        <sz val="10"/>
        <rFont val="Times New Roman"/>
        <family val="1"/>
      </rPr>
      <t>QL</t>
    </r>
  </si>
  <si>
    <t>Trang 49, Quyết định 79/QĐ-BXD ngày 15/02/2017</t>
  </si>
  <si>
    <t>Chi phí khác</t>
  </si>
  <si>
    <r>
      <t>C</t>
    </r>
    <r>
      <rPr>
        <vertAlign val="subscript"/>
        <sz val="10"/>
        <rFont val="Times New Roman"/>
        <family val="1"/>
      </rPr>
      <t>K</t>
    </r>
  </si>
  <si>
    <t>Chi phí văn phòng phẩm…</t>
  </si>
  <si>
    <t>TN</t>
  </si>
  <si>
    <r>
      <t>6% x (C</t>
    </r>
    <r>
      <rPr>
        <vertAlign val="subscript"/>
        <sz val="10"/>
        <rFont val="Times New Roman"/>
        <family val="1"/>
      </rPr>
      <t>CG</t>
    </r>
    <r>
      <rPr>
        <sz val="10"/>
        <rFont val="Times New Roman"/>
        <family val="1"/>
      </rPr>
      <t>+C</t>
    </r>
    <r>
      <rPr>
        <vertAlign val="subscript"/>
        <sz val="10"/>
        <rFont val="Times New Roman"/>
        <family val="1"/>
      </rPr>
      <t>QL</t>
    </r>
    <r>
      <rPr>
        <sz val="10"/>
        <rFont val="Times New Roman"/>
        <family val="1"/>
      </rPr>
      <t>)</t>
    </r>
  </si>
  <si>
    <t>Thuế giá trị gia tăng</t>
  </si>
  <si>
    <t>VAT</t>
  </si>
  <si>
    <r>
      <t>10% x (C</t>
    </r>
    <r>
      <rPr>
        <vertAlign val="subscript"/>
        <sz val="10"/>
        <rFont val="Times New Roman"/>
        <family val="1"/>
      </rPr>
      <t>CG</t>
    </r>
    <r>
      <rPr>
        <sz val="10"/>
        <rFont val="Times New Roman"/>
        <family val="1"/>
      </rPr>
      <t>+C</t>
    </r>
    <r>
      <rPr>
        <vertAlign val="subscript"/>
        <sz val="10"/>
        <rFont val="Times New Roman"/>
        <family val="1"/>
      </rPr>
      <t>QL</t>
    </r>
    <r>
      <rPr>
        <sz val="10"/>
        <rFont val="Times New Roman"/>
        <family val="1"/>
      </rPr>
      <t>+C</t>
    </r>
    <r>
      <rPr>
        <vertAlign val="subscript"/>
        <sz val="10"/>
        <rFont val="Times New Roman"/>
        <family val="1"/>
      </rPr>
      <t>K</t>
    </r>
    <r>
      <rPr>
        <sz val="10"/>
        <rFont val="Times New Roman"/>
        <family val="1"/>
      </rPr>
      <t>+TN)</t>
    </r>
  </si>
  <si>
    <t>Chi phí dự phòng</t>
  </si>
  <si>
    <r>
      <t>C</t>
    </r>
    <r>
      <rPr>
        <vertAlign val="subscript"/>
        <sz val="10"/>
        <rFont val="Times New Roman"/>
        <family val="1"/>
      </rPr>
      <t>DP</t>
    </r>
  </si>
  <si>
    <t>Loại hệ thống đèn chiếu sáng, phụ kiện</t>
  </si>
  <si>
    <t>05.4201</t>
  </si>
  <si>
    <t>05.4202</t>
  </si>
  <si>
    <t>Lắp cần đèn các loại</t>
  </si>
  <si>
    <t>05.4203</t>
  </si>
  <si>
    <t>Lăp chao đèn, chụp, choá</t>
  </si>
  <si>
    <t>05.4204</t>
  </si>
  <si>
    <t>Lắp tấm giá đỡ bằng gỗ tẩm dầu.</t>
  </si>
  <si>
    <t>05.4205</t>
  </si>
  <si>
    <t>Lắp dựng trụ thép cao ≤70m, TC</t>
  </si>
  <si>
    <t>Lắp dựng trụ thép cao ≤85m, TC</t>
  </si>
  <si>
    <t>Lắp dựng trụ thép cao ≤100m, TC</t>
  </si>
  <si>
    <t>(14)=(4)x(9)</t>
  </si>
  <si>
    <t>PHẦN XÂY DỰNG:</t>
  </si>
  <si>
    <t>PHẦN XÂY DỰNG (mục I)</t>
  </si>
  <si>
    <t>t.bộ</t>
  </si>
  <si>
    <t>TRẠM n1 x S1kVA</t>
  </si>
  <si>
    <t>A.2</t>
  </si>
  <si>
    <t>Đầu cáp ngầm 3 pha 24kV trong nhà 3x240</t>
  </si>
  <si>
    <t>KX008</t>
  </si>
  <si>
    <t>Đầu cáp ngầm 3 pha 24kV trong nhà 3x300</t>
  </si>
  <si>
    <t>KY000</t>
  </si>
  <si>
    <t>MBA 1 pha 8,6(12,7)/0,22-0,44kV 75kVA</t>
  </si>
  <si>
    <t>Xếp tre cây (Φ=8-10cm, L=6-8m) xuống</t>
  </si>
  <si>
    <t>Xếp cấu kiện thép các loại xuống</t>
  </si>
  <si>
    <t>Xếp phụ kiện xuống</t>
  </si>
  <si>
    <t>Xếp dây điện các loại xuống</t>
  </si>
  <si>
    <t>Xếp sứ các loại xuống</t>
  </si>
  <si>
    <t>Xếp gỗ các loại xuống</t>
  </si>
  <si>
    <t>Xếp cọc tre, cọc gỗ xuống</t>
  </si>
  <si>
    <t>-  Thời gian thực hiện: trong vòng 30 ngày kể từ ngày HĐ khảo sát thiết kế được ký kết.</t>
  </si>
  <si>
    <t>CB000</t>
  </si>
  <si>
    <t>KB001</t>
  </si>
  <si>
    <t>KM000</t>
  </si>
  <si>
    <t>Các phiếu kiểm nghiệm các loại vật tư thiết bị của công trình.</t>
  </si>
  <si>
    <t>5%: trang 12 phụ lục Hướng dẫn đơn giá KSXD công trình điện, ban hành kèm theo công văn 8494/CV-ĐL2-16 ngày 27/11/2006</t>
  </si>
  <si>
    <t>V</t>
  </si>
  <si>
    <t>Khối lượng</t>
  </si>
  <si>
    <t>Danh mục</t>
  </si>
  <si>
    <t>(1)</t>
  </si>
  <si>
    <t>Dựng cthép đã lắp ≤50m, TC+M100CV</t>
  </si>
  <si>
    <t>Dựng cthép đã lắp ≤25m, TC+cẩu 10T</t>
  </si>
  <si>
    <t>Dựng cthép đã lắp ≤35m, TC+cẩu 10T</t>
  </si>
  <si>
    <t>Dựng cthép đã lắp ≤45m, TC+cẩu 10T</t>
  </si>
  <si>
    <t>Dựng cthép đã lắp ≤50m, TC+cẩu 10T</t>
  </si>
  <si>
    <t>Dựng cthép đã lắp ≤15m, TC+cẩu 10T</t>
  </si>
  <si>
    <t>05.3221</t>
  </si>
  <si>
    <t>05.3222</t>
  </si>
  <si>
    <t>05.3223</t>
  </si>
  <si>
    <t>05.3224</t>
  </si>
  <si>
    <t>05.3225</t>
  </si>
  <si>
    <t>05.3231</t>
  </si>
  <si>
    <t>05.3232</t>
  </si>
  <si>
    <t>05.3233</t>
  </si>
  <si>
    <t xml:space="preserve">    Căn cứ Luật Xây dựng số: 16/2003/QH11 ngày 26/11/2003 của Quốc Hội Nước Cộng Hòa Xã</t>
  </si>
  <si>
    <t xml:space="preserve">    Căn cứ Bộ Luật Dân sự số: 33/2005/QH11 ngày 14/06/2005 của Quốc Hội Nước Cộng Hòa Xã</t>
  </si>
  <si>
    <t>CH000</t>
  </si>
  <si>
    <t>CH001</t>
  </si>
  <si>
    <t>Chdài đường dây hạ áp</t>
  </si>
  <si>
    <t>QDGS</t>
  </si>
  <si>
    <t>Tụ bù, dung lượng tối đa</t>
  </si>
  <si>
    <t>CBKT</t>
  </si>
  <si>
    <t>/</t>
  </si>
  <si>
    <t>12.1.</t>
  </si>
  <si>
    <t>12.2.</t>
  </si>
  <si>
    <t xml:space="preserve">12.3.  </t>
  </si>
  <si>
    <t xml:space="preserve">12.4.  </t>
  </si>
  <si>
    <t xml:space="preserve">11.5.  </t>
  </si>
  <si>
    <t>CỘNG HÒA XÃ HỘI CHỦ NGHĨA VIỆT NAM</t>
  </si>
  <si>
    <t xml:space="preserve">Độc lập - Tự do - Hạnh phúc </t>
  </si>
  <si>
    <t>Lắp đặt xà thép cho trụ đỡ (320kg)</t>
  </si>
  <si>
    <t>Lắp đặt xà thép cho trụ đỡ (410kg)</t>
  </si>
  <si>
    <t>Lắp đặt xà thép cho trụ đỡ (500kg)</t>
  </si>
  <si>
    <t>CÔNG (N)</t>
  </si>
  <si>
    <t>Bảng số 1: Định mức chi phí quản lý dự án</t>
  </si>
  <si>
    <t>Đơn vị tính: tỷ lệ %</t>
  </si>
  <si>
    <t>QLDA79^</t>
  </si>
  <si>
    <t>^</t>
  </si>
  <si>
    <t>Loại công trình</t>
  </si>
  <si>
    <t>Chi phí xây dựng và chi phí thiết bị (chưa có thuế GTGT) (tỷ đồng)</t>
  </si>
  <si>
    <t>Tổ chức khảo  sát thiết kế để lập phương án bán điện :  15 ngày .</t>
  </si>
  <si>
    <t>Lập dự toán thiết kế bản vẽ không quá  15 ngày</t>
  </si>
  <si>
    <t>IN001</t>
  </si>
  <si>
    <t>Collier sắt dẹt 40x4 ĐK290 giữ ống ĐK114</t>
  </si>
  <si>
    <t>IN002</t>
  </si>
  <si>
    <t>Collier sắt dẹt 40x4 ĐK310 giữ ống ĐK114</t>
  </si>
  <si>
    <t>Chỏi chằng hẹp, cọc neo</t>
  </si>
  <si>
    <t>JA000</t>
  </si>
  <si>
    <t>Chỏi CH ĐK60 dày 5mm, dài 1200mm</t>
  </si>
  <si>
    <t>JA001</t>
  </si>
  <si>
    <t>Dây đồng trần xoắn 120mm2</t>
  </si>
  <si>
    <t>KA008</t>
  </si>
  <si>
    <t>Dây đồng trần xoắn 150mm2</t>
  </si>
  <si>
    <t>Đà sắt U100x64x4,5 dài 0,8mKẹp chân MBA</t>
  </si>
  <si>
    <t>IF005</t>
  </si>
  <si>
    <t>L (mét) x đơn giá ksht (đ/m) x hệ số ks x 0,8 x 0,3 x (1 + 10%)</t>
  </si>
  <si>
    <t>Lệ phí qua trạm thu phí:</t>
  </si>
  <si>
    <t>Ống nối căng cho dây đồng 35mm2</t>
  </si>
  <si>
    <t>OC004</t>
  </si>
  <si>
    <t>Dây đồng chống thấm bọc XLPE 24kV 70</t>
  </si>
  <si>
    <t>KM004</t>
  </si>
  <si>
    <t>Cáp ngầm 3 pha 0,6/1kV CXV/DSTA 3x95+1x70</t>
  </si>
  <si>
    <t>KV056</t>
  </si>
  <si>
    <t>Cáp ngầm 3 pha 0,6/1kV CXV/DSTA 3x120+1x95</t>
  </si>
  <si>
    <t>KV057</t>
  </si>
  <si>
    <t>Cáp ngầm 3 pha 0,6/1kV CXV/DSTA 3x150+1x95</t>
  </si>
  <si>
    <t>KV058</t>
  </si>
  <si>
    <t>Cáp ngầm 3 pha 0,6/1kV CXV/DSTA 3x185+1x120</t>
  </si>
  <si>
    <t>KV059</t>
  </si>
  <si>
    <t xml:space="preserve">   Căn cứ yêu cầu công tác.</t>
  </si>
  <si>
    <t>Ông Trần Văn Nhung</t>
  </si>
  <si>
    <t>Ông Lê Chấn Tùng</t>
  </si>
  <si>
    <t>Ông Lê Vũ Hoàng Linh</t>
  </si>
  <si>
    <t>Ông Lâm Quang Lợi</t>
  </si>
  <si>
    <t>Ông Lý Nhân Tân</t>
  </si>
  <si>
    <t>Ông Lê Huynh</t>
  </si>
  <si>
    <t>Ông Lưu Tuấn Anh</t>
  </si>
  <si>
    <t>Ông Liên Chí Cường</t>
  </si>
  <si>
    <t>Ông Nguyễn Thanh Vân</t>
  </si>
  <si>
    <t>Ông Nguyễn Đức Cường</t>
  </si>
  <si>
    <t>Ông Cao Tứ Hải</t>
  </si>
  <si>
    <t>Ông Bùi Quốc Toàn</t>
  </si>
  <si>
    <t>Ông Nguyễn Văn Văn</t>
  </si>
  <si>
    <t>Ông Nguyễn Xuân Trọng</t>
  </si>
  <si>
    <t>Ông Lê Thanh Phong</t>
  </si>
  <si>
    <t>Ông Huỳnh Anh Kiệt</t>
  </si>
  <si>
    <t>II.2.5. BẢNG TỔNG HỢP CHI PHÍ VẬT LIỆU, NHÂN CÔNG, MÁY THI CÔNG</t>
  </si>
  <si>
    <t>II.2.6. BẢNG TÍNH CHI TIẾT VẬT LIỆU, THIẾT BỊ, NHÂN CÔNG, MÁY THI CÔNG</t>
  </si>
  <si>
    <t>PHẦN VẬT LIỆU (mục II)</t>
  </si>
  <si>
    <t>PHẦN THIẾT BỊ (mục III)</t>
  </si>
  <si>
    <t>Vật liệu phụ</t>
  </si>
  <si>
    <t>THÀNH TIỀN ĐDTA TRÊN KHÔNG</t>
  </si>
  <si>
    <r>
      <t>C</t>
    </r>
    <r>
      <rPr>
        <vertAlign val="subscript"/>
        <sz val="10"/>
        <rFont val="Times New Roman"/>
        <family val="1"/>
      </rPr>
      <t>VCBD</t>
    </r>
  </si>
  <si>
    <t>THÀNH TIỂN ĐD NGẦM</t>
  </si>
  <si>
    <t>TỔNG
CỘNG</t>
  </si>
  <si>
    <t>Bảng II.1.5</t>
  </si>
  <si>
    <t>II.1.2. BẢNG DỰ TOÁN CHI PHÍ PHẦN XÂY DỰNG</t>
  </si>
  <si>
    <t>II.1.4. BẢNG DỰ TOÁN CHI PHÍ PHẦN LẮP ĐẶT THIẾT BỊ</t>
  </si>
  <si>
    <t>Bảng II.2.4</t>
  </si>
  <si>
    <t>Bảng II.2.3</t>
  </si>
  <si>
    <t>HỢP ĐỒNG TỔNG THẦU VỚI NHỮNG ĐIỀU KHOẢN SAU</t>
  </si>
  <si>
    <t>Bên A giao cho bên B tổng thầu EPC :</t>
  </si>
  <si>
    <t>Bên B cam kết thực hiện công việc Bên A giao:</t>
  </si>
  <si>
    <t>Móng M14ba</t>
  </si>
  <si>
    <t>Rãi căng dây lấy độ võng ≤ AC50mm2</t>
  </si>
  <si>
    <t>KB000</t>
  </si>
  <si>
    <t>Dây nhôm trần lõi thép 35/6,2</t>
  </si>
  <si>
    <t>Dây nhôm trần lõi thép 50/8</t>
  </si>
  <si>
    <t>KB002</t>
  </si>
  <si>
    <t>Dây nhôm trần lõi thép 70/11</t>
  </si>
  <si>
    <t>Ép đầu Cosse  ≤ 50mm2</t>
  </si>
  <si>
    <t>Lắp đặt cáp vặn xoắn 2 x 70 mm2</t>
  </si>
  <si>
    <t>Lắp đặt cáp vặn xoắn 2 x 95 mm2</t>
  </si>
  <si>
    <t>Lắp đặt cáp vặn xoắn 2 x 120 mm2</t>
  </si>
  <si>
    <t>MCCB - 3P - 600V - 400A</t>
  </si>
  <si>
    <t>MCCB - 3P - 600V - 630A (đặt 550A)</t>
  </si>
  <si>
    <t>MCCB - 3P - 600V - 630A</t>
  </si>
  <si>
    <t>lực (kgf)</t>
  </si>
  <si>
    <t>10A</t>
  </si>
  <si>
    <t>10B</t>
  </si>
  <si>
    <t>10C</t>
  </si>
  <si>
    <t>12A</t>
  </si>
  <si>
    <t>12B</t>
  </si>
  <si>
    <t>12C</t>
  </si>
  <si>
    <t>14A</t>
  </si>
  <si>
    <t>14B</t>
  </si>
  <si>
    <t>14C</t>
  </si>
  <si>
    <t>20B</t>
  </si>
  <si>
    <t>20C</t>
  </si>
  <si>
    <t>20D</t>
  </si>
  <si>
    <t>ĐK trụ</t>
  </si>
  <si>
    <t>kiểu trụ</t>
  </si>
  <si>
    <t>10,5m</t>
  </si>
  <si>
    <t>12m</t>
  </si>
  <si>
    <t>14m</t>
  </si>
  <si>
    <t>20m</t>
  </si>
  <si>
    <t>&gt;</t>
  </si>
  <si>
    <t>MCCB - 3P - 600V - 1000A</t>
  </si>
  <si>
    <t>ACB - 3P - 600V - 1600A</t>
  </si>
  <si>
    <t>ACB - 3P - 600V - 2000A</t>
  </si>
  <si>
    <t>ACB - 3P - 600V - 2500A</t>
  </si>
  <si>
    <t>CÔNG TY ĐIỆN LỰC HẬU GIANG</t>
  </si>
  <si>
    <t>TỔNG CÔNG TY ĐIỆN LỰC MIỀN NAM</t>
  </si>
  <si>
    <r>
      <t>α</t>
    </r>
    <r>
      <rPr>
        <sz val="16.899999999999999"/>
        <rFont val="Times New Roman"/>
        <family val="1"/>
      </rPr>
      <t xml:space="preserve"> . </t>
    </r>
    <r>
      <rPr>
        <sz val="13"/>
        <rFont val="Times New Roman"/>
        <family val="1"/>
      </rPr>
      <t>I</t>
    </r>
    <r>
      <rPr>
        <vertAlign val="subscript"/>
        <sz val="13"/>
        <rFont val="Times New Roman"/>
        <family val="1"/>
      </rPr>
      <t>N</t>
    </r>
    <r>
      <rPr>
        <sz val="13"/>
        <rFont val="Times New Roman"/>
        <family val="1"/>
      </rPr>
      <t xml:space="preserve"> . </t>
    </r>
  </si>
  <si>
    <t>t</t>
  </si>
  <si>
    <t>* Vậy chọn dây dẫn là hợp lý</t>
  </si>
  <si>
    <r>
      <t>DP</t>
    </r>
    <r>
      <rPr>
        <vertAlign val="subscript"/>
        <sz val="13"/>
        <rFont val="Times New Roman"/>
        <family val="1"/>
      </rPr>
      <t>N</t>
    </r>
  </si>
  <si>
    <t>QĐ 79/QĐ-BXD 15/02/2017 Công trình Công nghiệp cấp III Tùy theo yêu cầu thiết kế 01 bước; 02 bước hoặc 03 bước</t>
  </si>
  <si>
    <t>Bảng 1, trang 7, quyết định số 79/QĐ-BXD ngày 15/02/2017 thuộc Công trình Công nghiệp</t>
  </si>
  <si>
    <t>Phụ lục số 2: Phí thẩm tra thiết kế xây dựng công trình sử dụng vốn ngân sách nhà nước khi cơ quan quản lý nhà nước thuê tổ chức tư vấn, cá nhân cùng thẩm tra</t>
  </si>
  <si>
    <t>2.1</t>
  </si>
  <si>
    <t>2.4</t>
  </si>
  <si>
    <t>2.5</t>
  </si>
  <si>
    <t>Phụ lục số 3: Phí thẩm tra thiết kế xây dựng công trình sử dụng nguồn vốn khác</t>
  </si>
  <si>
    <t>3.1</t>
  </si>
  <si>
    <t>3.4</t>
  </si>
  <si>
    <t>3.5</t>
  </si>
  <si>
    <t>TTTK75$</t>
  </si>
  <si>
    <t>2. Phí thẩm tra dự toán</t>
  </si>
  <si>
    <t>TTDT75^</t>
  </si>
  <si>
    <t>theo các quy định hiện hành của Nhà nước và các quy trình quy phạm chuyên ngành khác, cụ thể.</t>
  </si>
  <si>
    <t>Nhận hồ sơ KH</t>
  </si>
  <si>
    <t>Cáp ngầm 1 pha 0,6/1kV CXV/DSTA 2x2,5</t>
  </si>
  <si>
    <t>KV002</t>
  </si>
  <si>
    <t>Kẹp treo cáp ABC 4x25 góc ≤ 60 độ</t>
  </si>
  <si>
    <t>PC002</t>
  </si>
  <si>
    <t>Lắp tụ bù trong tủ 0,4kV</t>
  </si>
  <si>
    <t>02.8504b</t>
  </si>
  <si>
    <t>02.8505b</t>
  </si>
  <si>
    <t>100KVar</t>
  </si>
  <si>
    <t>10KVar</t>
  </si>
  <si>
    <t>02.8504c</t>
  </si>
  <si>
    <t>02.8505c</t>
  </si>
  <si>
    <t>RC003</t>
  </si>
  <si>
    <t>Kẹp 2 rãnh song song cho dây nhôm 120-170</t>
  </si>
  <si>
    <t>RC004</t>
  </si>
  <si>
    <t>Kẹp 2 rãnh song song cho dây nhôm 185-240</t>
  </si>
  <si>
    <t>TỔNG HỢP</t>
  </si>
  <si>
    <t>0293.3504.979</t>
  </si>
  <si>
    <t>0293.3876.812</t>
  </si>
  <si>
    <t>Kẹp rẽ nhánh WR 70-95 / 25-50</t>
  </si>
  <si>
    <t>HS KS</t>
  </si>
  <si>
    <t>MBA 3 pha 22/0,4kV 800kVA</t>
  </si>
  <si>
    <t>AD012</t>
  </si>
  <si>
    <t>MBA 3 pha 22/0,4kV 1000kVA</t>
  </si>
  <si>
    <t>AD013</t>
  </si>
  <si>
    <t>7,957,054,446 (13.12.2018)</t>
  </si>
  <si>
    <t>dây chì 25K</t>
  </si>
  <si>
    <t>dây chì 30K</t>
  </si>
  <si>
    <t>dây chì 40K</t>
  </si>
  <si>
    <t>dây chì 45K</t>
  </si>
  <si>
    <t>dây chì 50K</t>
  </si>
  <si>
    <t>dây chì 60K</t>
  </si>
  <si>
    <t>dây chì 75K</t>
  </si>
  <si>
    <t>dây chì 80K</t>
  </si>
  <si>
    <t>dây chì 100K</t>
  </si>
  <si>
    <t>dây chì 200K</t>
  </si>
  <si>
    <t>chì ống trung áp 24kV - 16A</t>
  </si>
  <si>
    <t>Số
TT</t>
  </si>
  <si>
    <t>MSDĐ</t>
  </si>
  <si>
    <t>V/c cáp bằng thủ công (&gt;500m)</t>
  </si>
  <si>
    <t>V/c đà cản bằng thủ công</t>
  </si>
  <si>
    <t>V/c đà cản bằng thủ công (&gt;500m)</t>
  </si>
  <si>
    <t>Ống nối căng cho dây nhôm trần lõi thép 35/6,2</t>
  </si>
  <si>
    <t>OD001</t>
  </si>
  <si>
    <t>Ống nối căng cho dây nhôm trần lõi thép 50</t>
  </si>
  <si>
    <t>OD002</t>
  </si>
  <si>
    <t>Người ký thiết kế</t>
  </si>
  <si>
    <t>Người ký Chủ trì</t>
  </si>
  <si>
    <t>CÔNG TRÌNH:</t>
  </si>
  <si>
    <t>ĐỊA ĐIỂM:</t>
  </si>
  <si>
    <t>PTP.KHKTVT</t>
  </si>
  <si>
    <t>Bằng chữ:</t>
  </si>
  <si>
    <t>Nhà máy xay xát Nguyễn Văn A</t>
  </si>
  <si>
    <t>Ống nối bọc cách điện 70-70</t>
  </si>
  <si>
    <t>Ống nối bọc cách điện 95-70</t>
  </si>
  <si>
    <t>Ống nối bọc cách điện 95-95</t>
  </si>
  <si>
    <t>Ống nối bọc cách điện 120-95</t>
  </si>
  <si>
    <t>Ống nối bọc cách điện 120-120</t>
  </si>
  <si>
    <t>Ống nối bọc cách điện 150-120</t>
  </si>
  <si>
    <t>Ống nối bọc cách điện 150-150</t>
  </si>
  <si>
    <t>Kẹp treo cáp ABC 4x16</t>
  </si>
  <si>
    <t xml:space="preserve">Kẹp treo cáp ABC 4x25 </t>
  </si>
  <si>
    <t>Kẹp treo cáp ABC 4x35</t>
  </si>
  <si>
    <t>Cáp ngầm 1 pha 0,6/1kV CXV/DSTA 2x70</t>
  </si>
  <si>
    <t>KV011</t>
  </si>
  <si>
    <t>Cáp ngầm 1 pha 0,6/1kV CXV/DSTA 2x95</t>
  </si>
  <si>
    <t>KV012</t>
  </si>
  <si>
    <t>Móng M10ba</t>
  </si>
  <si>
    <t>Móng M8a</t>
  </si>
  <si>
    <t>Chằng xuống trụ hạ áp</t>
  </si>
  <si>
    <t>Chằng hẹp trụ hạ áp</t>
  </si>
  <si>
    <t xml:space="preserve">Bù lon mạ kẽm VRS 16x400 </t>
  </si>
  <si>
    <t xml:space="preserve">Bù lon mạ kẽm VRS 16x600 </t>
  </si>
  <si>
    <t>IM000</t>
  </si>
  <si>
    <t>Collier sắt dẹt 40x4 ĐK270 giữ ống ĐK90</t>
  </si>
  <si>
    <t>IM001</t>
  </si>
  <si>
    <t>Collier sắt dẹt 40x4 ĐK290 giữ ống ĐK90</t>
  </si>
  <si>
    <t>IM002</t>
  </si>
  <si>
    <t>Collier sắt dẹt 40x4 ĐK310 giữ ống ĐK90</t>
  </si>
  <si>
    <t>IN000</t>
  </si>
  <si>
    <t>MHĐM</t>
  </si>
  <si>
    <t>Trọn bộ</t>
  </si>
  <si>
    <t>Bảng II.2.1</t>
  </si>
  <si>
    <t>GIẤY XÁC NHẬN CÔNG VIỆC HOÀN THÀNH</t>
  </si>
  <si>
    <t>DUYỆT</t>
  </si>
  <si>
    <t>THÁNG 8</t>
  </si>
  <si>
    <t>HỌ VÀ TÊN</t>
  </si>
  <si>
    <t>Nhân công</t>
  </si>
  <si>
    <t>V/c đá dăm bằng thủ công ( ≤ 300m)</t>
  </si>
  <si>
    <t>Dây nhôm chống thấm bọc XLPE 24kV 150</t>
  </si>
  <si>
    <t>CHI PHÍ MUA SẮM VẬT LIỆU</t>
  </si>
  <si>
    <t>- Bên A đã tạm ứng cho bên B</t>
  </si>
  <si>
    <t>QUYẾT  ĐỊNH</t>
  </si>
  <si>
    <t>LB001</t>
  </si>
  <si>
    <t>LB002</t>
  </si>
  <si>
    <t>Sứ treo POLYME</t>
  </si>
  <si>
    <t>liên sở TC-XD 21/07/2008</t>
  </si>
  <si>
    <t>LC001</t>
  </si>
  <si>
    <t>Sứ treo thủy tinh 70</t>
  </si>
  <si>
    <r>
      <t>a/ Lực căng dây lớn nhất tác dụng lên trụ (xét điển hình góc 45</t>
    </r>
    <r>
      <rPr>
        <b/>
        <vertAlign val="superscript"/>
        <sz val="13"/>
        <rFont val="Times New Roman"/>
        <family val="1"/>
      </rPr>
      <t>o</t>
    </r>
    <r>
      <rPr>
        <b/>
        <sz val="13"/>
        <rFont val="Times New Roman"/>
        <family val="1"/>
      </rPr>
      <t>)</t>
    </r>
  </si>
  <si>
    <r>
      <t>T</t>
    </r>
    <r>
      <rPr>
        <vertAlign val="subscript"/>
        <sz val="13"/>
        <rFont val="Times New Roman"/>
        <family val="1"/>
      </rPr>
      <t>pha</t>
    </r>
  </si>
  <si>
    <r>
      <t>cos 45</t>
    </r>
    <r>
      <rPr>
        <vertAlign val="superscript"/>
        <sz val="13"/>
        <rFont val="Times New Roman"/>
        <family val="1"/>
      </rPr>
      <t>o</t>
    </r>
  </si>
  <si>
    <r>
      <t>T</t>
    </r>
    <r>
      <rPr>
        <vertAlign val="subscript"/>
        <sz val="13"/>
        <rFont val="Times New Roman"/>
        <family val="1"/>
      </rPr>
      <t>TH</t>
    </r>
  </si>
  <si>
    <r>
      <t>σ</t>
    </r>
    <r>
      <rPr>
        <vertAlign val="subscript"/>
        <sz val="13"/>
        <rFont val="Times New Roman"/>
        <family val="1"/>
      </rPr>
      <t>max</t>
    </r>
    <r>
      <rPr>
        <sz val="13"/>
        <rFont val="Times New Roman"/>
        <family val="1"/>
      </rPr>
      <t>F</t>
    </r>
    <r>
      <rPr>
        <vertAlign val="subscript"/>
        <sz val="13"/>
        <rFont val="Times New Roman"/>
        <family val="1"/>
      </rPr>
      <t>d-pha</t>
    </r>
  </si>
  <si>
    <r>
      <t>σ</t>
    </r>
    <r>
      <rPr>
        <vertAlign val="subscript"/>
        <sz val="13"/>
        <rFont val="Times New Roman"/>
        <family val="1"/>
      </rPr>
      <t>max</t>
    </r>
    <r>
      <rPr>
        <sz val="13"/>
        <rFont val="Times New Roman"/>
        <family val="1"/>
      </rPr>
      <t>F</t>
    </r>
    <r>
      <rPr>
        <vertAlign val="subscript"/>
        <sz val="13"/>
        <rFont val="Times New Roman"/>
        <family val="1"/>
      </rPr>
      <t>d-TH</t>
    </r>
  </si>
  <si>
    <t>[N]</t>
  </si>
  <si>
    <t>Phụ lục VII.8
Thiết kế cấp điện - trang 320</t>
  </si>
  <si>
    <t>Tên đất</t>
  </si>
  <si>
    <t>Đất sét và đất cát ngấm nước</t>
  </si>
  <si>
    <t>Đất sét và đất cát ẩm tự nhiên</t>
  </si>
  <si>
    <t>Cáp ngầm 3 pha 0,6/1kV CXV/DSTA 4x16</t>
  </si>
  <si>
    <t>KV037</t>
  </si>
  <si>
    <t>04.4101</t>
  </si>
  <si>
    <t>04.4102</t>
  </si>
  <si>
    <t>Lắp đặt thanh cái ống đường kính ≤ 80</t>
  </si>
  <si>
    <t>Lắp đặt thanh cái ống đường kính ≤ 100</t>
  </si>
  <si>
    <t>Lắp đặt thanh cái ống đường kính ≤ 150</t>
  </si>
  <si>
    <t>Sứ đứng 24kV</t>
  </si>
  <si>
    <t>LA001</t>
  </si>
  <si>
    <t>Lắp đặt dao cách ly 1 pha ngoài trời ≤35kV</t>
  </si>
  <si>
    <t>Kẹp treo cáp ABC 4x35 góc ≤ 60 độ</t>
  </si>
  <si>
    <t>PC003</t>
  </si>
  <si>
    <t>Kẹp treo cáp ABC 4x50 góc ≤ 60 độ</t>
  </si>
  <si>
    <t>PC004</t>
  </si>
  <si>
    <t>Kẹp treo cáp ABC 4x70 góc ≤ 60 độ</t>
  </si>
  <si>
    <t>PC005</t>
  </si>
  <si>
    <t>Kẹp treo cáp ABC 4x95 góc ≤ 60 độ</t>
  </si>
  <si>
    <t>PC006</t>
  </si>
  <si>
    <t>05.3205</t>
  </si>
  <si>
    <t>Lắp cáp treo trên dây cáp ≤1kg/m</t>
  </si>
  <si>
    <t>Lắp cáp treo trên dây cáp ≤2kg/m</t>
  </si>
  <si>
    <t xml:space="preserve">  Chi phí thẩm tra và phê duyệt quyết toán</t>
  </si>
  <si>
    <t xml:space="preserve">  Chi phí kiểm toán</t>
  </si>
  <si>
    <t>Chì ống trung áp 24kV - 16A</t>
  </si>
  <si>
    <t>ống</t>
  </si>
  <si>
    <t>Bảo vệ hạ áp</t>
  </si>
  <si>
    <t>03.1208</t>
  </si>
  <si>
    <t>03.1209</t>
  </si>
  <si>
    <t>Cáp ngầm 3 pha 0,6/1kV CXV/DSTA 3x240+1x150</t>
  </si>
  <si>
    <t>KV060</t>
  </si>
  <si>
    <t>Cáp ngầm 3 pha 0,6/1kV CXV/DSTA 3x240+1x185</t>
  </si>
  <si>
    <t>Cáp ngầm 3 pha 24kV CXV/DSTA/PVC 3x25</t>
  </si>
  <si>
    <t>Cáp ngầm 3 pha 24kV CXV/DSTA/PVC 3x35</t>
  </si>
  <si>
    <t>Lắp đặt cáp vặn xoắn 4 x 120 mm2</t>
  </si>
  <si>
    <t>Lắp đặt cáp vặn xoắn 4 x 150 mm2</t>
  </si>
  <si>
    <t>Lắp đặt cáp vặn xoắn 2 x 16 mm2</t>
  </si>
  <si>
    <r>
      <t xml:space="preserve">Điều 4. </t>
    </r>
    <r>
      <rPr>
        <sz val="12"/>
        <rFont val="Times New Roman"/>
        <family val="1"/>
      </rPr>
      <t>Giá trị hợp đồng (Tạm tính):</t>
    </r>
  </si>
  <si>
    <r>
      <t xml:space="preserve">Điều 6. </t>
    </r>
    <r>
      <rPr>
        <sz val="12"/>
        <rFont val="Times New Roman"/>
        <family val="1"/>
      </rPr>
      <t>Tranh chấp và giải quyết tranh chấp:</t>
    </r>
  </si>
  <si>
    <t>-  Trong trường hợp xảy ra tranh chấp, các bên phải có trách nhiệm thương lượng giải quyết.</t>
  </si>
  <si>
    <t>: Khảo sát tuyến, không vẽ mặt cắt dọc</t>
  </si>
  <si>
    <t>HẠNG MỤC: ĐƯỜNG DÂY TRUNG ÁP</t>
  </si>
  <si>
    <t>HẠNG MỤC: ĐƯỜNG DÂY HẠ ÁP</t>
  </si>
  <si>
    <t>HẠNG MỤC: TRẠM BIẾN ÁP</t>
  </si>
  <si>
    <t>07.1115</t>
  </si>
  <si>
    <t>07.1116</t>
  </si>
  <si>
    <t>07.1120</t>
  </si>
  <si>
    <t>Tháo dây bằng TC ≤AV50mm²</t>
  </si>
  <si>
    <t>Cáp ngầm 3 pha 0,6/1kV CXV/DSTA 4x240</t>
  </si>
  <si>
    <t>KV046</t>
  </si>
  <si>
    <t>Cáp ngầm 3 pha 0,6/1kV CXV/DSTA 3x4+1x2,5</t>
  </si>
  <si>
    <t>KV047</t>
  </si>
  <si>
    <t>07.6006</t>
  </si>
  <si>
    <t>Tổng số tiền (viết bằng chữ):</t>
  </si>
  <si>
    <t>Người nhận việc</t>
  </si>
  <si>
    <t>Nguyễn Viết Thọ</t>
  </si>
  <si>
    <t>Đơn vị : Phòng Kế Hoạch Kỹ Thuật Vật Tư</t>
  </si>
  <si>
    <t>Công trình  :</t>
  </si>
  <si>
    <t>Địa điểm :</t>
  </si>
  <si>
    <t>Phụ trách chấm công</t>
  </si>
  <si>
    <t>Cáp 3x6 đỏ trắng đen</t>
  </si>
  <si>
    <t>KK011</t>
  </si>
  <si>
    <t>Cáp Muller CVV2x(2x3,5) Vàng Trắng Đen</t>
  </si>
  <si>
    <t>KK012</t>
  </si>
  <si>
    <t>BIÊN BẢN THANH LÝ HỢP ĐỒNG</t>
  </si>
  <si>
    <t>CHI PHÍ TƯ VẤN</t>
  </si>
  <si>
    <r>
      <t>G</t>
    </r>
    <r>
      <rPr>
        <b/>
        <vertAlign val="subscript"/>
        <sz val="10"/>
        <color indexed="10"/>
        <rFont val="Times New Roman"/>
        <family val="1"/>
      </rPr>
      <t>QLDA</t>
    </r>
  </si>
  <si>
    <r>
      <t>G</t>
    </r>
    <r>
      <rPr>
        <b/>
        <vertAlign val="subscript"/>
        <sz val="10"/>
        <color indexed="10"/>
        <rFont val="Times New Roman"/>
        <family val="1"/>
      </rPr>
      <t>TV</t>
    </r>
  </si>
  <si>
    <t>Lắp máy biến áp 1 pha</t>
  </si>
  <si>
    <t>Thành phần chi phí</t>
  </si>
  <si>
    <t>IF003</t>
  </si>
  <si>
    <t>MCCB - 3 pha 600V - 630A (đặt 550A)</t>
  </si>
  <si>
    <t>DB006</t>
  </si>
  <si>
    <t>Lắp đặt cáp trên dây thép ≤ 10,5kg/m</t>
  </si>
  <si>
    <r>
      <t>Điều 3 :</t>
    </r>
    <r>
      <rPr>
        <sz val="10"/>
        <rFont val="Times New Roman"/>
        <family val="1"/>
      </rPr>
      <t xml:space="preserve"> Thời gian thực hiện :</t>
    </r>
  </si>
  <si>
    <t>Điều 5:</t>
  </si>
  <si>
    <t>- Trạm biến áp :</t>
  </si>
  <si>
    <t>22/0,4kV - 3x15</t>
  </si>
  <si>
    <t>22/0,4kV - 3x25</t>
  </si>
  <si>
    <t>22/0,4kV - 3x37,5</t>
  </si>
  <si>
    <t>22/0,4kV - 3x50</t>
  </si>
  <si>
    <t>22/0,4kV - 160</t>
  </si>
  <si>
    <t>22/0,4kV - 250</t>
  </si>
  <si>
    <t>22/0,4kV - 320</t>
  </si>
  <si>
    <t>22/0,4kV - 400</t>
  </si>
  <si>
    <t>22/0,4kV - 560</t>
  </si>
  <si>
    <t>22/0,4kV - 630</t>
  </si>
  <si>
    <t>22/0,4kV - 750</t>
  </si>
  <si>
    <t>KL005a</t>
  </si>
  <si>
    <t>Cáp nhôm ABC bọc XLPE 0,6/1kV 3x95</t>
  </si>
  <si>
    <t>KL006a</t>
  </si>
  <si>
    <t xml:space="preserve">    Căn cứ Thông tư số: 08/2011/TT-BXD ngày 28/6/2011 của Bộ xây dựng về việc hướng dẫn </t>
  </si>
  <si>
    <t>CHỦ CƠ SỞ</t>
  </si>
  <si>
    <t>Công ty Điện lực Hậu Giang</t>
  </si>
  <si>
    <t>RG012</t>
  </si>
  <si>
    <t>viên</t>
  </si>
  <si>
    <t>ĐẠI DIỆN BÊN B</t>
  </si>
  <si>
    <t>Dựng trụ thép đã lắp ≤ 45m, thủ công</t>
  </si>
  <si>
    <t>05.5801</t>
  </si>
  <si>
    <t>05.5901</t>
  </si>
  <si>
    <t>05.5202</t>
  </si>
  <si>
    <t>Cáp ngầm 3 pha 24kV CXV/Sehh/DSTA/PVC 3x185</t>
  </si>
  <si>
    <t>24kV 2,5-5/5A</t>
  </si>
  <si>
    <t>24kV 5-10/5A</t>
  </si>
  <si>
    <t>24kV 10-20/5A</t>
  </si>
  <si>
    <t>24kV 15-30/5A</t>
  </si>
  <si>
    <t>24kV 20-40/5A</t>
  </si>
  <si>
    <t>24kV 50-100/5A</t>
  </si>
  <si>
    <t>Hai bên cam kết thực hiện tốt các điều khoản đã thỏa thuận trong hợp đồng.</t>
  </si>
  <si>
    <t xml:space="preserve">10.3.  </t>
  </si>
  <si>
    <t>Cấp điện áp</t>
  </si>
  <si>
    <t>a</t>
  </si>
  <si>
    <r>
      <t>g</t>
    </r>
    <r>
      <rPr>
        <vertAlign val="subscript"/>
        <sz val="13"/>
        <rFont val="Times New Roman"/>
        <family val="1"/>
      </rPr>
      <t>1</t>
    </r>
  </si>
  <si>
    <r>
      <t>g</t>
    </r>
    <r>
      <rPr>
        <vertAlign val="subscript"/>
        <sz val="13"/>
        <rFont val="Times New Roman"/>
        <family val="1"/>
      </rPr>
      <t>2</t>
    </r>
  </si>
  <si>
    <r>
      <t>g</t>
    </r>
    <r>
      <rPr>
        <vertAlign val="subscript"/>
        <sz val="13"/>
        <rFont val="Times New Roman"/>
        <family val="1"/>
      </rPr>
      <t>3</t>
    </r>
  </si>
  <si>
    <r>
      <t>cosφ</t>
    </r>
    <r>
      <rPr>
        <vertAlign val="subscript"/>
        <sz val="13"/>
        <rFont val="Times New Roman"/>
        <family val="1"/>
      </rPr>
      <t>1</t>
    </r>
  </si>
  <si>
    <t>Độ võng cho phép đối với cột chôn trong đất</t>
  </si>
  <si>
    <t>Ống nối ép cho dây nhôm trần lõi thép 240</t>
  </si>
  <si>
    <t>OE000</t>
  </si>
  <si>
    <t>OE001</t>
  </si>
  <si>
    <t>OE002</t>
  </si>
  <si>
    <t>OE003</t>
  </si>
  <si>
    <t>; hệ số  điều chỉnh nhiệt độ ứng với môi trường đặt cáp.</t>
  </si>
  <si>
    <r>
      <t>k</t>
    </r>
    <r>
      <rPr>
        <vertAlign val="subscript"/>
        <sz val="13"/>
        <rFont val="Times New Roman"/>
        <family val="1"/>
      </rPr>
      <t>2</t>
    </r>
  </si>
  <si>
    <t>; hệ số  điều chỉnh nhiệt độ ứng với số lượng cáp đi chung.</t>
  </si>
  <si>
    <r>
      <t>I</t>
    </r>
    <r>
      <rPr>
        <vertAlign val="subscript"/>
        <sz val="13"/>
        <rFont val="Times New Roman"/>
        <family val="1"/>
      </rPr>
      <t xml:space="preserve">cp </t>
    </r>
    <r>
      <rPr>
        <sz val="13"/>
        <rFont val="Times New Roman"/>
        <family val="1"/>
      </rPr>
      <t>; dòng điện lâu dài cho phép của dây dẫn định chọn.</t>
    </r>
  </si>
  <si>
    <t>Chọn cáp đồng bọc:</t>
  </si>
  <si>
    <r>
      <t>I</t>
    </r>
    <r>
      <rPr>
        <vertAlign val="subscript"/>
        <sz val="13"/>
        <rFont val="Times New Roman"/>
        <family val="1"/>
      </rPr>
      <t>cp</t>
    </r>
    <r>
      <rPr>
        <sz val="13"/>
        <rFont val="Times New Roman"/>
        <family val="1"/>
      </rPr>
      <t xml:space="preserve"> =</t>
    </r>
  </si>
  <si>
    <t>V/c cáp bằng thủ công (≤500m)</t>
  </si>
  <si>
    <t>V/c đà cản bằng thủ công (≤100m)</t>
  </si>
  <si>
    <t>V/c đà cản bằng thủ công (≤300m)</t>
  </si>
  <si>
    <t>V/c đà cản bằng thủ công (≤500m)</t>
  </si>
  <si>
    <t>MBA 1 pha 8,6(12,7)/0,22-0,44kV 15kVA</t>
  </si>
  <si>
    <t>AA002</t>
  </si>
  <si>
    <t>V/c gỗ ván cốt pha bằng thủ công (≤ 100m)</t>
  </si>
  <si>
    <t>02.1123</t>
  </si>
  <si>
    <t>V/c gỗ ván cốt pha bằng thủ công (≤ 300m)</t>
  </si>
  <si>
    <t>V/c gỗ ván cốt pha bằng thủ công (≤ 500m)</t>
  </si>
  <si>
    <t>V/c gỗ ván cốt pha bằng thủ công (&gt; 500m)</t>
  </si>
  <si>
    <t>V/c gạch chỉ bằng thủ công</t>
  </si>
  <si>
    <t>02.1172</t>
  </si>
  <si>
    <t>V/c gạch chỉ bằng thủ công (≤ 100m)</t>
  </si>
  <si>
    <t>02.1173</t>
  </si>
  <si>
    <t>V/c gạch chỉ bằng thủ công (≤ 300m)</t>
  </si>
  <si>
    <t>02.1174</t>
  </si>
  <si>
    <r>
      <t>Trụ 8,5m ghép - Móng BT M200 (1x0,8x0,8)m</t>
    </r>
    <r>
      <rPr>
        <b/>
        <vertAlign val="superscript"/>
        <sz val="10"/>
        <rFont val="Times New Roman"/>
        <family val="1"/>
      </rPr>
      <t>3</t>
    </r>
  </si>
  <si>
    <r>
      <t>Trụ 8,5m - Móng BT M200 (0,8x0,8x0,8)m</t>
    </r>
    <r>
      <rPr>
        <b/>
        <vertAlign val="superscript"/>
        <sz val="10"/>
        <rFont val="Times New Roman"/>
        <family val="1"/>
      </rPr>
      <t>3</t>
    </r>
  </si>
  <si>
    <t>Bùlon mạ kẽm 12x40</t>
  </si>
  <si>
    <t>QD001</t>
  </si>
  <si>
    <t>Bù lon mạ kẽm 12x50</t>
  </si>
  <si>
    <t>QD002</t>
  </si>
  <si>
    <t>1,03 .</t>
  </si>
  <si>
    <t>1. Đường số 3A (phải)</t>
  </si>
  <si>
    <t>56A/46/1</t>
  </si>
  <si>
    <t>56A/46/2</t>
  </si>
  <si>
    <t>56A/46/3</t>
  </si>
  <si>
    <t>56A/46/4</t>
  </si>
  <si>
    <t>56A/46/5</t>
  </si>
  <si>
    <t>56A/46/6</t>
  </si>
  <si>
    <t>56A/46/7</t>
  </si>
  <si>
    <t>56A/46/8</t>
  </si>
  <si>
    <t>56A/46/9</t>
  </si>
  <si>
    <t>56A/46/10</t>
  </si>
  <si>
    <t>56A/46/11</t>
  </si>
  <si>
    <t>56A/46/12</t>
  </si>
  <si>
    <t>56A/46/13</t>
  </si>
  <si>
    <t>56A/46/14</t>
  </si>
  <si>
    <t>56A/46/15</t>
  </si>
  <si>
    <t>56A/46/16</t>
  </si>
  <si>
    <t>56A/46/17</t>
  </si>
  <si>
    <t>56A/46/18</t>
  </si>
  <si>
    <t>56A/46/19</t>
  </si>
  <si>
    <t>56A/46/20</t>
  </si>
  <si>
    <t>56A/46/4A</t>
  </si>
  <si>
    <t>56A/46/8A</t>
  </si>
  <si>
    <t>Làm, lắp đầu cáp hạ áp 3 pha ≤ 400mm2</t>
  </si>
  <si>
    <t>BTLT 14m</t>
  </si>
  <si>
    <t>BTLT 20m</t>
  </si>
  <si>
    <t>RG004</t>
  </si>
  <si>
    <r>
      <t>G</t>
    </r>
    <r>
      <rPr>
        <vertAlign val="subscript"/>
        <sz val="10"/>
        <rFont val="Times New Roman"/>
        <family val="1"/>
      </rPr>
      <t>MTTB</t>
    </r>
  </si>
  <si>
    <r>
      <t>G</t>
    </r>
    <r>
      <rPr>
        <vertAlign val="subscript"/>
        <sz val="10"/>
        <rFont val="Times New Roman"/>
        <family val="1"/>
      </rPr>
      <t>GSXD</t>
    </r>
  </si>
  <si>
    <r>
      <t>G</t>
    </r>
    <r>
      <rPr>
        <vertAlign val="subscript"/>
        <sz val="10"/>
        <rFont val="Times New Roman"/>
        <family val="1"/>
      </rPr>
      <t>GSTB</t>
    </r>
  </si>
  <si>
    <r>
      <t>G</t>
    </r>
    <r>
      <rPr>
        <vertAlign val="subscript"/>
        <sz val="10"/>
        <rFont val="Times New Roman"/>
        <family val="1"/>
      </rPr>
      <t>KTKT</t>
    </r>
  </si>
  <si>
    <r>
      <t>G</t>
    </r>
    <r>
      <rPr>
        <vertAlign val="subscript"/>
        <sz val="10"/>
        <rFont val="Times New Roman"/>
        <family val="1"/>
      </rPr>
      <t>BH</t>
    </r>
  </si>
  <si>
    <r>
      <t>G</t>
    </r>
    <r>
      <rPr>
        <vertAlign val="subscript"/>
        <sz val="10"/>
        <rFont val="Times New Roman"/>
        <family val="1"/>
      </rPr>
      <t>TT-PD</t>
    </r>
  </si>
  <si>
    <r>
      <t>G</t>
    </r>
    <r>
      <rPr>
        <vertAlign val="subscript"/>
        <sz val="10"/>
        <rFont val="Times New Roman"/>
        <family val="1"/>
      </rPr>
      <t>KT</t>
    </r>
  </si>
  <si>
    <t>Ống nối căng cho dây đồng 150mm2</t>
  </si>
  <si>
    <t>OD000</t>
  </si>
  <si>
    <t>Bảng gỗ 50x100</t>
  </si>
  <si>
    <t xml:space="preserve">Điều 4 : </t>
  </si>
  <si>
    <t>TK</t>
  </si>
  <si>
    <t>------o0o------</t>
  </si>
  <si>
    <t>m</t>
  </si>
  <si>
    <t>10.1.</t>
  </si>
  <si>
    <t>10.2.</t>
  </si>
  <si>
    <t>a/</t>
  </si>
  <si>
    <t>b/</t>
  </si>
  <si>
    <t>c/</t>
  </si>
  <si>
    <t>Điện kế 3 pha 5A 120/208V vô công</t>
  </si>
  <si>
    <t>BH000</t>
  </si>
  <si>
    <t>Bù lon mạ kẽm 16x550</t>
  </si>
  <si>
    <t>QF011</t>
  </si>
  <si>
    <t xml:space="preserve">Bù lon mạ kẽm 16x600 </t>
  </si>
  <si>
    <t>QF012</t>
  </si>
  <si>
    <t>Bù lon mạ kẽm 16x650</t>
  </si>
  <si>
    <t>QF013</t>
  </si>
  <si>
    <t>Bù lon mạ kẽm 16x700</t>
  </si>
  <si>
    <t>QF014</t>
  </si>
  <si>
    <t>Bù lon mạ kẽm 16x750</t>
  </si>
  <si>
    <t>Chủng loại ĐDHA</t>
  </si>
  <si>
    <t>1 pha 3 dây 0,22/0,44kV</t>
  </si>
  <si>
    <t>1 pha 2 dây 0,22kV</t>
  </si>
  <si>
    <t>3 pha 4 dây 0,22/0,38kV</t>
  </si>
  <si>
    <t>b/ Thanh lý hợp đồng :</t>
  </si>
  <si>
    <t>- Giá trị hợp đồng</t>
  </si>
  <si>
    <t>- Giá trị thanh lý</t>
  </si>
  <si>
    <t xml:space="preserve">- Bên A đã tạm ứng cho bên B </t>
  </si>
  <si>
    <t>-  Sau khi ký hợp đồng bên A tạm ứng cho bên B 90% giá trị hợp đồng:</t>
  </si>
  <si>
    <t>7.2 Thanh toán hợp đồng :</t>
  </si>
  <si>
    <t>Lắp đặt thanh cái dẹt kích thước 120x10</t>
  </si>
  <si>
    <t>04.5201</t>
  </si>
  <si>
    <t>04.5202</t>
  </si>
  <si>
    <t>04.5203</t>
  </si>
  <si>
    <t>04.5204</t>
  </si>
  <si>
    <t>03.1102</t>
  </si>
  <si>
    <t>03.1103</t>
  </si>
  <si>
    <t>03.1104</t>
  </si>
  <si>
    <t>V/c đà bằng thủ công ( ≤ 300m)</t>
  </si>
  <si>
    <t>Thanh chống sắt L60x60x6 dài 2,65m</t>
  </si>
  <si>
    <t>Uclevis</t>
  </si>
  <si>
    <t>IH001</t>
  </si>
  <si>
    <t>Rack 2 (không sứ)</t>
  </si>
  <si>
    <t>IH002</t>
  </si>
  <si>
    <t>Lắp dựng trụ thép cao ≤40m, TC</t>
  </si>
  <si>
    <t>Lắp dựng trụ thép cao ≤50m, TC</t>
  </si>
  <si>
    <t>Lắp dựng trụ thép cao ≤60m, TC</t>
  </si>
  <si>
    <t>Lắp tủ bảo vệ đường dâyy, tụ bù ≤ 35kV</t>
  </si>
  <si>
    <t>Lắp đặt tủ đo lường cấp điện áp ≤ 35kV</t>
  </si>
  <si>
    <t>05.3301</t>
  </si>
  <si>
    <t>thẩm tra, thẩm định và thời gian phê duyệt BC KT-KT.</t>
  </si>
  <si>
    <t>LẮP ĐẶT CÁC LOẠI DÂY DẪN XUỐNG THIẾT BỊ</t>
  </si>
  <si>
    <t>04.4105</t>
  </si>
  <si>
    <t>04.4106</t>
  </si>
  <si>
    <t>Dựng trụ thép ống ≤ 45m, cẩu 10T</t>
  </si>
  <si>
    <t>Dựng trụ thép ống ≤ 50m, cẩu 10T</t>
  </si>
  <si>
    <t>Nối mặt bích trụ BT, địa hình sình lầy</t>
  </si>
  <si>
    <t>Dựng trụ BT ≤ 8m, thủ công</t>
  </si>
  <si>
    <t>Dựng trụ BT ≤ 10m, thủ công</t>
  </si>
  <si>
    <t>Dựng trụ BT ≤ 12m, thủ công</t>
  </si>
  <si>
    <t>I. Đường dây hạ áp độc lập:</t>
  </si>
  <si>
    <t>Làm, lắp đầu cáp hạ áp 1 pha ≤ 300mm2</t>
  </si>
  <si>
    <t>Làm, lắp đầu cáp hạ áp 1 pha ≤ 400mm2</t>
  </si>
  <si>
    <t>800/5</t>
  </si>
  <si>
    <t>20/5</t>
  </si>
  <si>
    <t>30/5</t>
  </si>
  <si>
    <t>35/5</t>
  </si>
  <si>
    <t>50/5</t>
  </si>
  <si>
    <t>Dây pha</t>
  </si>
  <si>
    <t>Dây trung hòa</t>
  </si>
  <si>
    <t>Cáp ĐK 4 ruột đồng bọc PVC vỏ PVC3x25+16</t>
  </si>
  <si>
    <t>KK005</t>
  </si>
  <si>
    <t>Bộ Chân sứ đỉnh đơn (T) dài 870mm</t>
  </si>
  <si>
    <t>D3.3201</t>
  </si>
  <si>
    <t>Tháo cách điện Polymer néo đơn dây dẫn ≤35kV, ≤20m</t>
  </si>
  <si>
    <t>T2.3114t</t>
  </si>
  <si>
    <t>II.12</t>
  </si>
  <si>
    <t>1. Rạch Búng Tàu</t>
  </si>
  <si>
    <t xml:space="preserve"> Kẹp treo cáp LV-ABC 4x50</t>
  </si>
  <si>
    <t xml:space="preserve"> Kẹp dừng cáp LV-ABC 4x50</t>
  </si>
  <si>
    <t>*Trạm Búng Tàu 1</t>
  </si>
  <si>
    <t>*Trạm Búng Tàu 2</t>
  </si>
  <si>
    <t>Cáp nhôm 0,6/1kV (LV-ABC) 3x50mm2</t>
  </si>
  <si>
    <t>Bộ cụm đấu rẽ IPC hạ áp 1 pha</t>
  </si>
  <si>
    <t>11c</t>
  </si>
  <si>
    <t>12c</t>
  </si>
  <si>
    <t>13c</t>
  </si>
  <si>
    <t>14c</t>
  </si>
  <si>
    <t>15c</t>
  </si>
  <si>
    <t>16c</t>
  </si>
  <si>
    <t>17c</t>
  </si>
  <si>
    <t>18c</t>
  </si>
  <si>
    <t>19c</t>
  </si>
  <si>
    <t>20c</t>
  </si>
  <si>
    <t>21c</t>
  </si>
  <si>
    <t>22c</t>
  </si>
  <si>
    <t>23c</t>
  </si>
  <si>
    <t>24c</t>
  </si>
  <si>
    <t>25c</t>
  </si>
  <si>
    <t>Móng 10ba</t>
  </si>
  <si>
    <t>Móng 8a</t>
  </si>
  <si>
    <t>AB.11362</t>
  </si>
  <si>
    <t>D2.5231</t>
  </si>
  <si>
    <t>D2.5211</t>
  </si>
  <si>
    <t>PD010</t>
  </si>
  <si>
    <t>Bộ dây chằng xuống trụ 8,5m</t>
  </si>
  <si>
    <t>D3.3251</t>
  </si>
  <si>
    <t>Bộ dây chằng hẹp trụ 8,5m</t>
  </si>
  <si>
    <t>Móng neo chằng trụ 8,5m</t>
  </si>
  <si>
    <t>*Trạm Năm Tòng</t>
  </si>
  <si>
    <t>* Trạm Rạch Ông Tà</t>
  </si>
  <si>
    <t>3. Rạch Ông Tà</t>
  </si>
  <si>
    <t>5. Rạch Ngã Lá</t>
  </si>
  <si>
    <t>Cáp ĐK 4 ruột đồng bọc PVC vỏ PVC3x35+16</t>
  </si>
  <si>
    <t>KK006</t>
  </si>
  <si>
    <t>Cáp ĐK 4 ruột đồng bọc PVC vỏ PVC3x50+25</t>
  </si>
  <si>
    <t>KK007</t>
  </si>
  <si>
    <t>Cáp ĐK 4 ruột đồng bọc PVC vỏ PVC3x70+35</t>
  </si>
  <si>
    <t>KK008</t>
  </si>
  <si>
    <t>R</t>
  </si>
  <si>
    <r>
      <t>l . r</t>
    </r>
    <r>
      <rPr>
        <vertAlign val="subscript"/>
        <sz val="13"/>
        <rFont val="Times New Roman"/>
        <family val="1"/>
      </rPr>
      <t>o</t>
    </r>
  </si>
  <si>
    <t>[Ω]</t>
  </si>
  <si>
    <t>X</t>
  </si>
  <si>
    <r>
      <t>l . x</t>
    </r>
    <r>
      <rPr>
        <vertAlign val="subscript"/>
        <sz val="13"/>
        <rFont val="Times New Roman"/>
        <family val="1"/>
      </rPr>
      <t>o</t>
    </r>
  </si>
  <si>
    <r>
      <t>G</t>
    </r>
    <r>
      <rPr>
        <vertAlign val="subscript"/>
        <sz val="12"/>
        <rFont val="Times New Roman"/>
        <family val="1"/>
      </rPr>
      <t>XD</t>
    </r>
  </si>
  <si>
    <r>
      <t>G</t>
    </r>
    <r>
      <rPr>
        <vertAlign val="subscript"/>
        <sz val="12"/>
        <rFont val="Times New Roman"/>
        <family val="1"/>
      </rPr>
      <t>TB</t>
    </r>
  </si>
  <si>
    <t>ha</t>
  </si>
  <si>
    <r>
      <t>G</t>
    </r>
    <r>
      <rPr>
        <vertAlign val="subscript"/>
        <sz val="10"/>
        <rFont val="Times New Roman"/>
        <family val="1"/>
      </rPr>
      <t>KS</t>
    </r>
  </si>
  <si>
    <r>
      <t>G</t>
    </r>
    <r>
      <rPr>
        <vertAlign val="subscript"/>
        <sz val="10"/>
        <rFont val="Times New Roman"/>
        <family val="1"/>
      </rPr>
      <t>TTTK</t>
    </r>
  </si>
  <si>
    <r>
      <t>G</t>
    </r>
    <r>
      <rPr>
        <vertAlign val="subscript"/>
        <sz val="10"/>
        <rFont val="Times New Roman"/>
        <family val="1"/>
      </rPr>
      <t>TTDT</t>
    </r>
  </si>
  <si>
    <r>
      <t>G</t>
    </r>
    <r>
      <rPr>
        <vertAlign val="subscript"/>
        <sz val="10"/>
        <rFont val="Times New Roman"/>
        <family val="1"/>
      </rPr>
      <t>MTXD</t>
    </r>
  </si>
  <si>
    <t>- Lập BCKT-KT TBA:</t>
  </si>
  <si>
    <t>RM010</t>
  </si>
  <si>
    <t>Potelet 63x63x6 - 3,5m</t>
  </si>
  <si>
    <t>Potelet 60x60 - 3,5m</t>
  </si>
  <si>
    <t>Potelet 50x50x5 - 2m</t>
  </si>
  <si>
    <t>Lắp đặt xà thép cho trụ đỡ (15kg)</t>
  </si>
  <si>
    <t>Lắp đặt xà thép cho trụ đỡ (25kg)</t>
  </si>
  <si>
    <t>Lắp đặt xà thép cho trụ đỡ (50kg)</t>
  </si>
  <si>
    <t>Lắp đặt xà thép cho trụ đỡ (100kg)</t>
  </si>
  <si>
    <t>Lắp đặt xà thép cho trụ đỡ (140kg)</t>
  </si>
  <si>
    <t>Lắp đặt xà thép cho trụ đỡ (230kg)</t>
  </si>
  <si>
    <t>OE006</t>
  </si>
  <si>
    <t>OE007</t>
  </si>
  <si>
    <t>OE008</t>
  </si>
  <si>
    <t>OE009</t>
  </si>
  <si>
    <t>OE010</t>
  </si>
  <si>
    <t>OE011</t>
  </si>
  <si>
    <t>OE012</t>
  </si>
  <si>
    <t>-  Các trường hợp bất khả kháng.</t>
  </si>
  <si>
    <t>Lắp cáp trên giá hầm cáp ≤ 24kg/m</t>
  </si>
  <si>
    <t>Lắp cáp trên giá hầm cáp ≤ 28kg/m</t>
  </si>
  <si>
    <t>Lắp cáp trên giá hầm cáp ≤ 32kg/m</t>
  </si>
  <si>
    <t>Lắp đặt cáp trên dây thép</t>
  </si>
  <si>
    <t>03.1301</t>
  </si>
  <si>
    <t>03.1302</t>
  </si>
  <si>
    <t>Bốc cấu kiện thép các loại lên</t>
  </si>
  <si>
    <t>Bốc dây điện các loại lên</t>
  </si>
  <si>
    <t>Bốc sứ các loại lên</t>
  </si>
  <si>
    <t>Bốc gỗ các loại lên</t>
  </si>
  <si>
    <t>Bốc cọc tre, cọc gỗ lên</t>
  </si>
  <si>
    <t>Bốc cấu kiện bê tông đúc sẵn lên</t>
  </si>
  <si>
    <t>Làm, lắp đầu cáp hạ áp 3 pha ≤ 185mm2</t>
  </si>
  <si>
    <t>Làm, lắp đầu cáp hạ áp 3 pha ≤ 240mm2</t>
  </si>
  <si>
    <t>Làm, lắp đầu cáp hạ áp 3 pha ≤ 300mm2</t>
  </si>
  <si>
    <t>RG007a</t>
  </si>
  <si>
    <t>Xi măng PCB30</t>
  </si>
  <si>
    <t>Xi măng PCB40</t>
  </si>
  <si>
    <r>
      <t>Trọng
lượng</t>
    </r>
    <r>
      <rPr>
        <sz val="13"/>
        <rFont val="Times New Roman"/>
        <family val="1"/>
      </rPr>
      <t xml:space="preserve">
kg/km</t>
    </r>
  </si>
  <si>
    <r>
      <t>Đường
kính</t>
    </r>
    <r>
      <rPr>
        <sz val="13"/>
        <rFont val="Times New Roman"/>
        <family val="1"/>
      </rPr>
      <t xml:space="preserve">
(mm)</t>
    </r>
  </si>
  <si>
    <t>Chi phí vận chuyển, bốc dỡ (nếu có)</t>
  </si>
  <si>
    <t>THUẾ SUẤT VAT</t>
  </si>
  <si>
    <t>THUẾ VAT</t>
  </si>
  <si>
    <t>+ Đường kính dây dẫn</t>
  </si>
  <si>
    <t>[mm]</t>
  </si>
  <si>
    <t>+ Điện trở suất dây dẫn</t>
  </si>
  <si>
    <r>
      <t>r</t>
    </r>
    <r>
      <rPr>
        <vertAlign val="subscript"/>
        <sz val="13"/>
        <rFont val="Times New Roman"/>
        <family val="1"/>
      </rPr>
      <t>o</t>
    </r>
  </si>
  <si>
    <r>
      <t>I</t>
    </r>
    <r>
      <rPr>
        <b/>
        <vertAlign val="subscript"/>
        <sz val="13"/>
        <rFont val="Times New Roman"/>
        <family val="1"/>
      </rPr>
      <t>CP</t>
    </r>
    <r>
      <rPr>
        <sz val="13"/>
        <rFont val="Times New Roman"/>
        <family val="1"/>
      </rPr>
      <t xml:space="preserve">
A</t>
    </r>
  </si>
  <si>
    <t>+ Dòng điện cho phép</t>
  </si>
  <si>
    <r>
      <t>I</t>
    </r>
    <r>
      <rPr>
        <vertAlign val="subscript"/>
        <sz val="13"/>
        <rFont val="Times New Roman"/>
        <family val="1"/>
      </rPr>
      <t>CP</t>
    </r>
  </si>
  <si>
    <t>MCCB - 3 pha 600V - 630A</t>
  </si>
  <si>
    <t>DB007</t>
  </si>
  <si>
    <t>MCCB - 3 pha 600V - 800A</t>
  </si>
  <si>
    <t>Lắp ống thép bảo vệ cáp D≤25</t>
  </si>
  <si>
    <t>Lắp ống thép bảo vệ cáp D≤50</t>
  </si>
  <si>
    <t>Lắp ống thép bảo vệ cáp D≤75</t>
  </si>
  <si>
    <r>
      <t>F</t>
    </r>
    <r>
      <rPr>
        <vertAlign val="subscript"/>
        <sz val="13"/>
        <rFont val="Times New Roman"/>
        <family val="1"/>
      </rPr>
      <t>A</t>
    </r>
    <r>
      <rPr>
        <sz val="13"/>
        <rFont val="Times New Roman"/>
        <family val="1"/>
      </rPr>
      <t>, F</t>
    </r>
    <r>
      <rPr>
        <vertAlign val="subscript"/>
        <sz val="13"/>
        <rFont val="Times New Roman"/>
        <family val="1"/>
      </rPr>
      <t>Fe</t>
    </r>
    <r>
      <rPr>
        <sz val="13"/>
        <rFont val="Times New Roman"/>
        <family val="1"/>
      </rPr>
      <t xml:space="preserve"> - Tiết diện phần nhôm và thép; [mm</t>
    </r>
    <r>
      <rPr>
        <vertAlign val="superscript"/>
        <sz val="13"/>
        <rFont val="Times New Roman"/>
        <family val="1"/>
      </rPr>
      <t>2</t>
    </r>
    <r>
      <rPr>
        <sz val="13"/>
        <rFont val="Times New Roman"/>
        <family val="1"/>
      </rPr>
      <t>]</t>
    </r>
  </si>
  <si>
    <r>
      <t>g</t>
    </r>
    <r>
      <rPr>
        <vertAlign val="subscript"/>
        <sz val="13"/>
        <rFont val="Times New Roman"/>
        <family val="1"/>
      </rPr>
      <t>A</t>
    </r>
    <r>
      <rPr>
        <sz val="13"/>
        <rFont val="Times New Roman"/>
        <family val="1"/>
      </rPr>
      <t>, g</t>
    </r>
    <r>
      <rPr>
        <vertAlign val="subscript"/>
        <sz val="13"/>
        <rFont val="Times New Roman"/>
        <family val="1"/>
      </rPr>
      <t>Fe</t>
    </r>
    <r>
      <rPr>
        <sz val="13"/>
        <rFont val="Times New Roman"/>
        <family val="1"/>
      </rPr>
      <t xml:space="preserve"> - Trọng lượng riêng của nhôm và thép; [N/dm</t>
    </r>
    <r>
      <rPr>
        <vertAlign val="superscript"/>
        <sz val="13"/>
        <rFont val="Times New Roman"/>
        <family val="1"/>
      </rPr>
      <t>3</t>
    </r>
    <r>
      <rPr>
        <sz val="13"/>
        <rFont val="Times New Roman"/>
        <family val="1"/>
      </rPr>
      <t>]</t>
    </r>
  </si>
  <si>
    <t>75/5</t>
  </si>
  <si>
    <t>100/5</t>
  </si>
  <si>
    <t>125/5</t>
  </si>
  <si>
    <t>5/5</t>
  </si>
  <si>
    <t>10/5</t>
  </si>
  <si>
    <t>400/5</t>
  </si>
  <si>
    <t>500/5</t>
  </si>
  <si>
    <t>600/5</t>
  </si>
  <si>
    <t>15/5</t>
  </si>
  <si>
    <t>02.8404</t>
  </si>
  <si>
    <t>Lắp đặt cáp trong ống bảo vệ</t>
  </si>
  <si>
    <t>03.1401</t>
  </si>
  <si>
    <t>03.1402</t>
  </si>
  <si>
    <t>03.1403</t>
  </si>
  <si>
    <t>Ép đầu Cosse</t>
  </si>
  <si>
    <t>03.4001</t>
  </si>
  <si>
    <t>03.4002</t>
  </si>
  <si>
    <r>
      <t>G</t>
    </r>
    <r>
      <rPr>
        <b/>
        <vertAlign val="subscript"/>
        <sz val="10"/>
        <rFont val="Times New Roman"/>
        <family val="1"/>
      </rPr>
      <t xml:space="preserve">VLXC </t>
    </r>
    <r>
      <rPr>
        <b/>
        <sz val="10"/>
        <rFont val="Times New Roman"/>
        <family val="1"/>
      </rPr>
      <t>+ G</t>
    </r>
    <r>
      <rPr>
        <b/>
        <vertAlign val="subscript"/>
        <sz val="10"/>
        <rFont val="Times New Roman"/>
        <family val="1"/>
      </rPr>
      <t>XDLĐ</t>
    </r>
  </si>
  <si>
    <r>
      <t>G</t>
    </r>
    <r>
      <rPr>
        <b/>
        <vertAlign val="subscript"/>
        <sz val="10"/>
        <rFont val="Times New Roman"/>
        <family val="1"/>
      </rPr>
      <t xml:space="preserve">MVTB </t>
    </r>
    <r>
      <rPr>
        <b/>
        <sz val="10"/>
        <rFont val="Times New Roman"/>
        <family val="1"/>
      </rPr>
      <t>+ G</t>
    </r>
    <r>
      <rPr>
        <b/>
        <vertAlign val="subscript"/>
        <sz val="10"/>
        <rFont val="Times New Roman"/>
        <family val="1"/>
      </rPr>
      <t>LTTB</t>
    </r>
  </si>
  <si>
    <r>
      <t>C</t>
    </r>
    <r>
      <rPr>
        <b/>
        <vertAlign val="subscript"/>
        <sz val="10"/>
        <rFont val="Times New Roman"/>
        <family val="1"/>
      </rPr>
      <t>C</t>
    </r>
    <r>
      <rPr>
        <b/>
        <sz val="10"/>
        <rFont val="Times New Roman"/>
        <family val="1"/>
      </rPr>
      <t xml:space="preserve"> + C</t>
    </r>
    <r>
      <rPr>
        <b/>
        <vertAlign val="subscript"/>
        <sz val="10"/>
        <rFont val="Times New Roman"/>
        <family val="1"/>
      </rPr>
      <t>SDL</t>
    </r>
    <r>
      <rPr>
        <b/>
        <sz val="10"/>
        <rFont val="Times New Roman"/>
        <family val="1"/>
      </rPr>
      <t xml:space="preserve"> + C</t>
    </r>
    <r>
      <rPr>
        <b/>
        <vertAlign val="subscript"/>
        <sz val="10"/>
        <rFont val="Times New Roman"/>
        <family val="1"/>
      </rPr>
      <t>CL</t>
    </r>
    <r>
      <rPr>
        <b/>
        <sz val="10"/>
        <rFont val="Times New Roman"/>
        <family val="1"/>
      </rPr>
      <t>+C</t>
    </r>
    <r>
      <rPr>
        <b/>
        <vertAlign val="subscript"/>
        <sz val="10"/>
        <rFont val="Times New Roman"/>
        <family val="1"/>
      </rPr>
      <t>VCBD</t>
    </r>
  </si>
  <si>
    <t>Kẹp 2 rãnh song song cho dây nhôm 50-70</t>
  </si>
  <si>
    <t>RC002</t>
  </si>
  <si>
    <t>MBA 1 pha 12,7/0,22-0,44kV 75kVA</t>
  </si>
  <si>
    <t>AC006</t>
  </si>
  <si>
    <t>MBA 1 pha 12,7/0,22-0,44kV 100kVA</t>
  </si>
  <si>
    <t>AD000</t>
  </si>
  <si>
    <t>MBA 3 pha 22/0,4kV 50kVA</t>
  </si>
  <si>
    <t>AD001</t>
  </si>
  <si>
    <t>MBA 3 pha 22/0,4kV 75kVA</t>
  </si>
  <si>
    <t>AD002</t>
  </si>
  <si>
    <t>MBA 3 pha 22/0,4kV 100kVA</t>
  </si>
  <si>
    <t xml:space="preserve"> Nắp bịt đầu cáp </t>
  </si>
  <si>
    <t>Trụ BTLT 8,5m</t>
  </si>
  <si>
    <t>Rãi căng dây lấy độ võng ≤ A70mm2</t>
  </si>
  <si>
    <t>LC000</t>
  </si>
  <si>
    <t>LC004</t>
  </si>
  <si>
    <t>RA000</t>
  </si>
  <si>
    <t>LA000</t>
  </si>
  <si>
    <t>LB000</t>
  </si>
  <si>
    <t>IH000</t>
  </si>
  <si>
    <t>LD000</t>
  </si>
  <si>
    <t>QF004</t>
  </si>
  <si>
    <t>QK005</t>
  </si>
  <si>
    <t>RC000</t>
  </si>
  <si>
    <t>RB000</t>
  </si>
  <si>
    <t>CG003</t>
  </si>
  <si>
    <t>RD002</t>
  </si>
  <si>
    <t>RD001</t>
  </si>
  <si>
    <t>RE005</t>
  </si>
  <si>
    <t>RE004</t>
  </si>
  <si>
    <t>P + j.Q</t>
  </si>
  <si>
    <t>3xCV 240mm2</t>
  </si>
  <si>
    <t>2xCV 185mm2</t>
  </si>
  <si>
    <t>4xCV 240mm2</t>
  </si>
  <si>
    <t>2xCV 240mm2</t>
  </si>
  <si>
    <t>5xCV 240mm2</t>
  </si>
  <si>
    <t>6xCV 240mm2</t>
  </si>
  <si>
    <r>
      <t>I</t>
    </r>
    <r>
      <rPr>
        <vertAlign val="subscript"/>
        <sz val="12"/>
        <rFont val="Times New Roman"/>
        <family val="1"/>
      </rPr>
      <t>đm</t>
    </r>
    <r>
      <rPr>
        <sz val="12"/>
        <rFont val="Times New Roman"/>
        <family val="1"/>
      </rPr>
      <t xml:space="preserve"> (A)</t>
    </r>
  </si>
  <si>
    <t>05.1001</t>
  </si>
  <si>
    <t>KV000</t>
  </si>
  <si>
    <t>Cáp ngầm 1 pha 0,6/1kV CXV/DSTA 2x1,5</t>
  </si>
  <si>
    <t>KV001</t>
  </si>
  <si>
    <t xml:space="preserve">Đà sắt L75x75x8 dài 1,4m </t>
  </si>
  <si>
    <t>IA001</t>
  </si>
  <si>
    <t>Trụ BTLT 14m - 900kgf</t>
  </si>
  <si>
    <t>HB004</t>
  </si>
  <si>
    <t>Trụ BTLT 20m - 1400kgf</t>
  </si>
  <si>
    <t>Đà thanh chống &amp; CổDê</t>
  </si>
  <si>
    <t>IA000</t>
  </si>
  <si>
    <t>LA 18kV - 10kA</t>
  </si>
  <si>
    <t>Đắp đất hào cáp ngầm, độ chặt k =0,85</t>
  </si>
  <si>
    <t>HUYỆN CHÂU THÀNH</t>
  </si>
  <si>
    <t>THỊ XÃ NGÃ BẢY</t>
  </si>
  <si>
    <t>Huyện Châu Thành &amp; Tx.Ngã Bảy, tỉnh Hậu Giang</t>
  </si>
  <si>
    <t>XÂY DỰNG ĐƯỜNG DÂY TRUNG HẠ ÁP &amp; TRẠM BIẾN ÁP</t>
  </si>
  <si>
    <t>HUYỆN CHÂU THÀNH, TX NGÃ BẢY</t>
  </si>
  <si>
    <r>
      <t>Điều 10.</t>
    </r>
    <r>
      <rPr>
        <sz val="12"/>
        <rFont val="Times New Roman"/>
        <family val="1"/>
      </rPr>
      <t xml:space="preserve"> Quyền và nghĩa vụ của bên B:</t>
    </r>
  </si>
  <si>
    <r>
      <t>Điều 11.</t>
    </r>
    <r>
      <rPr>
        <sz val="12"/>
        <rFont val="Times New Roman"/>
        <family val="1"/>
      </rPr>
      <t xml:space="preserve"> Quyền và nghĩa vụ của bên A :</t>
    </r>
  </si>
  <si>
    <r>
      <t xml:space="preserve">Điều 12. </t>
    </r>
    <r>
      <rPr>
        <sz val="12"/>
        <rFont val="Times New Roman"/>
        <family val="1"/>
      </rPr>
      <t>Điều khoản chung :</t>
    </r>
  </si>
  <si>
    <t>Điện kế 1 pha 2 dây 40(120)A - 220V</t>
  </si>
  <si>
    <t>Nút loe ống gân xoắn HDPE Ø 90</t>
  </si>
  <si>
    <t>Nút loe ống gân xoắn HDPE Ø 110</t>
  </si>
  <si>
    <r>
      <t>X</t>
    </r>
    <r>
      <rPr>
        <vertAlign val="subscript"/>
        <sz val="13"/>
        <rFont val="Times New Roman"/>
        <family val="1"/>
      </rPr>
      <t xml:space="preserve">cuộn dây </t>
    </r>
  </si>
  <si>
    <r>
      <t>I</t>
    </r>
    <r>
      <rPr>
        <vertAlign val="subscript"/>
        <sz val="13"/>
        <rFont val="Times New Roman"/>
        <family val="1"/>
      </rPr>
      <t>cp</t>
    </r>
    <r>
      <rPr>
        <sz val="13"/>
        <rFont val="Times New Roman"/>
        <family val="1"/>
      </rPr>
      <t xml:space="preserve"> (A)</t>
    </r>
  </si>
  <si>
    <r>
      <t>. 10</t>
    </r>
    <r>
      <rPr>
        <vertAlign val="superscript"/>
        <sz val="13"/>
        <rFont val="Times New Roman"/>
        <family val="1"/>
      </rPr>
      <t>-6</t>
    </r>
    <r>
      <rPr>
        <sz val="13"/>
        <rFont val="Times New Roman"/>
        <family val="1"/>
      </rPr>
      <t>.(25 - 5)</t>
    </r>
  </si>
  <si>
    <r>
      <t>F</t>
    </r>
    <r>
      <rPr>
        <vertAlign val="subscript"/>
        <sz val="13"/>
        <rFont val="Times New Roman"/>
        <family val="1"/>
      </rPr>
      <t>A</t>
    </r>
  </si>
  <si>
    <r>
      <t>F</t>
    </r>
    <r>
      <rPr>
        <vertAlign val="subscript"/>
        <sz val="13"/>
        <rFont val="Times New Roman"/>
        <family val="1"/>
      </rPr>
      <t>Fe</t>
    </r>
  </si>
  <si>
    <r>
      <t>α</t>
    </r>
    <r>
      <rPr>
        <vertAlign val="subscript"/>
        <sz val="13"/>
        <rFont val="Times New Roman"/>
        <family val="1"/>
      </rPr>
      <t>AC</t>
    </r>
  </si>
  <si>
    <r>
      <t>α</t>
    </r>
    <r>
      <rPr>
        <vertAlign val="subscript"/>
        <sz val="13"/>
        <rFont val="Times New Roman"/>
        <family val="1"/>
      </rPr>
      <t>Fe</t>
    </r>
    <r>
      <rPr>
        <sz val="13"/>
        <rFont val="Times New Roman"/>
        <family val="1"/>
      </rPr>
      <t>E</t>
    </r>
    <r>
      <rPr>
        <vertAlign val="subscript"/>
        <sz val="13"/>
        <rFont val="Times New Roman"/>
        <family val="1"/>
      </rPr>
      <t xml:space="preserve">Fe </t>
    </r>
    <r>
      <rPr>
        <sz val="13"/>
        <rFont val="Times New Roman"/>
        <family val="1"/>
      </rPr>
      <t>+ aα</t>
    </r>
    <r>
      <rPr>
        <vertAlign val="subscript"/>
        <sz val="13"/>
        <rFont val="Times New Roman"/>
        <family val="1"/>
      </rPr>
      <t>A</t>
    </r>
    <r>
      <rPr>
        <sz val="13"/>
        <rFont val="Times New Roman"/>
        <family val="1"/>
      </rPr>
      <t>E</t>
    </r>
    <r>
      <rPr>
        <vertAlign val="subscript"/>
        <sz val="13"/>
        <rFont val="Times New Roman"/>
        <family val="1"/>
      </rPr>
      <t>A</t>
    </r>
  </si>
  <si>
    <r>
      <t>E</t>
    </r>
    <r>
      <rPr>
        <vertAlign val="subscript"/>
        <sz val="13"/>
        <rFont val="Times New Roman"/>
        <family val="1"/>
      </rPr>
      <t xml:space="preserve">Fe </t>
    </r>
    <r>
      <rPr>
        <sz val="13"/>
        <rFont val="Times New Roman"/>
        <family val="1"/>
      </rPr>
      <t>+ a</t>
    </r>
    <r>
      <rPr>
        <sz val="13"/>
        <rFont val="Times New Roman"/>
        <family val="1"/>
      </rPr>
      <t>E</t>
    </r>
    <r>
      <rPr>
        <vertAlign val="subscript"/>
        <sz val="13"/>
        <rFont val="Times New Roman"/>
        <family val="1"/>
      </rPr>
      <t>A</t>
    </r>
  </si>
  <si>
    <r>
      <t>12.10</t>
    </r>
    <r>
      <rPr>
        <vertAlign val="superscript"/>
        <sz val="13"/>
        <rFont val="Times New Roman"/>
        <family val="1"/>
      </rPr>
      <t>-6</t>
    </r>
    <r>
      <rPr>
        <sz val="13"/>
        <rFont val="Times New Roman"/>
        <family val="1"/>
      </rPr>
      <t>. 19,6.10</t>
    </r>
    <r>
      <rPr>
        <vertAlign val="superscript"/>
        <sz val="13"/>
        <rFont val="Times New Roman"/>
        <family val="1"/>
      </rPr>
      <t>4</t>
    </r>
    <r>
      <rPr>
        <vertAlign val="subscript"/>
        <sz val="13"/>
        <rFont val="Times New Roman"/>
        <family val="1"/>
      </rPr>
      <t xml:space="preserve"> </t>
    </r>
    <r>
      <rPr>
        <sz val="13"/>
        <rFont val="Times New Roman"/>
        <family val="1"/>
      </rPr>
      <t>+</t>
    </r>
  </si>
  <si>
    <r>
      <t>23.10</t>
    </r>
    <r>
      <rPr>
        <vertAlign val="superscript"/>
        <sz val="13"/>
        <rFont val="Times New Roman"/>
        <family val="1"/>
      </rPr>
      <t>-6</t>
    </r>
    <r>
      <rPr>
        <sz val="13"/>
        <rFont val="Times New Roman"/>
        <family val="1"/>
      </rPr>
      <t>. 6,18.10</t>
    </r>
    <r>
      <rPr>
        <vertAlign val="superscript"/>
        <sz val="13"/>
        <rFont val="Times New Roman"/>
        <family val="1"/>
      </rPr>
      <t>4</t>
    </r>
  </si>
  <si>
    <r>
      <t>6,18.10</t>
    </r>
    <r>
      <rPr>
        <vertAlign val="superscript"/>
        <sz val="13"/>
        <rFont val="Times New Roman"/>
        <family val="1"/>
      </rPr>
      <t>4</t>
    </r>
  </si>
  <si>
    <t>Kéo rãi lắp đặt cáp ngầm ≤ 12kg/m</t>
  </si>
  <si>
    <t>Kéo rãi lắp đặt cáp ngầm ≤ 15kg/m</t>
  </si>
  <si>
    <t>Kéo rãi lắp đặt cáp ngầm ≤ 18kg/m</t>
  </si>
  <si>
    <t>Kéo rãi lắp đặt cáp ngầm ≤ 21kg/m</t>
  </si>
  <si>
    <t>Dây nhôm chống thấm bọc XLPE 24kV 25</t>
  </si>
  <si>
    <t>KN001</t>
  </si>
  <si>
    <t>Dây nhôm chống thấm bọc XLPE 24kV 35</t>
  </si>
  <si>
    <t>KN002</t>
  </si>
  <si>
    <t>Lắp đặt cáp trong ống bảo vệ ≤ 24kg/m</t>
  </si>
  <si>
    <t>Bù lon mạ kẽm 12x150</t>
  </si>
  <si>
    <t>QD003</t>
  </si>
  <si>
    <t xml:space="preserve">Kẹp Hotline </t>
  </si>
  <si>
    <t>Kẹp quai ép đồng nhôm 2/0</t>
  </si>
  <si>
    <t>Kẹp quai ép đồng nhôm 4/0</t>
  </si>
  <si>
    <t>RE000</t>
  </si>
  <si>
    <t>Splitbolt Cu - Al 1/0</t>
  </si>
  <si>
    <t>RE001</t>
  </si>
  <si>
    <t>Splitbolt Cu - Al 2/0</t>
  </si>
  <si>
    <t>RE002</t>
  </si>
  <si>
    <t>Splitbolt Cu - Al 4/0</t>
  </si>
  <si>
    <t>RE003</t>
  </si>
  <si>
    <t>Điện trở suất của đất</t>
  </si>
  <si>
    <t>Ωm</t>
  </si>
  <si>
    <t>Chiều dài khoảng trụ xa nhất</t>
  </si>
  <si>
    <t>Loại trụ</t>
  </si>
  <si>
    <t>Khoảng cách an toàn</t>
  </si>
  <si>
    <t>----- oOo -----</t>
  </si>
  <si>
    <t>:</t>
  </si>
  <si>
    <t>04.1203d</t>
  </si>
  <si>
    <r>
      <t xml:space="preserve">Đổ bê tông móng trụ, chiều rộng </t>
    </r>
    <r>
      <rPr>
        <sz val="10"/>
        <color indexed="8"/>
        <rFont val="Arial"/>
        <family val="2"/>
      </rPr>
      <t>≤</t>
    </r>
    <r>
      <rPr>
        <sz val="10"/>
        <color indexed="8"/>
        <rFont val="Times New Roman"/>
        <family val="1"/>
      </rPr>
      <t>250cm, đá 2x4, bằng thủ công M250</t>
    </r>
  </si>
  <si>
    <t>04.1202a</t>
  </si>
  <si>
    <t>báo mà gây thiệt hại cho bên kia, thì bên hủy bỏ hợp đồng phải bồi thường.</t>
  </si>
  <si>
    <r>
      <t>Cos</t>
    </r>
    <r>
      <rPr>
        <b/>
        <sz val="12"/>
        <rFont val="Symbol"/>
        <family val="1"/>
        <charset val="2"/>
      </rPr>
      <t>j</t>
    </r>
  </si>
  <si>
    <t xml:space="preserve">c/ Khi hợp đồng bị hủy bỏ thì hợp đồng không có hiệu lực từ thời điểm bị hủy bỏ và các bên </t>
  </si>
  <si>
    <t>phải hoàn trả cho nhau tài sản hoặc tiền.</t>
  </si>
  <si>
    <t>PHẦN VẬT LIỆU (mục III + IV)</t>
  </si>
  <si>
    <t>PHẦN THIẾT BỊ ( mục II + III)</t>
  </si>
  <si>
    <t>ĐẦU TƯ XÂY DỰNG</t>
  </si>
  <si>
    <t>BÁO CÁO KINH TẾ - KỸ THUẬT</t>
  </si>
  <si>
    <t>Rack 2 + Sứ ống chỉ</t>
  </si>
  <si>
    <t>Đóng cọc tiếp địa L=2,5m xuống đất cấp II</t>
  </si>
  <si>
    <t>TR.02.8400d</t>
  </si>
  <si>
    <t>TR.02.8401</t>
  </si>
  <si>
    <t>02.8401</t>
  </si>
  <si>
    <t>TR.02.8402</t>
  </si>
  <si>
    <t>02.8402</t>
  </si>
  <si>
    <t>TR.02.8403</t>
  </si>
  <si>
    <t>02.8403</t>
  </si>
  <si>
    <t>TR.02.8404</t>
  </si>
  <si>
    <t>RG008</t>
  </si>
  <si>
    <t>Cát xây dựng</t>
  </si>
  <si>
    <t>m3</t>
  </si>
  <si>
    <t>RG009</t>
  </si>
  <si>
    <t>Đá 4x6</t>
  </si>
  <si>
    <t>RG010</t>
  </si>
  <si>
    <t>Đá 2x4</t>
  </si>
  <si>
    <t>RG011</t>
  </si>
  <si>
    <t>Đá 1x2</t>
  </si>
  <si>
    <t>Phá dỡ bê tông k.có cốt thép bằng M Kh</t>
  </si>
  <si>
    <t>Phá dỡ kết cấu gạch bằng M Kh</t>
  </si>
  <si>
    <t>Xếp tấm đan bê tông ≤ 20kg</t>
  </si>
  <si>
    <t>Cáp ngầm 3 pha 0,6/1kV CXV/DSTA 3x35</t>
  </si>
  <si>
    <t>KV025</t>
  </si>
  <si>
    <t>0,5 ÷ 1[m]</t>
  </si>
  <si>
    <t>Bảng gỗ 22x40</t>
  </si>
  <si>
    <t>Ống nối ép cho dây nhôm trần lõi thép 50</t>
  </si>
  <si>
    <t>OD011</t>
  </si>
  <si>
    <t>Ống nối ép cho dây nhôm trần lõi thép 70</t>
  </si>
  <si>
    <t>OD012</t>
  </si>
  <si>
    <t>03.3315a</t>
  </si>
  <si>
    <t>03.3316a</t>
  </si>
  <si>
    <t>03.3317a</t>
  </si>
  <si>
    <t>Cáp ngầm 3 pha 0,6/1kV CXV/DSTA 4x25</t>
  </si>
  <si>
    <t>Lê Nhựt Trường</t>
  </si>
  <si>
    <t>Với các yêu cầu về sản phẩm của hợp đồng giám sát thi công phải đạt được như sau:</t>
  </si>
  <si>
    <t>Bên A giao cho bên B giám sát thi công:</t>
  </si>
  <si>
    <t>GHI CHÚ:</t>
  </si>
  <si>
    <t>Chi phí lắp đặt và TNHC thiết bị</t>
  </si>
  <si>
    <t>Bộ chằng xuống trụ hạ áp</t>
  </si>
  <si>
    <t>Trạm tháp sắt 250kVA</t>
  </si>
  <si>
    <t>Sơn sắt thép các loại, 3 nước</t>
  </si>
  <si>
    <t>CÔNG TÁC LẮP ĐẶT SỨ, PHỤ KIỆN, RẢI CĂNG DÂY</t>
  </si>
  <si>
    <t>SỨ ĐỨNG</t>
  </si>
  <si>
    <t>sứ</t>
  </si>
  <si>
    <t>06.1202</t>
  </si>
  <si>
    <t>06.1203</t>
  </si>
  <si>
    <t>06.1204</t>
  </si>
  <si>
    <t xml:space="preserve">    Căn cứ Luật Xây dựng số: 50/2014/QH13 ngày 18/06/2014 của Quốc hội Nước Cộng Hòa Xã</t>
  </si>
  <si>
    <t xml:space="preserve">     Căn cứ Nghị định số: 46/2015/NĐ-CP ngày 12/05/2015 của Chính phủ về quản lý chất lượng</t>
  </si>
  <si>
    <t>và bảo trì công trình xây dựng;</t>
  </si>
  <si>
    <t xml:space="preserve"> Hội Chủ Nghĩa Việt Nam khoá XIII, kỳ họp thứ 7;</t>
  </si>
  <si>
    <t>Dây nhôm chống thấm bọc XLPE 24kV 95</t>
  </si>
  <si>
    <t>KN005</t>
  </si>
  <si>
    <t>Dây nhôm chống thấm bọc XLPE 24kV 120</t>
  </si>
  <si>
    <t>KN006</t>
  </si>
  <si>
    <t>03.1404</t>
  </si>
  <si>
    <t>03.1405</t>
  </si>
  <si>
    <t>03.1406</t>
  </si>
  <si>
    <t>03.1407</t>
  </si>
  <si>
    <t>03.1408</t>
  </si>
  <si>
    <t>03.1409</t>
  </si>
  <si>
    <t>OE014</t>
  </si>
  <si>
    <t>Phụ kiện cáp ABC</t>
  </si>
  <si>
    <t>PA000</t>
  </si>
  <si>
    <t>- Thi công đúng bản vẽ thiết kế, chịu trách nhiệm về kỹ thuật, chất lượng xây lắp công trình.</t>
  </si>
  <si>
    <t>- Hoàn thành công trình đúng thời gian.</t>
  </si>
  <si>
    <t>06.3231</t>
  </si>
  <si>
    <t>Lắp dây néo cột</t>
  </si>
  <si>
    <t>Ép nối dây, tiết diện ≤ 120mm2</t>
  </si>
  <si>
    <t>Lắp máy cắt</t>
  </si>
  <si>
    <t>máy</t>
  </si>
  <si>
    <t>02.2124</t>
  </si>
  <si>
    <t>Lắp dao cách ly</t>
  </si>
  <si>
    <t>Lắp cầu dao hạ áp</t>
  </si>
  <si>
    <t>02.3141</t>
  </si>
  <si>
    <t>02.3142</t>
  </si>
  <si>
    <t>02.3143</t>
  </si>
  <si>
    <t>02.3144</t>
  </si>
  <si>
    <t>02.3145</t>
  </si>
  <si>
    <t>Lắp cầu dao hạ áp  &gt;  600A</t>
  </si>
  <si>
    <t>Lắp FCO, LA</t>
  </si>
  <si>
    <t>Lắp FCO</t>
  </si>
  <si>
    <t>02.5114</t>
  </si>
  <si>
    <t>bên sẽ quyết toán theo khối lượng thực tế và giá tại thời điểm hợp đồng có hiệu lực.</t>
  </si>
  <si>
    <r>
      <t>P</t>
    </r>
    <r>
      <rPr>
        <vertAlign val="subscript"/>
        <sz val="12"/>
        <rFont val="Times New Roman"/>
        <family val="1"/>
      </rPr>
      <t xml:space="preserve">o </t>
    </r>
    <r>
      <rPr>
        <sz val="12"/>
        <rFont val="Times New Roman"/>
        <family val="1"/>
      </rPr>
      <t>(W)</t>
    </r>
  </si>
  <si>
    <r>
      <t>P</t>
    </r>
    <r>
      <rPr>
        <vertAlign val="subscript"/>
        <sz val="12"/>
        <rFont val="Times New Roman"/>
        <family val="1"/>
      </rPr>
      <t xml:space="preserve">k </t>
    </r>
    <r>
      <rPr>
        <sz val="12"/>
        <rFont val="Times New Roman"/>
        <family val="1"/>
      </rPr>
      <t>(W)</t>
    </r>
  </si>
  <si>
    <t>CS (kW)</t>
  </si>
  <si>
    <t>Máy biến áp</t>
  </si>
  <si>
    <t>T.diện</t>
  </si>
  <si>
    <t>CV 240mm2</t>
  </si>
  <si>
    <t>2xCV 150mm2</t>
  </si>
  <si>
    <t>CV 150mm2</t>
  </si>
  <si>
    <t>3xCV 120mm2</t>
  </si>
  <si>
    <t>2xCV 95mm2</t>
  </si>
  <si>
    <t>3xCV 185mm2</t>
  </si>
  <si>
    <t>Nút loe ống gân xoắn HDPE Ø 125</t>
  </si>
  <si>
    <t>Nút loe ống gân xoắn HDPE Ø 140</t>
  </si>
  <si>
    <t>Ống nối bọc cách điện 16-16</t>
  </si>
  <si>
    <t>Ống nối bọc cách điện 25-16</t>
  </si>
  <si>
    <t>Dựng cthép đã lắp ≤45m, TC+M100CV</t>
  </si>
  <si>
    <t>Đà sắt L75x75x8 dài 2,8m lắp thùng ĐK</t>
  </si>
  <si>
    <t>IG000</t>
  </si>
  <si>
    <t>Thanh chống sắt dẹp 60x6 dài 0,72m</t>
  </si>
  <si>
    <t>IG001</t>
  </si>
  <si>
    <t>Bảng II.9 - Thị xã Ngã Bảy</t>
  </si>
  <si>
    <t>Bảng II.9 - Huyện Châu Thành</t>
  </si>
  <si>
    <t>: Quãng đường vận chuyển đường  sông từ Điện lực Long Mỹ đến công trình.</t>
  </si>
  <si>
    <t>III. LỘ TRÌNH</t>
  </si>
  <si>
    <t>Từ Cty ĐLHG đến huyện Vị Thủy</t>
  </si>
  <si>
    <t>Từ Cty ĐLHG đến Điện lực Long Mỹ</t>
  </si>
  <si>
    <t>Từ Cty ĐLHG đến Điện lực Châu Thành A</t>
  </si>
  <si>
    <t>: 8km</t>
  </si>
  <si>
    <t>: 43km</t>
  </si>
  <si>
    <t xml:space="preserve">Từ Cty ĐLHG đến Điện lực Châu Thành </t>
  </si>
  <si>
    <t>: 65km</t>
  </si>
  <si>
    <t xml:space="preserve">Từ Cty ĐLHG đến Điện lực TX.Ngã Bảy </t>
  </si>
  <si>
    <t>: 60km</t>
  </si>
  <si>
    <t>: 21km</t>
  </si>
  <si>
    <t xml:space="preserve">BẢNG TÍNH VẬN CHUYỂN VẬT TƯ, THIẾT BỊ PHẦN TRẠM BIẾN ÁP </t>
  </si>
  <si>
    <r>
      <t>Q</t>
    </r>
    <r>
      <rPr>
        <vertAlign val="subscript"/>
        <sz val="13"/>
        <rFont val="Times New Roman"/>
        <family val="1"/>
      </rPr>
      <t>b</t>
    </r>
  </si>
  <si>
    <r>
      <t>U</t>
    </r>
    <r>
      <rPr>
        <vertAlign val="subscript"/>
        <sz val="13"/>
        <rFont val="Times New Roman"/>
        <family val="1"/>
      </rPr>
      <t>đm</t>
    </r>
  </si>
  <si>
    <t>Lắp đặt thanh cái dẹt kích thước 60x6</t>
  </si>
  <si>
    <t>Lắp ống nhựa bảo vệ cáp D≤50mm</t>
  </si>
  <si>
    <t>Lắp ống nhựa bảo vệ cáp D≤67mm</t>
  </si>
  <si>
    <t>TBA Cải tạo (Chỉ thay MBA)</t>
  </si>
  <si>
    <t>KU005</t>
  </si>
  <si>
    <t>Đầu cáp ngầm 1 pha 24kV ngoài trời 1x120</t>
  </si>
  <si>
    <t>KU006</t>
  </si>
  <si>
    <t>- Tổ chức khảo sát thiết kế đảm bảo tiêu chuẩn kỹ thuật ngành, qui trình qui phạm an toàn</t>
  </si>
  <si>
    <t>và kinh tế.</t>
  </si>
  <si>
    <t>- Theo dõi, kiểm tra, xác định khối lượng và chất lượng trong quá trình thi công công trình</t>
  </si>
  <si>
    <t xml:space="preserve">để đảm bảo công trình được thi công theo đúng hồ sơ thiết kế kỹ thuật được duyệt. </t>
  </si>
  <si>
    <t>22/0,4kV - 1250</t>
  </si>
  <si>
    <t>22/0,4kV - 1600</t>
  </si>
  <si>
    <t>Chỉ định thầu.</t>
  </si>
  <si>
    <t>Chi phí Nghiệm thu đóng điện</t>
  </si>
  <si>
    <t>a/ Xây dựng mới</t>
  </si>
  <si>
    <t>L &lt;= 5</t>
  </si>
  <si>
    <t>Phần nhánh rẽ khách hàng hạ áp</t>
  </si>
  <si>
    <t>05.01.24</t>
  </si>
  <si>
    <t>KHOẢN MỤC CHI PHÍ</t>
  </si>
  <si>
    <t>KÝ HIỆU</t>
  </si>
  <si>
    <t>LẮP ĐẶT ỐNG THÉP BẢO VỆ CÁP</t>
  </si>
  <si>
    <t>07.2205</t>
  </si>
  <si>
    <t>LẮP ĐẶT ỐNG BẢO VỆ CÁP QUA ĐƯỜNG</t>
  </si>
  <si>
    <t>Loại bằng ống gang, ống thép</t>
  </si>
  <si>
    <t>07.2301</t>
  </si>
  <si>
    <t>07.2302</t>
  </si>
  <si>
    <t>Loại bằng ống bê tông</t>
  </si>
  <si>
    <t>07.2303</t>
  </si>
  <si>
    <t>07.2304</t>
  </si>
  <si>
    <t>Trạm treo trên trụ BTLT 10,5m</t>
  </si>
  <si>
    <t>Trạm treo trên trụ BTLT 12m</t>
  </si>
  <si>
    <t>Trạm treo trên trụ BTLT 14m</t>
  </si>
  <si>
    <t>Trạm treo trên trụ BTLT 16m</t>
  </si>
  <si>
    <t>Trạm treo trên trụ BTLT 18m</t>
  </si>
  <si>
    <t>Trạm treo trên trụ BTLT 20m</t>
  </si>
  <si>
    <t>Trạm giàn</t>
  </si>
  <si>
    <t>Trạm nền</t>
  </si>
  <si>
    <t>Trạm ngồi</t>
  </si>
  <si>
    <t>Hệ thống đo đếm</t>
  </si>
  <si>
    <t xml:space="preserve">Trực tiếp </t>
  </si>
  <si>
    <t>Gián tiếp</t>
  </si>
  <si>
    <t>HỆ THỐNG ĐO ĐẾM</t>
  </si>
  <si>
    <t>Hình thức đo đếm</t>
  </si>
  <si>
    <t>Điện kế</t>
  </si>
  <si>
    <t>Biến áp đo đếm</t>
  </si>
  <si>
    <t>Biến dòng đo đếm</t>
  </si>
  <si>
    <t>BÁN ĐIỆN</t>
  </si>
  <si>
    <t>Bán điện</t>
  </si>
  <si>
    <t>Trung áp</t>
  </si>
  <si>
    <t>Hạ áp</t>
  </si>
  <si>
    <t>600V - 300/5A</t>
  </si>
  <si>
    <t>03.1303</t>
  </si>
  <si>
    <t>03.1304</t>
  </si>
  <si>
    <t>03.1305</t>
  </si>
  <si>
    <t>03.1306</t>
  </si>
  <si>
    <t>03.1307</t>
  </si>
  <si>
    <t>03.1308</t>
  </si>
  <si>
    <t>03.1309</t>
  </si>
  <si>
    <t>Lắp đặt cáp trên dây thép ≤ 1kg/m</t>
  </si>
  <si>
    <t>Lắp đặt cáp trên dây thép ≤ 2kg/m</t>
  </si>
  <si>
    <t>Lắp đặt cáp trên dây thép ≤ 3kg/m</t>
  </si>
  <si>
    <t>II.3.4. BẢNG DỰ TOÁN CHI PHÍ PHẦN LẮP ĐẶT VẬT LIỆU</t>
  </si>
  <si>
    <t>Dây đồng bọc PVC 0,6/1kV 35</t>
  </si>
  <si>
    <t>KF004</t>
  </si>
  <si>
    <t>Dây đồng bọc PVC 0,6/1kV 50</t>
  </si>
  <si>
    <t>KF005</t>
  </si>
  <si>
    <t>Dây đồng bọc PVC 0,6/1kV 70</t>
  </si>
  <si>
    <t>KF006</t>
  </si>
  <si>
    <t>Dây đồng bọc PVC 0,6/1kV 95</t>
  </si>
  <si>
    <t>KF007</t>
  </si>
  <si>
    <t>KV048</t>
  </si>
  <si>
    <t>Cáp ngầm 3 pha 0,6/1kV CXV/DSTA 3x8+1x6</t>
  </si>
  <si>
    <t>KV049</t>
  </si>
  <si>
    <t>Cáp ngầm 3 pha 0,6/1kV CXV/DSTA 3x11+1x6</t>
  </si>
  <si>
    <t>KV050</t>
  </si>
  <si>
    <t>Cáp ngầm 3 pha 0,6/1kV CXV/DSTA 3x16+11</t>
  </si>
  <si>
    <t>KV051</t>
  </si>
  <si>
    <t>Cáp ngầm 3 pha 0,6/1kV CXV/DSTA 3x25+1x16</t>
  </si>
  <si>
    <t>KV052</t>
  </si>
  <si>
    <t>Cáp ngầm 3 pha 0,6/1kV CXV/DSTA 3x35+1x25</t>
  </si>
  <si>
    <t>KV053</t>
  </si>
  <si>
    <t>Cáp ngầm 3 pha 0,6/1kV CXV/DSTA 3x50+1x35</t>
  </si>
  <si>
    <t>KV054</t>
  </si>
  <si>
    <t>Cáp ngầm 3 pha 0,6/1kV CXV/DSTA 3x70+1x50</t>
  </si>
  <si>
    <t>KV055</t>
  </si>
  <si>
    <t xml:space="preserve">Lắp máy biến áp 1 pha  ≤ 75 kVA </t>
  </si>
  <si>
    <t xml:space="preserve">Lắp máy biến áp 3 pha  ≥ 750 kVA </t>
  </si>
  <si>
    <t>Lắp cáp trên giá hầm cáp ≤ 1kg/m</t>
  </si>
  <si>
    <t>Lắp cáp trên giá hầm cáp ≤ 2kg/m</t>
  </si>
  <si>
    <t>Cầu chì trời 100A</t>
  </si>
  <si>
    <t>CG000</t>
  </si>
  <si>
    <t>Dây chì 3K</t>
  </si>
  <si>
    <t>CG001</t>
  </si>
  <si>
    <t>Dây chì 6K</t>
  </si>
  <si>
    <t>CG002</t>
  </si>
  <si>
    <t>Dây chì 8K</t>
  </si>
  <si>
    <t>pi</t>
  </si>
  <si>
    <t>D =</t>
  </si>
  <si>
    <t>k =</t>
  </si>
  <si>
    <t>Phương trình có 3 nghiệm</t>
  </si>
  <si>
    <t>x1 =</t>
  </si>
  <si>
    <t>x2 =</t>
  </si>
  <si>
    <t>x3 =</t>
  </si>
  <si>
    <t>Phương trình có 1 nghiệm duy nhất</t>
  </si>
  <si>
    <t>x =</t>
  </si>
  <si>
    <t>Phương trình có 1 nghiệm bội</t>
  </si>
  <si>
    <t>Phương trình có một nghiệm duy nhất</t>
  </si>
  <si>
    <r>
      <t>σ</t>
    </r>
    <r>
      <rPr>
        <vertAlign val="subscript"/>
        <sz val="13"/>
        <rFont val="Times New Roman"/>
        <family val="1"/>
      </rPr>
      <t>ACθmax</t>
    </r>
    <r>
      <rPr>
        <sz val="13"/>
        <rFont val="Times New Roman"/>
        <family val="1"/>
      </rPr>
      <t xml:space="preserve"> -</t>
    </r>
  </si>
  <si>
    <r>
      <t>l</t>
    </r>
    <r>
      <rPr>
        <vertAlign val="superscript"/>
        <sz val="13"/>
        <rFont val="Times New Roman"/>
        <family val="1"/>
      </rPr>
      <t>2</t>
    </r>
    <r>
      <rPr>
        <sz val="13"/>
        <rFont val="Times New Roman"/>
        <family val="1"/>
      </rPr>
      <t xml:space="preserve"> g</t>
    </r>
    <r>
      <rPr>
        <vertAlign val="superscript"/>
        <sz val="13"/>
        <rFont val="Times New Roman"/>
        <family val="1"/>
      </rPr>
      <t>2</t>
    </r>
    <r>
      <rPr>
        <vertAlign val="subscript"/>
        <sz val="13"/>
        <rFont val="Times New Roman"/>
        <family val="1"/>
      </rPr>
      <t>1</t>
    </r>
  </si>
  <si>
    <r>
      <t>σ</t>
    </r>
    <r>
      <rPr>
        <vertAlign val="subscript"/>
        <sz val="13"/>
        <rFont val="Times New Roman"/>
        <family val="1"/>
      </rPr>
      <t>ACθmin</t>
    </r>
    <r>
      <rPr>
        <sz val="13"/>
        <rFont val="Times New Roman"/>
        <family val="1"/>
      </rPr>
      <t xml:space="preserve"> -</t>
    </r>
  </si>
  <si>
    <t>D2.6022</t>
  </si>
  <si>
    <t>D3.2411</t>
  </si>
  <si>
    <t>D3.1115</t>
  </si>
  <si>
    <t>2 ngăn 0,98x0,6x0,4m (STĐ)</t>
  </si>
  <si>
    <t>Đà 28Đ lắp tủ điện kế trạm giàn</t>
  </si>
  <si>
    <t>Đà 2,4Đ đỡ dây trung áp</t>
  </si>
  <si>
    <t>Trạm treo 3 pha</t>
  </si>
  <si>
    <t>Trạm treo 1 pha</t>
  </si>
  <si>
    <t>Trạm giàn 3 pha</t>
  </si>
  <si>
    <t>Trạm tháp sắt 3 pha</t>
  </si>
  <si>
    <t>Dây dẫn HA
(bộ)</t>
  </si>
  <si>
    <t>Trạm Treo 2x50kVA (1 pha 3 dây)</t>
  </si>
  <si>
    <t>Trạm Treo 1x50kVA (1 pha 3 dây)</t>
  </si>
  <si>
    <t>BẢNG TỔNG KÊ TRẠM BIẾN ÁP HIỆN HỮU</t>
  </si>
  <si>
    <r>
      <t>Cộng</t>
    </r>
    <r>
      <rPr>
        <b/>
        <sz val="9"/>
        <rFont val="Times New Roman"/>
        <family val="1"/>
      </rPr>
      <t>:</t>
    </r>
  </si>
  <si>
    <t>Kinh Trung Đoàn</t>
  </si>
  <si>
    <t>Chợ Hỏa Lựu</t>
  </si>
  <si>
    <t>139/29T/9 - 471VT</t>
  </si>
  <si>
    <t>2x50</t>
  </si>
  <si>
    <t>Tổng cộng:</t>
  </si>
  <si>
    <t>324/1 - 471VT</t>
  </si>
  <si>
    <t>Trạm treo 3x50kVA</t>
  </si>
  <si>
    <t>Trạm treo 2x50kVA</t>
  </si>
  <si>
    <t>Trạm treo 2x50kVA (1 pha 3 dây)</t>
  </si>
  <si>
    <t>Đà 2,4Đ lắp FCO, LA trạm 3 pha</t>
  </si>
  <si>
    <t>2 ngăn 1x0,5x0,42m (STĐ)</t>
  </si>
  <si>
    <t>Tiếp địa hạ áp (đấu lèo trung tính hiện hữu)</t>
  </si>
  <si>
    <t xml:space="preserve"> Vận chuyển đường bộ máy biến áp từ TP.Vị Thanh đến Công trình</t>
  </si>
  <si>
    <t xml:space="preserve"> Vận chuyển đường bộ vật tư, phụ kiện, cáp từ TP.Vị Thanh đến công trình</t>
  </si>
  <si>
    <t>: Quãng đường vận chuyển đường bộ từ TP.Vị Thanh đến Công trình</t>
  </si>
  <si>
    <t xml:space="preserve"> Vận chuyển đường bộ trụ, xi măng từ TP.Vị Thanh đến công trình</t>
  </si>
  <si>
    <t xml:space="preserve"> Huyện Châu Thành</t>
  </si>
  <si>
    <t xml:space="preserve"> Thị xã Ngã Bảy</t>
  </si>
  <si>
    <t xml:space="preserve"> Lập Báo cáo kinh tế kỹ thuật</t>
  </si>
  <si>
    <r>
      <t>G</t>
    </r>
    <r>
      <rPr>
        <b/>
        <vertAlign val="subscript"/>
        <sz val="10"/>
        <rFont val="Times New Roman"/>
        <family val="1"/>
      </rPr>
      <t>LTTB =</t>
    </r>
  </si>
  <si>
    <t xml:space="preserve">-  Bên thi công có trách nhiệm thực hiện bảo hành công trình sau khi bàn giao cho chủ đầu tư. </t>
  </si>
  <si>
    <t>hoặc khi công trình vận hành, sử dụng không bình thường do lỗi của nhà thầu gây ra.</t>
  </si>
  <si>
    <t>-  Thời gian bảo hành : 12 tháng kể từ ngày nghiệm thu công trình hoàn thành đưa vào sử dụng.</t>
  </si>
  <si>
    <t xml:space="preserve">* Tổng trị giá Hợp đồng </t>
  </si>
  <si>
    <t xml:space="preserve">* Giá trị hợp đồng trên là tạm tính, khi công trình hoàn thành nghiệm thu đưa vào sử dụng hai </t>
  </si>
  <si>
    <t>7.1 Tạm ứng :</t>
  </si>
  <si>
    <t>trang 38, đơn giá XDCB chuyên ngành xây lắp đường dây tải điện và lắp đặt TBA</t>
  </si>
  <si>
    <t>Đào đất</t>
  </si>
  <si>
    <t>Đắp đất</t>
  </si>
  <si>
    <t>II</t>
  </si>
  <si>
    <t>Chi phí mua sắm, vận chuyển</t>
  </si>
  <si>
    <t>Bảng II.1.3</t>
  </si>
  <si>
    <r>
      <t>G</t>
    </r>
    <r>
      <rPr>
        <b/>
        <vertAlign val="subscript"/>
        <sz val="10"/>
        <color indexed="10"/>
        <rFont val="Times New Roman"/>
        <family val="1"/>
      </rPr>
      <t>DP</t>
    </r>
  </si>
  <si>
    <t>A.1</t>
  </si>
  <si>
    <t>B.1</t>
  </si>
  <si>
    <t>B.2</t>
  </si>
  <si>
    <t>THÔNG SỐ NHẬP VÀO PHẦN ĐƯỜNG DÂY HẠ ÁP</t>
  </si>
  <si>
    <t>THÔNG SỐ NHẬP VÀO PHẦN ĐƯỜNG DÂY TRUNG ÁP</t>
  </si>
  <si>
    <t>Kết cấu trạm</t>
  </si>
  <si>
    <t>Kết cấu TBA</t>
  </si>
  <si>
    <t>Cáp ngầm 3 pha 0,6/1kV CXV/DSTA 3x8,0</t>
  </si>
  <si>
    <t>KV021</t>
  </si>
  <si>
    <t>Cáp ngầm 3 pha 0,6/1kV CXV/DSTA 3x11</t>
  </si>
  <si>
    <t>KV022</t>
  </si>
  <si>
    <t>2.1/ Khoảng vượt tới hạn:</t>
  </si>
  <si>
    <t>và vẽ bản vẽ hoàn công trước khi tiến hành các công việc tiếp theo.</t>
  </si>
  <si>
    <t>(9)</t>
  </si>
  <si>
    <t xml:space="preserve"> -</t>
  </si>
  <si>
    <t>d</t>
  </si>
  <si>
    <t>C 25mm2</t>
  </si>
  <si>
    <t>C 150mm2</t>
  </si>
  <si>
    <t>C 120mm2</t>
  </si>
  <si>
    <t>C 95mm2</t>
  </si>
  <si>
    <t>C 70mm2</t>
  </si>
  <si>
    <t>C 50mm2</t>
  </si>
  <si>
    <t>C 35mm2</t>
  </si>
  <si>
    <t>Tổ Trưởng</t>
  </si>
  <si>
    <t>Tổ Phó</t>
  </si>
  <si>
    <t>CNĐ</t>
  </si>
  <si>
    <t>PHẦN THIẾT BỊ:</t>
  </si>
  <si>
    <t>PHẦN VẬT LIỆU</t>
  </si>
  <si>
    <t>04.3003</t>
  </si>
  <si>
    <t>LẮP ỐNG NHỰA BẢO VỆ CÁP</t>
  </si>
  <si>
    <t>07.2401</t>
  </si>
  <si>
    <t>07.2402</t>
  </si>
  <si>
    <t>07.2403</t>
  </si>
  <si>
    <t>07.2404</t>
  </si>
  <si>
    <t>07.2411</t>
  </si>
  <si>
    <t>07.2412</t>
  </si>
  <si>
    <t>07.2413</t>
  </si>
  <si>
    <t>07.2414</t>
  </si>
  <si>
    <t>07.2415</t>
  </si>
  <si>
    <t>07.2426</t>
  </si>
  <si>
    <t>ACX 24kV 120mm2</t>
  </si>
  <si>
    <t>ACX 24kV 150mm2</t>
  </si>
  <si>
    <t>ACX 24kV 185mm2</t>
  </si>
  <si>
    <t>ACX 24kV 240mm2</t>
  </si>
  <si>
    <t>nhôm LV-ABC 0,6/1kV 3x50mm2</t>
  </si>
  <si>
    <t>nhôm LV-ABC 0,6/1kV 3x70mm2</t>
  </si>
  <si>
    <t>nhôm LV-ABC 0,6/1kV 3x95mm2</t>
  </si>
  <si>
    <t>Phát tuyến loại II có &lt; 2 cây tiêu chuẩn</t>
  </si>
  <si>
    <t>Phát tuyến loại II có &lt; 3 cây tiêu chuẩn</t>
  </si>
  <si>
    <t>Vận chuyển xi măng bằng thủ công</t>
  </si>
  <si>
    <t>Tấn</t>
  </si>
  <si>
    <t>02.1212</t>
  </si>
  <si>
    <t>FCO 27kV - 100A POLYMER</t>
  </si>
  <si>
    <t>CC000</t>
  </si>
  <si>
    <t>LB FCO - 27kV - 100A</t>
  </si>
  <si>
    <t>CC001</t>
  </si>
  <si>
    <t>LB FCO - 27kV - 200A</t>
  </si>
  <si>
    <t>Cái</t>
  </si>
  <si>
    <t>CD000</t>
  </si>
  <si>
    <t>LBS 24kV-630A</t>
  </si>
  <si>
    <t>bộ</t>
  </si>
  <si>
    <t>CE000</t>
  </si>
  <si>
    <t>DS 1 pha 630A - 24kV</t>
  </si>
  <si>
    <t>CE001</t>
  </si>
  <si>
    <t>DS 3 pha 630A - 24kV</t>
  </si>
  <si>
    <t>CE002</t>
  </si>
  <si>
    <t>DS 3 pha 630A - 24kV có bệ chì (T nhà)</t>
  </si>
  <si>
    <t>Tuấn Ấn</t>
  </si>
  <si>
    <t>CF000</t>
  </si>
  <si>
    <t>MBA 1 pha 8,6(12,7)/0,22-0,44kV 10kVA</t>
  </si>
  <si>
    <t>cái</t>
  </si>
  <si>
    <t>TÊN TRẠM</t>
  </si>
  <si>
    <t>Công suất (kVA)</t>
  </si>
  <si>
    <t>Tiếp địa trạm nền</t>
  </si>
  <si>
    <t>Tiếp địa trạm treo</t>
  </si>
  <si>
    <t>1.2.1</t>
  </si>
  <si>
    <t>1.2.2</t>
  </si>
  <si>
    <t>1.2.3</t>
  </si>
  <si>
    <t>1.2.4</t>
  </si>
  <si>
    <t>1.2.5</t>
  </si>
  <si>
    <t>2.3</t>
  </si>
  <si>
    <t>2.3.1</t>
  </si>
  <si>
    <t>2.3.2</t>
  </si>
  <si>
    <t>2.3.3</t>
  </si>
  <si>
    <t>2.3.4</t>
  </si>
  <si>
    <t>2.3.5</t>
  </si>
  <si>
    <t>2.2</t>
  </si>
  <si>
    <t>2.2.1</t>
  </si>
  <si>
    <t>2.2.2</t>
  </si>
  <si>
    <t>2.2.3</t>
  </si>
  <si>
    <t>2.2.4</t>
  </si>
  <si>
    <t>2.2.5</t>
  </si>
  <si>
    <t>3.3</t>
  </si>
  <si>
    <t>3.3.1</t>
  </si>
  <si>
    <t>3.3.2</t>
  </si>
  <si>
    <t>3.3.3</t>
  </si>
  <si>
    <t>3.3.4</t>
  </si>
  <si>
    <t>3.3.5</t>
  </si>
  <si>
    <t>3.2</t>
  </si>
  <si>
    <t>3.2.1</t>
  </si>
  <si>
    <t>3.2.2</t>
  </si>
  <si>
    <t>3.2.3</t>
  </si>
  <si>
    <t>3.2.4</t>
  </si>
  <si>
    <t>3.2.5</t>
  </si>
  <si>
    <t>4.3</t>
  </si>
  <si>
    <t>4.3.1</t>
  </si>
  <si>
    <t>4.3.2</t>
  </si>
  <si>
    <t>4.3.3</t>
  </si>
  <si>
    <t>4.3.4</t>
  </si>
  <si>
    <t>4.3.5</t>
  </si>
  <si>
    <t>4.2</t>
  </si>
  <si>
    <t>4.2.1</t>
  </si>
  <si>
    <t>4.2.2</t>
  </si>
  <si>
    <t>4.2.3</t>
  </si>
  <si>
    <t>4.2.4</t>
  </si>
  <si>
    <t>4.2.5</t>
  </si>
  <si>
    <t>5.3</t>
  </si>
  <si>
    <t>5.3.1</t>
  </si>
  <si>
    <t>5.3.2</t>
  </si>
  <si>
    <t>5.3.3</t>
  </si>
  <si>
    <t>5.3.4</t>
  </si>
  <si>
    <t>5.3.5</t>
  </si>
  <si>
    <t>5.2</t>
  </si>
  <si>
    <t>5.2.1</t>
  </si>
  <si>
    <t>5.2.2</t>
  </si>
  <si>
    <t>5.2.3</t>
  </si>
  <si>
    <t>5.2.4</t>
  </si>
  <si>
    <t>5.2.5</t>
  </si>
  <si>
    <t>TKKT79$</t>
  </si>
  <si>
    <t>Bảng số 15: Định mức chi phí thẩm tra báo cáo nghiên cứu tiền khả thi</t>
  </si>
  <si>
    <t>TTTKT79^</t>
  </si>
  <si>
    <t>Chi phí xây dựng và thiết bị (chưa có thuế GTGT) (tỷ đồng)</t>
  </si>
  <si>
    <t>TTTKT79$</t>
  </si>
  <si>
    <t>Bảng số 16: Định mức chi phí thẩm tra báo cáo nghiên cứu khả thi</t>
  </si>
  <si>
    <t>TTKT79^</t>
  </si>
  <si>
    <t>TTKT79$</t>
  </si>
  <si>
    <t>Dây dẫn</t>
  </si>
  <si>
    <t>Hệ số điều chỉnh điện trở suất</t>
  </si>
  <si>
    <t>mm</t>
  </si>
  <si>
    <t>cọc</t>
  </si>
  <si>
    <t>Tiết diện</t>
  </si>
  <si>
    <r>
      <t>I</t>
    </r>
    <r>
      <rPr>
        <b/>
        <vertAlign val="subscript"/>
        <sz val="10"/>
        <rFont val="Times New Roman"/>
        <family val="1"/>
      </rPr>
      <t>đm</t>
    </r>
  </si>
  <si>
    <t>Hệ số điều chỉnh K1</t>
  </si>
  <si>
    <t>- Sụt áp % từ điểm đấu nối đến cuối đường dây</t>
  </si>
  <si>
    <r>
      <t>ΔU</t>
    </r>
    <r>
      <rPr>
        <vertAlign val="subscript"/>
        <sz val="13"/>
        <rFont val="Times New Roman"/>
        <family val="1"/>
      </rPr>
      <t>1%</t>
    </r>
  </si>
  <si>
    <r>
      <t>ΔU</t>
    </r>
    <r>
      <rPr>
        <vertAlign val="subscript"/>
        <sz val="13"/>
        <rFont val="Times New Roman"/>
        <family val="1"/>
      </rPr>
      <t>2</t>
    </r>
  </si>
  <si>
    <r>
      <t>ΔU</t>
    </r>
    <r>
      <rPr>
        <vertAlign val="subscript"/>
        <sz val="13"/>
        <rFont val="Times New Roman"/>
        <family val="1"/>
      </rPr>
      <t>2%</t>
    </r>
  </si>
  <si>
    <t>02.1242</t>
  </si>
  <si>
    <t>02.1243</t>
  </si>
  <si>
    <t>02.1244</t>
  </si>
  <si>
    <t>V/c đá dăm bằng thủ công (&gt;500m)</t>
  </si>
  <si>
    <t>IG3-R3</t>
  </si>
  <si>
    <t>NT3-R3</t>
  </si>
  <si>
    <t>NG3-R3</t>
  </si>
  <si>
    <t>N3-R3</t>
  </si>
  <si>
    <t>IT1-GC</t>
  </si>
  <si>
    <t>IG1-GC</t>
  </si>
  <si>
    <t>NT1-GC</t>
  </si>
  <si>
    <t>NG1-GC</t>
  </si>
  <si>
    <t>N1-GC</t>
  </si>
  <si>
    <t>IT3-GC</t>
  </si>
  <si>
    <t>IG3-GC</t>
  </si>
  <si>
    <t>NT3-GC</t>
  </si>
  <si>
    <t>NG3-GC</t>
  </si>
  <si>
    <t>N3-GC</t>
  </si>
  <si>
    <t>Bộ Giá đỡ FCO 1 pha</t>
  </si>
  <si>
    <t>Cáp đồng 24kV (CX)-50mm2</t>
  </si>
  <si>
    <t>Lắp ráp chi tiết trụ thép ≤ 15 tấn, TC</t>
  </si>
  <si>
    <t>Lắp ráp chi tiết trụ thép ≤ 30 tấn, TC</t>
  </si>
  <si>
    <t>Đầu cáp ngầm 1 pha 24kV ngoài trời 1x185</t>
  </si>
  <si>
    <t>KU008</t>
  </si>
  <si>
    <t>V/c trụ bằng thủ công (&gt;500m)</t>
  </si>
  <si>
    <t>02.3101</t>
  </si>
  <si>
    <t>02.3102</t>
  </si>
  <si>
    <t>Bốc gạch chỉ lên</t>
  </si>
  <si>
    <t>02.3111</t>
  </si>
  <si>
    <t>02.3112</t>
  </si>
  <si>
    <t>Bốc phụ kiện lên</t>
  </si>
  <si>
    <t>03.1111</t>
  </si>
  <si>
    <t>03.1112</t>
  </si>
  <si>
    <t>Đóng cọc gỗ sâu &gt; 2,5m, đất cấp II</t>
  </si>
  <si>
    <t>1/α . μ</t>
  </si>
  <si>
    <t>α = H/h</t>
  </si>
  <si>
    <t>Với H: chiều cao từ mặt đất đến đỉnh trụ</t>
  </si>
  <si>
    <t>Với h: chiều cao từ đáy trụ đến mặt đất</t>
  </si>
  <si>
    <t xml:space="preserve">để đảm bảo công trình được thi công theo đúng hồ sơ thiết kế kỹ thuật được duyệt và theo đúng các </t>
  </si>
  <si>
    <t>MCCB - 2P - 600V - 80A</t>
  </si>
  <si>
    <t>MCCB - 2P - 600V - 125A</t>
  </si>
  <si>
    <t>MCCB - 2P - 600V - 200A</t>
  </si>
  <si>
    <t>MCCB - 2P - 600V - 250A</t>
  </si>
  <si>
    <t>MCCB - 2P - 600V - 45A</t>
  </si>
  <si>
    <t>MCCB - 2P - 600V - 150A</t>
  </si>
  <si>
    <t>MCCB - 3P - 600V - 75A</t>
  </si>
  <si>
    <t>Cosse ép dùng cho dây đồng 70mm2</t>
  </si>
  <si>
    <t>OA006</t>
  </si>
  <si>
    <t>Cosse ép dùng cho dây đồng 95mm2</t>
  </si>
  <si>
    <t>OA007</t>
  </si>
  <si>
    <t>Cosse ép dùng cho dây đồng 120mm2</t>
  </si>
  <si>
    <t>OA008</t>
  </si>
  <si>
    <t>Lắp sứ chuỗi néo dây dẫn (&lt; 2 bát)</t>
  </si>
  <si>
    <t>ĐÓNG CỌC VÀ RẢI DÂY TIẾP ĐỊA</t>
  </si>
  <si>
    <r>
      <t>G</t>
    </r>
    <r>
      <rPr>
        <vertAlign val="subscript"/>
        <sz val="10"/>
        <rFont val="Times New Roman"/>
        <family val="1"/>
      </rPr>
      <t>MTTV</t>
    </r>
  </si>
  <si>
    <t>Nối thẳng ống PVC 168</t>
  </si>
  <si>
    <t>Coose</t>
  </si>
  <si>
    <t>OA000</t>
  </si>
  <si>
    <t>Cosse ép dùng cho dây đồng 11mm2</t>
  </si>
  <si>
    <t>OA001</t>
  </si>
  <si>
    <t>Cosse ép dùng cho dây đồng 16mm2</t>
  </si>
  <si>
    <t>OA002</t>
  </si>
  <si>
    <t>Cosse ép dùng cho dây đồng 25mm2</t>
  </si>
  <si>
    <t>OA003</t>
  </si>
  <si>
    <t>Cosse ép dùng cho dây đồng 35mm2</t>
  </si>
  <si>
    <t>OA004</t>
  </si>
  <si>
    <t>Cosse ép dùng cho dây đồng 50mm2</t>
  </si>
  <si>
    <t>OA005</t>
  </si>
  <si>
    <t>Đầu cáp ngầm 1 pha 24kV trong nhà 1x70</t>
  </si>
  <si>
    <t>Lắp đặt dây xuống thiết bị ≤ AC 800</t>
  </si>
  <si>
    <t>Lắp đặt dây xuống thiết bị &gt; AC 800</t>
  </si>
  <si>
    <t>Lắp đặt dây xuống thiết bị ≤ Cu 240</t>
  </si>
  <si>
    <t>Lắp đặt sứ trong trạm</t>
  </si>
  <si>
    <t>04.2101</t>
  </si>
  <si>
    <t>04.2102</t>
  </si>
  <si>
    <t>04.2103</t>
  </si>
  <si>
    <t>04.2104</t>
  </si>
  <si>
    <t>04.2201</t>
  </si>
  <si>
    <t>04.2301</t>
  </si>
  <si>
    <t>04.7001</t>
  </si>
  <si>
    <t>04.7002</t>
  </si>
  <si>
    <t>Lắp ống PVC</t>
  </si>
  <si>
    <t>Phát tuyến</t>
  </si>
  <si>
    <t>V/c sứ bằng thủ công ( ≤ 100m)</t>
  </si>
  <si>
    <t>V/c sứ bằng thủ công ( ≤ 300m)</t>
  </si>
  <si>
    <t>V/c sứ bằng thủ công ( ≤ 500m)</t>
  </si>
  <si>
    <t>V/c cáp bằng thủ công (≤100m)</t>
  </si>
  <si>
    <t>Dây dẫn:</t>
  </si>
  <si>
    <t>Chiều dài:</t>
  </si>
  <si>
    <t>đ/ha: ĐG XDCT tỉnh HG-Phần KSXD 41/2006/QĐ-UBND ngày 13/11/2006. Chương XI, trang 27)</t>
  </si>
  <si>
    <t xml:space="preserve">Lắp đèn pha trên trụ </t>
  </si>
  <si>
    <t>* Trụ đảm bảo khả năng chịu lực cho vị trí đở thẳng</t>
  </si>
  <si>
    <t>- Tổng lực kéo dây đặt trên đỉnh trụ :</t>
  </si>
  <si>
    <r>
      <t>T</t>
    </r>
    <r>
      <rPr>
        <vertAlign val="subscript"/>
        <sz val="13"/>
        <rFont val="Times New Roman"/>
        <family val="1"/>
      </rPr>
      <t>d</t>
    </r>
  </si>
  <si>
    <t>a/ Lực gió tác động lên trụ</t>
  </si>
  <si>
    <t>(40-25)</t>
  </si>
  <si>
    <t>&lt;=&gt;</t>
  </si>
  <si>
    <t>ping</t>
  </si>
  <si>
    <t xml:space="preserve">BẢNG GIÁ </t>
  </si>
  <si>
    <t>02/2004</t>
  </si>
  <si>
    <t>09/2003</t>
  </si>
  <si>
    <t>02/2003</t>
  </si>
  <si>
    <t>11/2002</t>
  </si>
  <si>
    <t>09/2002</t>
  </si>
  <si>
    <t>06/2002</t>
  </si>
  <si>
    <t>01/2002</t>
  </si>
  <si>
    <t>10/2001</t>
  </si>
  <si>
    <t>04/2001</t>
  </si>
  <si>
    <t>09/2000</t>
  </si>
  <si>
    <t>25/01/2000</t>
  </si>
  <si>
    <t>Chưa VAT (7/99)</t>
  </si>
  <si>
    <t>05.5602</t>
  </si>
  <si>
    <t>05.5702</t>
  </si>
  <si>
    <t>Biến dòng đo đếm 600V 1000/5A</t>
  </si>
  <si>
    <t>BD000</t>
  </si>
  <si>
    <t>Điện kế 1 pha 2 dây 5A 220V</t>
  </si>
  <si>
    <t>BD001</t>
  </si>
  <si>
    <t>Điện kế 1 pha 2 dây 20-80A 220V</t>
  </si>
  <si>
    <t>BD002</t>
  </si>
  <si>
    <t>V/c xi măng bằng thủ công ( ≤ 100m)</t>
  </si>
  <si>
    <t>Làm đầu cáp ≤ 22kV, 3 pha ≤ 185mm2</t>
  </si>
  <si>
    <t>Làm đầu cáp ≤ 22kV, 3 pha ≤ 240mm2</t>
  </si>
  <si>
    <t>Ông Lê Bình</t>
  </si>
  <si>
    <t>Ông Lê Nhựt Trường</t>
  </si>
  <si>
    <t>Ông Bùi Giai Ngởi</t>
  </si>
  <si>
    <t>Ông Trần Phong Quang</t>
  </si>
  <si>
    <t>Ông Trần Thanh Quang</t>
  </si>
  <si>
    <t>Ông Lê Ngọc Sáng</t>
  </si>
  <si>
    <t>Ông Phan Văn Khải</t>
  </si>
  <si>
    <t>Ông Lê Ngọc Thiện</t>
  </si>
  <si>
    <t>Ông Nguyễn Thanh Thế</t>
  </si>
  <si>
    <t>Ông Thái Đan Dân</t>
  </si>
  <si>
    <t>Bảng 4, trang 14, quyết định số 79/QĐ-BXD ngày 15/02/2017</t>
  </si>
  <si>
    <t xml:space="preserve">  Thẩm tra thiết kế xây dựng</t>
  </si>
  <si>
    <t>Bảng 17, trang 36, quyết định số 79/QĐ-BXD ngày 15/02/2017</t>
  </si>
  <si>
    <t xml:space="preserve">  Thẩm tra dự toán xây dựng</t>
  </si>
  <si>
    <t xml:space="preserve">       Theo đơn đề nghị và quyết định giao Điện Lực Hậu Giang tổng thầu xây dựng công trình của</t>
  </si>
  <si>
    <t>Chiều dài cọc tiếp đất</t>
  </si>
  <si>
    <t>Đường kính cọc</t>
  </si>
  <si>
    <t>Số lượng cọc tiếp đất</t>
  </si>
  <si>
    <t>Chi phí thí nghiệm hiệu chỉnh TB (nếu có)</t>
  </si>
  <si>
    <t>(7)=(5)+(6)</t>
  </si>
  <si>
    <t>Đầu cáp ngầm 3 pha 24kV trong nhà 3x185</t>
  </si>
  <si>
    <t>KX007</t>
  </si>
  <si>
    <t>V/c bulon, tiếp địa, cốt thép, dây néo TC (&gt;500m)</t>
  </si>
  <si>
    <t xml:space="preserve"> V/c đà bằng thủ công</t>
  </si>
  <si>
    <t>Lắp ráp từng đoạn trụ thép &gt; 30 tấn, TC</t>
  </si>
  <si>
    <t>Dựng trụ thép đã lắp ≤ 15m, thủ công</t>
  </si>
  <si>
    <t>Dựng trụ thép đã lắp ≤ 25m, thủ công</t>
  </si>
  <si>
    <t>Dựng trụ thép đã lắp ≤ 35m, thủ công</t>
  </si>
  <si>
    <t>Lắp tủ điều khiển đường dâyy, tụ bù ≤ 35kV</t>
  </si>
  <si>
    <t>Lắp tủ điều khiển máy biến áp ≤ 35kV</t>
  </si>
  <si>
    <t>05.3105</t>
  </si>
  <si>
    <t>Lắp tủ bảo vệ máy biến áp ≤ 35kV</t>
  </si>
  <si>
    <t>05.3201</t>
  </si>
  <si>
    <t>Bảng số 23: Định mức chi phí giám sát lắp đặt thiết bị</t>
  </si>
  <si>
    <t>GSLD79^</t>
  </si>
  <si>
    <t>Chi phí thiết bị (chưa có thuế GTGT) của giá gói thầu mua sắm vật tư, thiết bị lắp đặt vào công trình được duyệt (tỷ đồng)</t>
  </si>
  <si>
    <t>GSLD79$</t>
  </si>
  <si>
    <t>Bảng số 24: Định mức chi phí giám sát công tác khảo sát</t>
  </si>
  <si>
    <t>GSKS79^</t>
  </si>
  <si>
    <t>Chi phí khảo sát xây dựng (chưa có thuế GTGT) của giá gói thầu khảo sát xây dựng được duyệt (tỷ đồng)</t>
  </si>
  <si>
    <t>Theo Thông tư số 176/2011/TT-BTC ngày 6/12/2011 của Bộ Tài chính</t>
  </si>
  <si>
    <t>Hướng dẫn chế độ thu, nộp và quản lý sử dụng phí thẩm định dự án đầu tư xây dựng</t>
  </si>
  <si>
    <t>Biểu mức thu phí thẩm định dự án đầu tư xây dựng</t>
  </si>
  <si>
    <t>TDDA^</t>
  </si>
  <si>
    <t>Tổng mức đầu tư dự án (tỷ đồng)</t>
  </si>
  <si>
    <t>&lt;=15</t>
  </si>
  <si>
    <t>&gt;=10.000</t>
  </si>
  <si>
    <t>TDDA$</t>
  </si>
  <si>
    <t>Theo Thông tư số 19/2011/TT- BTC ngày 14 tháng 02 năm 2011 của Bộ Tài chính</t>
  </si>
  <si>
    <t>Quy định về quyết toán dự án hoàn thành thuộc nguồn vốn Nhà nước</t>
  </si>
  <si>
    <t>Định mức chi phí thẩm tra, phê duyệt quyết toán</t>
  </si>
  <si>
    <t>TTQT^</t>
  </si>
  <si>
    <t>Tổng mức đầu tư (Tỷ đồng)</t>
  </si>
  <si>
    <t>&lt;=5</t>
  </si>
  <si>
    <t>&gt;= 10.000</t>
  </si>
  <si>
    <t>Thẩm tra, phê duyệt (%)</t>
  </si>
  <si>
    <t>05.9003</t>
  </si>
  <si>
    <t>Sơn báo hiệu theo chiều cao ≤ 70m</t>
  </si>
  <si>
    <t>Sơn báo hiệu theo chiều cao ≤ 100m</t>
  </si>
  <si>
    <t>Sơn báo hiệu theo chiều cao &gt;100m</t>
  </si>
  <si>
    <t>Sơn sắt thép các loại, 2 nước</t>
  </si>
  <si>
    <t>05.9004</t>
  </si>
  <si>
    <t>05.9005</t>
  </si>
  <si>
    <t>KQ000</t>
  </si>
  <si>
    <t>Cáp ngầm 1 pha 24kV CXV/S/DSTA25</t>
  </si>
  <si>
    <t>KQ001</t>
  </si>
  <si>
    <t>Cáp ngầm 1 pha 24kV CXV/S/DSTA35</t>
  </si>
  <si>
    <t>KQ002</t>
  </si>
  <si>
    <t>Cáp ngầm 1 pha 24kV CXV/S/DSTA50</t>
  </si>
  <si>
    <t>KQ003</t>
  </si>
  <si>
    <t>Cáp ngầm 1 pha 24kV CXV/S/DSTA70</t>
  </si>
  <si>
    <t>1. Phí thẩm tra thiết kế</t>
  </si>
  <si>
    <t>TTTK75^</t>
  </si>
  <si>
    <t>Chi phí xây dựng (chưa có thuế GTGT) trong dự toán công trình hoặc dự toán gói thầu được duyệt (tỷ đồng)</t>
  </si>
  <si>
    <t>Phụ lục số 1: Phí thẩm tra thiết kế xây dựng công trình sử dụng vốn ngân sách nhà nước do cơ quan quản lý nhà nước thực hiện toàn bộ công việc thẩm tra</t>
  </si>
  <si>
    <t>1.1</t>
  </si>
  <si>
    <t>1.4</t>
  </si>
  <si>
    <t>1.5</t>
  </si>
  <si>
    <t>Lăp đặt thiết bị tự động cho hệ thống chiếu sáng.</t>
  </si>
  <si>
    <t>MCCB - 3 pha 600V - 400A</t>
  </si>
  <si>
    <t>DB005</t>
  </si>
  <si>
    <t>Về việc giám sát thi công</t>
  </si>
  <si>
    <t>QUYẾT  ĐỊNH:</t>
  </si>
  <si>
    <t>Như điều 3;</t>
  </si>
  <si>
    <t>Knc</t>
  </si>
  <si>
    <t>- Công suất tính toán:</t>
  </si>
  <si>
    <t xml:space="preserve"> =</t>
  </si>
  <si>
    <t>Phòng thí nghiệm, nghiên cứu</t>
  </si>
  <si>
    <t>TÍNH TOÁN BÙ</t>
  </si>
  <si>
    <t>Nhà hành chính, quản lý</t>
  </si>
  <si>
    <t>Nhà máy xay xát</t>
  </si>
  <si>
    <t>- Hệ số công suất của phụ tải:</t>
  </si>
  <si>
    <t>- Công suất trạm:</t>
  </si>
  <si>
    <t>- Hệ số công suất hiện tại:</t>
  </si>
  <si>
    <t>- Hệ số công suất cần nâng lên:</t>
  </si>
  <si>
    <t>- Dung lượng cần bù:</t>
  </si>
  <si>
    <t>05.6011</t>
  </si>
  <si>
    <t>05.6021</t>
  </si>
  <si>
    <t>Collier 50x5 ĐK250 (trụ đơn)</t>
  </si>
  <si>
    <t>Collier 50x5 ĐK 250-490 (trụ ghép)</t>
  </si>
  <si>
    <t>Collier sắt dẹt 50x5 ĐK250 (trụ đơn)</t>
  </si>
  <si>
    <t xml:space="preserve">Collier sắt dẹt 50x5 ĐK250-490 (trụ ghép) </t>
  </si>
  <si>
    <t>Collier sắt dẹt 50x5 ĐK(330-660) lắp tủ điện kế</t>
  </si>
  <si>
    <t>BC002a</t>
  </si>
  <si>
    <t>Biến dòng đo đếm 600V 125/5A</t>
  </si>
  <si>
    <t>Dây đồng chống thấm bọc XLPE 24kV 120</t>
  </si>
  <si>
    <t>KM006</t>
  </si>
  <si>
    <t>Dây đồng chống thấm bọc XLPE 24kV 150</t>
  </si>
  <si>
    <t>KM007</t>
  </si>
  <si>
    <t>Dây đồng chống thấm bọc XLPE 24kV 185</t>
  </si>
  <si>
    <t>KM008</t>
  </si>
  <si>
    <t>Dây đồng chống thấm bọc XLPE 24kV 240</t>
  </si>
  <si>
    <t>KN000</t>
  </si>
  <si>
    <t>AA006</t>
  </si>
  <si>
    <t>C:\Documents and Settings\BaoKhanh\Application Data\Microsoft\Excel\XLSTART\Book1.</t>
  </si>
  <si>
    <t xml:space="preserve">Việc nghiệm thu, bàn giao công trình xây dựng phải thành lập Hội đồng nghiệm thu bàn giao </t>
  </si>
  <si>
    <t xml:space="preserve">  Chi phí nghiệm thu đóng điện bàn giao công trình</t>
  </si>
  <si>
    <r>
      <t>G</t>
    </r>
    <r>
      <rPr>
        <vertAlign val="subscript"/>
        <sz val="10"/>
        <rFont val="Times New Roman"/>
        <family val="1"/>
      </rPr>
      <t>NT</t>
    </r>
  </si>
  <si>
    <t>VB số 9225/BCT-TCNL ngày 05/10/2011 &amp; VB số : 1930/EVN SPC-QLĐT ngày 29/3/2013</t>
  </si>
  <si>
    <t>hợp đồng là điều kiện hủy bỏ mà các bên đã thỏa thuận hoặc pháp luật có quy định.Bên vi phạm</t>
  </si>
  <si>
    <r>
      <t>P</t>
    </r>
    <r>
      <rPr>
        <vertAlign val="subscript"/>
        <sz val="13"/>
        <rFont val="Times New Roman"/>
        <family val="1"/>
      </rPr>
      <t>c</t>
    </r>
  </si>
  <si>
    <r>
      <t>. α . C . v</t>
    </r>
    <r>
      <rPr>
        <vertAlign val="superscript"/>
        <sz val="13"/>
        <rFont val="Times New Roman"/>
        <family val="1"/>
      </rPr>
      <t>2</t>
    </r>
    <r>
      <rPr>
        <sz val="13"/>
        <rFont val="Times New Roman"/>
        <family val="1"/>
      </rPr>
      <t xml:space="preserve"> . F</t>
    </r>
  </si>
  <si>
    <r>
      <t>M</t>
    </r>
    <r>
      <rPr>
        <vertAlign val="subscript"/>
        <sz val="13"/>
        <rFont val="Times New Roman"/>
        <family val="1"/>
      </rPr>
      <t>tt</t>
    </r>
  </si>
  <si>
    <r>
      <t>n [ΣM</t>
    </r>
    <r>
      <rPr>
        <vertAlign val="subscript"/>
        <sz val="13"/>
        <rFont val="Times New Roman"/>
        <family val="1"/>
      </rPr>
      <t>i</t>
    </r>
    <r>
      <rPr>
        <sz val="13"/>
        <rFont val="Times New Roman"/>
        <family val="1"/>
      </rPr>
      <t xml:space="preserve"> + 10% ΣM</t>
    </r>
    <r>
      <rPr>
        <vertAlign val="subscript"/>
        <sz val="13"/>
        <rFont val="Times New Roman"/>
        <family val="1"/>
      </rPr>
      <t>i</t>
    </r>
    <r>
      <rPr>
        <sz val="13"/>
        <rFont val="Times New Roman"/>
        <family val="1"/>
      </rPr>
      <t>]</t>
    </r>
  </si>
  <si>
    <r>
      <t>ΣM</t>
    </r>
    <r>
      <rPr>
        <vertAlign val="subscript"/>
        <sz val="13"/>
        <rFont val="Times New Roman"/>
        <family val="1"/>
      </rPr>
      <t>i</t>
    </r>
  </si>
  <si>
    <r>
      <t>P</t>
    </r>
    <r>
      <rPr>
        <vertAlign val="subscript"/>
        <sz val="13"/>
        <rFont val="Times New Roman"/>
        <family val="1"/>
      </rPr>
      <t>c</t>
    </r>
    <r>
      <rPr>
        <sz val="13"/>
        <rFont val="Times New Roman"/>
        <family val="1"/>
      </rPr>
      <t>.H</t>
    </r>
    <r>
      <rPr>
        <vertAlign val="subscript"/>
        <sz val="13"/>
        <rFont val="Times New Roman"/>
        <family val="1"/>
      </rPr>
      <t xml:space="preserve">c </t>
    </r>
    <r>
      <rPr>
        <sz val="13"/>
        <rFont val="Times New Roman"/>
        <family val="1"/>
      </rPr>
      <t>+ P</t>
    </r>
    <r>
      <rPr>
        <vertAlign val="subscript"/>
        <sz val="13"/>
        <rFont val="Times New Roman"/>
        <family val="1"/>
      </rPr>
      <t>d</t>
    </r>
    <r>
      <rPr>
        <sz val="13"/>
        <rFont val="Times New Roman"/>
        <family val="1"/>
      </rPr>
      <t>.H</t>
    </r>
    <r>
      <rPr>
        <vertAlign val="subscript"/>
        <sz val="13"/>
        <rFont val="Times New Roman"/>
        <family val="1"/>
      </rPr>
      <t xml:space="preserve">d </t>
    </r>
  </si>
  <si>
    <t>- Quy đổi mômen tính toán về lực đầu trụ</t>
  </si>
  <si>
    <r>
      <t>P</t>
    </r>
    <r>
      <rPr>
        <vertAlign val="subscript"/>
        <sz val="13"/>
        <rFont val="Times New Roman"/>
        <family val="1"/>
      </rPr>
      <t>cp</t>
    </r>
    <r>
      <rPr>
        <sz val="13"/>
        <rFont val="Times New Roman"/>
        <family val="1"/>
      </rPr>
      <t xml:space="preserve"> </t>
    </r>
  </si>
  <si>
    <t>T2.5004</t>
  </si>
  <si>
    <t>Biểu mức thu phí II - phí thẩm duyệt về phòng cháy, chữa cháy đối với dự án, công trình</t>
  </si>
  <si>
    <t>PCCC^</t>
  </si>
  <si>
    <r>
      <t xml:space="preserve">Tổng mức đầu tư (tỷ đồng)
</t>
    </r>
    <r>
      <rPr>
        <b/>
        <i/>
        <sz val="11"/>
        <rFont val="Times New Roman"/>
        <family val="1"/>
      </rPr>
      <t>không bao gồm chi phí bồi thường giải phóng mặt bằng, hỗ trợ và tái định cư đã được phê duyệt trong dự án</t>
    </r>
  </si>
  <si>
    <t>PCCC$</t>
  </si>
  <si>
    <t>Theo Thông tư số 09/2016/TT-BTC ngày 18 tháng 01 năm 2016 của Bộ Tài chính</t>
  </si>
  <si>
    <t>TTQT09^</t>
  </si>
  <si>
    <t>TTQT09$</t>
  </si>
  <si>
    <t>CPKT09^</t>
  </si>
  <si>
    <t>CPKT09$</t>
  </si>
  <si>
    <t>Theo Thông tư số 209/2016/TT-BTC ngày 10/11/2016 của Bộ Tài chính</t>
  </si>
  <si>
    <t>Quy định mức thu, chế độ thu, nộp, quản lý và sử dụng phí thẩm định dự án đầu tư xây dựng, phí thẩm định thiết kế cơ sở</t>
  </si>
  <si>
    <t>TDDA209^</t>
  </si>
  <si>
    <t>TDDA209$</t>
  </si>
  <si>
    <t>Theo Thông tư số 210/2016/TT- BTC ngày 10 tháng 11 năm 2016 của Bộ Tài chính</t>
  </si>
  <si>
    <t>Quy định mức thu, chế độ thu, nộp, quản lý và sử dụng phí thẩm định thiết kế kỹ thuật, phí thẩm định dự toán xây dựng</t>
  </si>
  <si>
    <t>Điện kế 3 pha trực tiếp 50-75A 220/380V</t>
  </si>
  <si>
    <t>BE001</t>
  </si>
  <si>
    <t>Điện kế 3pha trực tiếp 50-100A 220/380V</t>
  </si>
  <si>
    <t>BF000</t>
  </si>
  <si>
    <t>Điện kế 3 pha 5A 220/380V hữu công</t>
  </si>
  <si>
    <t>BF001</t>
  </si>
  <si>
    <t>L &gt; 5</t>
  </si>
  <si>
    <t>2. Đường dây hạ áp trên không</t>
  </si>
  <si>
    <t>4. Đường dây hạ áp ngầm</t>
  </si>
  <si>
    <t>hợp đồng là điều kiện hủy bỏ mà các bên đã thỏa thuận hoặc pháp luật có quy định. Bên vi phạm</t>
  </si>
  <si>
    <t>hợp đồng phải bồi thường thiệt hại.</t>
  </si>
  <si>
    <r>
      <t xml:space="preserve">Hệ số k1 khi nhiệt độ môi trường xung quanh là, </t>
    </r>
    <r>
      <rPr>
        <vertAlign val="superscript"/>
        <sz val="13"/>
        <rFont val="Times New Roman"/>
        <family val="1"/>
      </rPr>
      <t>0</t>
    </r>
    <r>
      <rPr>
        <sz val="13"/>
        <rFont val="Times New Roman"/>
        <family val="1"/>
      </rPr>
      <t>C</t>
    </r>
  </si>
  <si>
    <r>
      <t>Hsố điều chỉnh t</t>
    </r>
    <r>
      <rPr>
        <vertAlign val="superscript"/>
        <sz val="12"/>
        <rFont val="Times New Roman"/>
        <family val="1"/>
      </rPr>
      <t>o</t>
    </r>
    <r>
      <rPr>
        <sz val="12"/>
        <rFont val="Times New Roman"/>
        <family val="1"/>
      </rPr>
      <t xml:space="preserve"> môi trường</t>
    </r>
  </si>
  <si>
    <t>Phân xưởng đúc</t>
  </si>
  <si>
    <t>Phân xưởng sửa chữa cơ khí</t>
  </si>
  <si>
    <t>Phân xưởng nhuộm, tẩy, hấp</t>
  </si>
  <si>
    <t>Phân xưởng nén khí</t>
  </si>
  <si>
    <t>KO003</t>
  </si>
  <si>
    <t>KO004</t>
  </si>
  <si>
    <t>KO005</t>
  </si>
  <si>
    <t>KO006</t>
  </si>
  <si>
    <t>KO007</t>
  </si>
  <si>
    <t>KP000</t>
  </si>
  <si>
    <t>Cáp ngầm 1 pha 24kV CXV/S25</t>
  </si>
  <si>
    <t>KP001</t>
  </si>
  <si>
    <t>trang 63, đơn giá XDCB chuyên ngành xây lắp đường dây tải điện và lắp đặt TBA</t>
  </si>
  <si>
    <t>259644*0,8</t>
  </si>
  <si>
    <t>Cáp Cu/PVC 0,6/1kV (3x3x240 + 2x185)mm2</t>
  </si>
  <si>
    <t>Cáp Cu/PVC 0,6/1kV (3x4x240 + 2x240)mm2</t>
  </si>
  <si>
    <t>Cáp Cu/PVC 0,6/1kV (3x4x300 + 2x300)mm2</t>
  </si>
  <si>
    <t>Cáp hạ áp</t>
  </si>
  <si>
    <t>8400/120V - 50VA</t>
  </si>
  <si>
    <t>12000/120V - 50VA</t>
  </si>
  <si>
    <t>12000/120V - 150VA</t>
  </si>
  <si>
    <t>TI 24kV</t>
  </si>
  <si>
    <t>TU 24kV</t>
  </si>
  <si>
    <t>Cáp nhôm bọc 24kV (ACX)-50mm2</t>
  </si>
  <si>
    <t>Cáp nhôm trần lõi thép (AC)-120mm2</t>
  </si>
  <si>
    <t>Cáp nhôm bọc 24kV (ACX)-185mm2</t>
  </si>
  <si>
    <t>Cáp đồng 24kV (CX)-185mm2</t>
  </si>
  <si>
    <t>7</t>
  </si>
  <si>
    <t>8</t>
  </si>
  <si>
    <t>kẹp bulon U cỡ 50mm2</t>
  </si>
  <si>
    <t>Rãi căng dây lấy độ võng ≤ AC35mm2</t>
  </si>
  <si>
    <t>Dây nhôm trần lõi thép 150/24</t>
  </si>
  <si>
    <t>Dây nhôm trần lõi thép 240/39</t>
  </si>
  <si>
    <t>KH000a</t>
  </si>
  <si>
    <r>
      <t xml:space="preserve">MBA có S </t>
    </r>
    <r>
      <rPr>
        <b/>
        <sz val="12"/>
        <rFont val="Arial"/>
        <family val="2"/>
      </rPr>
      <t>≥</t>
    </r>
    <r>
      <rPr>
        <b/>
        <sz val="12"/>
        <rFont val="Times New Roman"/>
        <family val="1"/>
      </rPr>
      <t xml:space="preserve"> 1600kVA sử dụng máy cắt hợp bộ với rơ le quá dòng</t>
    </r>
  </si>
  <si>
    <t>12,7/0,22kV - 1x15</t>
  </si>
  <si>
    <t>05.2012</t>
  </si>
  <si>
    <t>05.2013</t>
  </si>
  <si>
    <t>05.2014</t>
  </si>
  <si>
    <t>05.2021</t>
  </si>
  <si>
    <t>05.2022</t>
  </si>
  <si>
    <t>05.2023</t>
  </si>
  <si>
    <t>06.6173</t>
  </si>
  <si>
    <t>06.6174</t>
  </si>
  <si>
    <t>Rãi căng dây lấy độ võng ≤ AC25mm2</t>
  </si>
  <si>
    <r>
      <t xml:space="preserve">Trọng lượng riêng
</t>
    </r>
    <r>
      <rPr>
        <sz val="13"/>
        <rFont val="Times New Roman"/>
        <family val="1"/>
      </rPr>
      <t>kg</t>
    </r>
    <r>
      <rPr>
        <b/>
        <sz val="13"/>
        <rFont val="Times New Roman"/>
        <family val="1"/>
      </rPr>
      <t>/</t>
    </r>
    <r>
      <rPr>
        <sz val="13"/>
        <rFont val="Times New Roman"/>
        <family val="1"/>
      </rPr>
      <t>dm</t>
    </r>
    <r>
      <rPr>
        <vertAlign val="superscript"/>
        <sz val="13"/>
        <rFont val="Times New Roman"/>
        <family val="1"/>
      </rPr>
      <t>3</t>
    </r>
  </si>
  <si>
    <r>
      <t>g</t>
    </r>
    <r>
      <rPr>
        <b/>
        <vertAlign val="subscript"/>
        <sz val="13"/>
        <rFont val="Times New Roman"/>
        <family val="1"/>
      </rPr>
      <t>A</t>
    </r>
  </si>
  <si>
    <r>
      <t>g</t>
    </r>
    <r>
      <rPr>
        <b/>
        <vertAlign val="subscript"/>
        <sz val="13"/>
        <rFont val="Times New Roman"/>
        <family val="1"/>
      </rPr>
      <t>FE</t>
    </r>
  </si>
  <si>
    <r>
      <t>g</t>
    </r>
    <r>
      <rPr>
        <b/>
        <vertAlign val="subscript"/>
        <sz val="13"/>
        <rFont val="Times New Roman"/>
        <family val="1"/>
      </rPr>
      <t>o</t>
    </r>
  </si>
  <si>
    <r>
      <t>g</t>
    </r>
    <r>
      <rPr>
        <vertAlign val="subscript"/>
        <sz val="13"/>
        <rFont val="Times New Roman"/>
        <family val="1"/>
      </rPr>
      <t>o</t>
    </r>
    <r>
      <rPr>
        <sz val="13"/>
        <rFont val="Times New Roman"/>
        <family val="1"/>
      </rPr>
      <t xml:space="preserve"> - Trọng lượng riêng của chất cấu tạo dây; [N/dm</t>
    </r>
    <r>
      <rPr>
        <vertAlign val="superscript"/>
        <sz val="13"/>
        <rFont val="Times New Roman"/>
        <family val="1"/>
      </rPr>
      <t>3</t>
    </r>
    <r>
      <rPr>
        <sz val="13"/>
        <rFont val="Times New Roman"/>
        <family val="1"/>
      </rPr>
      <t>]</t>
    </r>
  </si>
  <si>
    <r>
      <t>F - Tiết diện dây phức hợp; [mm</t>
    </r>
    <r>
      <rPr>
        <vertAlign val="superscript"/>
        <sz val="13"/>
        <rFont val="Times New Roman"/>
        <family val="1"/>
      </rPr>
      <t>2</t>
    </r>
    <r>
      <rPr>
        <sz val="13"/>
        <rFont val="Times New Roman"/>
        <family val="1"/>
      </rPr>
      <t>]</t>
    </r>
  </si>
  <si>
    <t>1.1/ Tỷ tải do trọng lượng bản thân dây:</t>
  </si>
  <si>
    <t>Về việc phê duyệt phụ tải cấp điện khách hàng</t>
  </si>
  <si>
    <t>Lắp đặt cáp trong ống bảo vệ ≤ 10,5kg/m</t>
  </si>
  <si>
    <t>Lắp đặt cáp trong ống bảo vệ ≤ 12kg/m</t>
  </si>
  <si>
    <t>Lắp đặt cáp trong ống bảo vệ ≤ 15kg/m</t>
  </si>
  <si>
    <t>LBS 3 pha 24kV - 630A + DS 3 pha</t>
  </si>
  <si>
    <t>Lắp đặt cáp trong ống bảo vệ ≤ 28kg/m</t>
  </si>
  <si>
    <t>Lắp đặt cáp trong ống bảo vệ ≤ 32kg/m</t>
  </si>
  <si>
    <t>OE013</t>
  </si>
  <si>
    <t>Ống nối căng cho dây nhôm trần lõi thép 70</t>
  </si>
  <si>
    <t>OD003</t>
  </si>
  <si>
    <t>Ống nối căng cho dây nhôm trần lõi thép 95</t>
  </si>
  <si>
    <t>OD004</t>
  </si>
  <si>
    <t>Ống nối căng cho dây nhôm trần lõi thép 120</t>
  </si>
  <si>
    <t>OD005</t>
  </si>
  <si>
    <t>Cáp ngầm 1 pha 24kV CXV/S/DSTA120</t>
  </si>
  <si>
    <t>KQ006</t>
  </si>
  <si>
    <t xml:space="preserve">Bù lon mạ kẽm 14x40 </t>
  </si>
  <si>
    <t>QE001</t>
  </si>
  <si>
    <t xml:space="preserve">Bù lon mạ kẽm 14x150 </t>
  </si>
  <si>
    <t>QE002</t>
  </si>
  <si>
    <t>0711.3504979</t>
  </si>
  <si>
    <t>KS006</t>
  </si>
  <si>
    <t>KS007</t>
  </si>
  <si>
    <t>KS008</t>
  </si>
  <si>
    <t>KT000</t>
  </si>
  <si>
    <t>a/ Khối lương công việc thực hiện: hồ sơ bên B đã giao cho bên A gồm 4 bộ hồ sơ thiết kế</t>
  </si>
  <si>
    <t xml:space="preserve">Bán điện : </t>
  </si>
  <si>
    <t>hạ áp</t>
  </si>
  <si>
    <t>Lộ ra hạ áp :</t>
  </si>
  <si>
    <t>hòa giải, trọng tài hoặc Tòa án kinh tế giải quyết theo quy định của pháp luật.</t>
  </si>
  <si>
    <t>theo các quy định hiện hành của Nhà nước và các quy trình quy phạm chuyên ngành khác, cụ thể:</t>
  </si>
  <si>
    <t>NH Nông nghiệp &amp; PTNT T.Hậu Giang</t>
  </si>
  <si>
    <t>Lắp đặt dây xuống thiết bị ≤ Cu 150</t>
  </si>
  <si>
    <t>Lắp đặt dây xuống thiết bị ≤ AC 95</t>
  </si>
  <si>
    <t xml:space="preserve">của Bộ Tài chính  </t>
  </si>
  <si>
    <t xml:space="preserve">Tên đơn vị : Phòng KHKTVT     </t>
  </si>
  <si>
    <t>Lắp đèn chống ẩm</t>
  </si>
  <si>
    <t>05.4106</t>
  </si>
  <si>
    <t>Bảng số 2: Định mức chi phí lập báo cáo nghiên cứu tiền khả thi</t>
  </si>
  <si>
    <t>NCTKT79^</t>
  </si>
  <si>
    <t>&lt;= 15</t>
  </si>
  <si>
    <t>NCTKT79$</t>
  </si>
  <si>
    <t>Bảng số 3: Định mức chi phí lập báo cáo nghiên cứu khả thi</t>
  </si>
  <si>
    <t>NCKT79^</t>
  </si>
  <si>
    <t>NCKT79$</t>
  </si>
  <si>
    <t>Bảng số 4: Định mức chi phí lập báo cáo kinh tế - kỹ thuật</t>
  </si>
  <si>
    <t>LBC79^</t>
  </si>
  <si>
    <t>&lt;= 1</t>
  </si>
  <si>
    <t>&lt; 15</t>
  </si>
  <si>
    <t>LBC79$</t>
  </si>
  <si>
    <t>MBA 3 pha 22/0,4kV 1250kVA</t>
  </si>
  <si>
    <t>AD014</t>
  </si>
  <si>
    <t>MBA 3 pha 22/0,4kV 1500kVA</t>
  </si>
  <si>
    <t>AD015</t>
  </si>
  <si>
    <t>MBA 3 pha 22/0,4kV 1600kVA</t>
  </si>
  <si>
    <t>AD016</t>
  </si>
  <si>
    <t>MBA 3 pha 22/0,4kV 2000kVA</t>
  </si>
  <si>
    <t>BA000</t>
  </si>
  <si>
    <t>Biến áp đo đếm 8400/120V-50VA</t>
  </si>
  <si>
    <t xml:space="preserve">  Tài sản ĐL</t>
  </si>
  <si>
    <t>BA001</t>
  </si>
  <si>
    <t>Băng keo cách điện</t>
  </si>
  <si>
    <t>cuộn</t>
  </si>
  <si>
    <t>RG001</t>
  </si>
  <si>
    <t>Keo dán ống nhựa</t>
  </si>
  <si>
    <t>RG002</t>
  </si>
  <si>
    <t>Nylon báo hiệu cáp ngầm</t>
  </si>
  <si>
    <t>RG003</t>
  </si>
  <si>
    <t>Kg</t>
  </si>
  <si>
    <t>CHI PHÍ QUẢN LÝ DỰ ÁN</t>
  </si>
  <si>
    <t>CBAT</t>
  </si>
  <si>
    <t>Dựng trụ BT ≤ 12m, TC + cẩu</t>
  </si>
  <si>
    <t>Dựng trụ BT ≤ 14m, TC + cẩu</t>
  </si>
  <si>
    <t>Dựng trụ BT ≤ 16m, TC + cẩu</t>
  </si>
  <si>
    <t>Dựng trụ BT ≤ 18m, TC + cẩu</t>
  </si>
  <si>
    <t>Dựng trụ BT ≤ 20m, TC + cẩu</t>
  </si>
  <si>
    <t>Dựng trụ BT &gt; 20m, TC + cẩu</t>
  </si>
  <si>
    <t>Dựng trụ BT ≤ 16m, TC + máy kéo</t>
  </si>
  <si>
    <t>Dựng trụ BT ≤ 18m, TC + máy kéo</t>
  </si>
  <si>
    <t>Dựng trụ BT ≤ 20m, TC + máy kéo</t>
  </si>
  <si>
    <t>Móng neo chằng trụ 14m</t>
  </si>
  <si>
    <t>Bộ dây chằng xuống trụ 14m</t>
  </si>
  <si>
    <t>Bộ dây chằng hẹp trụ 14m</t>
  </si>
  <si>
    <t>II.13</t>
  </si>
  <si>
    <t>II.14</t>
  </si>
  <si>
    <t>Neo bê tông cốt thép dài 1,5m</t>
  </si>
  <si>
    <t>GA002</t>
  </si>
  <si>
    <t>Neo bê tông cốt thép dài 2,5m</t>
  </si>
  <si>
    <t>GB000</t>
  </si>
  <si>
    <t>Đế neo bêtông  400x1500</t>
  </si>
  <si>
    <t>GB001</t>
  </si>
  <si>
    <t>Đế neo bêtông  600x1500</t>
  </si>
  <si>
    <t>TRỤ</t>
  </si>
  <si>
    <r>
      <t>5% x (G</t>
    </r>
    <r>
      <rPr>
        <b/>
        <vertAlign val="subscript"/>
        <sz val="10"/>
        <rFont val="Times New Roman"/>
        <family val="1"/>
      </rPr>
      <t>XD</t>
    </r>
    <r>
      <rPr>
        <b/>
        <sz val="10"/>
        <rFont val="Times New Roman"/>
        <family val="1"/>
      </rPr>
      <t>+G</t>
    </r>
    <r>
      <rPr>
        <b/>
        <vertAlign val="subscript"/>
        <sz val="10"/>
        <rFont val="Times New Roman"/>
        <family val="1"/>
      </rPr>
      <t>TB</t>
    </r>
    <r>
      <rPr>
        <b/>
        <sz val="10"/>
        <rFont val="Times New Roman"/>
        <family val="1"/>
      </rPr>
      <t>+G</t>
    </r>
    <r>
      <rPr>
        <b/>
        <vertAlign val="subscript"/>
        <sz val="10"/>
        <rFont val="Times New Roman"/>
        <family val="1"/>
      </rPr>
      <t>QLDA</t>
    </r>
    <r>
      <rPr>
        <b/>
        <sz val="10"/>
        <rFont val="Times New Roman"/>
        <family val="1"/>
      </rPr>
      <t>+G</t>
    </r>
    <r>
      <rPr>
        <b/>
        <vertAlign val="subscript"/>
        <sz val="10"/>
        <rFont val="Times New Roman"/>
        <family val="1"/>
      </rPr>
      <t>TV</t>
    </r>
    <r>
      <rPr>
        <b/>
        <sz val="10"/>
        <rFont val="Times New Roman"/>
        <family val="1"/>
      </rPr>
      <t>+G</t>
    </r>
    <r>
      <rPr>
        <b/>
        <vertAlign val="subscript"/>
        <sz val="10"/>
        <rFont val="Times New Roman"/>
        <family val="1"/>
      </rPr>
      <t>K</t>
    </r>
    <r>
      <rPr>
        <b/>
        <sz val="10"/>
        <rFont val="Times New Roman"/>
        <family val="1"/>
      </rPr>
      <t>)</t>
    </r>
  </si>
  <si>
    <r>
      <t>5%x(G</t>
    </r>
    <r>
      <rPr>
        <b/>
        <vertAlign val="subscript"/>
        <sz val="10"/>
        <rFont val="Times New Roman"/>
        <family val="1"/>
      </rPr>
      <t>XD</t>
    </r>
    <r>
      <rPr>
        <b/>
        <sz val="10"/>
        <rFont val="Times New Roman"/>
        <family val="1"/>
      </rPr>
      <t>+G</t>
    </r>
    <r>
      <rPr>
        <b/>
        <vertAlign val="subscript"/>
        <sz val="10"/>
        <rFont val="Times New Roman"/>
        <family val="1"/>
      </rPr>
      <t>TB</t>
    </r>
    <r>
      <rPr>
        <b/>
        <sz val="10"/>
        <rFont val="Times New Roman"/>
        <family val="1"/>
      </rPr>
      <t>+G</t>
    </r>
    <r>
      <rPr>
        <b/>
        <vertAlign val="subscript"/>
        <sz val="10"/>
        <rFont val="Times New Roman"/>
        <family val="1"/>
      </rPr>
      <t>QLDA</t>
    </r>
    <r>
      <rPr>
        <b/>
        <sz val="10"/>
        <rFont val="Times New Roman"/>
        <family val="1"/>
      </rPr>
      <t>+G</t>
    </r>
    <r>
      <rPr>
        <b/>
        <vertAlign val="subscript"/>
        <sz val="10"/>
        <rFont val="Times New Roman"/>
        <family val="1"/>
      </rPr>
      <t>TV</t>
    </r>
    <r>
      <rPr>
        <b/>
        <sz val="10"/>
        <rFont val="Times New Roman"/>
        <family val="1"/>
      </rPr>
      <t>+G</t>
    </r>
    <r>
      <rPr>
        <b/>
        <vertAlign val="subscript"/>
        <sz val="10"/>
        <rFont val="Times New Roman"/>
        <family val="1"/>
      </rPr>
      <t>K</t>
    </r>
    <r>
      <rPr>
        <b/>
        <sz val="10"/>
        <rFont val="Times New Roman"/>
        <family val="1"/>
      </rPr>
      <t>)</t>
    </r>
  </si>
  <si>
    <t>- Trường hợp dây trung hòa đặt trên đà (gây môment lớn nhất)</t>
  </si>
  <si>
    <r>
      <t>k</t>
    </r>
    <r>
      <rPr>
        <vertAlign val="subscript"/>
        <sz val="13"/>
        <rFont val="Times New Roman"/>
        <family val="1"/>
      </rPr>
      <t>og</t>
    </r>
  </si>
  <si>
    <r>
      <t>d</t>
    </r>
    <r>
      <rPr>
        <vertAlign val="subscript"/>
        <sz val="13"/>
        <color indexed="10"/>
        <rFont val="Times New Roman"/>
        <family val="1"/>
      </rPr>
      <t>o</t>
    </r>
  </si>
  <si>
    <r>
      <t>m h</t>
    </r>
    <r>
      <rPr>
        <vertAlign val="subscript"/>
        <sz val="13"/>
        <color indexed="10"/>
        <rFont val="Times New Roman"/>
        <family val="1"/>
      </rPr>
      <t>1</t>
    </r>
    <r>
      <rPr>
        <sz val="13"/>
        <color indexed="10"/>
        <rFont val="Times New Roman"/>
        <family val="1"/>
      </rPr>
      <t xml:space="preserve"> d</t>
    </r>
    <r>
      <rPr>
        <vertAlign val="subscript"/>
        <sz val="13"/>
        <color indexed="10"/>
        <rFont val="Times New Roman"/>
        <family val="1"/>
      </rPr>
      <t>1</t>
    </r>
    <r>
      <rPr>
        <sz val="13"/>
        <color indexed="10"/>
        <rFont val="Times New Roman"/>
        <family val="1"/>
      </rPr>
      <t xml:space="preserve"> (1 + f)</t>
    </r>
  </si>
  <si>
    <r>
      <t>A = E(1 + 2Φ</t>
    </r>
    <r>
      <rPr>
        <vertAlign val="superscript"/>
        <sz val="13"/>
        <color indexed="10"/>
        <rFont val="Times New Roman"/>
        <family val="1"/>
      </rPr>
      <t>2</t>
    </r>
    <r>
      <rPr>
        <sz val="13"/>
        <color indexed="10"/>
        <rFont val="Times New Roman"/>
        <family val="1"/>
      </rPr>
      <t>) + kS</t>
    </r>
  </si>
  <si>
    <r>
      <t>m . b . h</t>
    </r>
    <r>
      <rPr>
        <vertAlign val="superscript"/>
        <sz val="13"/>
        <color indexed="10"/>
        <rFont val="Times New Roman"/>
        <family val="1"/>
      </rPr>
      <t>2</t>
    </r>
  </si>
  <si>
    <r>
      <t>- m = γ tg</t>
    </r>
    <r>
      <rPr>
        <vertAlign val="subscript"/>
        <sz val="13"/>
        <color indexed="10"/>
        <rFont val="Times New Roman"/>
        <family val="1"/>
      </rPr>
      <t>2</t>
    </r>
    <r>
      <rPr>
        <sz val="13"/>
        <color indexed="10"/>
        <rFont val="Times New Roman"/>
        <family val="1"/>
      </rPr>
      <t>(45</t>
    </r>
    <r>
      <rPr>
        <vertAlign val="superscript"/>
        <sz val="13"/>
        <color indexed="10"/>
        <rFont val="Times New Roman"/>
        <family val="1"/>
      </rPr>
      <t>o</t>
    </r>
    <r>
      <rPr>
        <sz val="13"/>
        <color indexed="10"/>
        <rFont val="Times New Roman"/>
        <family val="1"/>
      </rPr>
      <t xml:space="preserve"> + φ/2) =</t>
    </r>
  </si>
  <si>
    <t>I. TÍNH TOÁN CƠ KHÍ PHẦN ĐƯỜNG DÂY</t>
  </si>
  <si>
    <t>II. TÍNH TOÁN SỤT ÁP TRÊN ĐƯỜNG DÂY</t>
  </si>
  <si>
    <t>Trụ 8,5Đ + M8a</t>
  </si>
  <si>
    <t>Trụ 8,5Đ + M 0,8x0,8x0,8</t>
  </si>
  <si>
    <t>Trụ 8,5G + M 0,8x1,0x0,8</t>
  </si>
  <si>
    <t>Trụ 10,5Đ + M10a</t>
  </si>
  <si>
    <t>Trụ 10,5Đ + M 1,0x1,0x0,8</t>
  </si>
  <si>
    <t>Trụ 10,5G + M 1,2x1,0x0,8</t>
  </si>
  <si>
    <t>Trụ 12Đ + M12ba</t>
  </si>
  <si>
    <t>V/c cáp bằng thủ công (≤300m)</t>
  </si>
  <si>
    <t>Bộ dây chằng xuống trụ 16m đơn</t>
  </si>
  <si>
    <t>Bộ dây chằng xuống trụ 20m đơn</t>
  </si>
  <si>
    <t>Bộ dây chằng xuống trụ 16m kép</t>
  </si>
  <si>
    <t>Móng neo chằng trụ 16,20m</t>
  </si>
  <si>
    <t>I.8</t>
  </si>
  <si>
    <t>II.15</t>
  </si>
  <si>
    <t>II.16</t>
  </si>
  <si>
    <t>II.17</t>
  </si>
  <si>
    <t>Bộ xà 4K (trụ Pi tim 1,8)</t>
  </si>
  <si>
    <t>Bộ đà 4,2K (trụ 20m Pi - tim 1,8m) sdl</t>
  </si>
  <si>
    <t>Sứ treo POLYME (sdl)</t>
  </si>
  <si>
    <t>sdl</t>
  </si>
  <si>
    <t>Sứ đứng 24kV (sdl)</t>
  </si>
  <si>
    <t>Bộ đà 24K (sdl)</t>
  </si>
  <si>
    <t>Bộ đà 24Đ (sdl)</t>
  </si>
  <si>
    <t>II.18</t>
  </si>
  <si>
    <t>II.19</t>
  </si>
  <si>
    <t>Bộ dây chằng xuống trụ 14m tháp sắt</t>
  </si>
  <si>
    <t>IV.8</t>
  </si>
  <si>
    <t>D2.5242</t>
  </si>
  <si>
    <t>II.20</t>
  </si>
  <si>
    <t>04.02.41</t>
  </si>
  <si>
    <t>04.02.42</t>
  </si>
  <si>
    <t>II.21</t>
  </si>
  <si>
    <t>Cáp ngầm 3 pha 0,6/1kV CXV/DSTA 4x4,0</t>
  </si>
  <si>
    <t>KV033</t>
  </si>
  <si>
    <t>Cáp ngầm 3 pha 0,6/1kV CXV/DSTA 4x6,0</t>
  </si>
  <si>
    <t>KV034</t>
  </si>
  <si>
    <t>Cáp ngầm 3 pha 0,6/1kV CXV/DSTA 4x8,0</t>
  </si>
  <si>
    <t>KV035</t>
  </si>
  <si>
    <t>Cáp ngầm 3 pha 0,6/1kV CXV/DSTA 4x11</t>
  </si>
  <si>
    <t>KV036</t>
  </si>
  <si>
    <t>: Hệ số điều chỉnh đối với hàng chở bằng xe có tải trọng dưới 3 tấn.</t>
  </si>
  <si>
    <t>: Đơn giá vận chuyển đường bộ đối với đường loại 3.</t>
  </si>
  <si>
    <t>: Đơn giá vận chuyển đường sông đối với sông loại 1.</t>
  </si>
  <si>
    <r>
      <t xml:space="preserve">Cự ly </t>
    </r>
    <r>
      <rPr>
        <b/>
        <sz val="10"/>
        <color indexed="10"/>
        <rFont val="Times New Roman"/>
        <family val="1"/>
      </rPr>
      <t>(km)</t>
    </r>
  </si>
  <si>
    <t>03.4008</t>
  </si>
  <si>
    <t>03.4009</t>
  </si>
  <si>
    <t>Tiếp địa trụ 8,5m (trụ hiện hữu)</t>
  </si>
  <si>
    <t>Tiếp địa trụ 8,5m (tiếp địa thân trụ)</t>
  </si>
  <si>
    <t>MBA 1 pha 8,6(12,7)/0,22-0,44kV 50kVA</t>
  </si>
  <si>
    <t>AA005</t>
  </si>
  <si>
    <t>Cáp Cu/PVC 0,6/1kV (3x2x150 + 1x150)mm2</t>
  </si>
  <si>
    <t>Cáp Cu/PVC 0,6/1kV (3x3x120 + 2x95)mm2</t>
  </si>
  <si>
    <t>Cáp Cu/PVC 0,6/1kV (3x3x185 + 2x150)mm2</t>
  </si>
  <si>
    <t>Lắp cáp trên giá hầm cáp ≤ 3kg/m</t>
  </si>
  <si>
    <t>Lắp cáp trên giá hầm cáp ≤ 4,5kg/m</t>
  </si>
  <si>
    <t>Lắp cáp trên giá hầm cáp ≤ 6kg/m</t>
  </si>
  <si>
    <t>Lắp cáp trên giá hầm cáp ≤ 7,5kg/m</t>
  </si>
  <si>
    <t xml:space="preserve">Lắp máy biến áp 1 pha  ≤ 30 kVA </t>
  </si>
  <si>
    <t xml:space="preserve">Lắp máy biến áp 1 pha  ≤ 50 kVA </t>
  </si>
  <si>
    <r>
      <t>G</t>
    </r>
    <r>
      <rPr>
        <b/>
        <vertAlign val="subscript"/>
        <sz val="12"/>
        <color indexed="10"/>
        <rFont val="Times New Roman"/>
        <family val="1"/>
      </rPr>
      <t>XD</t>
    </r>
  </si>
  <si>
    <r>
      <t>G</t>
    </r>
    <r>
      <rPr>
        <b/>
        <vertAlign val="subscript"/>
        <sz val="12"/>
        <color indexed="10"/>
        <rFont val="Times New Roman"/>
        <family val="1"/>
      </rPr>
      <t>TB</t>
    </r>
  </si>
  <si>
    <r>
      <t>G</t>
    </r>
    <r>
      <rPr>
        <b/>
        <vertAlign val="subscript"/>
        <sz val="12"/>
        <color indexed="10"/>
        <rFont val="Times New Roman"/>
        <family val="1"/>
      </rPr>
      <t>QLDA</t>
    </r>
  </si>
  <si>
    <r>
      <t>G</t>
    </r>
    <r>
      <rPr>
        <b/>
        <vertAlign val="subscript"/>
        <sz val="12"/>
        <color indexed="10"/>
        <rFont val="Times New Roman"/>
        <family val="1"/>
      </rPr>
      <t>TV</t>
    </r>
  </si>
  <si>
    <t>Giá trị hợp đồng trên có thể được điều chỉnh trong các trường hợp sau :</t>
  </si>
  <si>
    <t>-  Bổ sung, điều chỉnh khối lượng thực hiện so với hợp đồng.</t>
  </si>
  <si>
    <t>Kẹp rẽ nhánh WR 120-240/25-70</t>
  </si>
  <si>
    <t>Kẹp quai Cu/Al 4/0</t>
  </si>
  <si>
    <t>Đầu cosse Cu/Al 50</t>
  </si>
  <si>
    <t>Boulon MK 16x300</t>
  </si>
  <si>
    <t>Boulon MK 16x550</t>
  </si>
  <si>
    <t>Boulon MK VRS 16x500</t>
  </si>
  <si>
    <t>Boulon MK VRS 16x750</t>
  </si>
  <si>
    <t>Bảng tên nhánh</t>
  </si>
  <si>
    <t>Cáp đồng 0,6/1kV (CV) 50mm2</t>
  </si>
  <si>
    <t>Cáp nhôm 0,6/1kV (LV-ABC) 4x95mm2</t>
  </si>
  <si>
    <t>Lắp đặt hộp nối cáp trung áp ≤ 120mm2</t>
  </si>
  <si>
    <t>Lắp đặt hộp nối cáp trung áp ≤ 185mm2</t>
  </si>
  <si>
    <t>Ống nhựa gân xoắn HDPE Ø 125 dày 9,2mm</t>
  </si>
  <si>
    <t>ND006</t>
  </si>
  <si>
    <t>Kẹp quai Cu/Al 2/0</t>
  </si>
  <si>
    <t>Đầu cosse Cu/Al 185</t>
  </si>
  <si>
    <t>Ống nối lèo dây AC 120</t>
  </si>
  <si>
    <t>Đào, đắp rãnh tiếp địa</t>
  </si>
  <si>
    <t>AB.11512</t>
  </si>
  <si>
    <t>T4.7001</t>
  </si>
  <si>
    <t>D2.8102</t>
  </si>
  <si>
    <t>KF008</t>
  </si>
  <si>
    <t>Cáp ngầm 3 pha 0,6/1kV CXV/DSTA 3x6+1x4</t>
  </si>
  <si>
    <t>AD003</t>
  </si>
  <si>
    <t>VC/1,05</t>
  </si>
  <si>
    <t>I.1</t>
  </si>
  <si>
    <t>I.2</t>
  </si>
  <si>
    <t>II.1</t>
  </si>
  <si>
    <t>III.1</t>
  </si>
  <si>
    <t>III.2</t>
  </si>
  <si>
    <t>9</t>
  </si>
  <si>
    <t>- Sụt áp % từ thanh cái đầu nguồn đến cuối đường dây</t>
  </si>
  <si>
    <r>
      <t>ΔU</t>
    </r>
    <r>
      <rPr>
        <vertAlign val="subscript"/>
        <sz val="13"/>
        <rFont val="Times New Roman"/>
        <family val="1"/>
      </rPr>
      <t>1%</t>
    </r>
    <r>
      <rPr>
        <sz val="13"/>
        <rFont val="Times New Roman"/>
        <family val="1"/>
      </rPr>
      <t xml:space="preserve"> + ΔU</t>
    </r>
    <r>
      <rPr>
        <vertAlign val="subscript"/>
        <sz val="13"/>
        <rFont val="Times New Roman"/>
        <family val="1"/>
      </rPr>
      <t>2%</t>
    </r>
  </si>
  <si>
    <r>
      <t>ΔU</t>
    </r>
    <r>
      <rPr>
        <vertAlign val="subscript"/>
        <sz val="13"/>
        <rFont val="Times New Roman"/>
        <family val="1"/>
      </rPr>
      <t>tt%</t>
    </r>
    <r>
      <rPr>
        <sz val="13"/>
        <rFont val="Times New Roman"/>
        <family val="1"/>
      </rPr>
      <t xml:space="preserve"> </t>
    </r>
  </si>
  <si>
    <t>* Tổn thất điện áp đạt theo quy định</t>
  </si>
  <si>
    <r>
      <t>U</t>
    </r>
    <r>
      <rPr>
        <vertAlign val="subscript"/>
        <sz val="13"/>
        <rFont val="Times New Roman"/>
        <family val="1"/>
      </rPr>
      <t>đm/pha</t>
    </r>
    <r>
      <rPr>
        <sz val="13"/>
        <rFont val="Times New Roman"/>
        <family val="1"/>
      </rPr>
      <t xml:space="preserve"> - U</t>
    </r>
    <r>
      <rPr>
        <vertAlign val="subscript"/>
        <sz val="13"/>
        <rFont val="Times New Roman"/>
        <family val="1"/>
      </rPr>
      <t>thtế/pha</t>
    </r>
  </si>
  <si>
    <t>=&gt; Cảm kháng đ.dây</t>
  </si>
  <si>
    <t>Ống nối căng cho dây nhôm trần lõi thép 240</t>
  </si>
  <si>
    <t>OD009</t>
  </si>
  <si>
    <t>Lắp đặt cáp trên dây thép ≤ 12kg/m</t>
  </si>
  <si>
    <t>V/c đá dăm bằng thủ công ( ≤ 500m)</t>
  </si>
  <si>
    <t>07.3314</t>
  </si>
  <si>
    <t>Dựng trụ thép đã lắp ≤ 50m, thủ công</t>
  </si>
  <si>
    <t>Lắp cách điện chuỗi trong trạm ≤ 8 bát/chuỗi</t>
  </si>
  <si>
    <t>Lắp cách điện chuỗi trong trạm ≤ 11 bát/chuỗi</t>
  </si>
  <si>
    <t>Lắp cách điện đứng trong trạm ≤ 35kV</t>
  </si>
  <si>
    <t>04.5102</t>
  </si>
  <si>
    <t>04.5103</t>
  </si>
  <si>
    <t>04.5104</t>
  </si>
  <si>
    <t>04.5105</t>
  </si>
  <si>
    <t>03.3313a</t>
  </si>
  <si>
    <t>03.3314a</t>
  </si>
  <si>
    <t>- Cộng phần khảo sát:</t>
  </si>
  <si>
    <t>Kéo dây trong phạm vi trạm ≤ AC 35</t>
  </si>
  <si>
    <t>Kéo dây trong phạm vi trạm ≤ AC 50</t>
  </si>
  <si>
    <t>Biến áp đo đếm 12000/120V - 50VA</t>
  </si>
  <si>
    <t>BA002</t>
  </si>
  <si>
    <t>BẢNG TỔNG KÊ TRẠM BIẾN ÁP DỰ KIẾN</t>
  </si>
  <si>
    <t>Rạch Búng Tàu 1</t>
  </si>
  <si>
    <t>Rạch Búng Tàu 2</t>
  </si>
  <si>
    <t>Rạch Năm Tòng</t>
  </si>
  <si>
    <t>Rạch Ông Tà</t>
  </si>
  <si>
    <t>Trạm treo 1x50kVA</t>
  </si>
  <si>
    <t>Trạm treo 1x50kVA (1 pha 3 dây)</t>
  </si>
  <si>
    <t>AE004</t>
  </si>
  <si>
    <t>Phụ kiện trạm 1x50kVA</t>
  </si>
  <si>
    <t>D4.5004</t>
  </si>
  <si>
    <t>D4.5002</t>
  </si>
  <si>
    <t>5. Rạch Ông Tà</t>
  </si>
  <si>
    <t>Cộng (5):</t>
  </si>
  <si>
    <t>160/190/84/37/7</t>
  </si>
  <si>
    <t>160/190/84/37/7/1</t>
  </si>
  <si>
    <t>160/190/84/37/7/2</t>
  </si>
  <si>
    <t>160/190/84/37/7/3</t>
  </si>
  <si>
    <t>160/190/84/37/7/4</t>
  </si>
  <si>
    <t>160/190/84/37/7/5</t>
  </si>
  <si>
    <t>160/190/84/37/7/6</t>
  </si>
  <si>
    <t>Trụ 16m ghép - Móng M200 (1,8x1,6x1,2)m3 tim 0,42m</t>
  </si>
  <si>
    <r>
      <t>Trụ 10m ghép - Móng BT M200 (1,2x1x0,8)m</t>
    </r>
    <r>
      <rPr>
        <b/>
        <vertAlign val="superscript"/>
        <sz val="10"/>
        <rFont val="Times New Roman"/>
        <family val="1"/>
      </rPr>
      <t>3</t>
    </r>
  </si>
  <si>
    <t>03.1212</t>
  </si>
  <si>
    <t>03.1213</t>
  </si>
  <si>
    <t>03.1214</t>
  </si>
  <si>
    <t>03.1215</t>
  </si>
  <si>
    <r>
      <t>m</t>
    </r>
    <r>
      <rPr>
        <vertAlign val="superscript"/>
        <sz val="10"/>
        <rFont val="Times New Roman"/>
        <family val="1"/>
      </rPr>
      <t>3</t>
    </r>
  </si>
  <si>
    <t>Lắp máy biến áp 3 pha ≤ 30KVA</t>
  </si>
  <si>
    <t xml:space="preserve">Lắp máy biến áp 3 pha  ≤ 50 kVA </t>
  </si>
  <si>
    <t xml:space="preserve">Lắp máy biến áp 3 pha  ≤ 100 kVA </t>
  </si>
  <si>
    <t xml:space="preserve">Lắp máy biến áp 3 pha  ≤ 180 kVA </t>
  </si>
  <si>
    <t xml:space="preserve">Lắp máy biến áp 3 pha  ≤ 320 kVA </t>
  </si>
  <si>
    <t xml:space="preserve">Lắp máy biến áp 3 pha  ≤ 560 kVA </t>
  </si>
  <si>
    <t>1. Mạch 3 - Đường Nam Sông Hậu</t>
  </si>
  <si>
    <t>* Tuyến 477/479HP</t>
  </si>
  <si>
    <t>56A/45</t>
  </si>
  <si>
    <t>56A/46</t>
  </si>
  <si>
    <t>Tuyến 477/479HP</t>
  </si>
  <si>
    <t>56A/47</t>
  </si>
  <si>
    <t>56A/48</t>
  </si>
  <si>
    <t>56A/49</t>
  </si>
  <si>
    <t>56A/50</t>
  </si>
  <si>
    <t>56A/51</t>
  </si>
  <si>
    <t>56A/52</t>
  </si>
  <si>
    <t>56A/53</t>
  </si>
  <si>
    <t>56A/54</t>
  </si>
  <si>
    <t>56A/55</t>
  </si>
  <si>
    <t>56A/56</t>
  </si>
  <si>
    <t>56A/57</t>
  </si>
  <si>
    <t>56A/58</t>
  </si>
  <si>
    <t>56A/59</t>
  </si>
  <si>
    <t>56A/60</t>
  </si>
  <si>
    <t>56A/61</t>
  </si>
  <si>
    <t>56A/62</t>
  </si>
  <si>
    <t>56A/63</t>
  </si>
  <si>
    <t>56A/64</t>
  </si>
  <si>
    <t>56A/65</t>
  </si>
  <si>
    <t>56A/66</t>
  </si>
  <si>
    <t>56A/67</t>
  </si>
  <si>
    <t>56A/68</t>
  </si>
  <si>
    <t>56A/69</t>
  </si>
  <si>
    <t>56A/70</t>
  </si>
  <si>
    <t>56A/71</t>
  </si>
  <si>
    <t>56A/72</t>
  </si>
  <si>
    <t>56A/73</t>
  </si>
  <si>
    <t>56A/74</t>
  </si>
  <si>
    <t>56A/75</t>
  </si>
  <si>
    <t>56A/76</t>
  </si>
  <si>
    <t>56A/77</t>
  </si>
  <si>
    <t>56A/78</t>
  </si>
  <si>
    <t>56A/79</t>
  </si>
  <si>
    <t>56A/80</t>
  </si>
  <si>
    <t>56A/81</t>
  </si>
  <si>
    <t>56A/82</t>
  </si>
  <si>
    <t>56A/83</t>
  </si>
  <si>
    <t>56A/84</t>
  </si>
  <si>
    <t>56A/85</t>
  </si>
  <si>
    <t>56A/86</t>
  </si>
  <si>
    <t>56A/87</t>
  </si>
  <si>
    <t>56A/88</t>
  </si>
  <si>
    <t>56A/89</t>
  </si>
  <si>
    <t>56A/90</t>
  </si>
  <si>
    <t>56A/60A</t>
  </si>
  <si>
    <t>56A/88A</t>
  </si>
  <si>
    <t>56A/90A</t>
  </si>
  <si>
    <t>1. Đường Nam Sông Hậu</t>
  </si>
  <si>
    <t>GSKS79$</t>
  </si>
  <si>
    <t>Bù lon mạ kẽm 8x50</t>
  </si>
  <si>
    <t>QB002</t>
  </si>
  <si>
    <t>Bù lon mạ kẽm 8x80</t>
  </si>
  <si>
    <t>QC000</t>
  </si>
  <si>
    <t>Đổ bê tông móng bản, đá 2x4,
bằng thủ công, M250</t>
  </si>
  <si>
    <t>04.1211a</t>
  </si>
  <si>
    <t xml:space="preserve">Đổ BT móng trụ, chiều rộng ≤250cm, đá 2x4, bằng TC + đầm dùi M100 </t>
  </si>
  <si>
    <t>04.1211b</t>
  </si>
  <si>
    <t>Đổ BT móng trụ, chiều rộng ≤250cm, đá 2x4, bằng TC + đầm dùi M150</t>
  </si>
  <si>
    <t>04.1211c</t>
  </si>
  <si>
    <t>Đường dây hạ áp</t>
  </si>
  <si>
    <t>Số lần thanh toán tiền thiết kế</t>
  </si>
  <si>
    <t>m cáp đồng chống thấm 24kV (CX) - 150mm2</t>
  </si>
  <si>
    <t>m cáp đồng chống thấm 24kV (CX) - 25mm2</t>
  </si>
  <si>
    <t>Cáp nhôm lõi thép 24kV (ACX) - 185mm2</t>
  </si>
  <si>
    <t>56A/90B</t>
  </si>
  <si>
    <t>m cáp nhôm lõi thép bọc XLPE 24kV (ACX) - 185mm2</t>
  </si>
  <si>
    <t>Hắc ín</t>
  </si>
  <si>
    <t>RG005</t>
  </si>
  <si>
    <t>Sơn đen</t>
  </si>
  <si>
    <t>Chai</t>
  </si>
  <si>
    <t>RG006</t>
  </si>
  <si>
    <t>Sơn trắng</t>
  </si>
  <si>
    <t>V/c sứ bằng thủ công</t>
  </si>
  <si>
    <t>V/c sứ bằng thủ công (&gt;500m)</t>
  </si>
  <si>
    <t>V/c cáp bằng thủ công</t>
  </si>
  <si>
    <t>Cáp ĐK 4 ruột đồng bọc PVC vỏ PVC3x7+4</t>
  </si>
  <si>
    <t>KK001</t>
  </si>
  <si>
    <t>Long đền tròn ĐK      bù lon 10</t>
  </si>
  <si>
    <t>QK003</t>
  </si>
  <si>
    <t>Long đền tròn ĐK      bù lon 12</t>
  </si>
  <si>
    <t>QK004</t>
  </si>
  <si>
    <t>Long đền tròn ĐK      bù lon 14</t>
  </si>
  <si>
    <t>MBA 3 pha 15(22)/0,4kV 1250kVA</t>
  </si>
  <si>
    <t>AB014</t>
  </si>
  <si>
    <t>MBA 3 pha 15(22)/0,4kV 1500kVA</t>
  </si>
  <si>
    <t>AB015</t>
  </si>
  <si>
    <t>MBA 3 pha 15(22)/0,4kV 1600kVA</t>
  </si>
  <si>
    <t>AB016</t>
  </si>
  <si>
    <t>Số lần thanh toán tiền giám sát</t>
  </si>
  <si>
    <t xml:space="preserve">Tên đơn vị </t>
  </si>
  <si>
    <t>Địa chỉ</t>
  </si>
  <si>
    <t xml:space="preserve">Số điện thoại  </t>
  </si>
  <si>
    <t xml:space="preserve">Tài khoản số </t>
  </si>
  <si>
    <t>Mở tại :</t>
  </si>
  <si>
    <t>Mã số thuế</t>
  </si>
  <si>
    <t>Đổ BT móng trụ, chiều rộng &gt;250cm, đá 2x4, bằng TC + đầm dùi M200</t>
  </si>
  <si>
    <t xml:space="preserve">Hiệu lực của hợp đồng : hợp đồng này có hiệu lực từ ngày hai bên ký kết và hết hiệu </t>
  </si>
  <si>
    <t>Đo vẽ BĐ:</t>
  </si>
  <si>
    <t xml:space="preserve">Kstuyến: </t>
  </si>
  <si>
    <t>Vùng 3</t>
  </si>
  <si>
    <t>Vùng 4</t>
  </si>
  <si>
    <t>Vật liệu
SD lại</t>
  </si>
  <si>
    <t>MBA 1 pha 8,6(12,7)/0,22-0,44kV 25kVA</t>
  </si>
  <si>
    <t>AA003</t>
  </si>
  <si>
    <t>MBA 1 pha 8,6(12,7)/0,22-0,44kV 37,5kVA</t>
  </si>
  <si>
    <t>AA004</t>
  </si>
  <si>
    <t>Lắp dựng trụ thép cao ≤30m, TC</t>
  </si>
  <si>
    <t>Đất nhỏ lẫn cát ngấm nước</t>
  </si>
  <si>
    <t>Sỏi, cát lớn ngấm nước</t>
  </si>
  <si>
    <t>Biến dòng đo đếm 24kV 2,5-5/5A</t>
  </si>
  <si>
    <t>02.1142</t>
  </si>
  <si>
    <t>02.1143</t>
  </si>
  <si>
    <t>02.1144</t>
  </si>
  <si>
    <t>02.1145</t>
  </si>
  <si>
    <t>02.1162</t>
  </si>
  <si>
    <t>02.1163</t>
  </si>
  <si>
    <t>02.1164</t>
  </si>
  <si>
    <t>02.1165</t>
  </si>
  <si>
    <t>02.1202</t>
  </si>
  <si>
    <t>02.1203</t>
  </si>
  <si>
    <t>Dây nhôm trần lõi thép bọc mỡ 70/11</t>
  </si>
  <si>
    <t>KC003</t>
  </si>
  <si>
    <t>Lắp đặt thanh cái ống đường kính ≤ 200</t>
  </si>
  <si>
    <t xml:space="preserve">NỐI THANH CÁI </t>
  </si>
  <si>
    <t>04.6101</t>
  </si>
  <si>
    <t>10 mối</t>
  </si>
  <si>
    <t>07.3108</t>
  </si>
  <si>
    <t>07.3109</t>
  </si>
  <si>
    <t>07.3111</t>
  </si>
  <si>
    <t>07.3404</t>
  </si>
  <si>
    <t>07.3405</t>
  </si>
  <si>
    <t>07.3406</t>
  </si>
  <si>
    <t>07.3407</t>
  </si>
  <si>
    <t>07.3408</t>
  </si>
  <si>
    <t>07.3411</t>
  </si>
  <si>
    <t>07.3412</t>
  </si>
  <si>
    <t>07.3413</t>
  </si>
  <si>
    <t>07.4101</t>
  </si>
  <si>
    <t>đầu</t>
  </si>
  <si>
    <t>trang 134, đơn giá XDCB chuyên ngành xây lắp đường dây tải điện và lắp đặt TBA</t>
  </si>
  <si>
    <t>01.1411</t>
  </si>
  <si>
    <t>01.1412</t>
  </si>
  <si>
    <t>01.1413</t>
  </si>
  <si>
    <t>Đổ bê tông móng bản, đá 2x4,
bằng TC + đầm dùi, M250</t>
  </si>
  <si>
    <t>Dây nhôm trần lõi thép bọc mỡ 95/16</t>
  </si>
  <si>
    <t>KC004</t>
  </si>
  <si>
    <t>Nối thẳng ống PVC 60</t>
  </si>
  <si>
    <t>NC003</t>
  </si>
  <si>
    <t>Nối thẳng ống PVC 90</t>
  </si>
  <si>
    <t>NC004</t>
  </si>
  <si>
    <t>Nối thẳng ống PVC 114</t>
  </si>
  <si>
    <t>NC005</t>
  </si>
  <si>
    <t>02.1213</t>
  </si>
  <si>
    <t>02.1214</t>
  </si>
  <si>
    <t>Biến áp đo đếm 8400 -12000/120V 50VA</t>
  </si>
  <si>
    <t>BB000</t>
  </si>
  <si>
    <t>Cáp ngầm 3 pha 24kV CXV/DSTA/PVC 3x120</t>
  </si>
  <si>
    <t>Cáp ngầm 3 pha 24kV CXV/DSTA/PVC 3x150</t>
  </si>
  <si>
    <t>Cáp ngầm 3 pha 24kV CXV/DSTA/PVC 3x185</t>
  </si>
  <si>
    <t>Cáp ngầm 3 pha 24kV CXV/DSTA/PVC 3x240</t>
  </si>
  <si>
    <t>KR009</t>
  </si>
  <si>
    <t>Cáp ngầm 3 pha 24kV CXV/DSTA/PVC 3x300</t>
  </si>
  <si>
    <t>Cty TNHH Điện Công Nghiệp CaBa</t>
  </si>
  <si>
    <t>07.2405</t>
  </si>
  <si>
    <t>07.3104</t>
  </si>
  <si>
    <t>Kẹp rẽ nhánh WR 10-35 / 10-35</t>
  </si>
  <si>
    <t>KY008</t>
  </si>
  <si>
    <t>Đầu cáp ngầm 3 pha 24kV ngoài trời 3x300</t>
  </si>
  <si>
    <t>SỨ ĐỨNG - SỨ TREO</t>
  </si>
  <si>
    <t>Lắp đặt cáp vặn xoắn 4 x 50 mm2</t>
  </si>
  <si>
    <t>Lắp đặt cáp vặn xoắn 4 x 70 mm2</t>
  </si>
  <si>
    <t>Lắp đặt cáp vặn xoắn 4 x 95 mm2</t>
  </si>
  <si>
    <t xml:space="preserve">    Căn cứ Bộ Luật Dân sự số: 91/2015/QH13 ngày 24/11/2015 của Quốc hội Nước Cộng Hòa Xã</t>
  </si>
  <si>
    <t>Hội Chủ Nghĩa Việt Nam khoá XIII, kỳ họp thứ 10;</t>
  </si>
  <si>
    <t xml:space="preserve">    Căn cứ Luật Thương mại số: 36/2005/QH11 ngày 14/06/2005 của Quốc hội Nước Cộng Hòa Xã</t>
  </si>
  <si>
    <t>từng hạng mục theo QĐ: 2549/QĐ-EVN SPC ngày 31/8/2015 của Tổng công ty Điện lực miền Nam.</t>
  </si>
  <si>
    <t>Số:            /QĐ-PCHG</t>
  </si>
  <si>
    <r>
      <t xml:space="preserve">Điều 1. </t>
    </r>
    <r>
      <rPr>
        <sz val="11"/>
        <rFont val="Times New Roman"/>
        <family val="1"/>
      </rPr>
      <t>Nay giao cho tổ giám sát gồm:</t>
    </r>
  </si>
  <si>
    <r>
      <t xml:space="preserve">Điều 2. </t>
    </r>
    <r>
      <rPr>
        <sz val="11"/>
        <rFont val="Times New Roman"/>
        <family val="1"/>
      </rPr>
      <t>Phân công trách nhiệm:</t>
    </r>
  </si>
  <si>
    <t>Lưu: VT, KT(HSCT, Thn.4).</t>
  </si>
  <si>
    <t>Lắp đặt máy biến điện áp 1 pha ≤35kV</t>
  </si>
  <si>
    <t>Lắp đặt máy biến điện áp 1 pha ≤10kV</t>
  </si>
  <si>
    <t>Lắp đặt máy biến điện áp 3 pha ≤35kV</t>
  </si>
  <si>
    <t>Lắp đặt máy biến điện áp 3 pha ≤10kV</t>
  </si>
  <si>
    <t>Đắp đất rãnh tiếp địa, độ chặt k =0,85</t>
  </si>
  <si>
    <t>Đắp đất rãnh tiếp địa, độ chặt k =0,9</t>
  </si>
  <si>
    <t>Đóng cọc tiếp địa L=2,5 xuống đất cấp II</t>
  </si>
  <si>
    <t>T2.3505at</t>
  </si>
  <si>
    <t>Bộ đà đỡ FCO, LA trạm 1 pha</t>
  </si>
  <si>
    <t>03.09.301</t>
  </si>
  <si>
    <t>Bộ dây trung áp trạm treo 1 pha</t>
  </si>
  <si>
    <t>IV.1</t>
  </si>
  <si>
    <t>thẩm quyền cho phép.</t>
  </si>
  <si>
    <t>chỉnh phù hợp với các quy định của pháp luật.</t>
  </si>
  <si>
    <t>5.1.  Tạm ứng hợp đồng :</t>
  </si>
  <si>
    <t>-  Việc tạm ứng vốn được thực hiện ngay sau khi hợp đồng có hiệu lực :</t>
  </si>
  <si>
    <t>Số tiền bên A tạm ứng cho bên B là</t>
  </si>
  <si>
    <t>Chất lượng công việc do Bên B thực hiện phải đáp ứng theo yêu cầu của Bên A, phải tuân thủ</t>
  </si>
  <si>
    <t>Phân xưởng rèn, dập</t>
  </si>
  <si>
    <t>Trụ BTLT 10,5m - 480kgf</t>
  </si>
  <si>
    <t>HB002</t>
  </si>
  <si>
    <t>Trụ BTLT 12m - 540kgf</t>
  </si>
  <si>
    <t>HB003</t>
  </si>
  <si>
    <t>≥</t>
  </si>
  <si>
    <t xml:space="preserve">- Độ dự trù </t>
  </si>
  <si>
    <t>* Kết luận độ tỉnh không của đường dây đạt theo điều kiện an toàn</t>
  </si>
  <si>
    <t>Hợp đồng này có hiệu lực khi có đủ chữ ký của hai bên.</t>
  </si>
  <si>
    <t xml:space="preserve">10.4.  </t>
  </si>
  <si>
    <t xml:space="preserve">Hợp đồng được lập thành 08 bản có giá trị pháp lý như nhau, Bên A giữ  04 bản, Bên B </t>
  </si>
  <si>
    <t>giữ  04 bản</t>
  </si>
  <si>
    <t xml:space="preserve">10.5.  </t>
  </si>
  <si>
    <t>- Điều kiện chọn CB:</t>
  </si>
  <si>
    <r>
      <t>I</t>
    </r>
    <r>
      <rPr>
        <vertAlign val="subscript"/>
        <sz val="13"/>
        <rFont val="Times New Roman"/>
        <family val="1"/>
      </rPr>
      <t>đmA</t>
    </r>
  </si>
  <si>
    <t>Chằng xuống CX trụ 14</t>
  </si>
  <si>
    <t>Chằng xuống CX trụ 12</t>
  </si>
  <si>
    <t>Chằng hẹp CH trụ 12</t>
  </si>
  <si>
    <t>Lắp đặt trụ chiếu sáng trạm chuyên dùng</t>
  </si>
  <si>
    <t>Loại đèn lắp đặt</t>
  </si>
  <si>
    <t>05.4101</t>
  </si>
  <si>
    <t>05.4102</t>
  </si>
  <si>
    <t>Lắp đèn hình cầu</t>
  </si>
  <si>
    <t>05.4103</t>
  </si>
  <si>
    <t>Lắp đèn chiếu sáng</t>
  </si>
  <si>
    <t>Cáp ngầm 3 pha 0,6/1kV CXV/DSTA 3x185</t>
  </si>
  <si>
    <t>Cáp ngầm 3 pha 0,6/1kV CXV/DSTA 3x240</t>
  </si>
  <si>
    <t>KV030</t>
  </si>
  <si>
    <t>b/ Giải quyết các trở ngại trong quá trình giám sát khi được bên B thông báo.</t>
  </si>
  <si>
    <t>Ống nối ép cho dây nhôm trần lõi thép 120</t>
  </si>
  <si>
    <t>OD014</t>
  </si>
  <si>
    <t>Ống nối ép cho dây nhôm trần lõi thép 150</t>
  </si>
  <si>
    <t>OD015</t>
  </si>
  <si>
    <t>Nối thanh cái ống đường kính ≤ 100</t>
  </si>
  <si>
    <t>Nối thanh cái ống đường kính ≤ 150</t>
  </si>
  <si>
    <t>Nối thanh cái ống đường kính ≤ 200</t>
  </si>
  <si>
    <t>Cosse ép dùng cho dây nhôm 70</t>
  </si>
  <si>
    <t>OB003</t>
  </si>
  <si>
    <t>PA003</t>
  </si>
  <si>
    <t>- Điều chỉnh đơn giá theo Thông tư 07/2006/TT-BXD ngày 10/11/2006 và Thông tư 05/2009/TT-BXD ngày 15/4/2009 của Bộ Xây Dựng v/v hướng dẫn điều chỉnh dự toán xây dựng công trình.</t>
  </si>
  <si>
    <t>Hệ số tính toán</t>
  </si>
  <si>
    <t>Hệ số điều chỉnh</t>
  </si>
  <si>
    <t xml:space="preserve">Thành tiền </t>
  </si>
  <si>
    <t>CM.02103</t>
  </si>
  <si>
    <t>Đo vẽ bản đồ địa hình trên cạn</t>
  </si>
  <si>
    <t>Chi phí vật liệu</t>
  </si>
  <si>
    <t>]x</t>
  </si>
  <si>
    <t>Chi phí nhân công</t>
  </si>
  <si>
    <t>Lắp đặt hộp nối cáp trung áp ≤ 70mm2</t>
  </si>
  <si>
    <t>MBA 3 pha 15(22)/0,4kV 2000kVA</t>
  </si>
  <si>
    <t>AC000</t>
  </si>
  <si>
    <t>MBA 1 pha 12,7/0,22-0,44kV 10kVA</t>
  </si>
  <si>
    <t>AC001</t>
  </si>
  <si>
    <t>MBA 1 pha 12,7/0,22-0,44kV 15kVA</t>
  </si>
  <si>
    <t>từ ngày hai bên ký duyệt quyết toán.</t>
  </si>
  <si>
    <r>
      <t xml:space="preserve">[1/ </t>
    </r>
    <r>
      <rPr>
        <vertAlign val="superscript"/>
        <sz val="13"/>
        <rFont val="Times New Roman"/>
        <family val="1"/>
      </rPr>
      <t>o</t>
    </r>
    <r>
      <rPr>
        <sz val="13"/>
        <rFont val="Times New Roman"/>
        <family val="1"/>
      </rPr>
      <t>C]</t>
    </r>
  </si>
  <si>
    <r>
      <t>.10</t>
    </r>
    <r>
      <rPr>
        <vertAlign val="superscript"/>
        <sz val="13"/>
        <rFont val="Times New Roman"/>
        <family val="1"/>
      </rPr>
      <t>-6</t>
    </r>
  </si>
  <si>
    <t>1,1</t>
  </si>
  <si>
    <t>20m mỗi bên</t>
  </si>
  <si>
    <t>: thuế giá trị gia tăng</t>
  </si>
  <si>
    <t>Bù lon mạ kẽm VRS 16x150</t>
  </si>
  <si>
    <t>QG002</t>
  </si>
  <si>
    <t>Bù lon mạ kẽm VRS 16x200</t>
  </si>
  <si>
    <t>QG003</t>
  </si>
  <si>
    <t>Bù lon mạ kẽm VRS 16x250</t>
  </si>
  <si>
    <t>QG004</t>
  </si>
  <si>
    <t>Bù lon mạ kẽm VRS 16x300</t>
  </si>
  <si>
    <t>QG005</t>
  </si>
  <si>
    <t>Bù lon mạ kẽm VRS 16x350</t>
  </si>
  <si>
    <t>QG006</t>
  </si>
  <si>
    <t>Bù lon mạ kẽm VRS 16x400</t>
  </si>
  <si>
    <t>QG007</t>
  </si>
  <si>
    <t>lý hợp đồng. Bên A thanh toán nốt phần còn lại của hợp đồng cho bên B.</t>
  </si>
  <si>
    <t>Chủng loại ĐDTA</t>
  </si>
  <si>
    <t>1 pha 2 dây 12,7kV</t>
  </si>
  <si>
    <t>3 pha 4 dây 12,7/22kV</t>
  </si>
  <si>
    <t>Đắp đất hào cáp ngầm, độ chặt k =0,9</t>
  </si>
  <si>
    <t>Đắp đất hào cáp ngầm, độ chặt k =0,95</t>
  </si>
  <si>
    <t>03.4121</t>
  </si>
  <si>
    <t>03.4122</t>
  </si>
  <si>
    <t>03.4123</t>
  </si>
  <si>
    <t>Đắp cát</t>
  </si>
  <si>
    <t>03.4131</t>
  </si>
  <si>
    <t>Làm đầu cáp ≤ 22kV, 3 pha ≤ 120mm2</t>
  </si>
  <si>
    <t>Ống PVC 21</t>
  </si>
  <si>
    <t>NA001</t>
  </si>
  <si>
    <t>Ống PVC 27</t>
  </si>
  <si>
    <t>NA002</t>
  </si>
  <si>
    <t>Ống PVC 60</t>
  </si>
  <si>
    <t>NA003</t>
  </si>
  <si>
    <t>Ống PVC 90</t>
  </si>
  <si>
    <t>NA004</t>
  </si>
  <si>
    <r>
      <t>24 β</t>
    </r>
    <r>
      <rPr>
        <vertAlign val="subscript"/>
        <sz val="13"/>
        <rFont val="Times New Roman"/>
        <family val="1"/>
      </rPr>
      <t xml:space="preserve">AC </t>
    </r>
    <r>
      <rPr>
        <sz val="13"/>
        <rFont val="Times New Roman"/>
        <family val="1"/>
      </rPr>
      <t>σ</t>
    </r>
    <r>
      <rPr>
        <vertAlign val="superscript"/>
        <sz val="13"/>
        <rFont val="Times New Roman"/>
        <family val="1"/>
      </rPr>
      <t>2</t>
    </r>
    <r>
      <rPr>
        <vertAlign val="subscript"/>
        <sz val="13"/>
        <rFont val="Times New Roman"/>
        <family val="1"/>
      </rPr>
      <t>ACθmin</t>
    </r>
  </si>
  <si>
    <r>
      <t>σ</t>
    </r>
    <r>
      <rPr>
        <vertAlign val="superscript"/>
        <sz val="13"/>
        <rFont val="Times New Roman"/>
        <family val="1"/>
      </rPr>
      <t>2</t>
    </r>
    <r>
      <rPr>
        <vertAlign val="subscript"/>
        <sz val="13"/>
        <rFont val="Times New Roman"/>
        <family val="1"/>
      </rPr>
      <t>ACθmax</t>
    </r>
  </si>
  <si>
    <r>
      <t>σ</t>
    </r>
    <r>
      <rPr>
        <vertAlign val="superscript"/>
        <sz val="13"/>
        <rFont val="Times New Roman"/>
        <family val="1"/>
      </rPr>
      <t>3</t>
    </r>
    <r>
      <rPr>
        <vertAlign val="subscript"/>
        <sz val="13"/>
        <rFont val="Times New Roman"/>
        <family val="1"/>
      </rPr>
      <t>ACθmax</t>
    </r>
  </si>
  <si>
    <t>Kéo rải, cố định cáp ngầm ≤ 3kg/m</t>
  </si>
  <si>
    <t>Kéo rải, cố định cáp ngầm ≤ 4,5kg/m</t>
  </si>
  <si>
    <t>Kéo rải, cố định cáp ngầm ≤ 6kg/m</t>
  </si>
  <si>
    <t>Kéo rải, cố định cáp ngầm ≤ 7,5kg/m</t>
  </si>
  <si>
    <t>Kéo rải, cố định cáp ngầm ≤ 9kg/m</t>
  </si>
  <si>
    <t>Kéo rải, cố định cáp ngầm ≤ 10,5kg/m</t>
  </si>
  <si>
    <t>Kéo rải, cố định cáp ngầm ≤ 12kg/m</t>
  </si>
  <si>
    <t>Kéo rải, cố định cáp ngầm ≤ 15kg/m</t>
  </si>
  <si>
    <t>Kéo rải, cố định cáp ngầm ≤ 18kg/m</t>
  </si>
  <si>
    <t>Kéo rải, cố định cáp ngầm ≤ 21kg/m</t>
  </si>
  <si>
    <t>Kéo rải, cố định cáp ngầm ≤ 24kg/m</t>
  </si>
  <si>
    <t>Kéo rải, cố định cáp ngầm ≤ 28kg/m</t>
  </si>
  <si>
    <t>Kéo rải, cố định cáp ngầm ≤ 32kg/m</t>
  </si>
  <si>
    <t>Lắp đặt cáp trên giá đỡ đặt ở trong tường trong hầm cáp</t>
  </si>
  <si>
    <t>03.1201</t>
  </si>
  <si>
    <t>03.1202</t>
  </si>
  <si>
    <t>03.1203</t>
  </si>
  <si>
    <t>03.1204</t>
  </si>
  <si>
    <t>03.1205</t>
  </si>
  <si>
    <t>03.1206</t>
  </si>
  <si>
    <t>03.1207</t>
  </si>
  <si>
    <t>03.1411</t>
  </si>
  <si>
    <t>03.1412</t>
  </si>
  <si>
    <t>03.1413</t>
  </si>
  <si>
    <t>03.1414</t>
  </si>
  <si>
    <t>03.1415</t>
  </si>
  <si>
    <t>Ống nối căng cho dây đồng 50mm2</t>
  </si>
  <si>
    <t>OC005</t>
  </si>
  <si>
    <t>Ống nối căng cho dây đồng 70mm2</t>
  </si>
  <si>
    <t>MCCB - 2P - 600V - 75A</t>
  </si>
  <si>
    <t>ACB - 3P - 600V - 1250A</t>
  </si>
  <si>
    <t>CXV 24kV 25mm2</t>
  </si>
  <si>
    <t>RG013</t>
  </si>
  <si>
    <t>Vis 4x40</t>
  </si>
  <si>
    <t>RG014</t>
  </si>
  <si>
    <t>Vis 6x60</t>
  </si>
  <si>
    <t>RG015</t>
  </si>
  <si>
    <t>Sứ báo hiệu cáp ngầm</t>
  </si>
  <si>
    <t>RG016</t>
  </si>
  <si>
    <t>Ván khuôn</t>
  </si>
  <si>
    <t>m2</t>
  </si>
  <si>
    <t>RG017</t>
  </si>
  <si>
    <t>Đinh</t>
  </si>
  <si>
    <t>Xếp tấm đan bê tông &gt; 20kg</t>
  </si>
  <si>
    <t>CÔNG TÁC LẮP ĐẶT ĐƯỜNG DÂY CÁP ĐIỆN</t>
  </si>
  <si>
    <t>07. 1110    PHÁ DỠ NỀN XI MĂNG, NỀN GẠCH, TẤM ĐAN BÊ TÔNG</t>
  </si>
  <si>
    <t>PHÁ DỠ NỀN XI MĂNG, NỀN GẠCH, TẤM ĐAN BÊ TÔNG</t>
  </si>
  <si>
    <t>Vận chuyển nhân công đi thi công :</t>
  </si>
  <si>
    <t>Tổng cộng</t>
  </si>
  <si>
    <t>kVA</t>
  </si>
  <si>
    <t>Hiệu lực của hợp đồng : hợp đồng này có hiệu lực kể từ ngày hai bên ký kết và hết hiệu</t>
  </si>
  <si>
    <t xml:space="preserve"> lực khi hai bên đồng ý ký vào biên bản thanh lý hợp đồng.</t>
  </si>
  <si>
    <t xml:space="preserve">Hiệu lực của hợp đồng: hợp đồng này có hiệu lực kể từ ngày hai bên ký kết và hết hiệu </t>
  </si>
  <si>
    <t>lực khi hai bên đồng ý ký vào biên bản thanh lý hợp đồng.</t>
  </si>
  <si>
    <t>04.5106</t>
  </si>
  <si>
    <t>ĐL TX.Long Mỹ</t>
  </si>
  <si>
    <t>ĐL TX.Ngã Bảy</t>
  </si>
  <si>
    <t>ĐL TP.Vị Thanh</t>
  </si>
  <si>
    <t>Về khối lượng kết quả khảo sát và thiết kế:</t>
  </si>
  <si>
    <t>**Our Values and Paths**</t>
  </si>
  <si>
    <t>**Set Our Values and Paths**</t>
  </si>
  <si>
    <t>Làm vàn khuôn móng trụ</t>
  </si>
  <si>
    <t>Ống nối ép cho dây nhôm trần lõi thép 35/6,2</t>
  </si>
  <si>
    <t>OD010</t>
  </si>
  <si>
    <t>Rãi căng dây lấy độ võng ≤ C16mm2</t>
  </si>
  <si>
    <t>Rãi căng dây lấy độ võng ≤ C25mm2</t>
  </si>
  <si>
    <t>Rãi căng dây lấy độ võng ≤ C35mm2</t>
  </si>
  <si>
    <t>Rãi căng dây lấy độ võng ≤ C50mm2</t>
  </si>
  <si>
    <t>Rãi căng dây lấy độ võng ≤ C70mm2</t>
  </si>
  <si>
    <t>Kéo dây trong phạm vi trạm ≤ AC 150</t>
  </si>
  <si>
    <t>Kéo dây trong phạm vi trạm ≤ AC 185</t>
  </si>
  <si>
    <t>Kéo dây trong phạm vi trạm ≤ AC 240</t>
  </si>
  <si>
    <t>Kéo dây trong phạm vi trạm ≤ AC 300</t>
  </si>
  <si>
    <t>Kéo dây trong phạm vi trạm ≤ AC 400</t>
  </si>
  <si>
    <t>Kéo dây trong phạm vi trạm ≤ AC 500</t>
  </si>
  <si>
    <t>Kéo dây trong phạm vi trạm ≤ Cu 35</t>
  </si>
  <si>
    <t>m cáp nhôm lỏi thép chống thấm 24kV (ACX)-185mm2</t>
  </si>
  <si>
    <t>m cáp nhôm trần lỏi thép (AC)-120mm2</t>
  </si>
  <si>
    <t>m cáp đồng chống thấm 24kV (CX)-185mm2</t>
  </si>
  <si>
    <t>kg cáp nhôm trần lỏi thép (AC)-120mm2</t>
  </si>
  <si>
    <t>-  Trường hợp bất khả kháng : Bên A và Bên B thương thảo để xác định giá trị hợp đồng điều</t>
  </si>
  <si>
    <t xml:space="preserve">a/ Một bên có quyền hủy bỏ hợp đồng và không phải bồi thường thiệt hại khi bên kia vi phạm </t>
  </si>
  <si>
    <t>ỐNG NHỰA PVC - ỐNG HDPE - ỐNG THÉP</t>
  </si>
  <si>
    <t>ND000</t>
  </si>
  <si>
    <t>Ống nhựa gân xoắn HDPE Ø 20 dày 2,0mm</t>
  </si>
  <si>
    <t>ND001</t>
  </si>
  <si>
    <t>AC 240mm2</t>
  </si>
  <si>
    <t>AC 185mm2</t>
  </si>
  <si>
    <t>AC 150mm2</t>
  </si>
  <si>
    <t>AC 120mm2</t>
  </si>
  <si>
    <t>AC 95mm2</t>
  </si>
  <si>
    <t>AC 70mm2</t>
  </si>
  <si>
    <t>AC 50mm2</t>
  </si>
  <si>
    <t>Lắp sứ đứng 24KV trên trụ BTV</t>
  </si>
  <si>
    <t>Lắp đặt xà thép cho trụ II (140kg)</t>
  </si>
  <si>
    <t>Lắp đặt xà thép cho trụ II (230kg)</t>
  </si>
  <si>
    <t>2. Lập phương án, báo cáo kết quả khảo sát (TT 14/2005/TT-BXD):</t>
  </si>
  <si>
    <t>Kéo dây trong phạm vi trạm ≤ Cu 800</t>
  </si>
  <si>
    <t>Kéo dây trong phạm vi trạm ≥ Cu800</t>
  </si>
  <si>
    <t>06.3241</t>
  </si>
  <si>
    <t>Móng BT 0,8x0,8x0,8m3</t>
  </si>
  <si>
    <t>Móng BT 0,8x1,0x0,8m3</t>
  </si>
  <si>
    <t>Móng Bê tông 1,6x1,4x1,0</t>
  </si>
  <si>
    <t>Móng Bê tông 1,4x1,4x1,0</t>
  </si>
  <si>
    <t>Chằng xuống CH trụ 12</t>
  </si>
  <si>
    <t>Cosse áp Cu/Al 120</t>
  </si>
  <si>
    <t>Ống nối bọc cách điện LV-ABC 120</t>
  </si>
  <si>
    <t>Hộp phân phối hạ áp 1 pha 6 cực</t>
  </si>
  <si>
    <t>Hộp phân phối hạ áp 3 pha 6 cực</t>
  </si>
  <si>
    <t>Nhánh rẽ khách hàng</t>
  </si>
  <si>
    <t xml:space="preserve">Bù lon mạ kẽm 16x500 </t>
  </si>
  <si>
    <t>Kéo dây trong phạm vi trạm ≤ Cu 70</t>
  </si>
  <si>
    <t>ĐK
đầu trụ</t>
  </si>
  <si>
    <t>ĐK
đáy trụ</t>
  </si>
  <si>
    <t>ĐK
tại đất</t>
  </si>
  <si>
    <t>DT chịu
AL gió</t>
  </si>
  <si>
    <t>330</t>
  </si>
  <si>
    <t>350</t>
  </si>
  <si>
    <t>380</t>
  </si>
  <si>
    <t>456</t>
  </si>
  <si>
    <t>độ chôn
sâu</t>
  </si>
  <si>
    <t>Kéo dây trong phạm vi trạm ≤ Cu 300</t>
  </si>
  <si>
    <t>Kéo dây trong phạm vi trạm ≤ Cu 400</t>
  </si>
  <si>
    <t>Kéo dây trong phạm vi trạm ≤ Cu 500</t>
  </si>
  <si>
    <t>Kéo dây trong phạm vi trạm ≥ AC 800</t>
  </si>
  <si>
    <t>Kéo dây trong phạm vi trạm ≤ AC 800</t>
  </si>
  <si>
    <t>Làm, lắp đầu cáp trung áp 1 pha ≤ 240mm2</t>
  </si>
  <si>
    <t>Thanh chống sắt dẹp 60x6 dài 0,92m</t>
  </si>
  <si>
    <t>IG002</t>
  </si>
  <si>
    <t>Thanh chống sắt L50x50x5 dài 0,7m</t>
  </si>
  <si>
    <t>IG003</t>
  </si>
  <si>
    <t>Cáp ngầm 3 pha 24kV CXV/DSTA/PVC 3x50</t>
  </si>
  <si>
    <t>Cáp ngầm 3 pha 24kV CXV/DSTA/PVC 3x70</t>
  </si>
  <si>
    <t>Cáp ngầm 3 pha 24kV CXV/DSTA/PVC 3x95</t>
  </si>
  <si>
    <r>
      <t>U</t>
    </r>
    <r>
      <rPr>
        <vertAlign val="subscript"/>
        <sz val="13"/>
        <rFont val="Times New Roman"/>
        <family val="1"/>
      </rPr>
      <t>thtế/pha</t>
    </r>
  </si>
  <si>
    <r>
      <t>I</t>
    </r>
    <r>
      <rPr>
        <vertAlign val="subscript"/>
        <sz val="13"/>
        <rFont val="Times New Roman"/>
        <family val="1"/>
      </rPr>
      <t>Tổng</t>
    </r>
    <r>
      <rPr>
        <sz val="13"/>
        <rFont val="Times New Roman"/>
        <family val="1"/>
      </rPr>
      <t xml:space="preserve"> </t>
    </r>
  </si>
  <si>
    <t>- Khoảng cách trung bình pha của đường dây 22kV:</t>
  </si>
  <si>
    <r>
      <t>D</t>
    </r>
    <r>
      <rPr>
        <vertAlign val="subscript"/>
        <sz val="13"/>
        <rFont val="Times New Roman"/>
        <family val="1"/>
      </rPr>
      <t>tb</t>
    </r>
  </si>
  <si>
    <t>0,144 . Lg .</t>
  </si>
  <si>
    <r>
      <t>≥</t>
    </r>
    <r>
      <rPr>
        <b/>
        <sz val="10"/>
        <rFont val="Times New Roman"/>
        <family val="1"/>
      </rPr>
      <t xml:space="preserve"> 31km </t>
    </r>
    <r>
      <rPr>
        <b/>
        <sz val="10"/>
        <color indexed="10"/>
        <rFont val="Times New Roman"/>
        <family val="1"/>
      </rPr>
      <t>(đ/tấn.km)</t>
    </r>
  </si>
  <si>
    <t>- Hàng bậc 2: Ngói, lương thực đóng bao, xăng, dầu, đá các loại, thuốc chóng mói, mọt</t>
  </si>
  <si>
    <t>Lắp đặt cáp vặn xoắn 2 x 25 mm2</t>
  </si>
  <si>
    <t>Lắp đặt cáp vặn xoắn 2 x 35 mm2</t>
  </si>
  <si>
    <r>
      <t>α</t>
    </r>
    <r>
      <rPr>
        <vertAlign val="subscript"/>
        <sz val="13"/>
        <rFont val="Times New Roman"/>
        <family val="1"/>
      </rPr>
      <t>AC</t>
    </r>
    <r>
      <rPr>
        <sz val="13"/>
        <rFont val="Times New Roman"/>
        <family val="1"/>
      </rPr>
      <t xml:space="preserve"> - hệ số dãn nở dài của dây AC</t>
    </r>
  </si>
  <si>
    <r>
      <t>Ứng suất dây theo trạng thái θ</t>
    </r>
    <r>
      <rPr>
        <vertAlign val="subscript"/>
        <sz val="13"/>
        <rFont val="Times New Roman"/>
        <family val="1"/>
      </rPr>
      <t>min</t>
    </r>
    <r>
      <rPr>
        <sz val="13"/>
        <rFont val="Times New Roman"/>
        <family val="1"/>
      </rPr>
      <t xml:space="preserve"> và bão với</t>
    </r>
  </si>
  <si>
    <r>
      <t>σ</t>
    </r>
    <r>
      <rPr>
        <vertAlign val="subscript"/>
        <sz val="13"/>
        <rFont val="Times New Roman"/>
        <family val="1"/>
      </rPr>
      <t>Acp</t>
    </r>
  </si>
  <si>
    <t>Lắp ráp từng đoạn trụ thép ≤ 5 tấn, TC</t>
  </si>
  <si>
    <t>Lắp ráp từng đoạn trụ thép ≤ 15 tấn, TC</t>
  </si>
  <si>
    <t>Lắp ráp từng đoạn trụ thép ≤ 30 tấn, TC</t>
  </si>
  <si>
    <t>Làm, lắp đầu cáp trung áp 1 pha ≤ 35mm2</t>
  </si>
  <si>
    <t>Làm, lắp đầu cáp trung áp 1 pha ≤ 70mm2</t>
  </si>
  <si>
    <t>Cáp ngầm 1 pha 24kV CXV/S95</t>
  </si>
  <si>
    <t>KP005</t>
  </si>
  <si>
    <t>Cáp ngầm 1 pha 24kV CXV/S120</t>
  </si>
  <si>
    <t>KP006</t>
  </si>
  <si>
    <t>Điện kế 1 pha 2 dây 5A - 220V</t>
  </si>
  <si>
    <t>(22/11/99)</t>
  </si>
  <si>
    <t>MSDD</t>
  </si>
  <si>
    <t xml:space="preserve">Khi công trình hoàn tất, có giấy báo hoàn tất thi công đính kèm các hồ sơ liên quan : </t>
  </si>
  <si>
    <t>1.</t>
  </si>
  <si>
    <t>2.</t>
  </si>
  <si>
    <t>3.</t>
  </si>
  <si>
    <t>Lắp ống thép BV cáp qua lộ D≤120</t>
  </si>
  <si>
    <t>Lắp ống thép BV cáp qua lộ D≤220</t>
  </si>
  <si>
    <t>Lắp ống btông BV cáp qua lộ D≤150</t>
  </si>
  <si>
    <t>Lắp ống btông BV cáp qua lộ D≤250</t>
  </si>
  <si>
    <t xml:space="preserve">       Hôm nay, ngày       tháng       năm               tại Công ty Điện lực Hậu Giang chúng tôi gồm:</t>
  </si>
  <si>
    <t>CX 24kV 25mm2</t>
  </si>
  <si>
    <t>CX 24kV 35mm2</t>
  </si>
  <si>
    <t>CX 24kV 50mm2</t>
  </si>
  <si>
    <t>CX 24kV 70mm2</t>
  </si>
  <si>
    <t>CX 24kV 95mm2</t>
  </si>
  <si>
    <t>CX 24kV 120mm2</t>
  </si>
  <si>
    <t>CX 24kV 150mm2</t>
  </si>
  <si>
    <t>CX 24kV 185mm2</t>
  </si>
  <si>
    <t>CX 24kV 240mm2</t>
  </si>
  <si>
    <t>ACX 24kV 25mm2</t>
  </si>
  <si>
    <t>ACX 24kV 35mm2</t>
  </si>
  <si>
    <t>ACX 24kV 50mm2</t>
  </si>
  <si>
    <t>ACX 24kV 70mm2</t>
  </si>
  <si>
    <t>ACX 24kV 95mm2</t>
  </si>
  <si>
    <t>Đà sắt L75x75x8 dài 2,17m giằng trụ II - 1,3m</t>
  </si>
  <si>
    <t>IC003</t>
  </si>
  <si>
    <t>Đà sắt L75x75x8 dài 2,68m giằng trụ II - 2,2m</t>
  </si>
  <si>
    <t>ID000</t>
  </si>
  <si>
    <t>Đà sắt L75x75x8 dài 2,8m 3 gù</t>
  </si>
  <si>
    <t>ID001</t>
  </si>
  <si>
    <t>Đà sắt U100x64x4,5 dài 1,2m - đỡ TU, TI</t>
  </si>
  <si>
    <t>Nút loe ống gân xoắn HDPE Ø 75</t>
  </si>
  <si>
    <t>Măng sông ống gân xoắn HDPE Ø 140</t>
  </si>
  <si>
    <t>Nút loe ống gân xoắn HDPE Ø 20</t>
  </si>
  <si>
    <t>Nút loe ống gân xoắn HDPE Ø 63</t>
  </si>
  <si>
    <t>Lắp khoá dây dẫn ≤ 70mm2</t>
  </si>
  <si>
    <t>Dây thép trần xoắn mạ kẽm 95</t>
  </si>
  <si>
    <t>KF000</t>
  </si>
  <si>
    <t>Dây đồng bọc PVC 0,6/1kV 11</t>
  </si>
  <si>
    <t>KF001</t>
  </si>
  <si>
    <t>Dây đồng bọc PVC 0,6/1kV 16</t>
  </si>
  <si>
    <t>KF002</t>
  </si>
  <si>
    <t>Dây đồng bọc PVC 0,6/1kV 25</t>
  </si>
  <si>
    <t>KF003</t>
  </si>
  <si>
    <t>Lắp đặt hộp nối cáp hạ áp ≤ 120mm2</t>
  </si>
  <si>
    <t>Lắp đặt hộp nối cáp hạ áp ≤ 185mm2</t>
  </si>
  <si>
    <t>Lắp đặt hộp nối cáp hạ áp ≤ 240mm2</t>
  </si>
  <si>
    <t>Lắp đặt hộp nối cáp hạ áp ≤ 300mm2</t>
  </si>
  <si>
    <t>Lắp đặt hộp nối cáp hạ áp ≤ 400mm2</t>
  </si>
  <si>
    <t>249538*85%</t>
  </si>
  <si>
    <t xml:space="preserve">Hợp đồng này cũng như tất cả các tài liệu, thông tin liên quan đến hợp đồng sẽ được các </t>
  </si>
  <si>
    <t>bên quản lý theo quy định hiện hành của nhà nước về bảo mật.</t>
  </si>
  <si>
    <t>KC008</t>
  </si>
  <si>
    <t>Điện kế điện tử 3 pha 5A 220/380V</t>
  </si>
  <si>
    <t>V/c phụ kiện các loại bằng TC ( ≤ 500m)</t>
  </si>
  <si>
    <t>-  Bên A sẽ thực hiện nghiệm thu từng công việc,từng bộ phận công trình, giai đoạn thi công</t>
  </si>
  <si>
    <t>CHỦ ĐẦU TƯ</t>
  </si>
  <si>
    <t>Thành tiền</t>
  </si>
  <si>
    <t>Book1</t>
  </si>
  <si>
    <t>Lắp đặt sứ xuyên trong trạm ≤ 35kV</t>
  </si>
  <si>
    <t>Đầu cáp ngầm 3 pha 24kV ngoài trời 3x35</t>
  </si>
  <si>
    <t>KY001</t>
  </si>
  <si>
    <t>Đầu cáp ngầm 3 pha 24kV ngoài trời 3x50</t>
  </si>
  <si>
    <t>KY002</t>
  </si>
  <si>
    <t>Đầu cáp ngầm 3 pha 24kV ngoài trời 3x70</t>
  </si>
  <si>
    <t>KY003</t>
  </si>
  <si>
    <t>Đầu cáp ngầm 3 pha 24kV ngoài trời 3x95</t>
  </si>
  <si>
    <t>KY004</t>
  </si>
  <si>
    <t>Đầu cáp ngầm 3 pha 24kV ngoài trời 3x120</t>
  </si>
  <si>
    <t xml:space="preserve">Đà sắt L75x75x8 dài 2m - lệch </t>
  </si>
  <si>
    <t>IB002</t>
  </si>
  <si>
    <t xml:space="preserve">Đà sắt L75x75x8 dài 2,4m - lệch </t>
  </si>
  <si>
    <t>IC000</t>
  </si>
  <si>
    <t>Đà sắt L75x75x8 dài 2,4m - trụ II tim 1,3m</t>
  </si>
  <si>
    <t>IC001</t>
  </si>
  <si>
    <t>D3.1212</t>
  </si>
  <si>
    <t>D3.4021</t>
  </si>
  <si>
    <t>T4.3007</t>
  </si>
  <si>
    <t>VLK</t>
  </si>
  <si>
    <t>AB.13112</t>
  </si>
  <si>
    <t>AF.11212</t>
  </si>
  <si>
    <t>07.4312</t>
  </si>
  <si>
    <t>07.4313</t>
  </si>
  <si>
    <t>07.4314</t>
  </si>
  <si>
    <t>07.4315</t>
  </si>
  <si>
    <t>07.4316</t>
  </si>
  <si>
    <t>NHÂN CÔNG LẮP ĐẶT TRẠM BIẾN ÁP</t>
  </si>
  <si>
    <t xml:space="preserve">Kđcnc = </t>
  </si>
  <si>
    <t>Theo QĐ số 85/QĐ-SXD ngày 02/11/2015</t>
  </si>
  <si>
    <t>a/ Một bên có quyền hủy bỏ hợp đồng và không phải bồi thường thiệt hại khi bên kia vi phạm</t>
  </si>
  <si>
    <t>Lắp cáp trong ống bảo vệ ≤2kg/m</t>
  </si>
  <si>
    <t>Lắp cáp trong ống bảo vệ ≤3kg/m</t>
  </si>
  <si>
    <t>Lắp cáp trong ống bảo vệ ≤4,5kg/m</t>
  </si>
  <si>
    <t>Lắp cáp trong ống bảo vệ ≤6kg/m</t>
  </si>
  <si>
    <t>KB003</t>
  </si>
  <si>
    <t>Dây nhôm trần lõi thép 95/16</t>
  </si>
  <si>
    <t>KB004</t>
  </si>
  <si>
    <t>Đào đất hào cáp ngầm, đất cấp I</t>
  </si>
  <si>
    <t>Đào đất hào cáp ngầm, đất cấp II</t>
  </si>
  <si>
    <t>03.3141</t>
  </si>
  <si>
    <t>Bù lon mạ kẽm VRS 22x550</t>
  </si>
  <si>
    <t>QH004</t>
  </si>
  <si>
    <t>Bù lon mạ kẽm VRS 22x600</t>
  </si>
  <si>
    <t>QH005</t>
  </si>
  <si>
    <t>QI002</t>
  </si>
  <si>
    <t>Bù lon móc mạ kẽm 16x300</t>
  </si>
  <si>
    <t>QI003</t>
  </si>
  <si>
    <t>CI003</t>
  </si>
  <si>
    <t>CK000</t>
  </si>
  <si>
    <t>CL000</t>
  </si>
  <si>
    <t>CL001</t>
  </si>
  <si>
    <t>CM000</t>
  </si>
  <si>
    <t>SỐ TRỤ</t>
  </si>
  <si>
    <t>HÌNH THỨC TRỤ</t>
  </si>
  <si>
    <t>Khoảng cách</t>
  </si>
  <si>
    <t>Dây Dẫn</t>
  </si>
  <si>
    <t xml:space="preserve">Trụ </t>
  </si>
  <si>
    <t>Móng</t>
  </si>
  <si>
    <t>Chằng</t>
  </si>
  <si>
    <t>Sứ treo polymer</t>
  </si>
  <si>
    <t>Sứ đứng 24KV</t>
  </si>
  <si>
    <t>[m]</t>
  </si>
  <si>
    <t>: Quãng đường vận chuyển đường bộ từ TP.Vị Thanh đến công trình</t>
  </si>
  <si>
    <t>- Số lượng cọc tiếp đất:</t>
  </si>
  <si>
    <t>n</t>
  </si>
  <si>
    <t>Cọc
tiếp đất</t>
  </si>
  <si>
    <t>Thanh nới sắt dẹp 60x6 dài 0,8m - cố định đà</t>
  </si>
  <si>
    <t>IG004</t>
  </si>
  <si>
    <t>Thanh chống sắt L60x60x6 dài 2,1m</t>
  </si>
  <si>
    <t>IG005</t>
  </si>
  <si>
    <t>ĐDHA
HỖN HỢP</t>
  </si>
  <si>
    <t>THÀNH TIỀN 
ĐDHA NGẦM</t>
  </si>
  <si>
    <t>THÀNH TIỀN
ĐDHA NGẦM</t>
  </si>
  <si>
    <t>II.3.1. BẢNG DỰ TOÁN CHI PHÍ MUA SẮM VẬT LIỆU</t>
  </si>
  <si>
    <t xml:space="preserve"> Chi phí mua sắm vật liệu chính</t>
  </si>
  <si>
    <t>II.2.1. BẢNG DỰ TOÁN CHI PHÍ MUA SẮM VẬT LIỆU</t>
  </si>
  <si>
    <t>ĐDTA
XD MỚI</t>
  </si>
  <si>
    <t>ĐDTA
CẢI TẠO</t>
  </si>
  <si>
    <t>THÀNH TIỀN ĐDTA NGẦM</t>
  </si>
  <si>
    <t>-  Sau khi bàn giao sản phẩm hoàn thành hai bên tiến hành nghiệm thu quyết toán và thanh</t>
  </si>
  <si>
    <t>Rải lưới ni lông</t>
  </si>
  <si>
    <t>(QĐ 4970/QĐ-BCT)</t>
  </si>
  <si>
    <t>Chi phí mua sắm vật liệu công trình</t>
  </si>
  <si>
    <t>Ghi chú:</t>
  </si>
  <si>
    <t>II.5</t>
  </si>
  <si>
    <t>III.5</t>
  </si>
  <si>
    <t>III.6</t>
  </si>
  <si>
    <t>II.6</t>
  </si>
  <si>
    <t>II.7</t>
  </si>
  <si>
    <t>EA001</t>
  </si>
  <si>
    <t>Tủ tụ bù hạ áp  120(180) kVAr</t>
  </si>
  <si>
    <t>Cáp quadruplex đồng bọc PVC 0,6/1kV 4x70</t>
  </si>
  <si>
    <t>KJ000</t>
  </si>
  <si>
    <t>Cáp ĐK 2 ruột đồng bọc PVC vỏ PVC 2x7</t>
  </si>
  <si>
    <t>KJ001</t>
  </si>
  <si>
    <t>Cáp ĐK 2 ruột đồng bọc PVC vỏ PVC 2x10</t>
  </si>
  <si>
    <t>KJ002</t>
  </si>
  <si>
    <t>Cáp ĐK 2 ruột đồng bọc PVC vỏ PVC 2x11</t>
  </si>
  <si>
    <t>KJ003</t>
  </si>
  <si>
    <t>Biến dòng đo đếm 600V 800/5A</t>
  </si>
  <si>
    <t>BC010</t>
  </si>
  <si>
    <t>249538*65%</t>
  </si>
  <si>
    <t>Lắp ống nhựa bảo vệ cáp D≤40mm</t>
  </si>
  <si>
    <t>Cáp ngầm 3 pha 24kV-CXV/SEhh/DSTA-3x50mm2</t>
  </si>
  <si>
    <t>Móng BT trụ 12m ghép</t>
  </si>
  <si>
    <t>Móng BT trụ 10,5m ghép</t>
  </si>
  <si>
    <t>Móng BT trụ 8,5m ghép</t>
  </si>
  <si>
    <t>Móng trụ</t>
  </si>
  <si>
    <t>Rack 3 + Sứ ống chỉ</t>
  </si>
  <si>
    <t xml:space="preserve"> Bùlon MK 16x250</t>
  </si>
  <si>
    <t xml:space="preserve"> Bùlon MK 16x400</t>
  </si>
  <si>
    <t>Cosse áp Cu/Al 50</t>
  </si>
  <si>
    <t>Tiếp địa hạ áp</t>
  </si>
  <si>
    <t>m cáp nhôm bọc PVC 0,6/1kV (AV) - 70mm2</t>
  </si>
  <si>
    <t>m cáp nhôm bọc PVC 0,6/1kV (AV) - 50mm2</t>
  </si>
  <si>
    <t>m cáp nhôm trần lõi thép (AC) - 35mm2</t>
  </si>
  <si>
    <t>kg cáp nhôm trần lỏi thép (AC) - 35mm2</t>
  </si>
  <si>
    <t>05.01.13</t>
  </si>
  <si>
    <t>03.02.14</t>
  </si>
  <si>
    <t>PHẦN NHÂN CÔNG THÁO DỠ VẬT LIỆU</t>
  </si>
  <si>
    <t>Bộ chằng hẹp trụ hạ áp</t>
  </si>
  <si>
    <t>03.09.251</t>
  </si>
  <si>
    <t>PHẦN VẬT LIỆU (mục II + III)</t>
  </si>
  <si>
    <t>PHẦN THIẾT BỊ (mục IV)</t>
  </si>
  <si>
    <t>Móng BT trụ 7,5m đơn</t>
  </si>
  <si>
    <t>1.3.1</t>
  </si>
  <si>
    <t>Cấp đặc biệt</t>
  </si>
  <si>
    <t>1.3.2</t>
  </si>
  <si>
    <t>Cấp I</t>
  </si>
  <si>
    <t>1.3.3</t>
  </si>
  <si>
    <t>Cấp II</t>
  </si>
  <si>
    <t>1.3.4</t>
  </si>
  <si>
    <t>Cấp III</t>
  </si>
  <si>
    <t>1.3.5</t>
  </si>
  <si>
    <t>Cấp IV</t>
  </si>
  <si>
    <t>1.2</t>
  </si>
  <si>
    <t>Thiết kế 2 bước</t>
  </si>
  <si>
    <t>Dây nhôm bọc PVC 0,6/1kV 120</t>
  </si>
  <si>
    <t>KH000</t>
  </si>
  <si>
    <t xml:space="preserve">c/ Xin giấy phép cấp đất của UBND tỉnh, thành phố, huyện để dựng trụ và lắp trạm sau khi </t>
  </si>
  <si>
    <t>đã có phương án thiết kế.</t>
  </si>
  <si>
    <t>Trụ đỡ thép</t>
  </si>
  <si>
    <t>LẮP ĐẶT TỦ ĐIỆN HẠ THẾ (THIẾT BỊ CÓ ĐIỆN ÁP &lt; 1000 V)</t>
  </si>
  <si>
    <t>05.6062</t>
  </si>
  <si>
    <t>05.6072</t>
  </si>
  <si>
    <t>05.6082</t>
  </si>
  <si>
    <t>05.6043</t>
  </si>
  <si>
    <t>05.6053</t>
  </si>
  <si>
    <t>KV027</t>
  </si>
  <si>
    <t>Cáp ngầm 3 pha 0,6/1kV CXV/DSTA 3x95</t>
  </si>
  <si>
    <t>KV028</t>
  </si>
  <si>
    <t>Phá dỡ nền đan bêtông</t>
  </si>
  <si>
    <t>Phá dỡ mặt đường cấp phối</t>
  </si>
  <si>
    <t>Phá dỡ mặt đường đá dăm</t>
  </si>
  <si>
    <t>Phá dỡ mặt đường đá dăm nhựa</t>
  </si>
  <si>
    <t>Phá dỡ mặt đường bê tông appan</t>
  </si>
  <si>
    <t>Phá dỡ mặt đường bê tông xi măng</t>
  </si>
  <si>
    <t>Phá dỡ nền đường xếp đá hộc</t>
  </si>
  <si>
    <t>Phá dỡ bê tông đá dăm có cốt thép</t>
  </si>
  <si>
    <t>Phá dỡ bê tông đá dăm không cốt thép</t>
  </si>
  <si>
    <t>Phá dỡ kết cấu gạch</t>
  </si>
  <si>
    <t>PHÁ DỠ KẾT CẤU KIẾN TRÚC BẰNG MÁY</t>
  </si>
  <si>
    <t>07.1000 CÔNG TÁC PHÁ DỠ</t>
  </si>
  <si>
    <t>Dây nhôm bọc PVC 0,6/1kV 70</t>
  </si>
  <si>
    <t>KG003</t>
  </si>
  <si>
    <t>Dây nhôm bọc PVC 0,6/1kV 95</t>
  </si>
  <si>
    <t>KG004</t>
  </si>
  <si>
    <t xml:space="preserve">Đổ BT móng trụ, chiều rộng &gt;250cm, đá 2x4, bằng TC + đầm dùi M100 </t>
  </si>
  <si>
    <t>04.1212b</t>
  </si>
  <si>
    <t>Đổ BT móng trụ, chiều rộng &gt;250cm, đá 2x4, bằng TC + đầm dùi M150</t>
  </si>
  <si>
    <t>04.1212c</t>
  </si>
  <si>
    <t>kg</t>
  </si>
  <si>
    <t>CADIVI 07/07/2008</t>
  </si>
  <si>
    <t>KA001</t>
  </si>
  <si>
    <t>Dây đồng trần xoắn 16mm2</t>
  </si>
  <si>
    <t>KA002</t>
  </si>
  <si>
    <t>Dây đồng trần xoắn 25mm2</t>
  </si>
  <si>
    <t>KA003</t>
  </si>
  <si>
    <t>Dây đồng trần xoắn 35mm2</t>
  </si>
  <si>
    <t>KA004</t>
  </si>
  <si>
    <t>Dây đồng trần xoắn 50mm2</t>
  </si>
  <si>
    <t>KA005</t>
  </si>
  <si>
    <t>Dây đồng trần xoắn 70mm2</t>
  </si>
  <si>
    <t>KA006</t>
  </si>
  <si>
    <t>Dây đồng trần xoắn 95mm2</t>
  </si>
  <si>
    <t>KA007</t>
  </si>
  <si>
    <t>IF004</t>
  </si>
  <si>
    <t>Collier sắt dẹt 40x4 ĐK270 giữ ống ĐK114</t>
  </si>
  <si>
    <t>RG018</t>
  </si>
  <si>
    <t>Xăng</t>
  </si>
  <si>
    <t>lít</t>
  </si>
  <si>
    <t>Mã hiệu</t>
  </si>
  <si>
    <t>ĐVT</t>
  </si>
  <si>
    <t>Lắp máy biến áp 3 pha</t>
  </si>
  <si>
    <t>52095*1,1</t>
  </si>
  <si>
    <t>58692*1,1</t>
  </si>
  <si>
    <t>71715*1,1</t>
  </si>
  <si>
    <t>84063*1,1</t>
  </si>
  <si>
    <t>Splitbolt Cu 1/0</t>
  </si>
  <si>
    <t>Splitbolt Cu 2/0</t>
  </si>
  <si>
    <t>Splitbolt Cu 4/0</t>
  </si>
  <si>
    <t>RF000</t>
  </si>
  <si>
    <t>Yếm cáp 5/8"</t>
  </si>
  <si>
    <t>RF001</t>
  </si>
  <si>
    <t>Yếm cáp 3/8"</t>
  </si>
  <si>
    <t>RG000</t>
  </si>
  <si>
    <t>Kéo dây trong phạm vi trạm ≤ AC 70</t>
  </si>
  <si>
    <t>Kéo dây trong phạm vi trạm ≤ AC 95</t>
  </si>
  <si>
    <t>Kéo dây trong phạm vi trạm ≤ AC 120</t>
  </si>
  <si>
    <t>Lắp đặt cáp trong ống bảo vệ ≤ 18kg/m</t>
  </si>
  <si>
    <t>Lắp đặt cáp trong ống bảo vệ ≤ 21kg/m</t>
  </si>
  <si>
    <t>05.3234</t>
  </si>
  <si>
    <t>05.3235</t>
  </si>
  <si>
    <t>05.4001</t>
  </si>
  <si>
    <t>05.4011</t>
  </si>
  <si>
    <t>05.4021</t>
  </si>
  <si>
    <t>05.4031</t>
  </si>
  <si>
    <t>05.4041</t>
  </si>
  <si>
    <t>05.4051</t>
  </si>
  <si>
    <t>05.4061</t>
  </si>
  <si>
    <t>05.4071</t>
  </si>
  <si>
    <t>05.4002</t>
  </si>
  <si>
    <t>05.4012</t>
  </si>
  <si>
    <t>05.4022</t>
  </si>
  <si>
    <t xml:space="preserve">Cụm đấu rẽ khách hàng hạ áp </t>
  </si>
  <si>
    <t>Điện kế điện tử 3 pha 5A - 120/208V</t>
  </si>
  <si>
    <t>KY005</t>
  </si>
  <si>
    <t>Đầu cáp ngầm 3 pha 24kV ngoài trời 3x150</t>
  </si>
  <si>
    <t>Sơ đồ nguyên lý và sơ đồ thay thế tính ngắn mạch hạ áp:</t>
  </si>
  <si>
    <t>Lắp ống nhựa bảo vệ cáp D≤76mm</t>
  </si>
  <si>
    <t>Lắp ống nhựa bảo vệ cáp D≤89mm</t>
  </si>
  <si>
    <t>Lắp ống nhựa bảo vệ cáp D≤100mm</t>
  </si>
  <si>
    <t>Lắp ống nhựa bảo vệ cáp D≤110mm</t>
  </si>
  <si>
    <t>Lắp ống nhựa bảo vệ cáp D≤150mm</t>
  </si>
  <si>
    <t>Lắp ống nhựa bảo vệ cáp D≤200mm</t>
  </si>
  <si>
    <t>Lắp ống nhựa bảo vệ cáp D≤250mm</t>
  </si>
  <si>
    <t>Lắp ống nhựa bảo vệ cáp D≤15mm</t>
  </si>
  <si>
    <t>KÉO RẢI VÀ LẮP CỐ ĐỊNH ĐƯỜNG CÁP NGẦM</t>
  </si>
  <si>
    <t>07.3101</t>
  </si>
  <si>
    <t>Xếp xi măng bao xuống</t>
  </si>
  <si>
    <t>20b</t>
  </si>
  <si>
    <t>113b</t>
  </si>
  <si>
    <t>D3.6304a</t>
  </si>
  <si>
    <t>Bộ đà 4,2K (trụ 20m tim 1,8m) sdl</t>
  </si>
  <si>
    <t>04.02.31</t>
  </si>
  <si>
    <t>04.02.11</t>
  </si>
  <si>
    <t>D3.6211</t>
  </si>
  <si>
    <t>Rải căng dây lấy độ võng bằng TC + Cơ giới ≤ACX185mm²</t>
  </si>
  <si>
    <t>Rải căng dây lấy độ võng bằng TC + Cơ giới ≤AC70mm²</t>
  </si>
  <si>
    <t>Rải căng dây lấy độ võng bằng TC + Cơ giới ≤ACX70mm²</t>
  </si>
  <si>
    <t>Ống nối ép cho cỡ dây AC50</t>
  </si>
  <si>
    <t>Tiếp đất trụ 14m (hỗn hợp)</t>
  </si>
  <si>
    <t>HB003a</t>
  </si>
  <si>
    <t>II.8</t>
  </si>
  <si>
    <t>OC006</t>
  </si>
  <si>
    <t>Ống nối căng cho dây đồng 95mm2</t>
  </si>
  <si>
    <t>OC007</t>
  </si>
  <si>
    <t>Ống nối căng cho dây đồng 120mm2</t>
  </si>
  <si>
    <t>OC008</t>
  </si>
  <si>
    <t>Collier sắt dẹt 80x8 ĐK215</t>
  </si>
  <si>
    <t>IK001</t>
  </si>
  <si>
    <t>Collier sắt dẹt 80x8 ĐK250</t>
  </si>
  <si>
    <t>IK002</t>
  </si>
  <si>
    <t>Collier sắt dẹt 80x8 ĐK265 giữ 3 MBA 1 pha</t>
  </si>
  <si>
    <t>IK003</t>
  </si>
  <si>
    <t>Collier sắt dẹt 100x10 ĐK280 đở đà MBA</t>
  </si>
  <si>
    <t>IK004</t>
  </si>
  <si>
    <t>Collier sắt dẹt 80x8 ĐK270 giữ ống ĐK114</t>
  </si>
  <si>
    <t>IK005</t>
  </si>
  <si>
    <t>RH004</t>
  </si>
  <si>
    <t>Thép thanh vằn Ø12</t>
  </si>
  <si>
    <t>RH005</t>
  </si>
  <si>
    <t>Thép thanh vằn Ø14-32</t>
  </si>
  <si>
    <t>V/c gỗ ván cốt pha bằng thủ công</t>
  </si>
  <si>
    <t>02.1122</t>
  </si>
  <si>
    <t>06.1205</t>
  </si>
  <si>
    <t>Dây đồng bọc PVC 0,6/1kV 120</t>
  </si>
  <si>
    <t>2.4 Độ tĩnh không của đường dây:</t>
  </si>
  <si>
    <r>
      <t>y</t>
    </r>
    <r>
      <rPr>
        <vertAlign val="subscript"/>
        <sz val="13"/>
        <rFont val="Times New Roman"/>
        <family val="1"/>
      </rPr>
      <t>o</t>
    </r>
    <r>
      <rPr>
        <sz val="13"/>
        <rFont val="Times New Roman"/>
        <family val="1"/>
      </rPr>
      <t xml:space="preserve"> </t>
    </r>
  </si>
  <si>
    <r>
      <t>y</t>
    </r>
    <r>
      <rPr>
        <vertAlign val="subscript"/>
        <sz val="13"/>
        <rFont val="Times New Roman"/>
        <family val="1"/>
      </rPr>
      <t>c</t>
    </r>
    <r>
      <rPr>
        <sz val="13"/>
        <rFont val="Times New Roman"/>
        <family val="1"/>
      </rPr>
      <t xml:space="preserve"> - (f</t>
    </r>
    <r>
      <rPr>
        <vertAlign val="subscript"/>
        <sz val="13"/>
        <rFont val="Times New Roman"/>
        <family val="1"/>
      </rPr>
      <t>tt</t>
    </r>
    <r>
      <rPr>
        <sz val="13"/>
        <rFont val="Times New Roman"/>
        <family val="1"/>
      </rPr>
      <t xml:space="preserve"> + y</t>
    </r>
    <r>
      <rPr>
        <vertAlign val="subscript"/>
        <sz val="13"/>
        <rFont val="Times New Roman"/>
        <family val="1"/>
      </rPr>
      <t>đ</t>
    </r>
    <r>
      <rPr>
        <sz val="13"/>
        <rFont val="Times New Roman"/>
        <family val="1"/>
      </rPr>
      <t xml:space="preserve"> + Δ</t>
    </r>
    <r>
      <rPr>
        <vertAlign val="subscript"/>
        <sz val="16.899999999999999"/>
        <rFont val="Times New Roman"/>
        <family val="1"/>
      </rPr>
      <t>y</t>
    </r>
    <r>
      <rPr>
        <sz val="13"/>
        <rFont val="Times New Roman"/>
        <family val="1"/>
      </rPr>
      <t>)</t>
    </r>
  </si>
  <si>
    <r>
      <t>y</t>
    </r>
    <r>
      <rPr>
        <vertAlign val="subscript"/>
        <sz val="13"/>
        <rFont val="Times New Roman"/>
        <family val="1"/>
      </rPr>
      <t>c</t>
    </r>
  </si>
  <si>
    <t>71-80</t>
  </si>
  <si>
    <t>81-90</t>
  </si>
  <si>
    <t>91-100</t>
  </si>
  <si>
    <t>&gt;100</t>
  </si>
  <si>
    <t>II. VẬN CHUYỂN BẰNG ĐƯỜNG SÔNG</t>
  </si>
  <si>
    <t>I. VẬN CHUYỂN BẰNG ĐƯỜNG BỘ</t>
  </si>
  <si>
    <t>Bậc hàng</t>
  </si>
  <si>
    <t>Đơn giá cước ở các khoảng cách</t>
  </si>
  <si>
    <t>- Hàng bậc 1: Than các loại, đất, cát, sỏi, gạch các loại.</t>
  </si>
  <si>
    <r>
      <t xml:space="preserve">≤ </t>
    </r>
    <r>
      <rPr>
        <b/>
        <sz val="10"/>
        <rFont val="Times New Roman"/>
        <family val="1"/>
      </rPr>
      <t xml:space="preserve">30km </t>
    </r>
    <r>
      <rPr>
        <b/>
        <sz val="10"/>
        <color indexed="10"/>
        <rFont val="Times New Roman"/>
        <family val="1"/>
      </rPr>
      <t>(đ/tấn)</t>
    </r>
  </si>
  <si>
    <t>Lắp đặt hộp nối cáp trung áp ≤ 240mm2</t>
  </si>
  <si>
    <t>Lắp đặt hộp nối cáp trung áp ≤ 300mm2</t>
  </si>
  <si>
    <t>Lắp đặt hộp nối cáp trung áp ≤ 400mm2</t>
  </si>
  <si>
    <t>10 cái</t>
  </si>
  <si>
    <t>TỔNG CỘNG :</t>
  </si>
  <si>
    <r>
      <t>P</t>
    </r>
    <r>
      <rPr>
        <vertAlign val="subscript"/>
        <sz val="13"/>
        <rFont val="Times New Roman"/>
        <family val="1"/>
      </rPr>
      <t>pha</t>
    </r>
    <r>
      <rPr>
        <sz val="13"/>
        <rFont val="Times New Roman"/>
        <family val="1"/>
      </rPr>
      <t>.R + Q</t>
    </r>
    <r>
      <rPr>
        <vertAlign val="subscript"/>
        <sz val="13"/>
        <rFont val="Times New Roman"/>
        <family val="1"/>
      </rPr>
      <t>pha</t>
    </r>
    <r>
      <rPr>
        <sz val="13"/>
        <rFont val="Times New Roman"/>
        <family val="1"/>
      </rPr>
      <t>.X</t>
    </r>
  </si>
  <si>
    <t>1.2/ Tỷ tải do áp lực gió lên dây:</t>
  </si>
  <si>
    <t>* chỉ nhập thông số vào các ô có màu =&gt;</t>
  </si>
  <si>
    <t>Chi phí máy</t>
  </si>
  <si>
    <t>+ Dòng định mức:</t>
  </si>
  <si>
    <t>Dòng ngắn mạch tại N:</t>
  </si>
  <si>
    <r>
      <t>I</t>
    </r>
    <r>
      <rPr>
        <vertAlign val="subscript"/>
        <sz val="13"/>
        <rFont val="Times New Roman"/>
        <family val="1"/>
      </rPr>
      <t>tt</t>
    </r>
  </si>
  <si>
    <t>Loại phụ tải</t>
  </si>
  <si>
    <t>Công suất đặt</t>
  </si>
  <si>
    <t xml:space="preserve">Dây pha </t>
  </si>
  <si>
    <t>Lắp đặt hộp nối cáp khô hạ áp</t>
  </si>
  <si>
    <t>hộp</t>
  </si>
  <si>
    <t>03.3111</t>
  </si>
  <si>
    <t>03.3112</t>
  </si>
  <si>
    <t>03.3113</t>
  </si>
  <si>
    <t>03.3114</t>
  </si>
  <si>
    <t>Bù lon móc mạ kẽm 16x350</t>
  </si>
  <si>
    <t>QI004</t>
  </si>
  <si>
    <t>Bù lon móc mạ kẽm 16x400</t>
  </si>
  <si>
    <t>QI005</t>
  </si>
  <si>
    <t>Bù lon móc mạ kẽm 16x450</t>
  </si>
  <si>
    <t>QI006</t>
  </si>
  <si>
    <t>Bù lon móc mạ kẽm 16x500</t>
  </si>
  <si>
    <t>QI007</t>
  </si>
  <si>
    <t>Bù lon móc mạ kẽm 16x600</t>
  </si>
  <si>
    <t>QJ000</t>
  </si>
  <si>
    <t>Bù lon mắt mạ kẽm 16x200</t>
  </si>
  <si>
    <t>QJ001</t>
  </si>
  <si>
    <t>Bù lon mắt mạ kẽm 16x250</t>
  </si>
  <si>
    <t>- Điện áp định mức:</t>
  </si>
  <si>
    <t>- Công suất máy biến áp</t>
  </si>
  <si>
    <t>- Dòng điện định mức máy biến áp:</t>
  </si>
  <si>
    <t>Chi phí thiết bị (Gtb):</t>
  </si>
  <si>
    <t>Chi phí bồi thường giải phóng mặt bằng, tái định cư (Ggpmb):</t>
  </si>
  <si>
    <t>Chi phí quản lý dự án (Gqlda):</t>
  </si>
  <si>
    <t>Chi phí tư vấn đầu tư xây dựng (Gtv):</t>
  </si>
  <si>
    <t>Tổng mức đầu tư (Gxdct):</t>
  </si>
  <si>
    <t>Tổng mức đầu tư không có chi phí giải phóng mặt bằng(Gxdct-Ggpmb):</t>
  </si>
  <si>
    <t>Chi phí khảo sát xây dựng (Gks)</t>
  </si>
  <si>
    <t>GSLD$</t>
  </si>
  <si>
    <t>II. Đường dây hạ áp hỗn hợp (đi chung đường dây trung áp hiện hữu):</t>
  </si>
  <si>
    <t>B.1. Đường dây trung áp:</t>
  </si>
  <si>
    <t>B.2. Đường dây hạ áp:</t>
  </si>
  <si>
    <t>2</t>
  </si>
  <si>
    <t>3</t>
  </si>
  <si>
    <t>4</t>
  </si>
  <si>
    <t>5</t>
  </si>
  <si>
    <t>6</t>
  </si>
  <si>
    <t>07.2427</t>
  </si>
  <si>
    <t>07.2428</t>
  </si>
  <si>
    <t>07.2429</t>
  </si>
  <si>
    <t>Lắp ống nhựa bảo vệ cáp D≤20mm</t>
  </si>
  <si>
    <t>Lắp ống nhựa bảo vệ cáp D≤25mm</t>
  </si>
  <si>
    <t>Lắp ống nhựa bảo vệ cáp D≤32mm</t>
  </si>
  <si>
    <t>Bộ tiếp địa trụ 8,5m (có dãy tiếp địa thân trụ)</t>
  </si>
  <si>
    <t>* Cần phải lắp neo chằng để đảm bảo khả năng chịu lực cho vị trí trụ ngừng</t>
  </si>
  <si>
    <t>5. Thiết kế, tính toán, kiểm tra móng trụ</t>
  </si>
  <si>
    <t>Loại móng</t>
  </si>
  <si>
    <t>5.1 Móng trụ chôn sâu có đà cản (móng chống lật)</t>
  </si>
  <si>
    <t>k S</t>
  </si>
  <si>
    <t>α . μ</t>
  </si>
  <si>
    <t>α =</t>
  </si>
  <si>
    <t>H</t>
  </si>
  <si>
    <t>μ</t>
  </si>
  <si>
    <t>Biến dòng đo đếm 24kV 10-20/5A</t>
  </si>
  <si>
    <t>BB002a</t>
  </si>
  <si>
    <t>Biến dòng đo đếm 24kV 15-30/5A</t>
  </si>
  <si>
    <t>BB003</t>
  </si>
  <si>
    <t xml:space="preserve"> Nắp bịt đầu cáp 35-95</t>
  </si>
  <si>
    <t>PE005</t>
  </si>
  <si>
    <t xml:space="preserve"> Nắp bịt đầu cáp 25-95</t>
  </si>
  <si>
    <t>PE006</t>
  </si>
  <si>
    <t>Dây đồng chống thấm bọc XLPE 24kV 95</t>
  </si>
  <si>
    <t>KM005</t>
  </si>
  <si>
    <t>Lắp đặt dao cách ly 3 pha ngoài trời ≤10kV</t>
  </si>
  <si>
    <t>Lắp cầu dao hạ áp  ≤100A</t>
  </si>
  <si>
    <t>Nơi nhận :</t>
  </si>
  <si>
    <t>Như điều 5 &amp; 1</t>
  </si>
  <si>
    <t>MBA 3 pha 15(22)/0,4kV 100kVA</t>
  </si>
  <si>
    <t>AB003</t>
  </si>
  <si>
    <t>MBA 3 pha 15(22)/0,4kV 160kVA</t>
  </si>
  <si>
    <t>AB004</t>
  </si>
  <si>
    <t>MBA 3 pha 15(22)/0,4kV 180kVA</t>
  </si>
  <si>
    <t>AB005</t>
  </si>
  <si>
    <t>MBA 3 pha 15(22)/0,4kV 250kVA</t>
  </si>
  <si>
    <t>AB006</t>
  </si>
  <si>
    <t>MBA 3 pha 15(22)/0,4kV 320kVA</t>
  </si>
  <si>
    <t>AB007</t>
  </si>
  <si>
    <t>MBA 3 pha 15(22)/0,4kV 400kVA</t>
  </si>
  <si>
    <t>AB008</t>
  </si>
  <si>
    <t>MBA 3 pha 15(22)/0,4kV 560kVA</t>
  </si>
  <si>
    <t>AB009</t>
  </si>
  <si>
    <t>MBA 3 pha 15(22)/0,4kV 630kVA</t>
  </si>
  <si>
    <t>AB010</t>
  </si>
  <si>
    <t>Ông Nguyễn Ngọc Việt</t>
  </si>
  <si>
    <t>Ông Hồ Văn Thông</t>
  </si>
  <si>
    <t>9.1.  Các trường hợp tạm dừng thực hiện hợp đồng :</t>
  </si>
  <si>
    <t>9.2.  Hủy bỏ hợp đồng :</t>
  </si>
  <si>
    <t>B.3. Phần trạm biến áp:</t>
  </si>
  <si>
    <t>1</t>
  </si>
  <si>
    <t>Fax :</t>
  </si>
  <si>
    <t>THÔNG SỐ NHẬP VÀO PHẦN TRẠM BIẾN ÁP</t>
  </si>
  <si>
    <t>05.3103</t>
  </si>
  <si>
    <t>05.3104</t>
  </si>
  <si>
    <t>05.3212</t>
  </si>
  <si>
    <t>05.3213</t>
  </si>
  <si>
    <t>05.3214</t>
  </si>
  <si>
    <t>05.3215</t>
  </si>
  <si>
    <t>Dựng cthép đã lắp ≤25m, TC+M100CV</t>
  </si>
  <si>
    <t>QA000</t>
  </si>
  <si>
    <t>Bù lon mạ kẽm 6x20</t>
  </si>
  <si>
    <t>QA001</t>
  </si>
  <si>
    <t>Bù lon mạ kẽm 6x40</t>
  </si>
  <si>
    <t>QA002</t>
  </si>
  <si>
    <t>Ống nối bọc cách điện 25-25</t>
  </si>
  <si>
    <t>Ống nối bọc cách điện 35-25</t>
  </si>
  <si>
    <t>Dựng cthép đã lắp ≤35m, TC+M100CV</t>
  </si>
  <si>
    <t>Rãi căng dây lấy độ võng ≤ AC70mm2</t>
  </si>
  <si>
    <t>06.4025</t>
  </si>
  <si>
    <t>06.4026</t>
  </si>
  <si>
    <t>06.4027</t>
  </si>
  <si>
    <t>06.4028</t>
  </si>
  <si>
    <t>06.4031</t>
  </si>
  <si>
    <t>06.4032</t>
  </si>
  <si>
    <t>06.4033</t>
  </si>
  <si>
    <t>06.4034</t>
  </si>
  <si>
    <t>06.4035</t>
  </si>
  <si>
    <t>06.4036</t>
  </si>
  <si>
    <t>Chi phí trực tiếp (A+B+C)</t>
  </si>
  <si>
    <t>P</t>
  </si>
  <si>
    <t>Chi phí chung (70%*B)</t>
  </si>
  <si>
    <t>Thu nhập chịu thuế tính trước</t>
  </si>
  <si>
    <t>(D+P)</t>
  </si>
  <si>
    <t>Tổng cộng (đồng/ha)</t>
  </si>
  <si>
    <t>(D+P+E)</t>
  </si>
  <si>
    <t>đ/100m</t>
  </si>
  <si>
    <t>Bảng tính dien tích trụ</t>
  </si>
  <si>
    <t>Bảng tính nước sơn</t>
  </si>
  <si>
    <t>Sơn lot</t>
  </si>
  <si>
    <t>kg/m2</t>
  </si>
  <si>
    <t>Sơn Phủ</t>
  </si>
  <si>
    <t>Vật liệu khác</t>
  </si>
  <si>
    <t>Tổng tấât cả</t>
  </si>
  <si>
    <r>
      <t>(θ</t>
    </r>
    <r>
      <rPr>
        <vertAlign val="subscript"/>
        <sz val="13"/>
        <rFont val="Times New Roman"/>
        <family val="1"/>
      </rPr>
      <t>max</t>
    </r>
    <r>
      <rPr>
        <sz val="13"/>
        <rFont val="Times New Roman"/>
        <family val="1"/>
      </rPr>
      <t xml:space="preserve"> - θ</t>
    </r>
    <r>
      <rPr>
        <vertAlign val="subscript"/>
        <sz val="13"/>
        <rFont val="Times New Roman"/>
        <family val="1"/>
      </rPr>
      <t>min</t>
    </r>
    <r>
      <rPr>
        <sz val="13"/>
        <rFont val="Times New Roman"/>
        <family val="1"/>
      </rPr>
      <t>)</t>
    </r>
  </si>
  <si>
    <r>
      <t>24 β</t>
    </r>
    <r>
      <rPr>
        <vertAlign val="subscript"/>
        <sz val="13"/>
        <rFont val="Times New Roman"/>
        <family val="1"/>
      </rPr>
      <t xml:space="preserve">AC </t>
    </r>
    <r>
      <rPr>
        <sz val="13"/>
        <rFont val="Times New Roman"/>
        <family val="1"/>
      </rPr>
      <t>σ</t>
    </r>
    <r>
      <rPr>
        <vertAlign val="superscript"/>
        <sz val="13"/>
        <rFont val="Times New Roman"/>
        <family val="1"/>
      </rPr>
      <t>2</t>
    </r>
    <r>
      <rPr>
        <vertAlign val="subscript"/>
        <sz val="13"/>
        <rFont val="Times New Roman"/>
        <family val="1"/>
      </rPr>
      <t>ACθmax</t>
    </r>
  </si>
  <si>
    <t xml:space="preserve">           Căn cứ Quyết định số 3183/EVN/ĐL2.3 ngày 11/05/2006 của Công ty Điện lực 2 về việc ban hành Qui chế quản lý Tài chính và hạch toán kinh doanh của Công ty Điện lực 2;</t>
  </si>
  <si>
    <r>
      <t>Điều 1:</t>
    </r>
    <r>
      <rPr>
        <sz val="10"/>
        <rFont val="Times New Roman"/>
        <family val="1"/>
      </rPr>
      <t xml:space="preserve"> Phê duyệt cấp điện công trình trên với khối lượng:</t>
    </r>
  </si>
  <si>
    <t>3896778*0,7</t>
  </si>
  <si>
    <t>5144465*0,7</t>
  </si>
  <si>
    <t>6173358*0,7</t>
  </si>
  <si>
    <t>V/c TRỤ bằng thủ công</t>
  </si>
  <si>
    <t>V/c gạch chỉ bằng thủ công (&gt; 500m)</t>
  </si>
  <si>
    <t>Lắp cổ dê</t>
  </si>
  <si>
    <t>Điện áp</t>
  </si>
  <si>
    <t>CV 25mm2</t>
  </si>
  <si>
    <t>CV 50mm2</t>
  </si>
  <si>
    <t>CV 95mm2</t>
  </si>
  <si>
    <t>CV 120mm2</t>
  </si>
  <si>
    <t>CV 16mm2</t>
  </si>
  <si>
    <t>CV 10mm2</t>
  </si>
  <si>
    <t>CV 35mm2</t>
  </si>
  <si>
    <t>CV 70mm2</t>
  </si>
  <si>
    <t>V/c bulon, tiếp địa, cốt thép, dây néo bằng TC</t>
  </si>
  <si>
    <t>02.1014</t>
  </si>
  <si>
    <t>02.1015</t>
  </si>
  <si>
    <t>Lắp đặt cáp trên dây thép ≤ 4,5kg/m</t>
  </si>
  <si>
    <t>Lắp đặt cáp trên dây thép ≤ 6kg/m</t>
  </si>
  <si>
    <t>Lắp đặt cáp trên dây thép ≤ 7,5kg/m</t>
  </si>
  <si>
    <t>TTDT75$</t>
  </si>
  <si>
    <t>Theo Thông tư số 150/2014/TT- BTC ngày 10 tháng 10 năm 2014 của Bộ Tài chính</t>
  </si>
  <si>
    <t>Quy định mức thu, chế độ thu, nộp, quản lý và sử dụng phí thẩm duyệt thiết kế về phòng cháy chữa cháy</t>
  </si>
  <si>
    <t xml:space="preserve">600V - 600/5A </t>
  </si>
  <si>
    <t>600V - 800/5A</t>
  </si>
  <si>
    <t>600V - 1000/5A</t>
  </si>
  <si>
    <t>dây chì 3K</t>
  </si>
  <si>
    <t>dây chì 6K</t>
  </si>
  <si>
    <t>dây chì 8K</t>
  </si>
  <si>
    <t>dây chì 10K</t>
  </si>
  <si>
    <t>dây chì 12K</t>
  </si>
  <si>
    <t>dây chì 15K</t>
  </si>
  <si>
    <t>dây chì 20K</t>
  </si>
  <si>
    <t>02.1223</t>
  </si>
  <si>
    <t>02.1224</t>
  </si>
  <si>
    <t>02.1225</t>
  </si>
  <si>
    <t>02.1235</t>
  </si>
  <si>
    <t>02.1245</t>
  </si>
  <si>
    <t>02.3001</t>
  </si>
  <si>
    <t>02.3011</t>
  </si>
  <si>
    <t>02.3021</t>
  </si>
  <si>
    <t>02.3031</t>
  </si>
  <si>
    <t>02.3041</t>
  </si>
  <si>
    <t>02.3051</t>
  </si>
  <si>
    <t>02.3061</t>
  </si>
  <si>
    <t>02.3071</t>
  </si>
  <si>
    <t>02.3081</t>
  </si>
  <si>
    <t>02.3091</t>
  </si>
  <si>
    <t>02.3121</t>
  </si>
  <si>
    <t>02.3131</t>
  </si>
  <si>
    <t>02.3151</t>
  </si>
  <si>
    <t>1000v</t>
  </si>
  <si>
    <t>100cây</t>
  </si>
  <si>
    <t>100cái</t>
  </si>
  <si>
    <t>Bốc cát các loại lên</t>
  </si>
  <si>
    <t>Bốc đá dăm các loại lên</t>
  </si>
  <si>
    <t>Bốc đá hộc lên</t>
  </si>
  <si>
    <t>Bốc sỏi lên</t>
  </si>
  <si>
    <t>Bốc đất đắp lên</t>
  </si>
  <si>
    <t>Bù lon mạ kẽm 14x200</t>
  </si>
  <si>
    <t>QE003</t>
  </si>
  <si>
    <t xml:space="preserve"> Chi phí vật liệu sử dụng lại</t>
  </si>
  <si>
    <t>Chi phí bù chênh lệch vật liệu</t>
  </si>
  <si>
    <t>600V - 125/5A</t>
  </si>
  <si>
    <t>600V - 150/5A</t>
  </si>
  <si>
    <t>600V - 200/5A</t>
  </si>
  <si>
    <t>600V - 250/5A</t>
  </si>
  <si>
    <t>AV 0,6/1kV 120mm2</t>
  </si>
  <si>
    <t>Kiểm tra</t>
  </si>
  <si>
    <t>PTP. KHKTVT</t>
  </si>
  <si>
    <t>600V - 400/5A</t>
  </si>
  <si>
    <t>600V - 500/5A</t>
  </si>
  <si>
    <t>BẢNG TỔNG KÊ PHẦN ĐƯỜNG DÂY TRUNG ÁP DỰ KIẾN 1 (ĐIỆN LỰC CHÂU THÀNH)</t>
  </si>
  <si>
    <t>BẢNG TỔNG KÊ PHẦN ĐƯỜNG DÂY TRUNG ÁP DỰ KIẾN 2 (ĐIỆN LỰC CHÂU THÀNH)</t>
  </si>
  <si>
    <t xml:space="preserve">Bù lon mạ kẽm 14x250 </t>
  </si>
  <si>
    <t>QE004</t>
  </si>
  <si>
    <t xml:space="preserve"> Bulon mạ kẽm 14x350</t>
  </si>
  <si>
    <t>QF000</t>
  </si>
  <si>
    <t>Bù lon mạ kẽm 16x50</t>
  </si>
  <si>
    <t>QF001</t>
  </si>
  <si>
    <t xml:space="preserve">Bù lon mạ kẽm 16x100 </t>
  </si>
  <si>
    <t>QF002</t>
  </si>
  <si>
    <t xml:space="preserve">Bù lon mạ kẽm 16x150 </t>
  </si>
  <si>
    <t>QF003</t>
  </si>
  <si>
    <t xml:space="preserve">Bù lon mạ kẽm 16x200 </t>
  </si>
  <si>
    <t xml:space="preserve">Bù lon mạ kẽm 16x250 </t>
  </si>
  <si>
    <t>QF005</t>
  </si>
  <si>
    <t>V/c đá dăm bằng thủ công ( ≤ 100m)</t>
  </si>
  <si>
    <t>Ép vá dây, tiết diện ≤ 185mm2</t>
  </si>
  <si>
    <t>Đà sắt U160x68x5 dài 2,8m đỡ MBA</t>
  </si>
  <si>
    <t>DA000</t>
  </si>
  <si>
    <t>MCCB - 2 pha 600V - 32A</t>
  </si>
  <si>
    <t>DA001</t>
  </si>
  <si>
    <t>Chằng xuống CX trụ 16</t>
  </si>
  <si>
    <t>Bộ Sứ treo polymer kép</t>
  </si>
  <si>
    <t>Bộ xà lệch 0,8Đ</t>
  </si>
  <si>
    <t>Bộ xà lệch 0,8K</t>
  </si>
  <si>
    <t>Trụ số A</t>
  </si>
  <si>
    <t>A/1</t>
  </si>
  <si>
    <t>A/2</t>
  </si>
  <si>
    <t>A/3</t>
  </si>
  <si>
    <t>A/4</t>
  </si>
  <si>
    <t>A/5</t>
  </si>
  <si>
    <t>A/6</t>
  </si>
  <si>
    <t>A/7</t>
  </si>
  <si>
    <t>A/8</t>
  </si>
  <si>
    <t>Ống nối bọc cách điện 35-35</t>
  </si>
  <si>
    <t>Ống nối bọc cách điện 50-35</t>
  </si>
  <si>
    <t>Ống nối bọc cách điện 50-50</t>
  </si>
  <si>
    <t>V/c xi măng bằng thủ công ( ≤ 300m)</t>
  </si>
  <si>
    <t>V/c xi măng bằng thủ công ( ≤ 500m)</t>
  </si>
  <si>
    <t>V/c cát vàng bằng thủ công ( ≤ 100m)</t>
  </si>
  <si>
    <t>V/c cát vàng bằng thủ công ( ≤ 300m)</t>
  </si>
  <si>
    <t>KT. GIÁM ĐỐC</t>
  </si>
  <si>
    <t>TU :</t>
  </si>
  <si>
    <t>;  TI :</t>
  </si>
  <si>
    <t>CỘNG HOÀ XÃ HỘI CHỦ NGHĨA VIỆT NAM</t>
  </si>
  <si>
    <t>3. Vận chuyển:</t>
  </si>
  <si>
    <t>5% x (mục II.1)</t>
  </si>
  <si>
    <t>Kéo rãi lắp đặt cáp ngầm ≤ 9kg/m</t>
  </si>
  <si>
    <t>m Cáp ngầm 3 pha 24kV-CXV/SEhh/DSTA-3x50mm2</t>
  </si>
  <si>
    <t>m cáp đồng chống thấm 24kV (CX)-50mm2</t>
  </si>
  <si>
    <t>Trụ BTLT 20m</t>
  </si>
  <si>
    <t>Móng BTCT lọ mực trụ 20</t>
  </si>
  <si>
    <t>Chằng xuống CX trụ 20</t>
  </si>
  <si>
    <r>
      <t>U</t>
    </r>
    <r>
      <rPr>
        <vertAlign val="subscript"/>
        <sz val="13"/>
        <rFont val="Times New Roman"/>
        <family val="1"/>
      </rPr>
      <t>N%</t>
    </r>
    <r>
      <rPr>
        <sz val="13"/>
        <rFont val="Times New Roman"/>
        <family val="1"/>
      </rPr>
      <t xml:space="preserve"> . U</t>
    </r>
    <r>
      <rPr>
        <vertAlign val="superscript"/>
        <sz val="13"/>
        <rFont val="Times New Roman"/>
        <family val="1"/>
      </rPr>
      <t>2</t>
    </r>
    <r>
      <rPr>
        <vertAlign val="subscript"/>
        <sz val="13"/>
        <rFont val="Times New Roman"/>
        <family val="1"/>
      </rPr>
      <t>đmBA</t>
    </r>
  </si>
  <si>
    <r>
      <t>10</t>
    </r>
    <r>
      <rPr>
        <vertAlign val="superscript"/>
        <sz val="13"/>
        <rFont val="Times New Roman"/>
        <family val="1"/>
      </rPr>
      <t>4</t>
    </r>
  </si>
  <si>
    <t>Cáp duplex đồng bọc PVC 0,6/1kV 2x16</t>
  </si>
  <si>
    <t>KH004</t>
  </si>
  <si>
    <t>Cáp duplex đồng bọc PVC 0,6/1kV 2x25</t>
  </si>
  <si>
    <t>Đất sét mềm ngấm nước</t>
  </si>
  <si>
    <t>Đất sét mịn</t>
  </si>
  <si>
    <t>Lắp Aptomat, khởi độngtừ  ≤50A</t>
  </si>
  <si>
    <t>Lắp Aptomat, khởi độngtừ ≤100A</t>
  </si>
  <si>
    <t>Lắp Aptomat, khởi độngtừ ≤150A</t>
  </si>
  <si>
    <t>Lắp Aptomat, khởi độngtừ ≤200A</t>
  </si>
  <si>
    <t>Lắp Aptomat, khởi độngtừ ≤250A</t>
  </si>
  <si>
    <t>Lắp Aptomat, khởi độngtừ ≤300A</t>
  </si>
  <si>
    <t>Lắp Aptomat, khởi độngtừ ≤400A</t>
  </si>
  <si>
    <t>Lắp Aptomat, khởi độngtừ ≤600A</t>
  </si>
  <si>
    <t>Lắp Aptomat, khởi độngtừ ≤1000A</t>
  </si>
  <si>
    <t>Ép đầu Cosse  ≤ 25mm2</t>
  </si>
  <si>
    <t>Chì
trung áp</t>
  </si>
  <si>
    <r>
      <t xml:space="preserve"> - Giá trị chi phí xây dựng trước thuế (phần trung áp): G</t>
    </r>
    <r>
      <rPr>
        <vertAlign val="subscript"/>
        <sz val="12"/>
        <rFont val="Times New Roman"/>
        <family val="1"/>
      </rPr>
      <t>XD</t>
    </r>
  </si>
  <si>
    <t xml:space="preserve">BẢNG TÍNH CHI PHÍ VẬN CHUYỂN PHẦN ĐƯỜNG DÂY TRUNG ÁP </t>
  </si>
  <si>
    <t>TỪ TP.VỊ THANH ĐẾN CÔNG TRÌNH</t>
  </si>
  <si>
    <t>Cách tính</t>
  </si>
  <si>
    <t xml:space="preserve"> Vận chuyển đường sông trụ, đà cản từ ĐL Long Mỹ đến công trình</t>
  </si>
  <si>
    <t>05.6001</t>
  </si>
  <si>
    <t xml:space="preserve">       Căn cứ biên bản nghiệm thu công trình.</t>
  </si>
  <si>
    <t xml:space="preserve">       Hôm nay,  ngày      tháng      năm            tại Công ty Điện lực Hậu Giang chúng tôi gồm:</t>
  </si>
  <si>
    <t>KT004</t>
  </si>
  <si>
    <t>Đầu cáp ngầm 1 pha 24kV trong nhà 1x95</t>
  </si>
  <si>
    <t>KT005</t>
  </si>
  <si>
    <t>Đầu cáp ngầm 1 pha 24kV trong nhà 1x120</t>
  </si>
  <si>
    <t>KT006</t>
  </si>
  <si>
    <t>Đầu cáp ngầm 1 pha 24kV trong nhà 1x150</t>
  </si>
  <si>
    <t>KT007</t>
  </si>
  <si>
    <t>Đầu cáp ngầm 1 pha 24kV trong nhà 1x185</t>
  </si>
  <si>
    <t>KT008</t>
  </si>
  <si>
    <r>
      <t xml:space="preserve">Điều 7. </t>
    </r>
    <r>
      <rPr>
        <sz val="12"/>
        <rFont val="Times New Roman"/>
        <family val="1"/>
      </rPr>
      <t>Tạm dừng, hủy bỏ hợp đồng:</t>
    </r>
  </si>
  <si>
    <r>
      <t>Điều 8.</t>
    </r>
    <r>
      <rPr>
        <sz val="12"/>
        <rFont val="Times New Roman"/>
        <family val="1"/>
      </rPr>
      <t xml:space="preserve"> Quyền và nghĩa vụ của bên B:</t>
    </r>
  </si>
  <si>
    <r>
      <t xml:space="preserve">Điều 9. </t>
    </r>
    <r>
      <rPr>
        <sz val="12"/>
        <rFont val="Times New Roman"/>
        <family val="1"/>
      </rPr>
      <t>Quyền và nghĩa vụ của bên A:</t>
    </r>
  </si>
  <si>
    <r>
      <t xml:space="preserve">Điều 10. </t>
    </r>
    <r>
      <rPr>
        <sz val="12"/>
        <rFont val="Times New Roman"/>
        <family val="1"/>
      </rPr>
      <t>Điều khoản chung:</t>
    </r>
  </si>
  <si>
    <t>VỀ VIỆC TƯ VẤN KHẢO SÁT &amp; THIẾT KẾ</t>
  </si>
  <si>
    <r>
      <t xml:space="preserve">VỀ VIỆC </t>
    </r>
    <r>
      <rPr>
        <b/>
        <u/>
        <sz val="12"/>
        <rFont val="Times New Roman"/>
        <family val="1"/>
      </rPr>
      <t>TƯ VẤN KHẢO SÁT &amp; THIẾT KẾ</t>
    </r>
  </si>
  <si>
    <t>1. Đối tượng nghiệm thu:</t>
  </si>
  <si>
    <t>2. Thành phần nghiệm thu:</t>
  </si>
  <si>
    <t>3. Thời gian nghiệm thu:</t>
  </si>
  <si>
    <t>4. Đánh giá kết quả khảo sát &amp; hồ sơ thiết kế:</t>
  </si>
  <si>
    <t>5. Kết luận:</t>
  </si>
  <si>
    <r>
      <t xml:space="preserve">VỀ VIỆC </t>
    </r>
    <r>
      <rPr>
        <b/>
        <u/>
        <sz val="12"/>
        <rFont val="Times New Roman"/>
        <family val="1"/>
      </rPr>
      <t>TƯ VẤN GIÁM SÁT THI CÔNG</t>
    </r>
  </si>
  <si>
    <r>
      <t>Điều 1.</t>
    </r>
    <r>
      <rPr>
        <sz val="12"/>
        <rFont val="Times New Roman"/>
        <family val="1"/>
      </rPr>
      <t xml:space="preserve"> Nội dung công việc phải thực hiện:</t>
    </r>
  </si>
  <si>
    <t>BẢNG TÍNH VẬN CHUYỂN NHÂN CÔNG, THIẾT BỊ THI CÔNG PHẦN ĐD TRUNG ÁP ( tạm tính )</t>
  </si>
  <si>
    <t xml:space="preserve"> Vận chuyển thiết bị thi công</t>
  </si>
  <si>
    <t>Thiết kế</t>
  </si>
  <si>
    <t>-  Công tác KSTK dự kiến tiến hành trong thời gian : 30 ngày.</t>
  </si>
  <si>
    <t>Vùng XD:</t>
  </si>
  <si>
    <t>Vùng KS:</t>
  </si>
  <si>
    <t>HS XD</t>
  </si>
  <si>
    <t xml:space="preserve">     Căn cứ Thông tư số: 06/2016/TT-BXD ngày 10/03/2016 của Bộ trưởng Bộ Xây dựng, hướng </t>
  </si>
  <si>
    <t>Lắp đặt thanh cái dẹt kích thước 80x8</t>
  </si>
  <si>
    <t>đất than bùn</t>
  </si>
  <si>
    <r>
      <t xml:space="preserve"> - Giá trị chi phí thiết bị trước thuế (phần hạ áp): G</t>
    </r>
    <r>
      <rPr>
        <vertAlign val="subscript"/>
        <sz val="12"/>
        <rFont val="Times New Roman"/>
        <family val="1"/>
      </rPr>
      <t>TB</t>
    </r>
  </si>
  <si>
    <r>
      <t>Điều 2 :</t>
    </r>
    <r>
      <rPr>
        <sz val="10"/>
        <rFont val="Times New Roman"/>
        <family val="1"/>
      </rPr>
      <t xml:space="preserve"> Số liệu kỹ thuật cơ bản :</t>
    </r>
  </si>
  <si>
    <t>Đầu cáp ngầm 1 pha 24kV trong nhà 1x240</t>
  </si>
  <si>
    <t>KT009</t>
  </si>
  <si>
    <t>IT1</t>
  </si>
  <si>
    <t>IG1</t>
  </si>
  <si>
    <t>NT1</t>
  </si>
  <si>
    <t>NG1</t>
  </si>
  <si>
    <t>N1</t>
  </si>
  <si>
    <t>IT1-R1</t>
  </si>
  <si>
    <t>IG1-R1</t>
  </si>
  <si>
    <t>NT1-R1</t>
  </si>
  <si>
    <t>NG1-R1</t>
  </si>
  <si>
    <t>N1-R1</t>
  </si>
  <si>
    <t>IT3</t>
  </si>
  <si>
    <t>IG3</t>
  </si>
  <si>
    <t>NT3</t>
  </si>
  <si>
    <t>NG3</t>
  </si>
  <si>
    <t>N3</t>
  </si>
  <si>
    <t>IT3-R1</t>
  </si>
  <si>
    <t>IG3-R1</t>
  </si>
  <si>
    <t>NT3-R1</t>
  </si>
  <si>
    <t>NG3-R1</t>
  </si>
  <si>
    <t>N3-R1</t>
  </si>
  <si>
    <t>IT3-R3</t>
  </si>
  <si>
    <t>ACB - 3 pha 600V - 1000A</t>
  </si>
  <si>
    <t>Hạng mục</t>
  </si>
  <si>
    <t>ĐV</t>
  </si>
  <si>
    <t>DG</t>
  </si>
  <si>
    <t>MSDD MOI</t>
  </si>
  <si>
    <t>MÁY BIẾN ÁP</t>
  </si>
  <si>
    <t>AA000</t>
  </si>
  <si>
    <t>CHI PHÍ TRỰC TIẾP</t>
  </si>
  <si>
    <t xml:space="preserve"> Chi phí vật liệu</t>
  </si>
  <si>
    <t xml:space="preserve"> Chi phí nhân công </t>
  </si>
  <si>
    <t>đất đen</t>
  </si>
  <si>
    <t>đá vôi</t>
  </si>
  <si>
    <t>đất vàng</t>
  </si>
  <si>
    <t>sét vôi</t>
  </si>
  <si>
    <t>cát khô</t>
  </si>
  <si>
    <t>Đà sắt L75x75x8 dài 4,2m 4 gù</t>
  </si>
  <si>
    <t>Khóa néo dây AC185-240</t>
  </si>
  <si>
    <t>Đầu cosse Cu/Al cỡ dây 185</t>
  </si>
  <si>
    <t>Co 90 ống PVC 168</t>
  </si>
  <si>
    <t>NC000</t>
  </si>
  <si>
    <t>Nối thẳng ống PVC 21</t>
  </si>
  <si>
    <t>NC001</t>
  </si>
  <si>
    <t>Nối thẳng ống PVC 27</t>
  </si>
  <si>
    <t>NC002</t>
  </si>
  <si>
    <t>Nối thanh cái dẹt kích thước 25x4</t>
  </si>
  <si>
    <t>Nối thanh cái dẹt kích thước 40x4</t>
  </si>
  <si>
    <t>Nối thanh cái dẹt kích thước 60x6</t>
  </si>
  <si>
    <t>Nối thanh cái dẹt kích thước 80x8</t>
  </si>
  <si>
    <t>Nối thanh cái dẹt kích thước 100x10</t>
  </si>
  <si>
    <t>Nối thanh cái dẹt kích thước 120x10</t>
  </si>
  <si>
    <t>Nối thanh cái ống đường kính ≤ 80</t>
  </si>
  <si>
    <t>Cáp ngầm 3 pha 24kV CXV/Sehh/DSTA/PVC 3x240</t>
  </si>
  <si>
    <t>Cáp ngầm 3 pha 24kV CXV/Sehh/DSTA/PVC 3x300</t>
  </si>
  <si>
    <t>Chân sứ đỉnh loại thẳng dài 870mm</t>
  </si>
  <si>
    <t>Chân sứ đỉnh loại cong dài 870mm</t>
  </si>
  <si>
    <t>MBA 1 pha 8,6(12,7)/0,22-0,44kV 100kVA</t>
  </si>
  <si>
    <t>AB000</t>
  </si>
  <si>
    <t>MBA 3 pha 15(22)/0,4kV 50kVA</t>
  </si>
  <si>
    <t>AB001</t>
  </si>
  <si>
    <t>MBA 3 pha 15(22)/0,4kV 75kVA</t>
  </si>
  <si>
    <t>AB002</t>
  </si>
  <si>
    <t>: tiền mặt hoặc chuyển khoản.</t>
  </si>
  <si>
    <t>: tiền Việt Nam.</t>
  </si>
  <si>
    <t>Thiết bị bảo vệ hạ áp</t>
  </si>
  <si>
    <t>1 pha 2 dây</t>
  </si>
  <si>
    <t>1 pha 3 dây</t>
  </si>
  <si>
    <t>3 pha</t>
  </si>
  <si>
    <t>HỢP ĐỒNG</t>
  </si>
  <si>
    <t>I . CÁC CĂN CỨ ĐỂ KÝ KẾT HỢP ĐỒNG :</t>
  </si>
  <si>
    <t>PD001</t>
  </si>
  <si>
    <t>PD002</t>
  </si>
  <si>
    <t>PD003</t>
  </si>
  <si>
    <t>PD004</t>
  </si>
  <si>
    <t>PD005</t>
  </si>
  <si>
    <r>
      <t>P</t>
    </r>
    <r>
      <rPr>
        <vertAlign val="subscript"/>
        <sz val="13"/>
        <rFont val="Times New Roman"/>
        <family val="1"/>
      </rPr>
      <t>max/pha</t>
    </r>
  </si>
  <si>
    <r>
      <t>Q</t>
    </r>
    <r>
      <rPr>
        <vertAlign val="subscript"/>
        <sz val="13"/>
        <rFont val="Times New Roman"/>
        <family val="1"/>
      </rPr>
      <t>max/pha</t>
    </r>
  </si>
  <si>
    <t>:dòng định mức của CB</t>
  </si>
  <si>
    <t>Quét nhựa Bitum nguội một nước</t>
  </si>
  <si>
    <t>Quét nhựa Bitum nguội hai nước</t>
  </si>
  <si>
    <t>05.2011</t>
  </si>
  <si>
    <t>Làm đầu cáp ≤ 22kV, 3 pha ≤ 35mm2</t>
  </si>
  <si>
    <t>Làm đầu cáp ≤ 22kV, 3 pha ≤ 70mm2</t>
  </si>
  <si>
    <t>QF015</t>
  </si>
  <si>
    <t>Bù lon mạ kẽm 16x800</t>
  </si>
  <si>
    <t>QG000</t>
  </si>
  <si>
    <t>Bù lon mạ kẽm VRS 16x100</t>
  </si>
  <si>
    <t>QG001</t>
  </si>
  <si>
    <t>dẫn xác định và quản lý chi phí đầu tư xây dựng;</t>
  </si>
  <si>
    <t>KL005</t>
  </si>
  <si>
    <t>Cáp nhôm ABC bọc XLPE 0,6/1kV 4x95</t>
  </si>
  <si>
    <t xml:space="preserve">-  Trường hợp không đạt được thỏa thuận giữa các bên. Việc giải quyết tranh chấp thông qua </t>
  </si>
  <si>
    <t xml:space="preserve">Thành phần công việc: Chuẩn bị vật liệu, dụng cụ, vận chuyển, vật liệu trong phạm vi 30m. Mở cuộn cáp, đưa cáp lên giá đỡ, kiểm tra, đo cắt. </t>
  </si>
  <si>
    <t>Kmtc (đd):</t>
  </si>
  <si>
    <t>Knc (tr):</t>
  </si>
  <si>
    <t>Knc (đd):</t>
  </si>
  <si>
    <t>Kmtc (tr):</t>
  </si>
  <si>
    <t>QK002</t>
  </si>
  <si>
    <t>Đổ BT móng trụ, chiều rộng &gt;250cm, đá 2x4, bằng TC + đầm dùi M250</t>
  </si>
  <si>
    <t>04.1213a</t>
  </si>
  <si>
    <t>Đổ bê tông móng bản, đá 2x4,
bằng TC + đầm dùi, M100</t>
  </si>
  <si>
    <t>04.1213b</t>
  </si>
  <si>
    <t>Đổ bê tông móng bản, đá 2x4,
bằng TC + đầm dùi, M150</t>
  </si>
  <si>
    <t>04.1213c</t>
  </si>
  <si>
    <t>Đổ bê tông móng bản, đá 2x4,
bằng TC + đầm dùi, M200</t>
  </si>
  <si>
    <t>04.1213d</t>
  </si>
  <si>
    <t>07.6002</t>
  </si>
  <si>
    <t>07.6003</t>
  </si>
  <si>
    <t>07.6004</t>
  </si>
  <si>
    <t>07.6005</t>
  </si>
  <si>
    <t>PB002</t>
  </si>
  <si>
    <t>PB003</t>
  </si>
  <si>
    <t>PB004</t>
  </si>
  <si>
    <t>PB005</t>
  </si>
  <si>
    <t>PB006</t>
  </si>
  <si>
    <t>PB007</t>
  </si>
  <si>
    <t>PC000</t>
  </si>
  <si>
    <t>Kẹp treo cáp ABC 4x16 góc ≤ 60 độ</t>
  </si>
  <si>
    <t>PC001</t>
  </si>
  <si>
    <r>
      <t>G</t>
    </r>
    <r>
      <rPr>
        <vertAlign val="subscript"/>
        <sz val="12"/>
        <rFont val="Times New Roman"/>
        <family val="1"/>
      </rPr>
      <t>XD</t>
    </r>
    <r>
      <rPr>
        <sz val="12"/>
        <rFont val="Times New Roman"/>
        <family val="1"/>
      </rPr>
      <t>+G</t>
    </r>
    <r>
      <rPr>
        <vertAlign val="subscript"/>
        <sz val="12"/>
        <rFont val="Times New Roman"/>
        <family val="1"/>
      </rPr>
      <t>TB</t>
    </r>
    <r>
      <rPr>
        <sz val="12"/>
        <rFont val="Times New Roman"/>
        <family val="1"/>
      </rPr>
      <t>+G</t>
    </r>
    <r>
      <rPr>
        <vertAlign val="subscript"/>
        <sz val="12"/>
        <rFont val="Times New Roman"/>
        <family val="1"/>
      </rPr>
      <t>KS</t>
    </r>
    <r>
      <rPr>
        <sz val="12"/>
        <rFont val="Times New Roman"/>
        <family val="1"/>
      </rPr>
      <t>+G</t>
    </r>
    <r>
      <rPr>
        <vertAlign val="subscript"/>
        <sz val="12"/>
        <rFont val="Times New Roman"/>
        <family val="1"/>
      </rPr>
      <t>KTKT</t>
    </r>
  </si>
  <si>
    <t>Trang ..., thông tư 04/2010/TT-BXD ngày 26/05/2010</t>
  </si>
  <si>
    <t>Trang 19, thông tư số 09/2016/TT-BTC ngày 18/01/2016</t>
  </si>
  <si>
    <t>Trang 35, thông tư số 06/2016/TT-BXD ngày 10/3/2016</t>
  </si>
  <si>
    <t>Trang 35&amp;41, thông tư số 06/2016/TT-BXD ngày 10/3/2016</t>
  </si>
  <si>
    <t>≥5.000.000</t>
  </si>
  <si>
    <t>- Tổ chức, tham gia Hội đồng nghiệm thu.</t>
  </si>
  <si>
    <t>02.1204</t>
  </si>
  <si>
    <t>02.1205</t>
  </si>
  <si>
    <t>02.1215</t>
  </si>
  <si>
    <t>Biến dòng đo đếm 24kV 20-40/5A</t>
  </si>
  <si>
    <t>BB004</t>
  </si>
  <si>
    <t>Biến dòng đo đếm 24kV 50-100/5A</t>
  </si>
  <si>
    <t>BB005</t>
  </si>
  <si>
    <t>Biến dòng đo đếm 24kV 200-400/5A</t>
  </si>
  <si>
    <t>BB006</t>
  </si>
  <si>
    <t>Biến dòng đo đếm 24kV 300-600/5A</t>
  </si>
  <si>
    <t>BC000</t>
  </si>
  <si>
    <t>BC001</t>
  </si>
  <si>
    <t>Biến dòng đo đếm 600V 100/5A</t>
  </si>
  <si>
    <t>BC002</t>
  </si>
  <si>
    <t>Biến dòng đo đếm 600V 150/5A</t>
  </si>
  <si>
    <t>BC003</t>
  </si>
  <si>
    <t>Bù lon mạ kẽm 10x40</t>
  </si>
  <si>
    <t>QC001</t>
  </si>
  <si>
    <t>Bù lon mạ kẽm 10x60</t>
  </si>
  <si>
    <t>Xà bê tông</t>
  </si>
  <si>
    <t>04.9102</t>
  </si>
  <si>
    <t>Xà thép</t>
  </si>
  <si>
    <t>04.9201</t>
  </si>
  <si>
    <t>04.9202</t>
  </si>
  <si>
    <t>04.9203</t>
  </si>
  <si>
    <t>04.9301</t>
  </si>
  <si>
    <t>Trụ đỡ bê tông</t>
  </si>
  <si>
    <t>04.9302</t>
  </si>
  <si>
    <t>Đầu cáp ngầm 3 pha 24kV trong nhà 3x95</t>
  </si>
  <si>
    <t>KX004</t>
  </si>
  <si>
    <t>A.1. Đường dây trung áp:</t>
  </si>
  <si>
    <t>I. Đường dây trung áp XDM:</t>
  </si>
  <si>
    <r>
      <t>l</t>
    </r>
    <r>
      <rPr>
        <vertAlign val="subscript"/>
        <sz val="13"/>
        <rFont val="Times New Roman"/>
        <family val="1"/>
      </rPr>
      <t>th</t>
    </r>
  </si>
  <si>
    <t>≈</t>
  </si>
  <si>
    <r>
      <t>24α</t>
    </r>
    <r>
      <rPr>
        <vertAlign val="subscript"/>
        <sz val="13"/>
        <rFont val="Times New Roman"/>
        <family val="1"/>
      </rPr>
      <t>A</t>
    </r>
    <r>
      <rPr>
        <sz val="13"/>
        <rFont val="Times New Roman"/>
        <family val="1"/>
      </rPr>
      <t xml:space="preserve"> (θ</t>
    </r>
    <r>
      <rPr>
        <vertAlign val="subscript"/>
        <sz val="13"/>
        <rFont val="Times New Roman"/>
        <family val="1"/>
      </rPr>
      <t>bão</t>
    </r>
    <r>
      <rPr>
        <sz val="13"/>
        <rFont val="Times New Roman"/>
        <family val="1"/>
      </rPr>
      <t xml:space="preserve"> - θ</t>
    </r>
    <r>
      <rPr>
        <vertAlign val="subscript"/>
        <sz val="13"/>
        <rFont val="Times New Roman"/>
        <family val="1"/>
      </rPr>
      <t>min</t>
    </r>
    <r>
      <rPr>
        <sz val="13"/>
        <rFont val="Times New Roman"/>
        <family val="1"/>
      </rPr>
      <t>)</t>
    </r>
  </si>
  <si>
    <t>II. Đường dây trung áp cải tạo:</t>
  </si>
  <si>
    <t>A.2. Đường dây hạ áp:</t>
  </si>
  <si>
    <t>Số tiền bên A thanh toán dứt điểm cho bên B là</t>
  </si>
  <si>
    <r>
      <t>[mm</t>
    </r>
    <r>
      <rPr>
        <vertAlign val="superscript"/>
        <sz val="13"/>
        <rFont val="Times New Roman"/>
        <family val="1"/>
      </rPr>
      <t>2</t>
    </r>
    <r>
      <rPr>
        <sz val="13"/>
        <rFont val="Times New Roman"/>
        <family val="1"/>
      </rPr>
      <t>]</t>
    </r>
  </si>
  <si>
    <r>
      <t>S</t>
    </r>
    <r>
      <rPr>
        <vertAlign val="subscript"/>
        <sz val="13"/>
        <rFont val="Times New Roman"/>
        <family val="1"/>
      </rPr>
      <t>đmBA/pha</t>
    </r>
  </si>
  <si>
    <r>
      <t>I</t>
    </r>
    <r>
      <rPr>
        <vertAlign val="subscript"/>
        <sz val="13"/>
        <rFont val="Times New Roman"/>
        <family val="1"/>
      </rPr>
      <t>đmBA</t>
    </r>
  </si>
  <si>
    <t>LẮP ĐẶT GIÁ ĐỠ, GHẾ CÁCH ĐIỆN, ỐNG BẢO VỆ</t>
  </si>
  <si>
    <t>04.8001</t>
  </si>
  <si>
    <t>Ghế cách điện thang sàn</t>
  </si>
  <si>
    <t>tấn</t>
  </si>
  <si>
    <t>04.8002</t>
  </si>
  <si>
    <t>Giá đỡ</t>
  </si>
  <si>
    <t>04.8003</t>
  </si>
  <si>
    <t>04.8004</t>
  </si>
  <si>
    <t>Lắp ống thép</t>
  </si>
  <si>
    <t>LẮP ĐẶT KẾT CẤU CÁC LOẠI</t>
  </si>
  <si>
    <t>04.9101</t>
  </si>
  <si>
    <t>Cáp ĐK 2 ruột đồng bọc PVC vỏ PVC 2x16</t>
  </si>
  <si>
    <t>KJ004</t>
  </si>
  <si>
    <t>đồng</t>
  </si>
  <si>
    <t>D</t>
  </si>
  <si>
    <t>VL</t>
  </si>
  <si>
    <t>NC</t>
  </si>
  <si>
    <t>CHI PHÍ KHÁC</t>
  </si>
  <si>
    <t>CHI PHÍ DỰ PHÒNG</t>
  </si>
  <si>
    <t>=</t>
  </si>
  <si>
    <t>NỘI DUNG</t>
  </si>
  <si>
    <t>MTC</t>
  </si>
  <si>
    <t>.</t>
  </si>
  <si>
    <t>I. BẢNG TỔNG HỢP TỔNG DỰ TOÁN</t>
  </si>
  <si>
    <t>KHOẢN MỤC CHI PHÍ</t>
  </si>
  <si>
    <t>KÝ 
HIỆU</t>
  </si>
  <si>
    <t xml:space="preserve">DIỄN GIẢI GIÁ TRỊ 
TRƯỚC THUẾ </t>
  </si>
  <si>
    <t>GIÁ TRỊ 
TRƯỚC THUẾ</t>
  </si>
  <si>
    <t>GIÁ TRỊ 
SAU THUẾ</t>
  </si>
  <si>
    <t>CHI PHÍ XÂY DỰNG</t>
  </si>
  <si>
    <r>
      <t>G</t>
    </r>
    <r>
      <rPr>
        <b/>
        <vertAlign val="subscript"/>
        <sz val="10"/>
        <color indexed="10"/>
        <rFont val="Times New Roman"/>
        <family val="1"/>
      </rPr>
      <t>XD</t>
    </r>
  </si>
  <si>
    <r>
      <t xml:space="preserve"> - Giá trị chi phí xây dựng trước thuế (phần trạm biến áp): G</t>
    </r>
    <r>
      <rPr>
        <vertAlign val="subscript"/>
        <sz val="12"/>
        <rFont val="Times New Roman"/>
        <family val="1"/>
      </rPr>
      <t>XD</t>
    </r>
  </si>
  <si>
    <t>[kV]</t>
  </si>
  <si>
    <r>
      <t>P</t>
    </r>
    <r>
      <rPr>
        <vertAlign val="subscript"/>
        <sz val="13"/>
        <rFont val="Times New Roman"/>
        <family val="1"/>
      </rPr>
      <t>max</t>
    </r>
  </si>
  <si>
    <t>[kW]</t>
  </si>
  <si>
    <r>
      <t>Q</t>
    </r>
    <r>
      <rPr>
        <vertAlign val="subscript"/>
        <sz val="13"/>
        <rFont val="Times New Roman"/>
        <family val="1"/>
      </rPr>
      <t>max</t>
    </r>
  </si>
  <si>
    <t>[kVAr]</t>
  </si>
  <si>
    <t xml:space="preserve">- Hệ số công suất </t>
  </si>
  <si>
    <t>cosφ</t>
  </si>
  <si>
    <t xml:space="preserve">=&gt; </t>
  </si>
  <si>
    <t>sinφ</t>
  </si>
  <si>
    <t>- Sụt áp cho phép trên đường dây</t>
  </si>
  <si>
    <r>
      <t>ΔU</t>
    </r>
    <r>
      <rPr>
        <vertAlign val="subscript"/>
        <sz val="13"/>
        <rFont val="Times New Roman"/>
        <family val="1"/>
      </rPr>
      <t>cp%</t>
    </r>
    <r>
      <rPr>
        <sz val="13"/>
        <rFont val="Times New Roman"/>
        <family val="1"/>
      </rPr>
      <t xml:space="preserve"> </t>
    </r>
  </si>
  <si>
    <t>* Chọn dây dẫn cho đường dây:</t>
  </si>
  <si>
    <t>- Lập PA, BCKS ĐDTA:</t>
  </si>
  <si>
    <t>- Lập PA, BCKS ĐDHA:</t>
  </si>
  <si>
    <t>Collier 50x5 ĐK 300-500 (trụ ghép)</t>
  </si>
  <si>
    <t>Collier 50x5 ĐK 300 (trụ đơn)</t>
  </si>
  <si>
    <t>Trụ BTLT 8,5m (có tiếp địa thân trụ)</t>
  </si>
  <si>
    <t>Diện tích (mỗi bên 20m)</t>
  </si>
  <si>
    <t>- Khảo sát tuyến ĐD TA:</t>
  </si>
  <si>
    <t>- Khảo sát tuyến ĐD HA:</t>
  </si>
  <si>
    <t xml:space="preserve"> Vận chuyển đường sông máy biến áp từ ĐL Long Mỹ đến công trình</t>
  </si>
  <si>
    <t>BIỂU GIÁ CƯỚC VẬN TẢI HÀNG HÓA</t>
  </si>
  <si>
    <t>(Ban hành kèm theo QĐ số: 32/2007/QĐ-UBND ngày 29/10/2007 của tỉnh Hậu Giang)</t>
  </si>
  <si>
    <t>Loại đường</t>
  </si>
  <si>
    <t>02.1125</t>
  </si>
  <si>
    <t>VI</t>
  </si>
  <si>
    <t>Đường loại 1</t>
  </si>
  <si>
    <t>Đường loại 5</t>
  </si>
  <si>
    <t>Đường loại 4</t>
  </si>
  <si>
    <t>Đường loại 3</t>
  </si>
  <si>
    <t>Đường loại 2</t>
  </si>
  <si>
    <t>LẮP ĐẶT XÀ</t>
  </si>
  <si>
    <t>CG008</t>
  </si>
  <si>
    <t>Dây chì 30K</t>
  </si>
  <si>
    <t>CG009</t>
  </si>
  <si>
    <t>Dây chì 40K</t>
  </si>
  <si>
    <t>CG010</t>
  </si>
  <si>
    <t>Dây chì 45K</t>
  </si>
  <si>
    <t>CG011</t>
  </si>
  <si>
    <t>Dây chì 50K</t>
  </si>
  <si>
    <t>CG012</t>
  </si>
  <si>
    <t>Dây chì 60K</t>
  </si>
  <si>
    <t>CG013</t>
  </si>
  <si>
    <t>Dây chì 75K</t>
  </si>
  <si>
    <t>CG014</t>
  </si>
  <si>
    <t>Dây chì 80K</t>
  </si>
  <si>
    <t>CG015</t>
  </si>
  <si>
    <t>Dây chì 100K</t>
  </si>
  <si>
    <t>CG016</t>
  </si>
  <si>
    <t>Dây chì 200K</t>
  </si>
  <si>
    <t>CG017</t>
  </si>
  <si>
    <t>Bù lon mạ kẽm VRS 22x1050</t>
  </si>
  <si>
    <t>QH014</t>
  </si>
  <si>
    <t>Bù lon mạ kẽm VRS 22x1100</t>
  </si>
  <si>
    <t>QH015</t>
  </si>
  <si>
    <t>Bù lon mạ kẽm VRS 22x1150</t>
  </si>
  <si>
    <t>QH016</t>
  </si>
  <si>
    <t>Bù lon mạ kẽm VRS 22x1200</t>
  </si>
  <si>
    <t>QI000</t>
  </si>
  <si>
    <t>Bù lon móc mạ kẽm 16x200</t>
  </si>
  <si>
    <t>QI001</t>
  </si>
  <si>
    <t>Bù lon móc mạ kẽm 16x250</t>
  </si>
  <si>
    <t>Diện tích (mỗi bên 10m)</t>
  </si>
  <si>
    <t>- Lập BCKT-KT ĐDTA:</t>
  </si>
  <si>
    <t>- Lập BCKT-KT ĐDHA:</t>
  </si>
  <si>
    <t>- Sụt áp % từ thanh cái đầu nguồn đến điểm đấu nối</t>
  </si>
  <si>
    <t>[%]</t>
  </si>
  <si>
    <t>giá Tuấn Ân</t>
  </si>
  <si>
    <r>
      <t>Z</t>
    </r>
    <r>
      <rPr>
        <vertAlign val="subscript"/>
        <sz val="13"/>
        <rFont val="Times New Roman"/>
        <family val="1"/>
      </rPr>
      <t>BA</t>
    </r>
  </si>
  <si>
    <r>
      <t>r</t>
    </r>
    <r>
      <rPr>
        <vertAlign val="subscript"/>
        <sz val="13"/>
        <rFont val="Times New Roman"/>
        <family val="1"/>
      </rPr>
      <t>o</t>
    </r>
    <r>
      <rPr>
        <sz val="13"/>
        <rFont val="Times New Roman"/>
        <family val="1"/>
      </rPr>
      <t>.l + j.x</t>
    </r>
    <r>
      <rPr>
        <vertAlign val="subscript"/>
        <sz val="13"/>
        <rFont val="Times New Roman"/>
        <family val="1"/>
      </rPr>
      <t>o</t>
    </r>
    <r>
      <rPr>
        <sz val="13"/>
        <rFont val="Times New Roman"/>
        <family val="1"/>
      </rPr>
      <t>.l</t>
    </r>
  </si>
  <si>
    <r>
      <t>Z</t>
    </r>
    <r>
      <rPr>
        <vertAlign val="subscript"/>
        <sz val="13"/>
        <rFont val="Times New Roman"/>
        <family val="1"/>
      </rPr>
      <t>C</t>
    </r>
  </si>
  <si>
    <t>ρ.</t>
  </si>
  <si>
    <r>
      <t xml:space="preserve"> + j.x</t>
    </r>
    <r>
      <rPr>
        <vertAlign val="subscript"/>
        <sz val="13"/>
        <rFont val="Times New Roman"/>
        <family val="1"/>
      </rPr>
      <t>o</t>
    </r>
    <r>
      <rPr>
        <sz val="13"/>
        <rFont val="Times New Roman"/>
        <family val="1"/>
      </rPr>
      <t>.l</t>
    </r>
  </si>
  <si>
    <t>[km]</t>
  </si>
  <si>
    <t>Rack 3 (không sứ)</t>
  </si>
  <si>
    <t>IH003</t>
  </si>
  <si>
    <t>Rack 4 (không sứ)</t>
  </si>
  <si>
    <t>Potelet V50x50 - 2m MK</t>
  </si>
  <si>
    <t>Potelet 60x60x6 - 3m</t>
  </si>
  <si>
    <t>Potelet 50x50x5 - 2,5m</t>
  </si>
  <si>
    <t>QC002</t>
  </si>
  <si>
    <t>04.03.121</t>
  </si>
  <si>
    <t>04.03.111</t>
  </si>
  <si>
    <t>Bộ đà đỡ FCO, LA, Tụ bù, Recloser…</t>
  </si>
  <si>
    <t>05.01.18</t>
  </si>
  <si>
    <t>05.01.17</t>
  </si>
  <si>
    <t>03.10.411</t>
  </si>
  <si>
    <t>03.01.15</t>
  </si>
  <si>
    <t>03.02.12</t>
  </si>
  <si>
    <t>PHẦN THÁO DỠ THIẾT BỊ</t>
  </si>
  <si>
    <t>03.09.221</t>
  </si>
  <si>
    <t>T2.8524t</t>
  </si>
  <si>
    <t>T2.2204t</t>
  </si>
  <si>
    <t>T2.1104at</t>
  </si>
  <si>
    <t>T2.1104a</t>
  </si>
  <si>
    <t>T2.8524</t>
  </si>
  <si>
    <t>T2.2204</t>
  </si>
  <si>
    <t>IV.2</t>
  </si>
  <si>
    <t>IV.3</t>
  </si>
  <si>
    <t>IV.4</t>
  </si>
  <si>
    <t>IV.5</t>
  </si>
  <si>
    <t>IV.6</t>
  </si>
  <si>
    <t>IV.7</t>
  </si>
  <si>
    <t>BỐC LÊN</t>
  </si>
  <si>
    <t>: không quá 20 ngày.</t>
  </si>
  <si>
    <t>Kéo dây trong phạm vi trạm ≤ Cu 240</t>
  </si>
  <si>
    <t>Lắp đặt xà thép cho trụ néo (140kg)</t>
  </si>
  <si>
    <t>Lắp đặt xà thép cho trụ néo (230kg)</t>
  </si>
  <si>
    <t>Lắp đặt xà thép cho trụ néo (320kg)</t>
  </si>
  <si>
    <t>Lắp đặt xà thép cho trụ néo (410kg)</t>
  </si>
  <si>
    <t>Lắp đặt xà thép cho trụ néo (500kg)</t>
  </si>
  <si>
    <t>Lắp đặt thanh cái dẹt kích thước 100x10</t>
  </si>
  <si>
    <t>Tổng trở cáp xuất hạ áp:</t>
  </si>
  <si>
    <t>Hệ số hiệu chỉnh điện trở suất k</t>
  </si>
  <si>
    <t>- Độ sâu từ mặt đất đến giữa cọc sau khi đóng sâu dưới đất một khoảng 0.8 m</t>
  </si>
  <si>
    <t xml:space="preserve"> t = 0,8 + (L/2)</t>
  </si>
  <si>
    <t>- Điện trở của một cọc</t>
  </si>
  <si>
    <t>- Công suất trạm biến áp:</t>
  </si>
  <si>
    <r>
      <t>R</t>
    </r>
    <r>
      <rPr>
        <vertAlign val="subscript"/>
        <sz val="13"/>
        <rFont val="Times New Roman"/>
        <family val="1"/>
      </rPr>
      <t>nối đất</t>
    </r>
  </si>
  <si>
    <t>≤</t>
  </si>
  <si>
    <t xml:space="preserve">Bù lon mạ kẽm 16x300 </t>
  </si>
  <si>
    <t>QF006</t>
  </si>
  <si>
    <t>Bù lon mạ kẽm 16x350</t>
  </si>
  <si>
    <t>Collier sắt dẹt 80x8 ĐK310 giữ ống ĐK114</t>
  </si>
  <si>
    <t>IL000</t>
  </si>
  <si>
    <t>Collier sắt dẹt 40x4 ĐK270 giữ ống ĐK21</t>
  </si>
  <si>
    <t>IL001</t>
  </si>
  <si>
    <t>Collier sắt dẹt 40x4 ĐK290 giữ ống ĐK21</t>
  </si>
  <si>
    <t>IL002</t>
  </si>
  <si>
    <t>Chỏi CH ĐK60 dày 5mm, dài 1600mm</t>
  </si>
  <si>
    <t>JB000</t>
  </si>
  <si>
    <t>Cọc neo ĐK16 dài 2400 mạ kẽm</t>
  </si>
  <si>
    <t>JB001</t>
  </si>
  <si>
    <t>PHẦN THIẾT BỊ</t>
  </si>
  <si>
    <t>(9)=(7)+(8)</t>
  </si>
  <si>
    <t>II.2.3. BẢNG DỰ TOÁN CHI PHÍ PHẦN LẮP ĐẶT VẬT LIỆU</t>
  </si>
  <si>
    <t>THÀNH TIỀN ĐDHA TRÊN KHÔNG</t>
  </si>
  <si>
    <t>ĐDHA
ĐỘC LẬP</t>
  </si>
  <si>
    <t>ĐDHA
CẢI TẠO</t>
  </si>
  <si>
    <t>THÀNH TIỀN ĐDHA NGẦM</t>
  </si>
  <si>
    <r>
      <t>Điều 1.</t>
    </r>
    <r>
      <rPr>
        <sz val="12"/>
        <rFont val="Times New Roman"/>
        <family val="1"/>
      </rPr>
      <t xml:space="preserve"> Nội dung công việc và sản phẩm của hợp đồng:</t>
    </r>
  </si>
  <si>
    <r>
      <t xml:space="preserve">Điều 3. </t>
    </r>
    <r>
      <rPr>
        <sz val="12"/>
        <rFont val="Times New Roman"/>
        <family val="1"/>
      </rPr>
      <t xml:space="preserve">Thời gian, tiến độ thực hiện: </t>
    </r>
  </si>
  <si>
    <r>
      <t xml:space="preserve">Điều 4. </t>
    </r>
    <r>
      <rPr>
        <sz val="12"/>
        <rFont val="Times New Roman"/>
        <family val="1"/>
      </rPr>
      <t>Điều kiện nghiệm thu và bàn giao công trình:</t>
    </r>
  </si>
  <si>
    <r>
      <t xml:space="preserve">Điều 5. </t>
    </r>
    <r>
      <rPr>
        <sz val="12"/>
        <rFont val="Times New Roman"/>
        <family val="1"/>
      </rPr>
      <t>Bảo hành công trình:</t>
    </r>
  </si>
  <si>
    <r>
      <t xml:space="preserve">Điều 6. </t>
    </r>
    <r>
      <rPr>
        <sz val="12"/>
        <rFont val="Times New Roman"/>
        <family val="1"/>
      </rPr>
      <t>Giá trị hợp đồng:</t>
    </r>
  </si>
  <si>
    <r>
      <t xml:space="preserve">Điều 7. </t>
    </r>
    <r>
      <rPr>
        <sz val="12"/>
        <rFont val="Times New Roman"/>
        <family val="1"/>
      </rPr>
      <t>Thanh toán hợp đồng:</t>
    </r>
  </si>
  <si>
    <r>
      <t xml:space="preserve">Điều 8. </t>
    </r>
    <r>
      <rPr>
        <sz val="12"/>
        <rFont val="Times New Roman"/>
        <family val="1"/>
      </rPr>
      <t>Tranh chấp và giải quyết tranh chấp :</t>
    </r>
  </si>
  <si>
    <r>
      <t xml:space="preserve">Điều 9. </t>
    </r>
    <r>
      <rPr>
        <sz val="12"/>
        <rFont val="Times New Roman"/>
        <family val="1"/>
      </rPr>
      <t>Tạm dừng, hủy bỏ hợp đồng:</t>
    </r>
  </si>
  <si>
    <t>06.6125</t>
  </si>
  <si>
    <t>06.6126</t>
  </si>
  <si>
    <t>BẢNG CHẤM CÔNG CÔNG TÁC KHẢO SÁT THIẾT KẾ</t>
  </si>
  <si>
    <t>Chiều dài 2 khoảng trụ xa nhất</t>
  </si>
  <si>
    <r>
      <t xml:space="preserve">F
</t>
    </r>
    <r>
      <rPr>
        <sz val="13"/>
        <rFont val="Times New Roman"/>
        <family val="1"/>
      </rPr>
      <t>mm</t>
    </r>
    <r>
      <rPr>
        <vertAlign val="superscript"/>
        <sz val="13"/>
        <rFont val="Times New Roman"/>
        <family val="1"/>
      </rPr>
      <t>2</t>
    </r>
  </si>
  <si>
    <t>Rải lưới thép</t>
  </si>
  <si>
    <t>07.2104</t>
  </si>
  <si>
    <t>07.2105</t>
  </si>
  <si>
    <t>tấm</t>
  </si>
  <si>
    <t>07.2106</t>
  </si>
  <si>
    <t>Bộ xà 24K</t>
  </si>
  <si>
    <t xml:space="preserve"> Chi phí vận chuyển-bốc dỡ vật liệu</t>
  </si>
  <si>
    <t>Chi phí phần lắp đặt vật liệu</t>
  </si>
  <si>
    <t>Chi phí xây dựng, lắp đặt vật liệu</t>
  </si>
  <si>
    <r>
      <t>G</t>
    </r>
    <r>
      <rPr>
        <vertAlign val="subscript"/>
        <sz val="10"/>
        <color indexed="10"/>
        <rFont val="Times New Roman"/>
        <family val="1"/>
      </rPr>
      <t>VLXC</t>
    </r>
  </si>
  <si>
    <r>
      <t>G</t>
    </r>
    <r>
      <rPr>
        <vertAlign val="subscript"/>
        <sz val="10"/>
        <color indexed="10"/>
        <rFont val="Times New Roman"/>
        <family val="1"/>
      </rPr>
      <t>XDLĐ</t>
    </r>
  </si>
  <si>
    <t>1. Bên giao thầu (gọi tắt là bên A) :</t>
  </si>
  <si>
    <t>Người đại diện là</t>
  </si>
  <si>
    <t>Chức vụ:</t>
  </si>
  <si>
    <t>2. Bên nhận thầu (gọi tắt là bên B) :</t>
  </si>
  <si>
    <t>NH Nông Nghiệp &amp; PTNT T.Hậu Giang</t>
  </si>
  <si>
    <t>NGUYỄN VIẾT THỌ</t>
  </si>
  <si>
    <t>HAI BÊN THỎA THUẬN KÝ KẾT</t>
  </si>
  <si>
    <t>b</t>
  </si>
  <si>
    <t>c</t>
  </si>
  <si>
    <t xml:space="preserve"> Bùlon móc 16x400</t>
  </si>
  <si>
    <t xml:space="preserve"> Bùlon móc 16x250</t>
  </si>
  <si>
    <t>Cáp nhôm bọc 0,6/1kV (AV) - 50mm2</t>
  </si>
  <si>
    <t>Cáp nhôm bọc 0,6/1kV (AV) - 70mm2</t>
  </si>
  <si>
    <t>Cáp nhôm trần lõi thép (AC) - 35mm2</t>
  </si>
  <si>
    <t>- Độ võng tính toán</t>
  </si>
  <si>
    <t>- Khoảng cách từ đỉnh cột đến xà thấp nhất:</t>
  </si>
  <si>
    <t>∆y</t>
  </si>
  <si>
    <t>Kiểm tra lại điều kiện an toàn:</t>
  </si>
  <si>
    <t>Dây nhôm lõi thép chống thấm bọc XLPE 24kV 95/16</t>
  </si>
  <si>
    <t>Dây nhôm lõi thép chống thấm bọc XLPE 24kV 120/19</t>
  </si>
  <si>
    <t>Dây nhôm lõi thép chống thấm bọc XLPE 24kV 150/19</t>
  </si>
  <si>
    <t>Dây nhôm lõi thép chống thấm bọc XLPE 24kV 185/24</t>
  </si>
  <si>
    <t xml:space="preserve">Chọn loại tụ bù ứng động, dung lượng tối đa </t>
  </si>
  <si>
    <t xml:space="preserve">- Tụ bù : </t>
  </si>
  <si>
    <t>Loại</t>
  </si>
  <si>
    <t>Dung lượng bù
(kVAr)</t>
  </si>
  <si>
    <t>TÍNH TOÁN LỰA CHỌN MÁY BIẾN ÁP</t>
  </si>
  <si>
    <t>TÍNH TOÁN LỰA CHỌN DÂY DẪN</t>
  </si>
  <si>
    <t>05.4104</t>
  </si>
  <si>
    <t>Lắp đèn chống nổ</t>
  </si>
  <si>
    <t>05.4105</t>
  </si>
  <si>
    <t>Làm, lắp đầu cáp trung áp 3 pha ≤ 400mm2</t>
  </si>
  <si>
    <t>200102*1,8</t>
  </si>
  <si>
    <t>221734*1,8</t>
  </si>
  <si>
    <t>245530*1,8</t>
  </si>
  <si>
    <t>270408*1,8</t>
  </si>
  <si>
    <t>301775*1,8</t>
  </si>
  <si>
    <t>391550*1,8</t>
  </si>
  <si>
    <t>kVAr</t>
  </si>
  <si>
    <t xml:space="preserve">- </t>
  </si>
  <si>
    <t>kW</t>
  </si>
  <si>
    <t xml:space="preserve">Đổ bê tông móng trụ, chiều rộng &gt;250cm, đá 2x4, bằng thủ công M100 </t>
  </si>
  <si>
    <t>Đổ bê tông móng trụ, chiều rộng &gt;250cm, đá 2x4, bằng thủ công M150</t>
  </si>
  <si>
    <t>04.1202c</t>
  </si>
  <si>
    <t>Đổ bê tông móng trụ, chiều rộng &gt;250cm, đá 2x4, bằng thủ công M200</t>
  </si>
  <si>
    <t>04.1202d</t>
  </si>
  <si>
    <t>Đổ bê tông móng trụ, chiều rộng &gt;250cm, đá 2x4, bằng thủ công M250</t>
  </si>
  <si>
    <t>04.1203a</t>
  </si>
  <si>
    <t>Đổ bê tông móng bản, đá 2x4,
bằng thủ công, M100</t>
  </si>
  <si>
    <t>04.1203b</t>
  </si>
  <si>
    <t>Đổ bê tông móng bản, đá 2x4,
bằng thủ công, M150</t>
  </si>
  <si>
    <t>Đổ bê tông móng bản, đá 2x4,
bằng thủ công, M200</t>
  </si>
  <si>
    <t>Biến dòng đo đếm 600V 200/5A</t>
  </si>
  <si>
    <t>BC004</t>
  </si>
  <si>
    <t>Biến dòng đo đếm 600V 250/5A</t>
  </si>
  <si>
    <t>BC005</t>
  </si>
  <si>
    <t>Biến dòng đo đếm 600V 300/5A</t>
  </si>
  <si>
    <t>BC006</t>
  </si>
  <si>
    <t>Biến dòng đo đếm 600V 400/5A</t>
  </si>
  <si>
    <t>BC007</t>
  </si>
  <si>
    <t>Biến dòng đo đếm 600V 500/5A</t>
  </si>
  <si>
    <t>BC008</t>
  </si>
  <si>
    <t xml:space="preserve">Biến dòng đo đếm 600V 600/5A </t>
  </si>
  <si>
    <t>BC009</t>
  </si>
  <si>
    <t>Rãi căng dây lấy độ võng ≤ A35mm2</t>
  </si>
  <si>
    <t>Cáp ngầm 3 pha 24kV CXV/Sehh/DSTA/PVC 3x150</t>
  </si>
  <si>
    <t>04.4203</t>
  </si>
  <si>
    <t>Cáp ngầm 1 pha 24kV CXV/S/DSTA95</t>
  </si>
  <si>
    <t>KQ005</t>
  </si>
  <si>
    <t>Kẹp ngừng cáp ABC 4x95</t>
  </si>
  <si>
    <t>PA006</t>
  </si>
  <si>
    <t>a/ Tổ chức khảo sát lập hướng tuyến, bàn giao cột mốc cho bên A.</t>
  </si>
  <si>
    <t>II. BẢNG TỔNG HỢP CHI PHÍ XÂY DỰNG, THIẾT BỊ, QLDA, TV, CPK &amp; DP</t>
  </si>
  <si>
    <t>II.1. BẢNG TỔNG HỢP CHI PHÍ XÂY DỰNG, THIẾT BỊ, QLDA, TV, CPK &amp; DP</t>
  </si>
  <si>
    <t>II.2. BẢNG TỔNG HỢP CHI PHÍ XÂY DỰNG, THIẾT BỊ, QLDA, TV, CPK &amp; DP</t>
  </si>
  <si>
    <t>Cáp ngầm 1 pha 24kV CXV/S/DSTA150</t>
  </si>
  <si>
    <t>KQ007</t>
  </si>
  <si>
    <t>Cáp ngầm 1 pha 24kV CXV/S/DSTA185</t>
  </si>
  <si>
    <t>KQ008</t>
  </si>
  <si>
    <t>Cáp ngầm 1 pha 24kV CXV/S/DSTA240</t>
  </si>
  <si>
    <t>KQ009</t>
  </si>
  <si>
    <t>Cáp ngầm 1 pha 24kV CXV/S/DSTA300</t>
  </si>
  <si>
    <t>KQ010</t>
  </si>
  <si>
    <t>Cáp ngầm 1 pha 24kV CXV/S/DSTA400</t>
  </si>
  <si>
    <t>KQ011</t>
  </si>
  <si>
    <t>Cáp ngầm 1 pha 24kV CXV/S/DSTA500</t>
  </si>
  <si>
    <t>KR000</t>
  </si>
  <si>
    <t>KR001</t>
  </si>
  <si>
    <t>KR002</t>
  </si>
  <si>
    <t>KR003</t>
  </si>
  <si>
    <t>KR004</t>
  </si>
  <si>
    <t>KR005</t>
  </si>
  <si>
    <t>KR006</t>
  </si>
  <si>
    <t>KR007</t>
  </si>
  <si>
    <t>KR008</t>
  </si>
  <si>
    <t>KS000</t>
  </si>
  <si>
    <t>KS001</t>
  </si>
  <si>
    <t>KS002</t>
  </si>
  <si>
    <t>KX000</t>
  </si>
  <si>
    <t>Đầu cáp ngầm 3 pha 24kV trong nhà 3x35</t>
  </si>
  <si>
    <t>KX001</t>
  </si>
  <si>
    <t>Đầu cáp ngầm 3 pha 24kV trong nhà 3x50</t>
  </si>
  <si>
    <t>KX002</t>
  </si>
  <si>
    <t>Cáp ngầm 3 pha 0,6/1kV CXV/DSTA 3x120</t>
  </si>
  <si>
    <t>KV029</t>
  </si>
  <si>
    <t>Cáp ngầm 3 pha 0,6/1kV CXV/DSTA 3x150</t>
  </si>
  <si>
    <t>Lắp tấm giá đỡ bằng phip, nhựa</t>
  </si>
  <si>
    <t>LẮP ĐẶT CÁC THIẾT BỊ KHÁC CHO MẠCH NHỊ THỨ: ĐIỀU KHIỂN, BẢO VỆ, ĐO LƯỜNG</t>
  </si>
  <si>
    <t>05.5101</t>
  </si>
  <si>
    <t>Lắp đặt rơ le</t>
  </si>
  <si>
    <t>05.5102</t>
  </si>
  <si>
    <t>Lắp đặt báo hiệu, chuông, còi, hàng kẹp đấu dây</t>
  </si>
  <si>
    <t>05.5103</t>
  </si>
  <si>
    <t>Lắp đặt dây xuống thiết bị ≤ AC 240</t>
  </si>
  <si>
    <t>Kéo rãi lắp đặt cáp ngầm ≤ 32kg/m</t>
  </si>
  <si>
    <t>LẮP ĐẶT CÁP TREO TRÊN DÂY THÉP</t>
  </si>
  <si>
    <t>07.3301</t>
  </si>
  <si>
    <t>07.3302</t>
  </si>
  <si>
    <t>07.3303</t>
  </si>
  <si>
    <t>07.3304</t>
  </si>
  <si>
    <t>07.3305</t>
  </si>
  <si>
    <t>07.3311</t>
  </si>
  <si>
    <t>07.3312</t>
  </si>
  <si>
    <t>07.3313</t>
  </si>
  <si>
    <t>QF009</t>
  </si>
  <si>
    <t>Bù lon mạ kẽm 16x500</t>
  </si>
  <si>
    <t>QF010</t>
  </si>
  <si>
    <t>công trình xây dựng;</t>
  </si>
  <si>
    <t>1. Khảo sát tuyến đường dây không lập bản vẽ mặt cắt dọc:</t>
  </si>
  <si>
    <t>Đầu cáp ngầm 1 pha 24kV ngoài trời 1x300</t>
  </si>
  <si>
    <t>KU010</t>
  </si>
  <si>
    <t>Lắp đặt xà thép cho trụ ghép (410kg)</t>
  </si>
  <si>
    <t>Lắp đặt xà thép cho trụ ghép (500kg)</t>
  </si>
  <si>
    <t>Lắp đặt xà thép cho trụ ghép (750kg)</t>
  </si>
  <si>
    <t>Lắp đặt xà thép cho trụ ghép (1000kg)</t>
  </si>
  <si>
    <t>Lắp sứ đứng 24KV trên trụ BTLT</t>
  </si>
  <si>
    <t>II.3</t>
  </si>
  <si>
    <t>II.4</t>
  </si>
  <si>
    <t>và hợp đồng hết hiệu lực kể từ ngày biên bản được ký kết và thanh toán dứt điểm.</t>
  </si>
  <si>
    <t>MBA 3 pha 22/0,4kV 630kVA</t>
  </si>
  <si>
    <t xml:space="preserve"> Bùlon móc 16x550</t>
  </si>
  <si>
    <t>Bù lon móc mạ kẽm 16x550</t>
  </si>
  <si>
    <t>(VB số 1776 /BXD-VP ngày 16/8/2007)</t>
  </si>
  <si>
    <t>90% x (Bảng II.1.5)</t>
  </si>
  <si>
    <t>BẢNG TỔNG KÊ PHẦN ĐƯỜNG DÂY HẠ ÁP HIỆN HỮU</t>
  </si>
  <si>
    <t>V/c trụ bằng thủ công (≤ 500m)</t>
  </si>
  <si>
    <t>Đóng cọc gỗ sâu ≤ 2,5m, đất cấp II</t>
  </si>
  <si>
    <t>Làm đầu cáp ≤1kV  3-4 ruột ≤ 35mm2</t>
  </si>
  <si>
    <t>Làm đầu cáp ≤1kV  3-4 ruột ≤ 70mm2</t>
  </si>
  <si>
    <t>Làm đầu cáp ≤1kV  3-4 ruột ≤ 120mm2</t>
  </si>
  <si>
    <t>biên bản nghiệm thu khối lượng vật tư thiết bị, bản vẽ hoàn công.</t>
  </si>
  <si>
    <t>Dây nhôm trần lõi thép bọc mỡ 185/29</t>
  </si>
  <si>
    <t>07.2103</t>
  </si>
  <si>
    <t>Xếp gạch chỉ</t>
  </si>
  <si>
    <t>07.2201</t>
  </si>
  <si>
    <t>07.2202</t>
  </si>
  <si>
    <t>07.2203</t>
  </si>
  <si>
    <t>07.2204</t>
  </si>
  <si>
    <t>Cáp 3x6 vàng trắng đen</t>
  </si>
  <si>
    <t>mét</t>
  </si>
  <si>
    <t>KK009</t>
  </si>
  <si>
    <t>Cáp 3x6 xanh trắng đen</t>
  </si>
  <si>
    <t>KK010</t>
  </si>
  <si>
    <t>Vật liệu</t>
  </si>
  <si>
    <t>Bảng II.9</t>
  </si>
  <si>
    <t>a/ Giao cho bên B : bộ hồ sơ để giám sát kỹ thuật công trình điện bao gồm :</t>
  </si>
  <si>
    <t>Giấy phép hành nghề đơn vị thi công.</t>
  </si>
  <si>
    <t>Đo đếm</t>
  </si>
  <si>
    <t>trung áp</t>
  </si>
  <si>
    <t>150/5</t>
  </si>
  <si>
    <t>200/5</t>
  </si>
  <si>
    <t>250/5</t>
  </si>
  <si>
    <r>
      <t>[N/m.mm</t>
    </r>
    <r>
      <rPr>
        <vertAlign val="superscript"/>
        <sz val="13"/>
        <rFont val="Times New Roman"/>
        <family val="1"/>
      </rPr>
      <t>2</t>
    </r>
    <r>
      <rPr>
        <sz val="13"/>
        <rFont val="Times New Roman"/>
        <family val="1"/>
      </rPr>
      <t>]</t>
    </r>
  </si>
  <si>
    <r>
      <t>g</t>
    </r>
    <r>
      <rPr>
        <vertAlign val="subscript"/>
        <sz val="13"/>
        <rFont val="Times New Roman"/>
        <family val="1"/>
      </rPr>
      <t>o</t>
    </r>
  </si>
  <si>
    <t>1.000 . F</t>
  </si>
  <si>
    <t>Kẹp nối rẽ IPC 50-35</t>
  </si>
  <si>
    <t>PD006</t>
  </si>
  <si>
    <t>Kẹp nối rẽ IPC 50-25</t>
  </si>
  <si>
    <t>PD007</t>
  </si>
  <si>
    <t>Kẹp nối rẽ IPC 35-35</t>
  </si>
  <si>
    <t>PD008</t>
  </si>
  <si>
    <t>Kẹp nối rẽ IPC 35-25</t>
  </si>
  <si>
    <t>PE000</t>
  </si>
  <si>
    <t xml:space="preserve"> Hộp phân phối 3 cực</t>
  </si>
  <si>
    <t>PE001</t>
  </si>
  <si>
    <t xml:space="preserve"> Hộp phân phối 6 cực</t>
  </si>
  <si>
    <t>PE002</t>
  </si>
  <si>
    <t xml:space="preserve"> Hộp phân phối 9 cực + phụ kiện</t>
  </si>
  <si>
    <t>PE003</t>
  </si>
  <si>
    <t>PHỤ KIỆN</t>
  </si>
  <si>
    <t>BẢNG TÍNH VẬN CHUYỂN NHÂN CÔNG, THIẾT BỊ THI CÔNG PHẦN TRẠM BIẾN ÁP ( tạm tính )</t>
  </si>
  <si>
    <r>
      <t>G</t>
    </r>
    <r>
      <rPr>
        <b/>
        <vertAlign val="subscript"/>
        <sz val="12"/>
        <color indexed="10"/>
        <rFont val="Times New Roman"/>
        <family val="1"/>
      </rPr>
      <t>K</t>
    </r>
  </si>
  <si>
    <r>
      <t>G</t>
    </r>
    <r>
      <rPr>
        <b/>
        <vertAlign val="subscript"/>
        <sz val="12"/>
        <color indexed="10"/>
        <rFont val="Times New Roman"/>
        <family val="1"/>
      </rPr>
      <t>DP</t>
    </r>
  </si>
  <si>
    <t>Cáp ngầm 1 pha 0,6/1kV CXV/DSTA 2x4,0</t>
  </si>
  <si>
    <t>KV003</t>
  </si>
  <si>
    <t>Cáp ngầm 1 pha 0,6/1kV CXV/DSTA 2x6,0</t>
  </si>
  <si>
    <t>KV004</t>
  </si>
  <si>
    <t>Cáp ngầm 1 pha 0,6/1kV CXV/DSTA 2x8,0</t>
  </si>
  <si>
    <t xml:space="preserve">a/ Lực căng dây lớn nhất tác dụng lên trụ </t>
  </si>
  <si>
    <t>GIÁM ĐỐC CÔNG TY ĐIỆN LỰC HẬU GIANG</t>
  </si>
  <si>
    <t xml:space="preserve">. . . . . . . . . . . . . . . . . . . . . . . . . . . . . . . . . . . . . . . . . . . . . . . . . . . </t>
  </si>
  <si>
    <t>Đóng cọc tiếp địa độ sâu 2,5m ( cọc có sẵn )</t>
  </si>
  <si>
    <t xml:space="preserve">    Căn cứ Nghị định số: 37/2015/NĐ-CP ngày 15/6/2015 của Chính phủ về Quy định chi tiết về </t>
  </si>
  <si>
    <t>hợp đồng xây dựng;</t>
  </si>
  <si>
    <t>Bù lon mạ kẽm 6x60</t>
  </si>
  <si>
    <t>QB000</t>
  </si>
  <si>
    <t>Bù lon mạ kẽm 8x40</t>
  </si>
  <si>
    <t>QB001</t>
  </si>
  <si>
    <t>: Trang 52 Quyết định 3404/QĐ-EVN-TĐ 26/11/2003</t>
  </si>
  <si>
    <t>Cáp ngầm 1 pha 0,6/1kV CXV/DSTA 2x25</t>
  </si>
  <si>
    <t>KV008</t>
  </si>
  <si>
    <t>Kéo dây trong phạm vi trạm ≤ Cu 50</t>
  </si>
  <si>
    <t>V/c cát vàng bằng thủ công (&gt;500m)</t>
  </si>
  <si>
    <t>V/c đá dăm bằng thủ công</t>
  </si>
  <si>
    <t>05.6031</t>
  </si>
  <si>
    <t>05.6041</t>
  </si>
  <si>
    <t>05.6051</t>
  </si>
  <si>
    <t>05.6061</t>
  </si>
  <si>
    <t>05.6071</t>
  </si>
  <si>
    <t>05.6081</t>
  </si>
  <si>
    <t>05.6002</t>
  </si>
  <si>
    <t>05.6012</t>
  </si>
  <si>
    <t>05.6022</t>
  </si>
  <si>
    <t>05.6032</t>
  </si>
  <si>
    <t>05.6042</t>
  </si>
  <si>
    <t>05.6052</t>
  </si>
  <si>
    <t>Ống nối bọc cách điện LV-ABC 95</t>
  </si>
  <si>
    <t>Kẹp ngừng cáp ABC 4x16</t>
  </si>
  <si>
    <t>PA001</t>
  </si>
  <si>
    <t>Kẹp ngừng cáp ABC 4x25</t>
  </si>
  <si>
    <t>PA002</t>
  </si>
  <si>
    <t>Đầu cáp ngầm 3 pha 24kV trong nhà 3x70</t>
  </si>
  <si>
    <t>KX003</t>
  </si>
  <si>
    <t>d/ Bảo quản cột mốc khi bên B bàn giao.</t>
  </si>
  <si>
    <t xml:space="preserve">b/ Bên hủy bỏ hợp đồng phải thông báo ngay cho bên kia biết việc hủy bỏ; nếu không thông </t>
  </si>
  <si>
    <t>KV015</t>
  </si>
  <si>
    <t>Cáp ngầm 1 pha 0,6/1kV CXV/DSTA 2x240</t>
  </si>
  <si>
    <t>KV016</t>
  </si>
  <si>
    <t>Cáp ngầm 3 pha 0,6/1kV CXV/DSTA 3x1,5</t>
  </si>
  <si>
    <t>TRẠM N1 x S1kVA</t>
  </si>
  <si>
    <t>Bù lon mắt mạ kẽm 16x350</t>
  </si>
  <si>
    <t>QJ004</t>
  </si>
  <si>
    <t>Bù lon mắt mạ kẽm 16x400</t>
  </si>
  <si>
    <t>KQ004</t>
  </si>
  <si>
    <r>
      <t>9,81.α.C.d.v</t>
    </r>
    <r>
      <rPr>
        <vertAlign val="superscript"/>
        <sz val="13"/>
        <rFont val="Times New Roman"/>
        <family val="1"/>
      </rPr>
      <t>2</t>
    </r>
  </si>
  <si>
    <t>Người ký kiểm tra</t>
  </si>
  <si>
    <t>Chdài đường dây trung áp</t>
  </si>
  <si>
    <t>02.3022</t>
  </si>
  <si>
    <t>02.3032</t>
  </si>
  <si>
    <t>02.3042</t>
  </si>
  <si>
    <t>02.3052</t>
  </si>
  <si>
    <t>02.3062</t>
  </si>
  <si>
    <t>02.3072</t>
  </si>
  <si>
    <t xml:space="preserve">Kẹp treo cáp ABC 4x50 </t>
  </si>
  <si>
    <t xml:space="preserve">Kẹp treo cáp ABC 4x70 </t>
  </si>
  <si>
    <t>Kẹp treo cáp ABC 4x95</t>
  </si>
  <si>
    <t xml:space="preserve">Kẹp treo cáp ABC 4x120 </t>
  </si>
  <si>
    <t>Kẹp treo cáp ABC 4x150</t>
  </si>
  <si>
    <t>Kẹp nối rẽ IPC 95-35 (1 boulon)</t>
  </si>
  <si>
    <t>Kẹp nối rẽ IPC 95-70 (1 boulon)</t>
  </si>
  <si>
    <t>Kẹp nối rẽ IPC 95-95 (2 boulon)</t>
  </si>
  <si>
    <t>Kẹp nối rẽ IPC 120-120 (2 boulon)</t>
  </si>
  <si>
    <t>Kẹp nối rẽ IPC 185-150 (2 boulon)</t>
  </si>
  <si>
    <t>PD009</t>
  </si>
  <si>
    <t xml:space="preserve"> Nắp bịt đầu cáp 6-35</t>
  </si>
  <si>
    <t>PE004</t>
  </si>
  <si>
    <t>Lắp tủ điện cao áp, có cấp điện áp đến 35kV</t>
  </si>
  <si>
    <t>LẮP ĐẶT TỦ ĐIỆN NHỊ THỨ: ĐIỀU KHIỂN, BẢO VỆ, ĐO LƯỜNG</t>
  </si>
  <si>
    <t>05.3101</t>
  </si>
  <si>
    <t>a/ Khối lượng công việc thực hiện:</t>
  </si>
  <si>
    <t>CO.01103</t>
  </si>
  <si>
    <t>Đo vẽ mặt cắt dọc ở trên cạn</t>
  </si>
  <si>
    <t>Collier sắt dẹt 80x8 ĐK290 giữ ống ĐK114</t>
  </si>
  <si>
    <t>IK006</t>
  </si>
  <si>
    <t>06.4014</t>
  </si>
  <si>
    <t>06.4015</t>
  </si>
  <si>
    <t>06.4016</t>
  </si>
  <si>
    <t>06.4017</t>
  </si>
  <si>
    <t>06.4018</t>
  </si>
  <si>
    <t>Ép nối dây, tiết diện ≤ 150mm2</t>
  </si>
  <si>
    <t>Ép nối dây, tiết diện ≤ 185mm2</t>
  </si>
  <si>
    <t>Ép nối dây, tiết diện ≤ 240mm2</t>
  </si>
  <si>
    <t>Ép nối dây, tiết diện ≤ 300mm2</t>
  </si>
  <si>
    <t>Ép nối dây, tiết diện ≤ 400mm2</t>
  </si>
  <si>
    <t>Ép nối dây, tiết diện ≤ 500mm2</t>
  </si>
  <si>
    <t>KF012</t>
  </si>
  <si>
    <t>Dây đồng bọc PVC 0,6/1kV 300</t>
  </si>
  <si>
    <t>KF013</t>
  </si>
  <si>
    <t>Dây đồng bọc PVC 0,6/1kV 400</t>
  </si>
  <si>
    <t>KG000</t>
  </si>
  <si>
    <t>Dây nhôm bọc PVC 0,6/1kV 35</t>
  </si>
  <si>
    <t>KG001</t>
  </si>
  <si>
    <t>Dây nhôm bọc PVC 0,6/1kV 50</t>
  </si>
  <si>
    <t>KG002</t>
  </si>
  <si>
    <t>29</t>
  </si>
  <si>
    <t>30</t>
  </si>
  <si>
    <t>31</t>
  </si>
  <si>
    <t>10</t>
  </si>
  <si>
    <t>11</t>
  </si>
  <si>
    <t>12</t>
  </si>
  <si>
    <t>13</t>
  </si>
  <si>
    <t>14</t>
  </si>
  <si>
    <t>Mẫu Số : 06 - LĐTL</t>
  </si>
  <si>
    <t>Ban hành theo QĐ số : 186</t>
  </si>
  <si>
    <t>TC/CĐKT ngày 14 - 3 - 1995</t>
  </si>
  <si>
    <t xml:space="preserve">Cty CP Tư Vấn - XLĐ Vĩnh Nguyên  </t>
  </si>
  <si>
    <t>Cty TNHH Phương Mai</t>
  </si>
  <si>
    <t>Cty TNHH XD - TM Quang Thiên</t>
  </si>
  <si>
    <t>Cáp ngầm 1 pha 24kV CXV/S400</t>
  </si>
  <si>
    <t>KP011</t>
  </si>
  <si>
    <t>Cáp ngầm 1 pha 24kV CXV/S500</t>
  </si>
  <si>
    <t>Ống nối ép cho dây nhôm trần lõi thép 95</t>
  </si>
  <si>
    <t>OD013</t>
  </si>
  <si>
    <t>Chi phí lắp đặt TB</t>
  </si>
  <si>
    <t>Hệ số điều chỉnh chi phí nhân công Knc và máy thi công Kmtc áp dụng theo quy định hiện hành như sau:</t>
  </si>
  <si>
    <t>Bảng II.3.1</t>
  </si>
  <si>
    <t>Bảng II.3.3</t>
  </si>
  <si>
    <t xml:space="preserve">Gía trị dự toán lắp đặt sau thuế </t>
  </si>
  <si>
    <t>TRẠM n2 x S2KVA</t>
  </si>
  <si>
    <t>4.1 Vị trí trụ đở thẳng</t>
  </si>
  <si>
    <t>TRẠM n3 x S3KVA</t>
  </si>
  <si>
    <t>MAU chitiet moi 2007.XLS</t>
  </si>
  <si>
    <t>Chỉ định thầu</t>
  </si>
  <si>
    <t>Biến dòng đo đếm 600V 75/5A</t>
  </si>
  <si>
    <t>Cáp ĐK 2 ruột đồng bọc PVC vỏ PVC 2x6</t>
  </si>
  <si>
    <t>KL000a</t>
  </si>
  <si>
    <t>Cáp nhôm ABC bọc XLPE 0,6/1kV 3x16</t>
  </si>
  <si>
    <t>KL001a</t>
  </si>
  <si>
    <t>Kéo rãi lắp đặt cáp ngầm ≤ 10,5kg/m</t>
  </si>
  <si>
    <t>03.1105</t>
  </si>
  <si>
    <t>03.1106</t>
  </si>
  <si>
    <t>OB006</t>
  </si>
  <si>
    <t>Cosse ép dùng cho dây nhôm 185</t>
  </si>
  <si>
    <t>OB007</t>
  </si>
  <si>
    <t>OB008</t>
  </si>
  <si>
    <t>Cosse ép dùng cho dây nhôm 240</t>
  </si>
  <si>
    <t>OC000</t>
  </si>
  <si>
    <t>Ống nối căng cho dây đồng 11mm2</t>
  </si>
  <si>
    <t>OC001</t>
  </si>
  <si>
    <t>Ống nối căng cho dây đồng 16mm2</t>
  </si>
  <si>
    <t>OC002</t>
  </si>
  <si>
    <t>Ống nối căng cho dây đồng 25mm2</t>
  </si>
  <si>
    <t>OC003</t>
  </si>
  <si>
    <t>24kV 200-400/5A</t>
  </si>
  <si>
    <t>24kV 300-600/5A</t>
  </si>
  <si>
    <t>TI 0,6kV</t>
  </si>
  <si>
    <t>600V - 75/5A</t>
  </si>
  <si>
    <t>600V - 100/5A</t>
  </si>
  <si>
    <t>03.4003</t>
  </si>
  <si>
    <t>03.4004</t>
  </si>
  <si>
    <t>03.4005</t>
  </si>
  <si>
    <t>03.4006</t>
  </si>
  <si>
    <t>03.4007</t>
  </si>
  <si>
    <t>QJ002</t>
  </si>
  <si>
    <t>Bù lon mắt mạ kẽm 16x300</t>
  </si>
  <si>
    <t>QJ003</t>
  </si>
  <si>
    <t>T4.4201</t>
  </si>
  <si>
    <t>D4.5001</t>
  </si>
  <si>
    <t>D4.2403</t>
  </si>
  <si>
    <t>T4.8003</t>
  </si>
  <si>
    <t>Cộng :</t>
  </si>
  <si>
    <t>Dây dẫn :</t>
  </si>
  <si>
    <t xml:space="preserve">Chiều dài :  </t>
  </si>
  <si>
    <t>Khối lượng :</t>
  </si>
  <si>
    <t>Đà</t>
  </si>
  <si>
    <t>Bộ xà 24Đ</t>
  </si>
  <si>
    <t>Bộ xà 20Đ+chân sứ đỉnh</t>
  </si>
  <si>
    <t>III.3</t>
  </si>
  <si>
    <t>II.2</t>
  </si>
  <si>
    <t>III.4</t>
  </si>
  <si>
    <t>E</t>
  </si>
  <si>
    <t>F</t>
  </si>
  <si>
    <t>22</t>
  </si>
  <si>
    <t>23</t>
  </si>
  <si>
    <t>24</t>
  </si>
  <si>
    <t>25</t>
  </si>
  <si>
    <t>26</t>
  </si>
  <si>
    <t>27</t>
  </si>
  <si>
    <t>28</t>
  </si>
  <si>
    <t>07.1100    PHÁ DỠ BẰNG THỦ CÔNG</t>
  </si>
  <si>
    <t>07.1210</t>
  </si>
  <si>
    <t>Làm và lắp đặt đầu cáp khô 22KV, loại đầu cáp 1pha, tiết diện cáp:( 3pha NC*1,8)</t>
  </si>
  <si>
    <t>Làm, lắp đầu cáp hạ áp 1 pha ≤ 35mm2</t>
  </si>
  <si>
    <t>Làm, lắp đầu cáp hạ áp 1 pha ≤ 70mm2</t>
  </si>
  <si>
    <t>Làm, lắp đầu cáp hạ áp 1 pha ≤ 120mm2</t>
  </si>
  <si>
    <t>Làm, lắp đầu cáp hạ áp 1 pha ≤ 185mm2</t>
  </si>
  <si>
    <t>Làm, lắp đầu cáp hạ áp 1 pha ≤ 240mm2</t>
  </si>
  <si>
    <t>Thùng điện kế 2 ngăn 1x1x0,35 (STĐ)</t>
  </si>
  <si>
    <t>Lắp đặt thu lôi ống</t>
  </si>
  <si>
    <t>04.3004</t>
  </si>
  <si>
    <t>Lắp đặt mỏ phóng điện</t>
  </si>
  <si>
    <t>04.3005</t>
  </si>
  <si>
    <t>Lắp đặt khoá các loại</t>
  </si>
  <si>
    <t>04.3006</t>
  </si>
  <si>
    <t>Lắp đặt đầu ép</t>
  </si>
  <si>
    <t>04.3007</t>
  </si>
  <si>
    <t>Lắp đặt kẹp các loại</t>
  </si>
  <si>
    <t>04.3008</t>
  </si>
  <si>
    <t>Lắp đặt khung định vị</t>
  </si>
  <si>
    <t>04.3009</t>
  </si>
  <si>
    <t>Vị trí trụ đấu nối</t>
  </si>
  <si>
    <t>- Công suất tác dụng cực đại</t>
  </si>
  <si>
    <t>- Công suất phản kháng cực đại</t>
  </si>
  <si>
    <t>-  Cấp đủ kinh phí cho bên B.</t>
  </si>
  <si>
    <t>-  Cung cấp sơ đồ vị trí mặt bằng và chuẩn bị mọi điều kiện cần thiết cho bên B khảo sát .</t>
  </si>
  <si>
    <t xml:space="preserve">-  Xin giấy phép cấp đất của UBND tỉnh, thành phố, huyện để dựng trụ và lắp trạm sau khi </t>
  </si>
  <si>
    <t>-  Bảo quản cột mốc khi bên B bàn giao.</t>
  </si>
  <si>
    <t>KL
(lkvt)</t>
  </si>
  <si>
    <t>Trụ BTLT 12m</t>
  </si>
  <si>
    <t>Lắp đặt cáp vặn xoắn 2 x 50 mm2</t>
  </si>
  <si>
    <t>Nếu cải tạo MBA &amp; VTTB nhỏ lẻ, không thay đổi lớn đến kết cấu TBA.</t>
  </si>
  <si>
    <t>Bảng số 17: Định mức chi phí thẩm tra thiết kế xây dựng</t>
  </si>
  <si>
    <t>TTTKXD79^</t>
  </si>
  <si>
    <t xml:space="preserve">Đà lắp MBA trạm giàn </t>
  </si>
  <si>
    <t>Giá lắp FCO, LA trạm 1 pha</t>
  </si>
  <si>
    <t>Trạm Treo 3x50kVA</t>
  </si>
  <si>
    <t>Trạm Treo 2x50kVA</t>
  </si>
  <si>
    <t>Trạm Treo 1x50kVA</t>
  </si>
  <si>
    <t>Phụ kiện trạm
(bộ)</t>
  </si>
  <si>
    <t>Tiếp địa
(bộ)</t>
  </si>
  <si>
    <t>Đà lắp thiết bị
(bộ)</t>
  </si>
  <si>
    <t>Dây dẫn TA (bộ)</t>
  </si>
  <si>
    <t>Máy &amp; TB trạm
(bộ)</t>
  </si>
  <si>
    <t>Đà MBA
(bộ)</t>
  </si>
  <si>
    <t>Trạm giàn 250kVA</t>
  </si>
  <si>
    <t>Trạm tháp sắt 160kVA</t>
  </si>
  <si>
    <t>Tiếp địa trạm tháp sắt (giàn)</t>
  </si>
  <si>
    <t>Cáp nhôm ABC bọc XLPE 0,6/1kV 3x25</t>
  </si>
  <si>
    <t>KL002a</t>
  </si>
  <si>
    <t>Cáp nhôm ABC bọc XLPE 0,6/1kV 3x35</t>
  </si>
  <si>
    <t>KL003a</t>
  </si>
  <si>
    <t>Cáp nhôm ABC bọc XLPE 0,6/1kV 3x50</t>
  </si>
  <si>
    <t>KL004a</t>
  </si>
  <si>
    <t>Cáp nhôm ABC bọc XLPE 0,6/1kV 3x70</t>
  </si>
  <si>
    <t>BẢO VỆ ĐƯỜNG CÁP NGẦM</t>
  </si>
  <si>
    <t>Bảo vệ đường cáp ngầm</t>
  </si>
  <si>
    <t>Rải cát đệm</t>
  </si>
  <si>
    <t>PHẦN XÂY DỰNG</t>
  </si>
  <si>
    <t>I.3</t>
  </si>
  <si>
    <t xml:space="preserve">ACB - 3 pha 600V - 4000A </t>
  </si>
  <si>
    <t>TỤ BÙ</t>
  </si>
  <si>
    <t>EA000</t>
  </si>
  <si>
    <t>Đà lắp MBA trạm tháp sắt (trụ ghép)</t>
  </si>
  <si>
    <t>Giá chùm treo MBA 3x50kVA</t>
  </si>
  <si>
    <t>Giá chùm treo MBA 3x25kVA</t>
  </si>
  <si>
    <t>Đà 2,4K lắp FCO, LA trạm 3 pha</t>
  </si>
  <si>
    <t>Đà 28Đ đỡ dây trung áp trạm giàn</t>
  </si>
  <si>
    <t>Đà đỡ TU, TI trạm giàn</t>
  </si>
  <si>
    <t xml:space="preserve">2 ngăn 1,05x0,6x0,4 (Composite) </t>
  </si>
  <si>
    <t xml:space="preserve">2 ngăn 0,99x0,5x0,34 (Composite) </t>
  </si>
  <si>
    <t>Tủ điện kế
(bộ)</t>
  </si>
  <si>
    <t>2 ngăn 1x1x0,42m (STĐ)</t>
  </si>
  <si>
    <t>2 ngăn 1x0,5x0,42 (STĐ)</t>
  </si>
  <si>
    <t>Thi công xây lắp công trình đúng hồ sơ thiết kế được phê duyệt.</t>
  </si>
  <si>
    <t>b/ Thiết kế đảm bảo tiêu chuẩn kỹ thuật ngành, đảm bảo qui trình qui phạm an toàn, kinh tế.</t>
  </si>
  <si>
    <t xml:space="preserve">  =</t>
  </si>
  <si>
    <r>
      <t xml:space="preserve"> </t>
    </r>
    <r>
      <rPr>
        <sz val="13"/>
        <rFont val="Times New Roman"/>
        <family val="1"/>
      </rPr>
      <t>=</t>
    </r>
  </si>
  <si>
    <r>
      <t>S</t>
    </r>
    <r>
      <rPr>
        <vertAlign val="subscript"/>
        <sz val="13"/>
        <rFont val="Times New Roman"/>
        <family val="1"/>
      </rPr>
      <t>đmBA</t>
    </r>
  </si>
  <si>
    <r>
      <t>U</t>
    </r>
    <r>
      <rPr>
        <vertAlign val="subscript"/>
        <sz val="13"/>
        <rFont val="Times New Roman"/>
        <family val="1"/>
      </rPr>
      <t>đmBA</t>
    </r>
  </si>
  <si>
    <r>
      <t>U</t>
    </r>
    <r>
      <rPr>
        <vertAlign val="subscript"/>
        <sz val="13"/>
        <rFont val="Times New Roman"/>
        <family val="1"/>
      </rPr>
      <t>N</t>
    </r>
    <r>
      <rPr>
        <sz val="13"/>
        <rFont val="Times New Roman"/>
        <family val="1"/>
      </rPr>
      <t>%</t>
    </r>
  </si>
  <si>
    <r>
      <t>x</t>
    </r>
    <r>
      <rPr>
        <vertAlign val="subscript"/>
        <sz val="13"/>
        <rFont val="Times New Roman"/>
        <family val="1"/>
      </rPr>
      <t>o</t>
    </r>
  </si>
  <si>
    <t>l</t>
  </si>
  <si>
    <t xml:space="preserve">-  Nhà nước thay đổi chính sách: trong trường hợp này chỉ được điều chỉnh khi được cấp có </t>
  </si>
  <si>
    <t>Giá trị hợp đồng trên có thể được điều chỉnh trong các trường hợp sau:</t>
  </si>
  <si>
    <t>Rãi căng dây lấy độ võng ≤ C240mm2</t>
  </si>
  <si>
    <t>LẮP ĐẶT CÁP VẶN XOẮN</t>
  </si>
  <si>
    <t>06.6501</t>
  </si>
  <si>
    <t>06.6502</t>
  </si>
  <si>
    <t>06.6503</t>
  </si>
  <si>
    <t>06.6504</t>
  </si>
  <si>
    <t>06.6505</t>
  </si>
  <si>
    <t>06.6506</t>
  </si>
  <si>
    <t>06.6507</t>
  </si>
  <si>
    <t>06.6508</t>
  </si>
  <si>
    <t>Lắp sứ chuỗi đỡ dây dẫn (&lt; 2 bát)</t>
  </si>
  <si>
    <t>Lắp sứ chuỗi đỡ dây dẫn (&lt; 5 bát)</t>
  </si>
  <si>
    <t>Trụ BTLT 14m</t>
  </si>
  <si>
    <t>Trụ BTLT 10,5m</t>
  </si>
  <si>
    <t>Móng M12ba</t>
  </si>
  <si>
    <t xml:space="preserve">Bên A giao cho bên B các hồ sơ thiết kế kỹ thuật thi công - tổng dự toán của công trình cần </t>
  </si>
  <si>
    <t>giám sát đã được các bên có liên quan phê duyệt.</t>
  </si>
  <si>
    <t>3.2.  Hồ sơ giám sát giao cho Bên A : gồm 04 bộ.</t>
  </si>
  <si>
    <t>Cosse ép dùng cho dây đồng 300mm2</t>
  </si>
  <si>
    <t>OA013</t>
  </si>
  <si>
    <t>Cosse ép dùng cho dây đồng 400mm2</t>
  </si>
  <si>
    <t>OB000</t>
  </si>
  <si>
    <t>Cosse ép dùng cho dây nhôm 35</t>
  </si>
  <si>
    <t>OB001</t>
  </si>
  <si>
    <t>Cosse ép dùng cho dây nhôm 50</t>
  </si>
  <si>
    <t>OB002</t>
  </si>
  <si>
    <t>- Giá trị còn lại bên A phải trả cho bên B</t>
  </si>
  <si>
    <t>QUYẾT ĐỊNH</t>
  </si>
  <si>
    <t>ký BCKS</t>
  </si>
  <si>
    <t>bà</t>
  </si>
  <si>
    <t>Hợp đồng kinh tế về giao nhận thầu xây lắp giữa chủ đầu tư và đơn vị thi công.</t>
  </si>
  <si>
    <t>4. Kiểm tra khả năng chịu lực của trụ</t>
  </si>
  <si>
    <t>Dự kiến tiến độ thi công, nhân sự thi công, lịch đăng ký cắt điện để thực hiện công tác.</t>
  </si>
  <si>
    <t>Bảng thời gian và địa điểm tập kết vật tư.</t>
  </si>
  <si>
    <t>RD000</t>
  </si>
  <si>
    <t>KT002</t>
  </si>
  <si>
    <t>Đầu cáp ngầm 1 pha 24kV trong nhà 1x50</t>
  </si>
  <si>
    <t>KT003</t>
  </si>
  <si>
    <t>Bảng II.1.1</t>
  </si>
  <si>
    <t>Rãi căng dây lấy độ võng ≤ thép 25mm2</t>
  </si>
  <si>
    <t>Rãi căng dây lấy độ võng ≤ thép 35mm2</t>
  </si>
  <si>
    <t>Rãi căng dây lấy độ võng ≤ thép 50mm2</t>
  </si>
  <si>
    <t>Rãi căng dây lấy độ võng ≤ thép 70mm2</t>
  </si>
  <si>
    <t>KV005</t>
  </si>
  <si>
    <t>0711.3876812</t>
  </si>
  <si>
    <t>Đà sắt L75x75x8 dài 2m 2  gù</t>
  </si>
  <si>
    <t>IA002</t>
  </si>
  <si>
    <t xml:space="preserve">Đà sắt L75x75x8 dài 2,1m </t>
  </si>
  <si>
    <t>IA003</t>
  </si>
  <si>
    <t>Đà sắt L75x75x8 dài 2,4m 4 gù</t>
  </si>
  <si>
    <t>IB000</t>
  </si>
  <si>
    <t xml:space="preserve">Đà sắt L75x75x8 dài 0,8m - lệch </t>
  </si>
  <si>
    <t>IB001</t>
  </si>
  <si>
    <t>Làm và lắp đặt đầu cáp hạ áp</t>
  </si>
  <si>
    <t>03.2111</t>
  </si>
  <si>
    <t>03.2112</t>
  </si>
  <si>
    <t>03.2113</t>
  </si>
  <si>
    <t>03.2114</t>
  </si>
  <si>
    <t>03.2115</t>
  </si>
  <si>
    <t>03.2116</t>
  </si>
  <si>
    <t>03.2117</t>
  </si>
  <si>
    <t>Làm, lắp đầu cáp hạ áp 3 pha ≤ 35mm2</t>
  </si>
  <si>
    <t>Làm, lắp đầu cáp hạ áp 3 pha ≤ 70mm2</t>
  </si>
  <si>
    <t>Làm, lắp đầu cáp hạ áp 3 pha ≤ 120mm2</t>
  </si>
  <si>
    <r>
      <t>Hsố đ.ch t</t>
    </r>
    <r>
      <rPr>
        <vertAlign val="superscript"/>
        <sz val="12"/>
        <rFont val="Times New Roman"/>
        <family val="1"/>
      </rPr>
      <t>o</t>
    </r>
    <r>
      <rPr>
        <sz val="12"/>
        <rFont val="Times New Roman"/>
        <family val="1"/>
      </rPr>
      <t xml:space="preserve"> ứng với s.lượng cáp</t>
    </r>
  </si>
  <si>
    <t>07.3417</t>
  </si>
  <si>
    <t>Lắp cáp trong ống bảo vệ ≤1kg/m</t>
  </si>
  <si>
    <t xml:space="preserve">Bù lon mạ kẽm 16x450 </t>
  </si>
  <si>
    <r>
      <t>3.2.</t>
    </r>
    <r>
      <rPr>
        <sz val="12"/>
        <rFont val="Times New Roman"/>
        <family val="1"/>
      </rPr>
      <t xml:space="preserve">  Hồ sơ thiết kế giao cho Bên A : gồm 04 bộ.</t>
    </r>
  </si>
  <si>
    <t>Số công trình</t>
  </si>
  <si>
    <t>Tên công trình</t>
  </si>
  <si>
    <t>Địa điểm</t>
  </si>
  <si>
    <t>Thời gian</t>
  </si>
  <si>
    <t>Chủ dầu tư</t>
  </si>
  <si>
    <t>Đơn vị giám sát</t>
  </si>
  <si>
    <t>Đơn vị thi công</t>
  </si>
  <si>
    <t>BẢNG TÍNH VẬN CHUYỂN NHÂN CÔNG, THIẾT BỊ THI CÔNG PHẦN ĐD HẠ ÁP ( tạm tính )</t>
  </si>
  <si>
    <t xml:space="preserve">           Căn cứ Quyết định số 703 /QĐ-EVN SPC ngày 05/07/2010 của Tổng Công ty Điện lực Miền Nam về việc ban hành qui chế tổ chức và hoạt động của Công ty Điện lực Hậu Giang;</t>
  </si>
  <si>
    <t>Bảng 18, trang 38, quyết định số 79/QĐ-BXD ngày 15/02/2017</t>
  </si>
  <si>
    <t>Bảng 20, trang 41, quyết định số 79/QĐ-BXD ngày 15/02/2017</t>
  </si>
  <si>
    <t xml:space="preserve">  Lập hồ sơ mời thầu, đánh giá hồ sơ dự thầu mua sắm vật tư thiết bị</t>
  </si>
  <si>
    <t>Bảng 21, trang 42, quyết định số 79/QĐ-BXD ngày 15/02/2017</t>
  </si>
  <si>
    <t>Bảng 22, trang 44, quyết định số 79/QĐ-BXD ngày 15/02/2017</t>
  </si>
  <si>
    <t>Bảng 23, trang 45, quyết định số 79/QĐ-BXD ngày 15/02/2017</t>
  </si>
  <si>
    <t>Thời gian và mức đền bù thiệt hại do tạm dừng hợp đồng do hai bên thỏa thuận để khắc phục.</t>
  </si>
  <si>
    <t>7.2.  Hủy bỏ hợp đồng :</t>
  </si>
  <si>
    <t>2. Đo vẽ bản đồ địa hình: (mỗi bên 20m)</t>
  </si>
  <si>
    <t>3. Lập phương án, báo cáo kết quả khảo sát (TT 14/2005/TT-BXD):</t>
  </si>
  <si>
    <t>Phân xưởng cơ khí lắp ráp</t>
  </si>
  <si>
    <t>Phân xưởng nhiệt luyện</t>
  </si>
  <si>
    <t>OF000</t>
  </si>
  <si>
    <t>Long đền vuông 50x50x3 bù lon 16</t>
  </si>
  <si>
    <t>QK006</t>
  </si>
  <si>
    <t>Long đền vuông 80x80x6 bù lon 22</t>
  </si>
  <si>
    <t>Khóa néo dây 35 - 70</t>
  </si>
  <si>
    <t>RA001</t>
  </si>
  <si>
    <t>Khóa néo dây 95 - 150</t>
  </si>
  <si>
    <t>-  Đảm bảo an toàn trong vận hành, khai thác khi đưa công trình vào sử dụng.</t>
  </si>
  <si>
    <t>Ống nối bọc cách điện 70-50</t>
  </si>
  <si>
    <t>ĐL Phụng Hiệp</t>
  </si>
  <si>
    <t>Quét nhựa Bitum nóng một nước</t>
  </si>
  <si>
    <t>Quét nhựa Bitum nóng hai nước</t>
  </si>
  <si>
    <t>=&gt; bán kính dây dẫn</t>
  </si>
  <si>
    <t>r</t>
  </si>
  <si>
    <t>- Dòng điện tổng phía sơ cấp:</t>
  </si>
  <si>
    <t xml:space="preserve">- Điện áp tại vị trí trụ đấu nối </t>
  </si>
  <si>
    <r>
      <t>U</t>
    </r>
    <r>
      <rPr>
        <vertAlign val="subscript"/>
        <sz val="13"/>
        <rFont val="Times New Roman"/>
        <family val="1"/>
      </rPr>
      <t>thtế</t>
    </r>
  </si>
  <si>
    <t>Ép vá dây, tiết diện &gt; 500mm2</t>
  </si>
  <si>
    <t>-  Thời gian thi công dự kiến hoàn thành :</t>
  </si>
  <si>
    <t>* Ngày khởi công    :</t>
  </si>
  <si>
    <t>* Ngày hoàn thành  :</t>
  </si>
  <si>
    <t>4.1 Điều kiện nghiệm thu :</t>
  </si>
  <si>
    <t>-  Tuân theo các quy định về quản lý chất lượng công trình.</t>
  </si>
  <si>
    <t xml:space="preserve">THU NHẬP CHỊU THUẾ TÍNH TRƯỚC </t>
  </si>
  <si>
    <t>TL</t>
  </si>
  <si>
    <t>6%( T + C )</t>
  </si>
  <si>
    <t>Gía trị dự toán trước thuế</t>
  </si>
  <si>
    <t>T + C + TL</t>
  </si>
  <si>
    <t>IV</t>
  </si>
  <si>
    <t xml:space="preserve">THUẾ GIÁ TRỊ GIA TĂNG </t>
  </si>
  <si>
    <t>Chiều dài ĐDHA :</t>
  </si>
  <si>
    <t>+ Giá trị phần khảo sát</t>
  </si>
  <si>
    <t>+ Giá trị phần lập BCKT-KT</t>
  </si>
  <si>
    <t>IF000</t>
  </si>
  <si>
    <t>Giá chùm treo MBA 25kVA</t>
  </si>
  <si>
    <t>Bùi Tựu</t>
  </si>
  <si>
    <t>IF001</t>
  </si>
  <si>
    <t>Giá chùm treo MBA 50kVA</t>
  </si>
  <si>
    <t>IF002</t>
  </si>
  <si>
    <t>Tổng trở máy biến áp qui về hạ áp:</t>
  </si>
  <si>
    <r>
      <t>R</t>
    </r>
    <r>
      <rPr>
        <vertAlign val="subscript"/>
        <sz val="13"/>
        <rFont val="Times New Roman"/>
        <family val="1"/>
      </rPr>
      <t>AT</t>
    </r>
    <r>
      <rPr>
        <sz val="13"/>
        <rFont val="Times New Roman"/>
        <family val="1"/>
      </rPr>
      <t xml:space="preserve"> + j.X</t>
    </r>
    <r>
      <rPr>
        <vertAlign val="subscript"/>
        <sz val="13"/>
        <rFont val="Times New Roman"/>
        <family val="1"/>
      </rPr>
      <t>AT</t>
    </r>
  </si>
  <si>
    <t>TTQT$</t>
  </si>
  <si>
    <t>Định mức chi phí kiểm toán độc lập</t>
  </si>
  <si>
    <t>CPKT^</t>
  </si>
  <si>
    <t>Kiểm toán ( %)</t>
  </si>
  <si>
    <t>CPKT$</t>
  </si>
  <si>
    <t>Theo Thông tư số 75/2014/TT- BTC ngày 12 tháng 6 năm 2014 của Bộ Tài chính</t>
  </si>
  <si>
    <t>Quy định mức thu, chế độ thu, nộp, quản lý và sử dụng phí thẩm tra thiết kế công trình xây dựng</t>
  </si>
  <si>
    <t>III</t>
  </si>
  <si>
    <t>05.4032</t>
  </si>
  <si>
    <t>05.4042</t>
  </si>
  <si>
    <t>05.4052</t>
  </si>
  <si>
    <t>05.4062</t>
  </si>
  <si>
    <t>05.4072</t>
  </si>
  <si>
    <t>mối</t>
  </si>
  <si>
    <t>05.5201</t>
  </si>
  <si>
    <t>05.5301</t>
  </si>
  <si>
    <t>05.5401</t>
  </si>
  <si>
    <t>05.5501</t>
  </si>
  <si>
    <t>05.5601</t>
  </si>
  <si>
    <t>05.5701</t>
  </si>
  <si>
    <t>GTGT</t>
  </si>
  <si>
    <r>
      <t>G</t>
    </r>
    <r>
      <rPr>
        <b/>
        <vertAlign val="subscript"/>
        <sz val="10"/>
        <color indexed="10"/>
        <rFont val="Times New Roman"/>
        <family val="1"/>
      </rPr>
      <t>XDCPT</t>
    </r>
  </si>
  <si>
    <t>Lắp đặt hộp nối cáp trung áp ≤ 35mm2</t>
  </si>
  <si>
    <t>Làm, lắp đầu cáp trung áp 1 pha ≤ 120mm2</t>
  </si>
  <si>
    <t>Làm, lắp đầu cáp trung áp 1 pha ≤ 185mm2</t>
  </si>
  <si>
    <t>Đầu cáp ngầm 3 pha 24kV trong nhà 3x120</t>
  </si>
  <si>
    <t>KX005</t>
  </si>
  <si>
    <t>Đầu cáp ngầm 3 pha 24kV trong nhà 3x150</t>
  </si>
  <si>
    <t>KX006</t>
  </si>
  <si>
    <t>MCCB - 2 pha 600V - 80A</t>
  </si>
  <si>
    <t>DA005</t>
  </si>
  <si>
    <t>MCCB - 2 pha 600V - 125A</t>
  </si>
  <si>
    <t>DA006</t>
  </si>
  <si>
    <t>MCCB - 2 pha 600V - 150A</t>
  </si>
  <si>
    <t>DA007</t>
  </si>
  <si>
    <t>MCCB - 2 pha 600V - 200A</t>
  </si>
  <si>
    <t>DA008</t>
  </si>
  <si>
    <t>MCCB - 2 pha 600V - 225A</t>
  </si>
  <si>
    <t>DA009</t>
  </si>
  <si>
    <t>MCCB - 2 pha 600V - 250A</t>
  </si>
  <si>
    <t>DB000</t>
  </si>
  <si>
    <t>MCCB - 3 pha 600V - 125A</t>
  </si>
  <si>
    <t>DB001</t>
  </si>
  <si>
    <t>MCCB - 3 pha 600V - 160A</t>
  </si>
  <si>
    <t>DB002</t>
  </si>
  <si>
    <t>MCCB - 3 pha 600V - 200A</t>
  </si>
  <si>
    <t>DB003</t>
  </si>
  <si>
    <t>MCCB - 3 pha 600V - 250A</t>
  </si>
  <si>
    <t>DB004</t>
  </si>
  <si>
    <t>cos φ</t>
  </si>
  <si>
    <r>
      <t>U</t>
    </r>
    <r>
      <rPr>
        <vertAlign val="subscript"/>
        <sz val="12"/>
        <rFont val="Times New Roman"/>
        <family val="1"/>
      </rPr>
      <t xml:space="preserve">k </t>
    </r>
    <r>
      <rPr>
        <sz val="12"/>
        <rFont val="Times New Roman"/>
        <family val="1"/>
      </rPr>
      <t>(%)</t>
    </r>
  </si>
  <si>
    <t>thibidi</t>
  </si>
  <si>
    <t>file cũ</t>
  </si>
  <si>
    <r>
      <t>ΔP</t>
    </r>
    <r>
      <rPr>
        <vertAlign val="subscript"/>
        <sz val="13"/>
        <rFont val="Times New Roman"/>
        <family val="1"/>
      </rPr>
      <t>N</t>
    </r>
    <r>
      <rPr>
        <sz val="13"/>
        <rFont val="Times New Roman"/>
        <family val="1"/>
      </rPr>
      <t xml:space="preserve"> . U</t>
    </r>
    <r>
      <rPr>
        <vertAlign val="superscript"/>
        <sz val="13"/>
        <rFont val="Times New Roman"/>
        <family val="1"/>
      </rPr>
      <t>2</t>
    </r>
    <r>
      <rPr>
        <vertAlign val="subscript"/>
        <sz val="13"/>
        <rFont val="Times New Roman"/>
        <family val="1"/>
      </rPr>
      <t>đmBA</t>
    </r>
  </si>
  <si>
    <r>
      <t>S</t>
    </r>
    <r>
      <rPr>
        <vertAlign val="superscript"/>
        <sz val="13"/>
        <rFont val="Times New Roman"/>
        <family val="1"/>
      </rPr>
      <t>2</t>
    </r>
    <r>
      <rPr>
        <vertAlign val="subscript"/>
        <sz val="13"/>
        <rFont val="Times New Roman"/>
        <family val="1"/>
      </rPr>
      <t>đmBA</t>
    </r>
  </si>
  <si>
    <r>
      <t>10</t>
    </r>
    <r>
      <rPr>
        <vertAlign val="superscript"/>
        <sz val="13"/>
        <rFont val="Times New Roman"/>
        <family val="1"/>
      </rPr>
      <t>6</t>
    </r>
    <r>
      <rPr>
        <sz val="13"/>
        <rFont val="Times New Roman"/>
        <family val="1"/>
      </rPr>
      <t xml:space="preserve"> + j.</t>
    </r>
  </si>
  <si>
    <t>06.4037</t>
  </si>
  <si>
    <t>06.4038</t>
  </si>
  <si>
    <t>Ép nối lèo, khoá néo, tiết diện ≤ 150mm2</t>
  </si>
  <si>
    <t>V/c bulon, tiếp địa, cốt thép, dây néo TC ( ≤ 100m)</t>
  </si>
  <si>
    <t>V/c bulon, tiếp địa, cốt thép, dây néo TC ( ≤ 300m)</t>
  </si>
  <si>
    <t>: Hệ số điều chỉnh đối với hàng chỉ xếp được từ 50% - 80% tải trọng xe.</t>
  </si>
  <si>
    <t>Lắp cáp trong ống bảo vệ ≤7,5kg/m</t>
  </si>
  <si>
    <t>Lắp cáp trong ống bảo vệ ≤9kg/m</t>
  </si>
  <si>
    <t>Lắp cáp trong ống bảo vệ ≤10,5kg/m</t>
  </si>
  <si>
    <t>Lắp cáp trong ống bảo vệ ≤12kg/m</t>
  </si>
  <si>
    <t>Điện kế điện tử 3 pha 5A 120/208V</t>
  </si>
  <si>
    <t>BH001</t>
  </si>
  <si>
    <t>Cáp Cu/PVC 0,6/1kV (2x25)mm2</t>
  </si>
  <si>
    <t>Cáp Cu/PVC 0,6/1kV (2x50)mm2</t>
  </si>
  <si>
    <t>Cáp Cu/PVC 0,6/1kV (2x95)mm2</t>
  </si>
  <si>
    <t>Cáp Cu/PVC 0,6/1kV (2x120)mm2</t>
  </si>
  <si>
    <t>Cáp Cu/PVC 0,6/1kV (2x25 + 1x16)mm2</t>
  </si>
  <si>
    <t>Cáp Cu/PVC 0,6/1kV (2x50 + 1x35)mm2</t>
  </si>
  <si>
    <t>Cáp Cu/PVC 0,6/1kV (3x95 + 1x50)mm2</t>
  </si>
  <si>
    <t>Cáp Cu/PVC 0,6/1kV (3x120 + 1x70)mm2</t>
  </si>
  <si>
    <t>Cáp Cu/PVC 0,6/1kV (3x240 + 1x120)mm2</t>
  </si>
  <si>
    <t>Lắp đặt cáp trong ống bảo vệ ≤ 1kg/m</t>
  </si>
  <si>
    <t>Lắp đặt cáp trong ống bảo vệ ≤ 2kg/m</t>
  </si>
  <si>
    <t>Lắp đặt cáp trong ống bảo vệ ≤ 3kg/m</t>
  </si>
  <si>
    <t>Lắp đặt cáp trong ống bảo vệ ≤ 4,5kg/m</t>
  </si>
  <si>
    <t xml:space="preserve">Thời gian thực hiện trên không bao gồm thời gian phê duyệt phương án khảo sát, thời gian </t>
  </si>
  <si>
    <t>đ</t>
  </si>
  <si>
    <t>Chiều dài ĐDTA :</t>
  </si>
  <si>
    <t>BẢNG TỔNG KÊ PHẦN ĐƯỜNG DÂY TRUNG ÁP HIỆN HỮU</t>
  </si>
  <si>
    <t>Ghi chú : Đơn giá chỉ áp dụng trong trường hợp xử lý các sự cố. Đối với công tác làm mới chi phí cho công tác này đã được tính trong đơn giá kéo rải căng dây.</t>
  </si>
  <si>
    <t>LÀM DÀN GIÁO RẢI DÂY VƯỢT CHƯỚNG NGẠI VẬT</t>
  </si>
  <si>
    <t>Làm dàn giáo vượt đdây ttin, hạ thế tiết diện dây</t>
  </si>
  <si>
    <t>RẢI CĂNG DÂY LẤY ĐỘ VÕNG</t>
  </si>
  <si>
    <t>06.6112</t>
  </si>
  <si>
    <t>06.6113</t>
  </si>
  <si>
    <t>06.6114</t>
  </si>
  <si>
    <t>Điện kế 1 pha 2 dây 40(120)A-220V</t>
  </si>
  <si>
    <t>BE000</t>
  </si>
  <si>
    <t>Bù lon mạ kẽm VRS 22x850</t>
  </si>
  <si>
    <t>QH010</t>
  </si>
  <si>
    <t>Bù lon mạ kẽm VRS 22x900</t>
  </si>
  <si>
    <t>QH011</t>
  </si>
  <si>
    <t>Bù lon mạ kẽm VRS 22x950</t>
  </si>
  <si>
    <t>QH012</t>
  </si>
  <si>
    <t>Bù lon mạ kẽm VRS 22x1000</t>
  </si>
  <si>
    <t>Bảng số 22: Định mức chi phí giám sát thi công xây dựng</t>
  </si>
  <si>
    <t>GSTC79^</t>
  </si>
  <si>
    <t>Chi phí xây dựng (chưa có thuế GTGT) của giá gói thầu thi công xây dựng được duyệt (tỷ đồng)</t>
  </si>
  <si>
    <t>GSTC79$</t>
  </si>
  <si>
    <t>Cáp ngầm 1 pha 24kV CXV/S70</t>
  </si>
  <si>
    <t>KP004</t>
  </si>
  <si>
    <t>MBA 3 pha 22/0,4kV 560kVA</t>
  </si>
  <si>
    <t>AD009</t>
  </si>
  <si>
    <t>06.6164</t>
  </si>
  <si>
    <t>06.6165</t>
  </si>
  <si>
    <t>(giá trị đo đạc thực tế hoặc kết quả mô phỏng bằng phần mềm PSS/ADPT)</t>
  </si>
  <si>
    <t>Điện áp tại vị trí đấu nối</t>
  </si>
  <si>
    <t>(cm)</t>
  </si>
  <si>
    <t>(Ω)</t>
  </si>
  <si>
    <t>kV</t>
  </si>
  <si>
    <t>(mm)</t>
  </si>
  <si>
    <t>(m)</t>
  </si>
  <si>
    <t>TÍNH TOÁN NỐI ĐẤT CHO TRẠM BIẾN ÁP</t>
  </si>
  <si>
    <t>Giá trị</t>
  </si>
  <si>
    <t>Cận dưới</t>
  </si>
  <si>
    <t>Cận trên</t>
  </si>
  <si>
    <t>&lt;= 10</t>
  </si>
  <si>
    <t>Công trình dân dụng</t>
  </si>
  <si>
    <t>Công trình công nghiệp</t>
  </si>
  <si>
    <t>Công trình giao thông</t>
  </si>
  <si>
    <t>Công trình nông nghiệp và phát triển nông thôn</t>
  </si>
  <si>
    <t>Công trình hạ tầng kỹ thuật</t>
  </si>
  <si>
    <t>QLDA79$</t>
  </si>
  <si>
    <t>Lắp đặt dao cách ly 1 pha ngoài trời ≤10kV</t>
  </si>
  <si>
    <t>Lắp đặt dao cách ly 3 pha ngoài trời ≤35kV</t>
  </si>
  <si>
    <t>Chủng loại đường dây trung áp</t>
  </si>
  <si>
    <t>ĐDTA ngầm</t>
  </si>
  <si>
    <t>Chủng loại đường dây hạ áp</t>
  </si>
  <si>
    <t>ĐDHA trên không</t>
  </si>
  <si>
    <t>ĐDHA ngầm</t>
  </si>
  <si>
    <t>Chủng loại Trạm biến áp</t>
  </si>
  <si>
    <t>TBA Xây dựng mới</t>
  </si>
  <si>
    <t>ĐDTA trên không XDM</t>
  </si>
  <si>
    <t>ĐDTA trên không NC, CT</t>
  </si>
  <si>
    <r>
      <t xml:space="preserve"> - Giá trị chi phí thiết bị trước thuế (phần trạm biến áp): G</t>
    </r>
    <r>
      <rPr>
        <vertAlign val="subscript"/>
        <sz val="12"/>
        <rFont val="Times New Roman"/>
        <family val="1"/>
      </rPr>
      <t>TB</t>
    </r>
  </si>
  <si>
    <t>[A]</t>
  </si>
  <si>
    <t>[kVA]</t>
  </si>
  <si>
    <t>[rad]</t>
  </si>
  <si>
    <t>Dây dẫn và cáp hạ áp được chọn theo điều kiện phát nóng</t>
  </si>
  <si>
    <r>
      <t>k</t>
    </r>
    <r>
      <rPr>
        <vertAlign val="subscript"/>
        <sz val="13"/>
        <rFont val="Times New Roman"/>
        <family val="1"/>
      </rPr>
      <t>1</t>
    </r>
    <r>
      <rPr>
        <sz val="13"/>
        <rFont val="Times New Roman"/>
        <family val="1"/>
      </rPr>
      <t>.k</t>
    </r>
    <r>
      <rPr>
        <vertAlign val="subscript"/>
        <sz val="13"/>
        <rFont val="Times New Roman"/>
        <family val="1"/>
      </rPr>
      <t>2</t>
    </r>
    <r>
      <rPr>
        <sz val="13"/>
        <rFont val="Times New Roman"/>
        <family val="1"/>
      </rPr>
      <t>.I</t>
    </r>
    <r>
      <rPr>
        <vertAlign val="subscript"/>
        <sz val="13"/>
        <rFont val="Times New Roman"/>
        <family val="1"/>
      </rPr>
      <t>cp</t>
    </r>
  </si>
  <si>
    <t>Trong đó:</t>
  </si>
  <si>
    <r>
      <t>k</t>
    </r>
    <r>
      <rPr>
        <vertAlign val="subscript"/>
        <sz val="13"/>
        <rFont val="Times New Roman"/>
        <family val="1"/>
      </rPr>
      <t>1</t>
    </r>
  </si>
  <si>
    <t>DB00a</t>
  </si>
  <si>
    <t>MCCB - 3 pha 600V - 30A</t>
  </si>
  <si>
    <t>DB00b</t>
  </si>
  <si>
    <t>MCCB - 3 pha 600V - 63A</t>
  </si>
  <si>
    <t>IA000a</t>
  </si>
  <si>
    <t>Đà sắt L75x75x8 dài 1,0m 2 gù</t>
  </si>
  <si>
    <t>Thanh nối PL60x6 dài 410</t>
  </si>
  <si>
    <t>IO000</t>
  </si>
  <si>
    <t>Collier sắt dẹt 50x5 ĐK270</t>
  </si>
  <si>
    <t>IO001</t>
  </si>
  <si>
    <t>Collier sắt dẹt 50x5 ĐK290</t>
  </si>
  <si>
    <t>IO002</t>
  </si>
  <si>
    <t xml:space="preserve">Collier sắt dẹt 50x5 ĐK310 </t>
  </si>
  <si>
    <t>Dây nhôm trần lõi thép 120/27</t>
  </si>
  <si>
    <t xml:space="preserve">Luật Xây dựng và Nghị định số 46/2015/NĐ-CP ngày 12/05/2015 của Chính phủ về quản lý chất  </t>
  </si>
  <si>
    <t>lượng và bảo trì công trình xây dựng.</t>
  </si>
  <si>
    <t>Sản phẩm thiết kế là BC KT-KT được thực hiện theo quy định tại điều 55 Luật Xây dựng</t>
  </si>
  <si>
    <t>trì công trình xây dựng.</t>
  </si>
  <si>
    <t>Điện kế 1 pha 2 dây 20(80)A - 220V</t>
  </si>
  <si>
    <t>Lắp cầu dao hạ áp  ≤200A</t>
  </si>
  <si>
    <t>Lắp cầu dao hạ áp  ≤400A</t>
  </si>
  <si>
    <t>Lắp cầu dao hạ áp  ≤600A</t>
  </si>
  <si>
    <t>Lắp chống sét van, điện áp ≤35kV</t>
  </si>
  <si>
    <t>1,3</t>
  </si>
  <si>
    <t>0,9</t>
  </si>
  <si>
    <t>: Hệ số điều chỉnh đối với hàng bậc 3.</t>
  </si>
  <si>
    <t>12,7/0,22kV - 1x25</t>
  </si>
  <si>
    <t>12,7/0,22kV - 1x37,5</t>
  </si>
  <si>
    <t>12,7/0,22kV - 1x50</t>
  </si>
  <si>
    <t>12,7/0,44kV - 1x15</t>
  </si>
  <si>
    <t>12,7/0,44kV - 1x25</t>
  </si>
  <si>
    <t>12,7/0,44kV - 1x37,5</t>
  </si>
  <si>
    <t>12,7/0,44kV - 1x50</t>
  </si>
  <si>
    <t>Lắp tụ bù</t>
  </si>
  <si>
    <t>Lắp tụ bù trong tủ 6 - 35kV</t>
  </si>
  <si>
    <t>Lắp cáp trên giá hầm cáp ≤ 9kg/m</t>
  </si>
  <si>
    <t>Lắp cáp trên giá hầm cáp ≤ 10,5kg/m</t>
  </si>
  <si>
    <t>Lắp cáp trên giá hầm cáp ≤ 12kg/m</t>
  </si>
  <si>
    <t>Lắp cáp trên giá hầm cáp ≤ 15kg/m</t>
  </si>
  <si>
    <t>- Quyết toán, thanh lý hợp đồng khi hoàn tất công trình bàn giao.</t>
  </si>
  <si>
    <t>- Vị trí trụ đấu nối</t>
  </si>
  <si>
    <r>
      <t>Dòng ngắn mạch tại N</t>
    </r>
    <r>
      <rPr>
        <vertAlign val="subscript"/>
        <sz val="13"/>
        <rFont val="Times New Roman"/>
        <family val="1"/>
      </rPr>
      <t>1</t>
    </r>
    <r>
      <rPr>
        <sz val="13"/>
        <rFont val="Times New Roman"/>
        <family val="1"/>
      </rPr>
      <t>:</t>
    </r>
  </si>
  <si>
    <t>(mùa khô)</t>
  </si>
  <si>
    <r>
      <t>l</t>
    </r>
    <r>
      <rPr>
        <vertAlign val="subscript"/>
        <sz val="13"/>
        <color indexed="10"/>
        <rFont val="Times New Roman"/>
        <family val="1"/>
      </rPr>
      <t>th</t>
    </r>
  </si>
  <si>
    <r>
      <t>σ</t>
    </r>
    <r>
      <rPr>
        <vertAlign val="subscript"/>
        <sz val="13"/>
        <color indexed="10"/>
        <rFont val="Times New Roman"/>
        <family val="1"/>
      </rPr>
      <t>cp</t>
    </r>
    <r>
      <rPr>
        <sz val="13"/>
        <color indexed="10"/>
        <rFont val="Times New Roman"/>
        <family val="1"/>
      </rPr>
      <t xml:space="preserve"> .</t>
    </r>
  </si>
  <si>
    <r>
      <t>24α (θ</t>
    </r>
    <r>
      <rPr>
        <vertAlign val="subscript"/>
        <sz val="13"/>
        <color indexed="10"/>
        <rFont val="Times New Roman"/>
        <family val="1"/>
      </rPr>
      <t>bão</t>
    </r>
    <r>
      <rPr>
        <sz val="13"/>
        <color indexed="10"/>
        <rFont val="Times New Roman"/>
        <family val="1"/>
      </rPr>
      <t xml:space="preserve"> - θ</t>
    </r>
    <r>
      <rPr>
        <vertAlign val="subscript"/>
        <sz val="13"/>
        <color indexed="10"/>
        <rFont val="Times New Roman"/>
        <family val="1"/>
      </rPr>
      <t>min</t>
    </r>
    <r>
      <rPr>
        <sz val="13"/>
        <color indexed="10"/>
        <rFont val="Times New Roman"/>
        <family val="1"/>
      </rPr>
      <t>)</t>
    </r>
  </si>
  <si>
    <t>AV 0,6/1kV 50mm2</t>
  </si>
  <si>
    <t>AV 0,6/1kV 70mm2</t>
  </si>
  <si>
    <t>AV 0,6/1kV 95mm2</t>
  </si>
  <si>
    <t>(2)</t>
  </si>
  <si>
    <t>(3)</t>
  </si>
  <si>
    <t>Lắp đặt cáp vặn xoắn 4 x 25 mm2</t>
  </si>
  <si>
    <t>Lắp đặt cáp vặn xoắn 4 x 35 mm2</t>
  </si>
  <si>
    <t>Xếp cấu kiện bê tông đúc sẵn xuống</t>
  </si>
  <si>
    <t>Đào đất móng sâu &gt; 1m, đất cấp I</t>
  </si>
  <si>
    <t>03.1011</t>
  </si>
  <si>
    <t>03.1012</t>
  </si>
  <si>
    <t>Đào đất móng sâu &gt; 1m, đất cấp II</t>
  </si>
  <si>
    <t>Đào đất để đắp móng, đất cấp I</t>
  </si>
  <si>
    <t>RA002</t>
  </si>
  <si>
    <t>Khóa néo dây 185 - 240</t>
  </si>
  <si>
    <t>Kẹp bulon U cỡ 35-50</t>
  </si>
  <si>
    <t>RB001</t>
  </si>
  <si>
    <t>Kẹp bulon U cỡ 70-95</t>
  </si>
  <si>
    <t>Tủ cấp nguồn xoay chiều, 1 pha</t>
  </si>
  <si>
    <t>tủ</t>
  </si>
  <si>
    <t>05.1002</t>
  </si>
  <si>
    <r>
      <t>. σ</t>
    </r>
    <r>
      <rPr>
        <vertAlign val="superscript"/>
        <sz val="13"/>
        <rFont val="Times New Roman"/>
        <family val="1"/>
      </rPr>
      <t>2</t>
    </r>
    <r>
      <rPr>
        <vertAlign val="subscript"/>
        <sz val="13"/>
        <rFont val="Times New Roman"/>
        <family val="1"/>
      </rPr>
      <t>ACθmax</t>
    </r>
  </si>
  <si>
    <r>
      <t>.10</t>
    </r>
    <r>
      <rPr>
        <vertAlign val="superscript"/>
        <sz val="13"/>
        <rFont val="Times New Roman"/>
        <family val="1"/>
      </rPr>
      <t>4</t>
    </r>
  </si>
  <si>
    <r>
      <t>σ</t>
    </r>
    <r>
      <rPr>
        <vertAlign val="subscript"/>
        <sz val="13"/>
        <rFont val="Times New Roman"/>
        <family val="1"/>
      </rPr>
      <t>ACθmax</t>
    </r>
  </si>
  <si>
    <r>
      <t>f</t>
    </r>
    <r>
      <rPr>
        <vertAlign val="subscript"/>
        <sz val="13"/>
        <rFont val="Times New Roman"/>
        <family val="1"/>
      </rPr>
      <t>cp</t>
    </r>
    <r>
      <rPr>
        <sz val="13"/>
        <rFont val="Times New Roman"/>
        <family val="1"/>
      </rPr>
      <t xml:space="preserve"> </t>
    </r>
  </si>
  <si>
    <t>Đầu cáp ngầm 1 pha 24kV ngoài trời 1x150</t>
  </si>
  <si>
    <t>KU007</t>
  </si>
  <si>
    <t>qui trình, qui phạm kỹ thuật hiện hành áp dụng đối với các công trình tương ứng.</t>
  </si>
  <si>
    <t>b/ Thực hiện đầy đủ chế độ ghi chép nhật ký theo dõi công trình, báo cáo tiến độ thực hiện</t>
  </si>
  <si>
    <t>và các vấn đề phát sinh trong quá trình giám sát cho bên A.</t>
  </si>
  <si>
    <t>- Cộng phần lập BCKT-KT:</t>
  </si>
  <si>
    <t>- Tổng cộng:</t>
  </si>
  <si>
    <t>Tên công việc</t>
  </si>
  <si>
    <t>Thiết kế công trình :</t>
  </si>
  <si>
    <t>Khảo sát công trình :</t>
  </si>
  <si>
    <t>50% Tổng cộng :</t>
  </si>
  <si>
    <t>hồ sơ</t>
  </si>
  <si>
    <t>Móng M14bb</t>
  </si>
  <si>
    <t>Bảng số 5-14: Định mức chi phí thiết kế kỹ thuật cho các loại công trình</t>
  </si>
  <si>
    <t>TKKT79^</t>
  </si>
  <si>
    <t>Loại công trình/
Loại thiết kế/
cấp công trình</t>
  </si>
  <si>
    <t>Chi phí xây dựng (chưa có thuế GTGT) (tỷ đồng)</t>
  </si>
  <si>
    <t>100</t>
  </si>
  <si>
    <t>Kẹp rẽ nhánh WR 70-95 / 50-70</t>
  </si>
  <si>
    <t>Kẹp rẽ nhánh WR 70-95 / 70-95</t>
  </si>
  <si>
    <t>Kẹp rẽ nhánh WR 120-240 / 25-70</t>
  </si>
  <si>
    <t>Kẹp rẽ nhánh WR 120-240 / 50-95</t>
  </si>
  <si>
    <t>Kẹp rẽ nhánh WR 120-240 / 95-150</t>
  </si>
  <si>
    <t>Kẹp rẽ nhánh WR 120-240 / 120-240</t>
  </si>
  <si>
    <t>OF002</t>
  </si>
  <si>
    <t>OF003</t>
  </si>
  <si>
    <r>
      <t>6,18.10</t>
    </r>
    <r>
      <rPr>
        <vertAlign val="superscript"/>
        <sz val="13"/>
        <rFont val="Times New Roman"/>
        <family val="1"/>
      </rPr>
      <t>4</t>
    </r>
    <r>
      <rPr>
        <sz val="13"/>
        <rFont val="Times New Roman"/>
        <family val="1"/>
      </rPr>
      <t xml:space="preserve"> .</t>
    </r>
  </si>
  <si>
    <r>
      <t>σ</t>
    </r>
    <r>
      <rPr>
        <vertAlign val="subscript"/>
        <sz val="13"/>
        <rFont val="Times New Roman"/>
        <family val="1"/>
      </rPr>
      <t>ACbão</t>
    </r>
  </si>
  <si>
    <r>
      <t>σ</t>
    </r>
    <r>
      <rPr>
        <vertAlign val="subscript"/>
        <sz val="13"/>
        <rFont val="Times New Roman"/>
        <family val="1"/>
      </rPr>
      <t>Acp</t>
    </r>
    <r>
      <rPr>
        <sz val="13"/>
        <rFont val="Times New Roman"/>
        <family val="1"/>
      </rPr>
      <t xml:space="preserve"> - (α</t>
    </r>
    <r>
      <rPr>
        <vertAlign val="subscript"/>
        <sz val="13"/>
        <rFont val="Times New Roman"/>
        <family val="1"/>
      </rPr>
      <t>A</t>
    </r>
    <r>
      <rPr>
        <sz val="13"/>
        <rFont val="Times New Roman"/>
        <family val="1"/>
      </rPr>
      <t xml:space="preserve"> - α</t>
    </r>
    <r>
      <rPr>
        <vertAlign val="subscript"/>
        <sz val="13"/>
        <rFont val="Times New Roman"/>
        <family val="1"/>
      </rPr>
      <t>AC</t>
    </r>
    <r>
      <rPr>
        <sz val="13"/>
        <rFont val="Times New Roman"/>
        <family val="1"/>
      </rPr>
      <t>)(θ</t>
    </r>
    <r>
      <rPr>
        <vertAlign val="subscript"/>
        <sz val="13"/>
        <rFont val="Times New Roman"/>
        <family val="1"/>
      </rPr>
      <t>o</t>
    </r>
    <r>
      <rPr>
        <sz val="13"/>
        <rFont val="Times New Roman"/>
        <family val="1"/>
      </rPr>
      <t xml:space="preserve"> - θ</t>
    </r>
    <r>
      <rPr>
        <vertAlign val="subscript"/>
        <sz val="13"/>
        <rFont val="Times New Roman"/>
        <family val="1"/>
      </rPr>
      <t>bão</t>
    </r>
    <r>
      <rPr>
        <sz val="13"/>
        <rFont val="Times New Roman"/>
        <family val="1"/>
      </rPr>
      <t>). E</t>
    </r>
    <r>
      <rPr>
        <vertAlign val="subscript"/>
        <sz val="13"/>
        <rFont val="Times New Roman"/>
        <family val="1"/>
      </rPr>
      <t>A</t>
    </r>
  </si>
  <si>
    <t>(15 - 25)</t>
  </si>
  <si>
    <r>
      <t>d</t>
    </r>
    <r>
      <rPr>
        <vertAlign val="subscript"/>
        <sz val="13"/>
        <rFont val="Times New Roman"/>
        <family val="1"/>
      </rPr>
      <t>1</t>
    </r>
    <r>
      <rPr>
        <sz val="13"/>
        <rFont val="Times New Roman"/>
        <family val="1"/>
      </rPr>
      <t xml:space="preserve"> + d'</t>
    </r>
    <r>
      <rPr>
        <vertAlign val="subscript"/>
        <sz val="13"/>
        <rFont val="Times New Roman"/>
        <family val="1"/>
      </rPr>
      <t>2</t>
    </r>
  </si>
  <si>
    <t>b/ Lực gió lớn nhất tác dụng lên dây</t>
  </si>
  <si>
    <r>
      <t>P</t>
    </r>
    <r>
      <rPr>
        <vertAlign val="subscript"/>
        <sz val="13"/>
        <rFont val="Times New Roman"/>
        <family val="1"/>
      </rPr>
      <t>d</t>
    </r>
  </si>
  <si>
    <r>
      <t>P</t>
    </r>
    <r>
      <rPr>
        <vertAlign val="subscript"/>
        <sz val="13"/>
        <rFont val="Times New Roman"/>
        <family val="1"/>
      </rPr>
      <t>d-pha</t>
    </r>
    <r>
      <rPr>
        <sz val="13"/>
        <rFont val="Times New Roman"/>
        <family val="1"/>
      </rPr>
      <t xml:space="preserve"> + P</t>
    </r>
    <r>
      <rPr>
        <vertAlign val="subscript"/>
        <sz val="13"/>
        <rFont val="Times New Roman"/>
        <family val="1"/>
      </rPr>
      <t>d-TH</t>
    </r>
  </si>
  <si>
    <r>
      <t>P</t>
    </r>
    <r>
      <rPr>
        <vertAlign val="subscript"/>
        <sz val="13"/>
        <rFont val="Times New Roman"/>
        <family val="1"/>
      </rPr>
      <t>d-pha</t>
    </r>
  </si>
  <si>
    <r>
      <t>P</t>
    </r>
    <r>
      <rPr>
        <vertAlign val="subscript"/>
        <sz val="13"/>
        <rFont val="Times New Roman"/>
        <family val="1"/>
      </rPr>
      <t>d-TH</t>
    </r>
  </si>
  <si>
    <t>dây pha:</t>
  </si>
  <si>
    <t>1.3/ Tỷ tải tổng hợp:</t>
  </si>
  <si>
    <r>
      <t>g</t>
    </r>
    <r>
      <rPr>
        <vertAlign val="subscript"/>
        <sz val="13"/>
        <rFont val="Times New Roman"/>
        <family val="1"/>
      </rPr>
      <t>A</t>
    </r>
    <r>
      <rPr>
        <sz val="13"/>
        <rFont val="Times New Roman"/>
        <family val="1"/>
      </rPr>
      <t xml:space="preserve"> F</t>
    </r>
    <r>
      <rPr>
        <vertAlign val="subscript"/>
        <sz val="13"/>
        <rFont val="Times New Roman"/>
        <family val="1"/>
      </rPr>
      <t>A</t>
    </r>
    <r>
      <rPr>
        <sz val="13"/>
        <rFont val="Times New Roman"/>
        <family val="1"/>
      </rPr>
      <t xml:space="preserve"> + g</t>
    </r>
    <r>
      <rPr>
        <vertAlign val="subscript"/>
        <sz val="13"/>
        <rFont val="Times New Roman"/>
        <family val="1"/>
      </rPr>
      <t>Fe</t>
    </r>
    <r>
      <rPr>
        <sz val="13"/>
        <rFont val="Times New Roman"/>
        <family val="1"/>
      </rPr>
      <t xml:space="preserve"> F</t>
    </r>
    <r>
      <rPr>
        <vertAlign val="subscript"/>
        <sz val="13"/>
        <rFont val="Times New Roman"/>
        <family val="1"/>
      </rPr>
      <t>Fe</t>
    </r>
  </si>
  <si>
    <t>- Đo vẽ bản đồ địa hình:</t>
  </si>
  <si>
    <t>Lắp máy biến điện áp</t>
  </si>
  <si>
    <t>II.9. BẢNG TÍNH CHI PHÍ ĐIỀU TRA, ĐO ĐẠC, THU THẬP SỐ LIỆU VÀ LẬP BÁO CÁO KINH TẾ KỸ THUẬT</t>
  </si>
  <si>
    <t>A. Công tác điều tra, đo đạc và thu thập số liệu:</t>
  </si>
  <si>
    <t>1. Điều tra, đo đạc và thu thập số liệu:</t>
  </si>
  <si>
    <t xml:space="preserve">  Công tác điều tra, đo đạc và thu thập số liệu</t>
  </si>
  <si>
    <t>Cáp nhôm trần lõi thép (AC)-50mm2</t>
  </si>
  <si>
    <t>Cáp đồng 24kV (CX)-25mm2</t>
  </si>
  <si>
    <t>m cáp nhôm lỏi thép chống thấm 24kV (ACX)-50mm2</t>
  </si>
  <si>
    <t>m cáp nhôm trần lỏi thép (AC)-50mm2</t>
  </si>
  <si>
    <t>m cáp đồng chống thấm 24kV (CX)-25mm2</t>
  </si>
  <si>
    <t>kg cáp nhôm trần lỏi thép (AC)-50mm2</t>
  </si>
  <si>
    <t>Uclevis + Sứ ống chỉ</t>
  </si>
  <si>
    <t>Giáp níu dây ACX 24kV-50mm2</t>
  </si>
  <si>
    <t>Cáp duplex đồng bọc PVC 0,6/1kV 2x10</t>
  </si>
  <si>
    <t>KH002</t>
  </si>
  <si>
    <t>Cáp duplex đồng bọc PVC 0,6/1kV 2x11</t>
  </si>
  <si>
    <t>KH003</t>
  </si>
  <si>
    <t>thuận có biên bản kèm theo.</t>
  </si>
  <si>
    <t>Đầu cáp ngầm 1 pha 24kV ngoài trời 1x25</t>
  </si>
  <si>
    <t>KU001</t>
  </si>
  <si>
    <t>Đầu cáp ngầm 1 pha 24kV ngoài trời 1x35</t>
  </si>
  <si>
    <t>KU002</t>
  </si>
  <si>
    <t>Đầu cáp ngầm 1 pha 24kV ngoài trời 1x50</t>
  </si>
  <si>
    <t>KU003</t>
  </si>
  <si>
    <t>Đầu cáp ngầm 1 pha 24kV ngoài trời 1x70</t>
  </si>
  <si>
    <t>KU004</t>
  </si>
  <si>
    <t>Lắp cáp trên giá hầm cáp ≤ 18kg/m</t>
  </si>
  <si>
    <t>Lắp cáp trên giá hầm cáp ≤ 21kg/m</t>
  </si>
  <si>
    <t>06.6166</t>
  </si>
  <si>
    <t>06.6131</t>
  </si>
  <si>
    <t>06.6132</t>
  </si>
  <si>
    <t>06.6133</t>
  </si>
  <si>
    <t>06.6134</t>
  </si>
  <si>
    <t>06.6135</t>
  </si>
  <si>
    <t>06.6171</t>
  </si>
  <si>
    <t>06.6172</t>
  </si>
  <si>
    <t>Trần Thị Lệ Hằng</t>
  </si>
  <si>
    <t>Lê Văn Soan</t>
  </si>
  <si>
    <t>Huỳnh Trúc Linh</t>
  </si>
  <si>
    <t>Cáp ngầm3 pha 0,6/1kV CXV/DSTA 4x1,5</t>
  </si>
  <si>
    <t>KV031</t>
  </si>
  <si>
    <t>Cáp ngầm 3 pha 0,6/1kV CXV/DSTA 4x2,5</t>
  </si>
  <si>
    <t>KV032</t>
  </si>
  <si>
    <t>NB002</t>
  </si>
  <si>
    <t>Ép nối lèo, khoá néo, tiết diện ≤ 240mm2</t>
  </si>
  <si>
    <t>Ép nối lèo, khoá néo, tiết diện ≤ 300mm2</t>
  </si>
  <si>
    <t>Ép nối lèo, khoá néo, tiết diện ≤ 400mm2</t>
  </si>
  <si>
    <t>Ép nối lèo, khoá néo, tiết diện ≤ 500mm2</t>
  </si>
  <si>
    <t>II.1.3. BẢNG DỰ TOÁN CHI PHÍ PHẦN LẮP ĐẶT VẬT LIỆU</t>
  </si>
  <si>
    <t>II.1.5. BẢNG TỔNG HỢP CHI PHÍ VẬT LIỆU, THIẾT BỊ, NHÂN CÔNG, MÁY THI CÔNG</t>
  </si>
  <si>
    <t>Cáp nhôm ABC bọc XLPE 0,6/1kV 4x150</t>
  </si>
  <si>
    <t>**Add New Workbook, Infect It, Save It As Book1.**</t>
  </si>
  <si>
    <t>**Infect Workbook**</t>
  </si>
  <si>
    <t>Ống nối ép cho dây nhôm trần lõi thép 185</t>
  </si>
  <si>
    <t>GIÁ TRỊ TRƯỚC THUẾ</t>
  </si>
  <si>
    <t>THUYẾT MINH CHUNG</t>
  </si>
  <si>
    <t>PHẦN I</t>
  </si>
  <si>
    <t>PHẦN II</t>
  </si>
  <si>
    <t>PHẦN III</t>
  </si>
  <si>
    <t>DỰ TOÁN</t>
  </si>
  <si>
    <t>PHẦN IV</t>
  </si>
  <si>
    <t>- Công suất đặt của nhà máy:</t>
  </si>
  <si>
    <t>TÊN PHỤ TẢI</t>
  </si>
  <si>
    <t>1. Phí thẩm định thiết kế kỹ thuật</t>
  </si>
  <si>
    <t>TTTK210^</t>
  </si>
  <si>
    <t>Phụ lục số 1: Phí thẩm định thiết kế kỹ thuật</t>
  </si>
  <si>
    <t>Phụ lục số 2: Phí thẩm định thiết kế kỹ thuật khi cơ quan chuyên môn về xây dựng mời tổ chức tư vấn, cá nhân cùng thẩm định</t>
  </si>
  <si>
    <t>Cáp đồng 24kV (CX) - 150mm2</t>
  </si>
  <si>
    <t>Cáp nhôm trần lõi thép (AC) - 185mm2</t>
  </si>
  <si>
    <t>Cáp nhôm trần lõi thép (AC) - 120mm2</t>
  </si>
  <si>
    <t>Cáp nhôm trần lõi thép (AC) - 150mm2</t>
  </si>
  <si>
    <t>160/175/98/6A</t>
  </si>
  <si>
    <t>160/175/98/6A/1</t>
  </si>
  <si>
    <t>160/175/98/6A/2</t>
  </si>
  <si>
    <t>160/175/98/6A/3</t>
  </si>
  <si>
    <t>160/175/98/6A/4</t>
  </si>
  <si>
    <t>160/175/98/6A/5</t>
  </si>
  <si>
    <t>160/175/98/6A/6</t>
  </si>
  <si>
    <t>160/175/98/6A/7</t>
  </si>
  <si>
    <t>160/175/98/6A/8</t>
  </si>
  <si>
    <t>160/175/98/6A/9</t>
  </si>
  <si>
    <t>160/175/97/6A/1</t>
  </si>
  <si>
    <t>160/175/97/6A/2</t>
  </si>
  <si>
    <t>160/175/97/6A/3</t>
  </si>
  <si>
    <t>160/175/97/6A/4</t>
  </si>
  <si>
    <t>160/175/97/6A/5</t>
  </si>
  <si>
    <t>160/175/97/6A/6</t>
  </si>
  <si>
    <t>160/175/97/6A/7</t>
  </si>
  <si>
    <t>160/175/97/6A/9</t>
  </si>
  <si>
    <t>160/175/97/6A/8</t>
  </si>
  <si>
    <t>8b</t>
  </si>
  <si>
    <t>9b</t>
  </si>
  <si>
    <t>10b</t>
  </si>
  <si>
    <t>11b</t>
  </si>
  <si>
    <t>12b</t>
  </si>
  <si>
    <t>13b</t>
  </si>
  <si>
    <t>14b</t>
  </si>
  <si>
    <t>15b</t>
  </si>
  <si>
    <t>16b</t>
  </si>
  <si>
    <t>17b</t>
  </si>
  <si>
    <t>18b</t>
  </si>
  <si>
    <t>D2.5241</t>
  </si>
  <si>
    <t>3. Rạch Tư Lộc</t>
  </si>
  <si>
    <t>2. Kênh Năm Tòng</t>
  </si>
  <si>
    <t>Ciment</t>
  </si>
  <si>
    <t>Tụ bù</t>
  </si>
  <si>
    <t>Vemedim</t>
  </si>
  <si>
    <t>Minh Phú</t>
  </si>
  <si>
    <t>Logistics</t>
  </si>
  <si>
    <t>TBA CSCC</t>
  </si>
  <si>
    <t>Boulon MK 16x350</t>
  </si>
  <si>
    <t>Bộ chằng xuống trụ 20m đơn</t>
  </si>
  <si>
    <t>Bộ chằng xuống trụ 16m đơn</t>
  </si>
  <si>
    <t>Lắp cáp treo trên dây cáp ≤6kg/m</t>
  </si>
  <si>
    <t>Lắp cáp treo trên dây cáp ≤7,5kg/m</t>
  </si>
  <si>
    <t>Cáp nhôm ABC bọc XLPE 0,6/1kV 4x35</t>
  </si>
  <si>
    <t>KL003</t>
  </si>
  <si>
    <t>Cáp nhôm ABC bọc XLPE 0,6/1kV 4x50</t>
  </si>
  <si>
    <t>KL004</t>
  </si>
  <si>
    <t>07.1111</t>
  </si>
  <si>
    <t>07.1112</t>
  </si>
  <si>
    <t>07.1113</t>
  </si>
  <si>
    <t>07.1114</t>
  </si>
  <si>
    <t>07.1201</t>
  </si>
  <si>
    <t>07.1202</t>
  </si>
  <si>
    <t>07.1203</t>
  </si>
  <si>
    <t>07.2101</t>
  </si>
  <si>
    <t>07.2102</t>
  </si>
  <si>
    <t>Dựng trụ BT ≤ 14m, thủ công</t>
  </si>
  <si>
    <t>200105*1,8</t>
  </si>
  <si>
    <t>221738*1,8</t>
  </si>
  <si>
    <t>245535*1,8</t>
  </si>
  <si>
    <t>270413*1,8</t>
  </si>
  <si>
    <t>301780*1,8</t>
  </si>
  <si>
    <t>391557*1,8</t>
  </si>
  <si>
    <t>469436*1,8</t>
  </si>
  <si>
    <t>07.6000 ÉP ĐẦU CỐT</t>
  </si>
  <si>
    <t>07.6001</t>
  </si>
  <si>
    <t>10 đầu</t>
  </si>
  <si>
    <t>- Các cọc tiếp đất chôn cách nhau khoảng 3,6m, hệ số sử dụng cọc là η = 0,85 (tra bảng)</t>
  </si>
  <si>
    <t>n . η</t>
  </si>
  <si>
    <t>&lt;</t>
  </si>
  <si>
    <t>ĐẠI DIỆN BÊN A</t>
  </si>
  <si>
    <t>Chi phí mua sắm TB</t>
  </si>
  <si>
    <t>Bảng II.2.2</t>
  </si>
  <si>
    <t>Cáp ngầm 1 pha 24kV CXV/S150</t>
  </si>
  <si>
    <t>KP007</t>
  </si>
  <si>
    <t>Cáp ngầm 1 pha 24kV CXV/S185</t>
  </si>
  <si>
    <t>KP008</t>
  </si>
  <si>
    <t>Cáp ngầm 1 pha 24kV CXV/S240</t>
  </si>
  <si>
    <t>Dựng trụ BT &gt; 20m, TC + máy kéo</t>
  </si>
  <si>
    <t>Rãi căng dây lấy độ võng ≤ A50mm2</t>
  </si>
  <si>
    <t>Ống nhựa gân xoắn HDPE Ø 63 dày 4,7mm</t>
  </si>
  <si>
    <t>ND002</t>
  </si>
  <si>
    <t>Ống nhựa gân xoắn HDPE Ø 75 dày 5,6mm</t>
  </si>
  <si>
    <t>ND003</t>
  </si>
  <si>
    <t>Ống nhựa gân xoắn HDPE Ø 90 dày 6,7mm</t>
  </si>
  <si>
    <t>ND004</t>
  </si>
  <si>
    <t>Ống nhựa gân xoắn HDPE Ø 110 dày 8,1mm</t>
  </si>
  <si>
    <t>ND005</t>
  </si>
  <si>
    <t>03.1210</t>
  </si>
  <si>
    <t>03.1211</t>
  </si>
  <si>
    <t>05.5703</t>
  </si>
  <si>
    <t>05.5803</t>
  </si>
  <si>
    <t>05.5903</t>
  </si>
  <si>
    <t>Nguyễn Bảo Khanh</t>
  </si>
  <si>
    <t>: không quá 04 ngày cho mỗi km.</t>
  </si>
  <si>
    <t xml:space="preserve">Thiết kế : </t>
  </si>
  <si>
    <t xml:space="preserve">Thi công &amp; cung cấp vật tư thiết bị: </t>
  </si>
  <si>
    <t>(Chỉ nghiệm thu đóng điện  khi đã thực hiện đầy đủ các điều kiện kỹ thuật )</t>
  </si>
  <si>
    <t>-  Thời gian bắt đầu : ngay sau khi hợp đồng được ký kết.</t>
  </si>
  <si>
    <t>Lắp đặt xà thép cho trụ II (320kg)</t>
  </si>
  <si>
    <t>Lắp đặt xà thép cho trụ II (410kg)</t>
  </si>
  <si>
    <t>Lắp đặt xà thép cho trụ II (500kg)</t>
  </si>
  <si>
    <t>Lắp đặt xà thép cho trụ II (750kg)</t>
  </si>
  <si>
    <t>Lắp đặt xà thép cho trụ II (1000kg)</t>
  </si>
  <si>
    <t>LẮP TIẾP ĐỊA CỘT ĐIỆN</t>
  </si>
  <si>
    <t>100kg</t>
  </si>
  <si>
    <t>05.8102</t>
  </si>
  <si>
    <t>10cọc</t>
  </si>
  <si>
    <t>ĐÓNG CÁC CỌC TIẾP ĐỊA</t>
  </si>
  <si>
    <t>05.8101</t>
  </si>
  <si>
    <t>05.8103</t>
  </si>
  <si>
    <t>05.8104</t>
  </si>
  <si>
    <t>Trang …, Thông tư 04/2010/TT-BXD ngày 26/5/2010</t>
  </si>
  <si>
    <t>Trang 13,17, thông tư 04/2010/TT-BXD ngày 26/05/2010</t>
  </si>
  <si>
    <t>TTTK210$</t>
  </si>
  <si>
    <t>2. Phí thẩm định dự toán xây dựng</t>
  </si>
  <si>
    <t>TTDT210^</t>
  </si>
  <si>
    <t>Phụ lục số 1: Phí thẩm định dự toán xây dựng</t>
  </si>
  <si>
    <t>Phụ lục số 2: Phí thẩm định dự toán xây dựng khi cơ quan chuyên môn về xây dựng mời tổ chức tư vấn, cá nhân cùng thẩm định</t>
  </si>
  <si>
    <t>TTDT210$</t>
  </si>
  <si>
    <t>160/175/79/15/7</t>
  </si>
  <si>
    <t>160/175/79/15/8</t>
  </si>
  <si>
    <t>160/175/79/15/9</t>
  </si>
  <si>
    <t>160/175/79/15/10</t>
  </si>
  <si>
    <t>160/175/79/15/11</t>
  </si>
  <si>
    <t>160/175/79/15/12</t>
  </si>
  <si>
    <t>160/175/79/15/13</t>
  </si>
  <si>
    <t>Cáp đồng 24kV (CX) - 25mm2</t>
  </si>
  <si>
    <t>Cáp nhôm lõi thép 24kV (ACX) - 50mm2</t>
  </si>
  <si>
    <t>Cộng (4):</t>
  </si>
  <si>
    <t>4. Rạch Năm Tòng</t>
  </si>
  <si>
    <t>160/175/79/15/14</t>
  </si>
  <si>
    <t>160/175/79/15/15</t>
  </si>
  <si>
    <t>m cáp nhôm lõi thép bọc XLPE 24kV (ACX) - 50mm2</t>
  </si>
  <si>
    <t>m cáp nhôm trần lõi thép (AC) - 50mm2</t>
  </si>
  <si>
    <t>Bộ CSĐ cong dài 870mm (K)</t>
  </si>
  <si>
    <t>Bộ chằng hẹp trụ 14m</t>
  </si>
  <si>
    <t>Bộ chằng xuống trụ 14m tháp sắt</t>
  </si>
  <si>
    <t>Bộ chằng xuống trụ 14m tháp sắt kép</t>
  </si>
  <si>
    <t>Bộ chằng xuống trụ 16m kép</t>
  </si>
  <si>
    <t>Pi_1,4m</t>
  </si>
  <si>
    <t>m cáp nhôm trần lõi thép (AC) - 185mm2</t>
  </si>
  <si>
    <t>kg cáp nhôm trần lỏi thép (AC)-185mm2</t>
  </si>
  <si>
    <t>Bộ đà U120K dài 3m tháp trụ</t>
  </si>
  <si>
    <t>Bộ đà U120Đ dài 3m tháp trụ</t>
  </si>
  <si>
    <t>Giáp buộc đầu sứ cỡ dây 185mm2</t>
  </si>
  <si>
    <t>Giáp níu dây ACX185</t>
  </si>
  <si>
    <t>Bộ xà 4K (trụ Pi tim 2,0)</t>
  </si>
  <si>
    <t>Tiếp đất lặp lại (thay dây trung hòa)</t>
  </si>
  <si>
    <t>56A/83A</t>
  </si>
  <si>
    <t>Móng Bê tông trụ 16m (tim 0,4m)</t>
  </si>
  <si>
    <t>NT3_3M</t>
  </si>
  <si>
    <t>56A/68A</t>
  </si>
  <si>
    <t>56A/63A</t>
  </si>
  <si>
    <t>Trụ 20m KCN</t>
  </si>
  <si>
    <t xml:space="preserve">tụ bù </t>
  </si>
  <si>
    <t>Rec CL Vàng</t>
  </si>
  <si>
    <t>474CT</t>
  </si>
  <si>
    <t>Rec Ciment</t>
  </si>
  <si>
    <t>Rẽ CSCC</t>
  </si>
  <si>
    <t>góc nhỏ</t>
  </si>
  <si>
    <t>Ngừng thẳng</t>
  </si>
  <si>
    <t>Ống nối ép cho cỡ dây AC185</t>
  </si>
  <si>
    <t>56A/46/19A</t>
  </si>
  <si>
    <t>DS 1 pha 27kV - 630A</t>
  </si>
  <si>
    <t>56A/46/2A</t>
  </si>
  <si>
    <t>56A/46/16A</t>
  </si>
  <si>
    <t>Móng Bê tông 1,6x1,6x1,2</t>
  </si>
  <si>
    <r>
      <t>Trụ 16m đơn - Móng bêtông M200 (1,6x1,6x1,2)m</t>
    </r>
    <r>
      <rPr>
        <b/>
        <vertAlign val="superscript"/>
        <sz val="10"/>
        <rFont val="Times New Roman"/>
        <family val="1"/>
      </rPr>
      <t>3</t>
    </r>
  </si>
  <si>
    <t>IF002a</t>
  </si>
  <si>
    <t>D2.6032</t>
  </si>
  <si>
    <t>RN015</t>
  </si>
  <si>
    <t>D3.6215</t>
  </si>
  <si>
    <t>T4.4202</t>
  </si>
  <si>
    <t>D4.5007</t>
  </si>
  <si>
    <t>I.5</t>
  </si>
  <si>
    <t>T2.3114</t>
  </si>
  <si>
    <t>Lắp đặt dao cách ly 1 pha ngoài trời ≤35kV</t>
  </si>
  <si>
    <t>Trụ 16G + M 1,8x1,6x1,2</t>
  </si>
  <si>
    <t>V/c xi măng bằng thủ công (&gt;500m)</t>
  </si>
  <si>
    <t>Đ/hình phức tạp</t>
  </si>
  <si>
    <t>V/c cát vàng bằng thủ công</t>
  </si>
  <si>
    <t>02.1232</t>
  </si>
  <si>
    <t>02.1233</t>
  </si>
  <si>
    <t>02.1234</t>
  </si>
  <si>
    <t>BẢN VẼ THI CÔNG</t>
  </si>
  <si>
    <t>Cáp ĐK 2 ruột đồng bọc PVC vỏ PVC 2x50</t>
  </si>
  <si>
    <t>KJ007</t>
  </si>
  <si>
    <t>Cáp ĐK 2 ruột đồng bọc PVC vỏ PVC 2x70</t>
  </si>
  <si>
    <t>KK000</t>
  </si>
  <si>
    <t>Kẹp ngừng cáp ABC 4x35</t>
  </si>
  <si>
    <t>Nếu đủ điều kiện ký thỏa thuận vào sổ bạ đơn vị thi công, báo cáo kịp thời cho Lãnh đạo giải quyết.</t>
  </si>
  <si>
    <t>*  Có nhiệm vụ theo dõi kiểm tra hổ trợ cho tổ giám sát tham mưu kịp thời để lãnh đạo giải quyết.</t>
  </si>
  <si>
    <t>03.1107</t>
  </si>
  <si>
    <t>03.1108</t>
  </si>
  <si>
    <t>MBA 1 pha 12,7/0,22-0,44kV 25kVA</t>
  </si>
  <si>
    <t>AC003</t>
  </si>
  <si>
    <t>Co 90 ống PVC 60</t>
  </si>
  <si>
    <t>NB003</t>
  </si>
  <si>
    <t>02.1114</t>
  </si>
  <si>
    <t>02.1115</t>
  </si>
  <si>
    <t>02.1116</t>
  </si>
  <si>
    <t>02.1117</t>
  </si>
  <si>
    <t>07.4102</t>
  </si>
  <si>
    <t>07.4103</t>
  </si>
  <si>
    <t>07.4104</t>
  </si>
  <si>
    <t>07.4105</t>
  </si>
  <si>
    <t>07.4106</t>
  </si>
  <si>
    <t>07.4311</t>
  </si>
  <si>
    <t>Bộ tiếp địa trụ 14m (có tiếp địa thân trụ)</t>
  </si>
  <si>
    <t>I.4</t>
  </si>
  <si>
    <t>II.9</t>
  </si>
  <si>
    <t>JD002</t>
  </si>
  <si>
    <t>Bộ dây hạ áp trạm 1x50kVA; 1pha 3 dây</t>
  </si>
  <si>
    <t>Kẹp ngừng cáp ABC 4x50</t>
  </si>
  <si>
    <t>PA004</t>
  </si>
  <si>
    <t>Kẹp ngừng cáp ABC 4x70</t>
  </si>
  <si>
    <t>PA005</t>
  </si>
  <si>
    <r>
      <t>y</t>
    </r>
    <r>
      <rPr>
        <vertAlign val="subscript"/>
        <sz val="13"/>
        <rFont val="Times New Roman"/>
        <family val="1"/>
      </rPr>
      <t>at</t>
    </r>
    <r>
      <rPr>
        <sz val="13"/>
        <rFont val="Times New Roman"/>
        <family val="1"/>
      </rPr>
      <t xml:space="preserve"> + y</t>
    </r>
    <r>
      <rPr>
        <vertAlign val="subscript"/>
        <sz val="13"/>
        <rFont val="Times New Roman"/>
        <family val="1"/>
      </rPr>
      <t>dt</t>
    </r>
  </si>
  <si>
    <r>
      <t>y</t>
    </r>
    <r>
      <rPr>
        <vertAlign val="subscript"/>
        <sz val="13"/>
        <rFont val="Times New Roman"/>
        <family val="1"/>
      </rPr>
      <t>dt</t>
    </r>
  </si>
  <si>
    <r>
      <t>8.σ</t>
    </r>
    <r>
      <rPr>
        <vertAlign val="subscript"/>
        <sz val="13"/>
        <rFont val="Times New Roman"/>
        <family val="1"/>
      </rPr>
      <t>ACθmax</t>
    </r>
  </si>
  <si>
    <t>7000 211 0101</t>
  </si>
  <si>
    <t>HỢP ĐỒNG KHẢO SÁT THIẾT KẾ VỚI NHỮNG ĐIỀU KHOẢN SAU</t>
  </si>
  <si>
    <t>BTLT 10,5m</t>
  </si>
  <si>
    <t>BTLT 12m</t>
  </si>
  <si>
    <t>Đầu cáp ngầm 1 pha 24kV ngoài trời 1x400</t>
  </si>
  <si>
    <t>KU011</t>
  </si>
  <si>
    <t>Rãi căng dây lấy độ võng ≤ AC400mm2</t>
  </si>
  <si>
    <t>Tụ bù trung áp</t>
  </si>
  <si>
    <t>TU cấp nguồn</t>
  </si>
  <si>
    <t>tụ bù</t>
  </si>
  <si>
    <t>Bộ giá đỡ tụ bù 3 pha</t>
  </si>
  <si>
    <t>Bộ giá đỡ TU cấp nguồn</t>
  </si>
  <si>
    <t>Recloser 3 pha 24kV - 630A</t>
  </si>
  <si>
    <t>Rec 474CT</t>
  </si>
  <si>
    <t>Khóa néo dây AC 120 - 240</t>
  </si>
  <si>
    <t>m cáp đồng chống thấm 24kV (CX) - 50mm2</t>
  </si>
  <si>
    <t>FCO 27kV - 100A (sdl)</t>
  </si>
  <si>
    <t>DS 1 pha 27kV - 630A (sdl)</t>
  </si>
  <si>
    <t>Recloser 3 pha 24kV - 630A (sdl)</t>
  </si>
  <si>
    <t>LA 18kV - 10kA (sdl)</t>
  </si>
  <si>
    <t>TU cấp nguồn (sdl)</t>
  </si>
  <si>
    <t>Tụ bù trung áp 3 pha</t>
  </si>
  <si>
    <t>PHẦN THÁO DỠ VẬT LIỆU</t>
  </si>
  <si>
    <t>04.6102</t>
  </si>
  <si>
    <t>04.6103</t>
  </si>
  <si>
    <t>04.6104</t>
  </si>
  <si>
    <t>04.6105</t>
  </si>
  <si>
    <t>04.6106</t>
  </si>
  <si>
    <t>04.6201</t>
  </si>
  <si>
    <t>04.6202</t>
  </si>
  <si>
    <t>04.6203</t>
  </si>
  <si>
    <t>04.6204</t>
  </si>
  <si>
    <t>V/c gạch chỉ bằng thủ công (≤ 500m)</t>
  </si>
  <si>
    <t>02.1175</t>
  </si>
  <si>
    <t>Đầu cáp ngầm 1 pha 24kV ngoài trời 1x500</t>
  </si>
  <si>
    <t>BẢO VỆ TRUNG ÁP</t>
  </si>
  <si>
    <t>Thiết bị bảo vệ</t>
  </si>
  <si>
    <t>Chì kết hợp</t>
  </si>
  <si>
    <t>BẢO VỆ HẠ ÁP</t>
  </si>
  <si>
    <t>Chì bảo vệ</t>
  </si>
  <si>
    <t>ACB - 3 pha 600V - 1250A</t>
  </si>
  <si>
    <t>LỘ RA HẠ ÁP</t>
  </si>
  <si>
    <t>CHIỀU DÀI LỘ RA</t>
  </si>
  <si>
    <t>01</t>
  </si>
  <si>
    <t>02</t>
  </si>
  <si>
    <t>03</t>
  </si>
  <si>
    <t>Dây dẫn hạ áp</t>
  </si>
  <si>
    <t>Dây nhôm trần lõi thép bọc mỡ 240/32</t>
  </si>
  <si>
    <t>KD000</t>
  </si>
  <si>
    <t>KD001</t>
  </si>
  <si>
    <t>KD002</t>
  </si>
  <si>
    <t>KD003</t>
  </si>
  <si>
    <t>KD004</t>
  </si>
  <si>
    <t>KD005</t>
  </si>
  <si>
    <t>KD006</t>
  </si>
  <si>
    <t>KD007</t>
  </si>
  <si>
    <t>KD008</t>
  </si>
  <si>
    <t>KE000</t>
  </si>
  <si>
    <t>Dây thép trần xoắn mạ kẽm 35</t>
  </si>
  <si>
    <t>KE001</t>
  </si>
  <si>
    <t>Dây thép trần xoắn mạ kẽm 50</t>
  </si>
  <si>
    <t>KE002</t>
  </si>
  <si>
    <t>Dây thép trần xoắn mạ kẽm 70</t>
  </si>
  <si>
    <t>KE003</t>
  </si>
  <si>
    <t>GS</t>
  </si>
  <si>
    <t>- Chi phí GSXL</t>
  </si>
  <si>
    <t>- Chi phí GSTB</t>
  </si>
  <si>
    <t>Đầu cáp ngầm 1 pha 24kV trong nhà 1x300</t>
  </si>
  <si>
    <t>KT010</t>
  </si>
  <si>
    <t>Đầu cáp ngầm 1 pha 24kV trong nhà 1x400</t>
  </si>
  <si>
    <t>KT011</t>
  </si>
  <si>
    <t>Đầu cáp ngầm 1 pha 24kV trong nhà 1x500</t>
  </si>
  <si>
    <t>KU000</t>
  </si>
  <si>
    <t>Nhiệt độ lớn nhất cho phép của dây</t>
  </si>
  <si>
    <t>-5</t>
  </si>
  <si>
    <t>+5</t>
  </si>
  <si>
    <t>+10</t>
  </si>
  <si>
    <t>+15</t>
  </si>
  <si>
    <t>+20</t>
  </si>
  <si>
    <t>+25</t>
  </si>
  <si>
    <t>+30</t>
  </si>
  <si>
    <t xml:space="preserve">-  Nhà nước thay đổi chính sách : trong trường hợp này chỉ được điều chỉnh khi được cấp có </t>
  </si>
  <si>
    <t>Trụ BTLT 8,5m - 300kgf</t>
  </si>
  <si>
    <t>HB001</t>
  </si>
  <si>
    <t>02.3115a</t>
  </si>
  <si>
    <t>02.3123a</t>
  </si>
  <si>
    <t>02.3124a</t>
  </si>
  <si>
    <t>02.3155</t>
  </si>
  <si>
    <t>TR.02.8400e</t>
  </si>
  <si>
    <t>249538*40%</t>
  </si>
  <si>
    <t>249538*50%</t>
  </si>
  <si>
    <t>05.5302</t>
  </si>
  <si>
    <t>05.5402</t>
  </si>
  <si>
    <t>05.5502</t>
  </si>
  <si>
    <t>Trụ BTV 8,5m</t>
  </si>
  <si>
    <t>HB000</t>
  </si>
  <si>
    <t>1. Tải trọng cơ giới tác động lên dây</t>
  </si>
  <si>
    <r>
      <t xml:space="preserve">                              </t>
    </r>
    <r>
      <rPr>
        <b/>
        <u/>
        <sz val="12"/>
        <rFont val="Times New Roman"/>
        <family val="1"/>
      </rPr>
      <t>CUNG CẤP VẬT TƯ, THIẾT BỊ &amp; THI CÔNG</t>
    </r>
  </si>
  <si>
    <t xml:space="preserve">     Căn cứ Thông tư số: 04/2010/TT-BXD ngày 26/05/2010 của Bộ Xây dựng, hướng dẫn lập</t>
  </si>
  <si>
    <t>Hội Chủ Nghĩa Việt Nam khoá XI, kỳ họp thứ 7;</t>
  </si>
  <si>
    <t xml:space="preserve"> Hội Chủ Nghĩa Việt Nam khoá XI, kỳ họp thứ 4;</t>
  </si>
  <si>
    <t>và quản lý chi phí dự án đầu tư xây dựng công trình;</t>
  </si>
  <si>
    <t>03.1410</t>
  </si>
  <si>
    <t>7.3 Hình thức thanh toán : tiền mặt hoặc chuyển khoản.</t>
  </si>
  <si>
    <t>7.4 Đồng tiền thanh toán : tiền Việt Nam.</t>
  </si>
  <si>
    <r>
      <t>I</t>
    </r>
    <r>
      <rPr>
        <vertAlign val="subscript"/>
        <sz val="13"/>
        <rFont val="Times New Roman"/>
        <family val="1"/>
      </rPr>
      <t>kđnhA</t>
    </r>
  </si>
  <si>
    <r>
      <t>1,25.I</t>
    </r>
    <r>
      <rPr>
        <vertAlign val="subscript"/>
        <sz val="13"/>
        <rFont val="Times New Roman"/>
        <family val="1"/>
      </rPr>
      <t>đmA</t>
    </r>
  </si>
  <si>
    <t>LẮP ĐẶT HỆ THỐNG ĐÈN CHIẾU SÁNG</t>
  </si>
  <si>
    <t>Dây nhôm trần lõi thép 185/29</t>
  </si>
  <si>
    <t>KB008</t>
  </si>
  <si>
    <t>KC000</t>
  </si>
  <si>
    <t>Dây nhôm trần lõi thép bọc mỡ 35/6,2</t>
  </si>
  <si>
    <t>KC001</t>
  </si>
  <si>
    <t>Dây nhôm trần lõi thép bọc mỡ 50/8</t>
  </si>
  <si>
    <t>KC002</t>
  </si>
  <si>
    <t>07.1125</t>
  </si>
  <si>
    <t>07.1130</t>
  </si>
  <si>
    <t>PHÁ DỠ KẾT CẤU KIẾN TRÚC</t>
  </si>
  <si>
    <t>07.1131</t>
  </si>
  <si>
    <t>07.1132</t>
  </si>
  <si>
    <t>07.1133</t>
  </si>
  <si>
    <t>07.1134</t>
  </si>
  <si>
    <t>Phá dỡ nền xi măng không cốt thép</t>
  </si>
  <si>
    <t>Phá dỡ nền xi măng có cốt thép</t>
  </si>
  <si>
    <t>Phá dỡ nền gạch lá nem</t>
  </si>
  <si>
    <t>Phá dỡ nền gạch xi măng</t>
  </si>
  <si>
    <t>Phá dỡ nền gạch chỉ</t>
  </si>
  <si>
    <t>II.10. BẢNG DỰ TOÁN CHI PHÍ ĐIỀU TRA, ĐO ĐẠC VÀ THU THẬP SỐ LIỆU</t>
  </si>
  <si>
    <t>(Xem Bảng II.10. Bảng dự toán chi phí điều tra, đo đạc và thu thập số liệu)</t>
  </si>
  <si>
    <t>Boulon mắt MK 16x550</t>
  </si>
  <si>
    <t>Bộ CSĐ-K loại cong + sứ</t>
  </si>
  <si>
    <t>Bộ CSĐ loại thẳng + sứ</t>
  </si>
  <si>
    <t>Bộ CSĐ-Đ loại cong + sứ</t>
  </si>
  <si>
    <t>Ống nối lèo dây AC 50</t>
  </si>
  <si>
    <t>Cáp quadruplex đồng bọc PVC 0,6/1kV 4x35</t>
  </si>
  <si>
    <t>KI006</t>
  </si>
  <si>
    <t>Cáp quadruplex đồng bọc PVC 0,6/1kV 4x50</t>
  </si>
  <si>
    <t>KI007</t>
  </si>
  <si>
    <r>
      <t>y</t>
    </r>
    <r>
      <rPr>
        <vertAlign val="subscript"/>
        <sz val="13"/>
        <rFont val="Times New Roman"/>
        <family val="1"/>
      </rPr>
      <t>cx</t>
    </r>
    <r>
      <rPr>
        <sz val="13"/>
        <rFont val="Times New Roman"/>
        <family val="1"/>
      </rPr>
      <t xml:space="preserve"> - (y</t>
    </r>
    <r>
      <rPr>
        <vertAlign val="subscript"/>
        <sz val="13"/>
        <rFont val="Times New Roman"/>
        <family val="1"/>
      </rPr>
      <t>đ</t>
    </r>
    <r>
      <rPr>
        <sz val="13"/>
        <rFont val="Times New Roman"/>
        <family val="1"/>
      </rPr>
      <t xml:space="preserve"> + y</t>
    </r>
    <r>
      <rPr>
        <vertAlign val="subscript"/>
        <sz val="13"/>
        <rFont val="Times New Roman"/>
        <family val="1"/>
      </rPr>
      <t>at</t>
    </r>
    <r>
      <rPr>
        <sz val="13"/>
        <rFont val="Times New Roman"/>
        <family val="1"/>
      </rPr>
      <t xml:space="preserve"> + λ)</t>
    </r>
  </si>
  <si>
    <r>
      <t>y</t>
    </r>
    <r>
      <rPr>
        <vertAlign val="subscript"/>
        <sz val="13"/>
        <rFont val="Times New Roman"/>
        <family val="1"/>
      </rPr>
      <t xml:space="preserve">cx </t>
    </r>
  </si>
  <si>
    <r>
      <t>y</t>
    </r>
    <r>
      <rPr>
        <vertAlign val="subscript"/>
        <sz val="13"/>
        <rFont val="Times New Roman"/>
        <family val="1"/>
      </rPr>
      <t>đ</t>
    </r>
  </si>
  <si>
    <r>
      <t>y</t>
    </r>
    <r>
      <rPr>
        <vertAlign val="subscript"/>
        <sz val="13"/>
        <rFont val="Times New Roman"/>
        <family val="1"/>
      </rPr>
      <t>at</t>
    </r>
  </si>
  <si>
    <r>
      <t>f</t>
    </r>
    <r>
      <rPr>
        <vertAlign val="subscript"/>
        <sz val="13"/>
        <rFont val="Times New Roman"/>
        <family val="1"/>
      </rPr>
      <t>tt</t>
    </r>
  </si>
  <si>
    <r>
      <t>g</t>
    </r>
    <r>
      <rPr>
        <vertAlign val="subscript"/>
        <sz val="13"/>
        <rFont val="Times New Roman"/>
        <family val="1"/>
      </rPr>
      <t>1</t>
    </r>
    <r>
      <rPr>
        <sz val="13"/>
        <rFont val="Times New Roman"/>
        <family val="1"/>
      </rPr>
      <t>L</t>
    </r>
    <r>
      <rPr>
        <vertAlign val="subscript"/>
        <sz val="13"/>
        <rFont val="Times New Roman"/>
        <family val="1"/>
      </rPr>
      <t>tt</t>
    </r>
    <r>
      <rPr>
        <vertAlign val="superscript"/>
        <sz val="13"/>
        <rFont val="Times New Roman"/>
        <family val="1"/>
      </rPr>
      <t>2</t>
    </r>
  </si>
  <si>
    <t>2.3 Xác định độ võng của đường dây</t>
  </si>
  <si>
    <t>Lắp cáp treo trên dây cáp ≤3kg/m</t>
  </si>
  <si>
    <t>Lắp cáp treo trên dây cáp ≤4,5kg/m</t>
  </si>
  <si>
    <t>Điện kế 3 pha 5A 220/380V vô công</t>
  </si>
  <si>
    <t>BG000</t>
  </si>
  <si>
    <t>Điện kế 3 pha 5A 120/208V hữu công</t>
  </si>
  <si>
    <t>BG001</t>
  </si>
  <si>
    <t xml:space="preserve">Kđcmtc = </t>
  </si>
  <si>
    <t>đ/m</t>
  </si>
  <si>
    <t xml:space="preserve"> hợp đồng hết hiệu lực kể từ ngày biên bản được ký kết và thanh toán dứt điểm.</t>
  </si>
  <si>
    <t>MBA 3 pha 22/0,4kV 400kVA</t>
  </si>
  <si>
    <t>AD008</t>
  </si>
  <si>
    <t>Kéo rải dây tiếp địa ( dây tiếp địa có sẵn )</t>
  </si>
  <si>
    <t>Al (Cu)</t>
  </si>
  <si>
    <t>Ép vá dây, tiết diện ≤ 240mm2</t>
  </si>
  <si>
    <t>Ép vá dây, tiết diện ≤ 300mm2</t>
  </si>
  <si>
    <t>Ép vá dây, tiết diện ≤ 400mm2</t>
  </si>
  <si>
    <t>Ép vá dây, tiết diện ≤ 500mm2</t>
  </si>
  <si>
    <t>Ép vá dây, tiết diện ≤ 120mm2</t>
  </si>
  <si>
    <t>MBA &amp; Thiết bị trạm 1x50kVA</t>
  </si>
  <si>
    <t>Bù lon mạ kẽm VRS 16x450</t>
  </si>
  <si>
    <t>QG008</t>
  </si>
  <si>
    <t>Bù lon mạ kẽm VRS 16x500</t>
  </si>
  <si>
    <t>QG009</t>
  </si>
  <si>
    <t>Bù lon mạ kẽm VRS 16x550</t>
  </si>
  <si>
    <t>QG010</t>
  </si>
  <si>
    <t>Bù lon mạ kẽm VRS 16x600</t>
  </si>
  <si>
    <t>QG011</t>
  </si>
  <si>
    <t>Bù lon mạ kẽm VRS 16x650</t>
  </si>
  <si>
    <t>QG012</t>
  </si>
  <si>
    <t>Bù lon mạ kẽm VRS 16x700</t>
  </si>
  <si>
    <t>QG013</t>
  </si>
  <si>
    <t>Bù lon mạ kẽm VRS 16x750</t>
  </si>
  <si>
    <t>QG014</t>
  </si>
  <si>
    <t>Bù lon mạ kẽm VRS 16x800</t>
  </si>
  <si>
    <t>QH000</t>
  </si>
  <si>
    <t>Bù lon mạ kẽm VRS 22x400</t>
  </si>
  <si>
    <t>- Chiều cao cột tính từ đáy cột đến điểm treo cách điện</t>
  </si>
  <si>
    <t>- Độ dài cột chôn trong đất</t>
  </si>
  <si>
    <t xml:space="preserve">- Khoảng cách an toàn </t>
  </si>
  <si>
    <t>03.4112</t>
  </si>
  <si>
    <t>03.4113</t>
  </si>
  <si>
    <t>XẾP XUỐNG</t>
  </si>
  <si>
    <t>02.3002</t>
  </si>
  <si>
    <t>02.3012</t>
  </si>
  <si>
    <t>Nhiệt độ tiêu chuẩn môi trường xung quanh</t>
  </si>
  <si>
    <t>Lắp đặt máy biến dòng điện ≤35kV</t>
  </si>
  <si>
    <t>Lắp đặt máy biến dòng điện ≤10kV</t>
  </si>
  <si>
    <t>Lắp đặt máy cắt dầu ngoài trời ≤35KV</t>
  </si>
  <si>
    <t>Lắp đặt máy cắt dùng khí SF6 ≤35kV</t>
  </si>
  <si>
    <t>Dựng trụ thép ống ≤ 25m, cẩu 10T</t>
  </si>
  <si>
    <t>Dựng trụ thép ống ≤ 35m, cẩu 10T</t>
  </si>
  <si>
    <t>Lắp đặt khoá điều khiển</t>
  </si>
  <si>
    <t>05.5104</t>
  </si>
  <si>
    <t>Lắp đặt thiết bị đo đếm</t>
  </si>
  <si>
    <t>01.1052</t>
  </si>
  <si>
    <t>01.1053</t>
  </si>
  <si>
    <t>100m2</t>
  </si>
  <si>
    <t>02.1012</t>
  </si>
  <si>
    <t>02.1013</t>
  </si>
  <si>
    <t>PHỤ LỤC</t>
  </si>
  <si>
    <t>Dựng trụ thép ống ≤ 15m, cẩu 10T</t>
  </si>
  <si>
    <t>Sứ đứng 24kVChống ô nhiểm</t>
  </si>
  <si>
    <t>LA002</t>
  </si>
  <si>
    <t>KS003</t>
  </si>
  <si>
    <t>KS004</t>
  </si>
  <si>
    <t>KS005</t>
  </si>
  <si>
    <t>+35</t>
  </si>
  <si>
    <t>+40</t>
  </si>
  <si>
    <t>+45</t>
  </si>
  <si>
    <t>+50</t>
  </si>
  <si>
    <t>Hệ số điều chỉnh K2 về số dây cáp đặt chung trong một hầm cáp hoặc một rãnh dưới đất</t>
  </si>
  <si>
    <t>Khoảng cách giữa các sợi cáp</t>
  </si>
  <si>
    <t>Số sợi cáp</t>
  </si>
  <si>
    <t>7-10</t>
  </si>
  <si>
    <t>Cáp nhôm ABC bọc XLPE 0,6/1kV 3x150</t>
  </si>
  <si>
    <t>Lắp ráp chi tiết trụ thép &gt; 30 tấn, TC</t>
  </si>
  <si>
    <t>Ép nối dây, tiết diện &gt; 500mm2</t>
  </si>
  <si>
    <t>06.4021</t>
  </si>
  <si>
    <t>06.4022</t>
  </si>
  <si>
    <t>06.4023</t>
  </si>
  <si>
    <t>06.4024</t>
  </si>
  <si>
    <t>IG006</t>
  </si>
  <si>
    <t xml:space="preserve">Potelet 4m </t>
  </si>
  <si>
    <t>IK000</t>
  </si>
  <si>
    <t xml:space="preserve">                     Past Value</t>
  </si>
  <si>
    <t>Ống nhựa gân xoắn HDPE Ø 140 dày 10,3mm</t>
  </si>
  <si>
    <t>Măng sông ống gân xoắn HDPE Ø 20</t>
  </si>
  <si>
    <t>Măng sông ống gân xoắn HDPE Ø 63</t>
  </si>
  <si>
    <t xml:space="preserve">  030094 2001 035</t>
  </si>
  <si>
    <t>* Tiến hành kiểm tra vật tư theo chất lượng thiết kế, TCVN, có biên bản thí nghiệm kiểm tra vật tư</t>
  </si>
  <si>
    <t>- Loại dây dẫn:</t>
  </si>
  <si>
    <r>
      <t>r</t>
    </r>
    <r>
      <rPr>
        <b/>
        <vertAlign val="subscript"/>
        <sz val="13"/>
        <rFont val="Times New Roman"/>
        <family val="1"/>
      </rPr>
      <t>o</t>
    </r>
    <r>
      <rPr>
        <sz val="13"/>
        <rFont val="Times New Roman"/>
        <family val="1"/>
      </rPr>
      <t xml:space="preserve">
Ω/km</t>
    </r>
  </si>
  <si>
    <t>VL+NC+M</t>
  </si>
  <si>
    <t>Bảng II.3.2</t>
  </si>
  <si>
    <t xml:space="preserve">  Chi phí một số công tác không xác định được khối lượng từ thiết kế</t>
  </si>
  <si>
    <t>Phòng Kỹ thuật</t>
  </si>
  <si>
    <t>Lưu phòng Kỹ thuật ( đính kèm hồ sơ )</t>
  </si>
  <si>
    <t>Lắp đặt sứ xuyên không lõi ≤ 35kV</t>
  </si>
  <si>
    <t>trang 172, đơn giá XDCB chuyên ngành xây lắp đường dây tải điện và lắp đặt TBA</t>
  </si>
  <si>
    <t>CÔNG TÁC LẮP DỰNG TRỤ</t>
  </si>
  <si>
    <t>LẮP RÁP TRỤ THÉP</t>
  </si>
  <si>
    <t>DỰNG TRỤ THÉP HÌNH ĐÃ LẮP</t>
  </si>
  <si>
    <t>DỰNG TRỤ THÉP ỐNG</t>
  </si>
  <si>
    <t>VỪA LẮP VỪA DỰNG TRỤ THÉP HÌNH</t>
  </si>
  <si>
    <t>LẮP DỰNG TRỤ BÊ TÔNG</t>
  </si>
  <si>
    <t>NỐI TRỤ BÊ TÔNG BẰNG MẶT BÍCH</t>
  </si>
  <si>
    <t>DỰNG TRỤ BÊ TÔNG</t>
  </si>
  <si>
    <t>Trụ 16Đ + M16cc</t>
  </si>
  <si>
    <t>Trụ 16Đ + M 1,6x1,6x1,2</t>
  </si>
  <si>
    <t>Trụ 14G + M 1,8x1,6x1,2</t>
  </si>
  <si>
    <t>Trọng lượng 1 móng</t>
  </si>
  <si>
    <t>SL</t>
  </si>
  <si>
    <t>KL móng</t>
  </si>
  <si>
    <t>Tổng:</t>
  </si>
  <si>
    <t>OF004</t>
  </si>
  <si>
    <t>OF005</t>
  </si>
  <si>
    <t>OF006</t>
  </si>
  <si>
    <t>OF007</t>
  </si>
  <si>
    <t>OF008</t>
  </si>
  <si>
    <t>Sau khi ký thỏa thuận hợp đồng, công tác thi công thực hiện như sau  :</t>
  </si>
  <si>
    <t xml:space="preserve">* Trạm biến áp </t>
  </si>
  <si>
    <t>4.3 Vị trí ngừng</t>
  </si>
  <si>
    <t xml:space="preserve">    Căn cứ Luật Thương mại số:36/2005/QH11 ngày 14/06/2005 của Quốc hội Nước Cộng Hòa Xã</t>
  </si>
  <si>
    <t>Hồ sơ, tài liệu, bản vẽ thiết kế công trình đã được Công ty Điện lực Hậu Giang thỏa</t>
  </si>
  <si>
    <r>
      <t>Điều 5</t>
    </r>
    <r>
      <rPr>
        <sz val="12"/>
        <rFont val="Times New Roman"/>
        <family val="1"/>
      </rPr>
      <t>. Thanh toán hợp đồng:</t>
    </r>
  </si>
  <si>
    <t>MBA 1 pha 12,7/0,22-0,44kV 37,5kVA</t>
  </si>
  <si>
    <t>AC004</t>
  </si>
  <si>
    <t>Đà sắt L75x75x8 dài 0,25mKẹp chân MBA</t>
  </si>
  <si>
    <t>IF006</t>
  </si>
  <si>
    <t>Đà sắt L75x75x8 dài 3m giữ 3 MBA 1 pha</t>
  </si>
  <si>
    <t>IF007</t>
  </si>
  <si>
    <t>Đà sắt L75x75x8 dài 0,655m giữ 3 MBA 1 pha</t>
  </si>
  <si>
    <t>IF008</t>
  </si>
  <si>
    <t>MCCB - 3P - 600V - 250A</t>
  </si>
  <si>
    <t>Lắp neo BT trọng lượng &gt; 0,5 tấn</t>
  </si>
  <si>
    <t>SẢN XUẤT LẮP DỰNG CỐT THÉP</t>
  </si>
  <si>
    <t>SX lắp dựng cốt thép móng, ĐK ≤10mm</t>
  </si>
  <si>
    <t>SX lắp dựng cốt thép móng, ĐK ≤18mm</t>
  </si>
  <si>
    <t>SX lắp dựng cốt thép móng, ĐK &gt;18mm</t>
  </si>
  <si>
    <t>CÔNG TÁC LÀM VÁN KHUÔN</t>
  </si>
  <si>
    <t>CÔNG TÁC ĐÓNG CỌC</t>
  </si>
  <si>
    <t>04.8133</t>
  </si>
  <si>
    <t>04.8143</t>
  </si>
  <si>
    <t>04.8601</t>
  </si>
  <si>
    <t>10m2</t>
  </si>
  <si>
    <t>04.8602</t>
  </si>
  <si>
    <t>04.8603</t>
  </si>
  <si>
    <t>04.8604</t>
  </si>
  <si>
    <t xml:space="preserve">- Vị trí đặt lực cách mặt đất </t>
  </si>
  <si>
    <r>
      <t>H</t>
    </r>
    <r>
      <rPr>
        <vertAlign val="subscript"/>
        <sz val="13"/>
        <rFont val="Times New Roman"/>
        <family val="1"/>
      </rPr>
      <t>c</t>
    </r>
  </si>
  <si>
    <r>
      <t>2d</t>
    </r>
    <r>
      <rPr>
        <vertAlign val="subscript"/>
        <sz val="13"/>
        <rFont val="Times New Roman"/>
        <family val="1"/>
      </rPr>
      <t>1</t>
    </r>
    <r>
      <rPr>
        <sz val="13"/>
        <rFont val="Times New Roman"/>
        <family val="1"/>
      </rPr>
      <t xml:space="preserve"> + d'</t>
    </r>
    <r>
      <rPr>
        <vertAlign val="subscript"/>
        <sz val="13"/>
        <rFont val="Times New Roman"/>
        <family val="1"/>
      </rPr>
      <t>2</t>
    </r>
  </si>
  <si>
    <t>x</t>
  </si>
  <si>
    <t>h</t>
  </si>
  <si>
    <t>T1.1432</t>
  </si>
  <si>
    <t>T4.3008</t>
  </si>
  <si>
    <t>Bộ tiếp địa trạm treo</t>
  </si>
  <si>
    <t>D4.2401</t>
  </si>
  <si>
    <t>PHẦN VẬT LIỆU:</t>
  </si>
  <si>
    <t>FA008</t>
  </si>
  <si>
    <t>MB000a</t>
  </si>
  <si>
    <t>T5.1002</t>
  </si>
  <si>
    <t>Tủ điện kế 2 ngăn 0,98x0,6x0,4m (STĐ)</t>
  </si>
  <si>
    <t>Dây nhôm trần lõi thép bọc mỡ 120/19</t>
  </si>
  <si>
    <t>KC005</t>
  </si>
  <si>
    <t>Dây nhôm trần lõi thép bọc mỡ 150/19</t>
  </si>
  <si>
    <t>KC006</t>
  </si>
  <si>
    <t>Dây nhôm trần lõi thép bọc mỡ 185/24</t>
  </si>
  <si>
    <t>KC007</t>
  </si>
  <si>
    <t>Với các yêu cầu về sản phẩm của hợp đồng khảo sát thiết kế phải đạt được như sau:</t>
  </si>
  <si>
    <t>5.1.  Tạm ứng hợp đồng:</t>
  </si>
  <si>
    <t>b/ Cung cấp sơ đồ vị trí mặt bằng và chuẩn bị mọi điều kiện cần thiết cho bên B khảo sát.</t>
  </si>
  <si>
    <t>Làm đầu cáp ≤1kV  3-4 ruột ≤ 185mm2</t>
  </si>
  <si>
    <t>Làm đầu cáp ≤1kV  3-4 ruột ≤ 240mm2</t>
  </si>
  <si>
    <t>Làm đầu cáp ≤1kV  3-4 ruột ≤ 300mm2</t>
  </si>
  <si>
    <t>Kéo rải, cố định cáp ngầm ≤ 1kg/m</t>
  </si>
  <si>
    <t>Kéo rải, cố định cáp ngầm ≤ 2kg/m</t>
  </si>
  <si>
    <t>trang 169, đơn giá XDCB chuyên ngành xây lắp đường dây tải điện và lắp đặt TBA</t>
  </si>
  <si>
    <t>121774*1,3</t>
  </si>
  <si>
    <t>160403*1,3</t>
  </si>
  <si>
    <t>214303*1,3</t>
  </si>
  <si>
    <t>291859*1,3</t>
  </si>
  <si>
    <t>327892*1,3</t>
  </si>
  <si>
    <t>396765*1,3</t>
  </si>
  <si>
    <t>468232*1,3</t>
  </si>
  <si>
    <t>514946*1,3</t>
  </si>
  <si>
    <t>649396*1,3</t>
  </si>
  <si>
    <t>857810*1,3</t>
  </si>
  <si>
    <t>1005137*1,3</t>
  </si>
  <si>
    <t>1306578*1,3</t>
  </si>
  <si>
    <t>Dây đồng chống thấm bọc XLPE 24kV 50</t>
  </si>
  <si>
    <t>KM003</t>
  </si>
  <si>
    <t>BB001</t>
  </si>
  <si>
    <t>Biến dòng đo đếm 24kV 5-10/5A</t>
  </si>
  <si>
    <t>BB002</t>
  </si>
  <si>
    <t>05.7003</t>
  </si>
  <si>
    <t>Kéo dây tiếp đất trụ</t>
  </si>
  <si>
    <t>Đóng cọc tiếp đất trụ</t>
  </si>
  <si>
    <t>06.1115</t>
  </si>
  <si>
    <t>06.1125</t>
  </si>
  <si>
    <t>V/c phụ kiện các loại bằng TC ( ≤ 100m)</t>
  </si>
  <si>
    <t>V/c phụ kiện các loại bằng TC ( ≤ 300m)</t>
  </si>
  <si>
    <t>Dây đồng chống thấm bọc XLPE 24kV 25</t>
  </si>
  <si>
    <t>KM001</t>
  </si>
  <si>
    <t>Dây đồng chống thấm bọc XLPE 24kV 35</t>
  </si>
  <si>
    <t>KM002</t>
  </si>
  <si>
    <r>
      <t>.10</t>
    </r>
    <r>
      <rPr>
        <vertAlign val="superscript"/>
        <sz val="13"/>
        <rFont val="Times New Roman"/>
        <family val="1"/>
      </rPr>
      <t>-6</t>
    </r>
    <r>
      <rPr>
        <sz val="13"/>
        <rFont val="Times New Roman"/>
        <family val="1"/>
      </rPr>
      <t>)</t>
    </r>
  </si>
  <si>
    <t>(15 - 5)</t>
  </si>
  <si>
    <r>
      <t>β</t>
    </r>
    <r>
      <rPr>
        <vertAlign val="subscript"/>
        <sz val="13"/>
        <rFont val="Times New Roman"/>
        <family val="1"/>
      </rPr>
      <t>AC</t>
    </r>
    <r>
      <rPr>
        <sz val="13"/>
        <rFont val="Times New Roman"/>
        <family val="1"/>
      </rPr>
      <t xml:space="preserve"> - hệ số kéo dài đàn hồi của dây AC</t>
    </r>
  </si>
  <si>
    <r>
      <t>β</t>
    </r>
    <r>
      <rPr>
        <vertAlign val="subscript"/>
        <sz val="13"/>
        <rFont val="Times New Roman"/>
        <family val="1"/>
      </rPr>
      <t>AC</t>
    </r>
  </si>
  <si>
    <r>
      <t>1</t>
    </r>
    <r>
      <rPr>
        <vertAlign val="subscript"/>
        <sz val="13"/>
        <rFont val="Times New Roman"/>
        <family val="1"/>
      </rPr>
      <t xml:space="preserve"> </t>
    </r>
    <r>
      <rPr>
        <sz val="13"/>
        <rFont val="Times New Roman"/>
        <family val="1"/>
      </rPr>
      <t>+ a</t>
    </r>
  </si>
  <si>
    <r>
      <t>[mm</t>
    </r>
    <r>
      <rPr>
        <vertAlign val="superscript"/>
        <sz val="13"/>
        <rFont val="Times New Roman"/>
        <family val="1"/>
      </rPr>
      <t>2</t>
    </r>
    <r>
      <rPr>
        <sz val="13"/>
        <rFont val="Times New Roman"/>
        <family val="1"/>
      </rPr>
      <t>/N]</t>
    </r>
  </si>
  <si>
    <r>
      <t>E</t>
    </r>
    <r>
      <rPr>
        <vertAlign val="subscript"/>
        <sz val="13"/>
        <rFont val="Times New Roman"/>
        <family val="1"/>
      </rPr>
      <t>A</t>
    </r>
    <r>
      <rPr>
        <sz val="13"/>
        <rFont val="Times New Roman"/>
        <family val="1"/>
      </rPr>
      <t xml:space="preserve"> . β</t>
    </r>
    <r>
      <rPr>
        <vertAlign val="subscript"/>
        <sz val="13"/>
        <rFont val="Times New Roman"/>
        <family val="1"/>
      </rPr>
      <t xml:space="preserve">AC </t>
    </r>
  </si>
  <si>
    <r>
      <t>σ</t>
    </r>
    <r>
      <rPr>
        <vertAlign val="subscript"/>
        <sz val="13"/>
        <rFont val="Times New Roman"/>
        <family val="1"/>
      </rPr>
      <t>Acp</t>
    </r>
    <r>
      <rPr>
        <sz val="13"/>
        <rFont val="Times New Roman"/>
        <family val="1"/>
      </rPr>
      <t xml:space="preserve"> - (α</t>
    </r>
    <r>
      <rPr>
        <vertAlign val="subscript"/>
        <sz val="13"/>
        <rFont val="Times New Roman"/>
        <family val="1"/>
      </rPr>
      <t>A</t>
    </r>
    <r>
      <rPr>
        <sz val="13"/>
        <rFont val="Times New Roman"/>
        <family val="1"/>
      </rPr>
      <t xml:space="preserve"> - α</t>
    </r>
    <r>
      <rPr>
        <vertAlign val="subscript"/>
        <sz val="13"/>
        <rFont val="Times New Roman"/>
        <family val="1"/>
      </rPr>
      <t>AC</t>
    </r>
    <r>
      <rPr>
        <sz val="13"/>
        <rFont val="Times New Roman"/>
        <family val="1"/>
      </rPr>
      <t>)(θ</t>
    </r>
    <r>
      <rPr>
        <vertAlign val="subscript"/>
        <sz val="13"/>
        <rFont val="Times New Roman"/>
        <family val="1"/>
      </rPr>
      <t>o</t>
    </r>
    <r>
      <rPr>
        <sz val="13"/>
        <rFont val="Times New Roman"/>
        <family val="1"/>
      </rPr>
      <t xml:space="preserve"> - θ</t>
    </r>
    <r>
      <rPr>
        <vertAlign val="subscript"/>
        <sz val="13"/>
        <rFont val="Times New Roman"/>
        <family val="1"/>
      </rPr>
      <t>min</t>
    </r>
    <r>
      <rPr>
        <sz val="13"/>
        <rFont val="Times New Roman"/>
        <family val="1"/>
      </rPr>
      <t>). E</t>
    </r>
    <r>
      <rPr>
        <vertAlign val="subscript"/>
        <sz val="13"/>
        <rFont val="Times New Roman"/>
        <family val="1"/>
      </rPr>
      <t>A</t>
    </r>
  </si>
  <si>
    <r>
      <t>. 6,18 .10</t>
    </r>
    <r>
      <rPr>
        <vertAlign val="superscript"/>
        <sz val="13"/>
        <rFont val="Times New Roman"/>
        <family val="1"/>
      </rPr>
      <t>4</t>
    </r>
  </si>
  <si>
    <t>RG019</t>
  </si>
  <si>
    <t>Nước</t>
  </si>
  <si>
    <t>04.1201a</t>
  </si>
  <si>
    <t>Làm, lắp đầu cáp trung áp 1 pha ≤ 300mm2</t>
  </si>
  <si>
    <t>Làm, lắp đầu cáp trung áp 1 pha ≤ 400mm2</t>
  </si>
  <si>
    <t>Làm, lắp đầu cáp trung áp 3 pha ≤ 35mm2</t>
  </si>
  <si>
    <t>Làm, lắp đầu cáp trung áp 3 pha ≤ 70mm2</t>
  </si>
  <si>
    <t>Làm, lắp đầu cáp trung áp 3 pha ≤ 120mm2</t>
  </si>
  <si>
    <t>Làm, lắp đầu cáp trung áp 3 pha ≤ 185mm2</t>
  </si>
  <si>
    <t>Làm, lắp đầu cáp trung áp 3 pha ≤ 240mm2</t>
  </si>
  <si>
    <t>Làm, lắp đầu cáp trung áp 3 pha ≤ 300mm2</t>
  </si>
  <si>
    <t>Ép đầu cosse ≤ 120mm2</t>
  </si>
  <si>
    <t>Ép đầu cosse ≤ 150mm2</t>
  </si>
  <si>
    <t>Ép đầu cosse ≤ 185mm2</t>
  </si>
  <si>
    <t>Ép đầu cosse ≤ 240mm2</t>
  </si>
  <si>
    <t>Ép đầu cosse ≤ 300mm2</t>
  </si>
  <si>
    <t>Ép đầu cosse ≤ 400mm2</t>
  </si>
  <si>
    <t>Cáp nhôm ABC bọc XLPE 0,6/1kV 4x70</t>
  </si>
  <si>
    <t>Lắp cáp trong ống bảo vệ ≤18kg/m</t>
  </si>
  <si>
    <t>Lắp cáp trong ống bảo vệ ≤21kg/m</t>
  </si>
  <si>
    <t>Lắp cáp trong ống bảo vệ ≤24kg/m</t>
  </si>
  <si>
    <t>Lắp cáp trong ống bảo vệ ≤28kg/m</t>
  </si>
  <si>
    <t>Lắp cáp trong ống bảo vệ ≤32kg/m</t>
  </si>
  <si>
    <t>LÀM VÀ LẮP ĐẶT ĐẦU CÁP</t>
  </si>
  <si>
    <t>07.4107</t>
  </si>
  <si>
    <t>Làm đầu cáp ≤1kV  3-4 ruột ≤ 400mm2</t>
  </si>
  <si>
    <t>07.4317</t>
  </si>
  <si>
    <t>Làm đầu cáp ≤ 22kV, 1 pha ≤ 35mm2</t>
  </si>
  <si>
    <t>CÁCH TÍNH</t>
  </si>
  <si>
    <t>A</t>
  </si>
  <si>
    <t>Z</t>
  </si>
  <si>
    <t>T</t>
  </si>
  <si>
    <t>B</t>
  </si>
  <si>
    <t>M</t>
  </si>
  <si>
    <t>C</t>
  </si>
  <si>
    <t>Lắp cách điện đứng polymer, trụ BTLT</t>
  </si>
  <si>
    <t>06.2115</t>
  </si>
  <si>
    <t>06.2125</t>
  </si>
  <si>
    <t>Lắp cách điện đứng polymer, trụ vuông</t>
  </si>
  <si>
    <t>06.2401</t>
  </si>
  <si>
    <t>Bộ</t>
  </si>
  <si>
    <t>Lắp cách điện néo polymer</t>
  </si>
  <si>
    <t>LẮP ĐẶT PHỤ KIỆN</t>
  </si>
  <si>
    <t>Lắp biển cấm, biển số thứ tự</t>
  </si>
  <si>
    <t>06.3191</t>
  </si>
  <si>
    <t>Lắp chống sét van</t>
  </si>
  <si>
    <t>06.3211</t>
  </si>
  <si>
    <t>Lắp đặt dây xuống thiết bị ≤ AC 400</t>
  </si>
  <si>
    <t>Xếp đá dăm các loại xuống</t>
  </si>
  <si>
    <t>Xếp đá hộc xuống</t>
  </si>
  <si>
    <t>Xếp sỏi xuống</t>
  </si>
  <si>
    <t>Xếp đất đắp xuống</t>
  </si>
  <si>
    <t>Xếp gạch chỉ xuống</t>
  </si>
  <si>
    <t>Đà sắt U160x68x5 dài 3m đỡ MBA</t>
  </si>
  <si>
    <t>a. Bên giao thầu :</t>
  </si>
  <si>
    <t>b. Bên nhận thầu :</t>
  </si>
  <si>
    <t>Bắt đầu</t>
  </si>
  <si>
    <t>Kết thúc</t>
  </si>
  <si>
    <t>Tại</t>
  </si>
  <si>
    <r>
      <t>(R</t>
    </r>
    <r>
      <rPr>
        <vertAlign val="subscript"/>
        <sz val="13"/>
        <rFont val="Times New Roman"/>
        <family val="1"/>
      </rPr>
      <t>1</t>
    </r>
    <r>
      <rPr>
        <sz val="13"/>
        <rFont val="Times New Roman"/>
        <family val="1"/>
      </rPr>
      <t xml:space="preserve"> + R</t>
    </r>
    <r>
      <rPr>
        <vertAlign val="subscript"/>
        <sz val="13"/>
        <rFont val="Times New Roman"/>
        <family val="1"/>
      </rPr>
      <t>2</t>
    </r>
    <r>
      <rPr>
        <sz val="13"/>
        <rFont val="Times New Roman"/>
        <family val="1"/>
      </rPr>
      <t>) + j.X</t>
    </r>
    <r>
      <rPr>
        <vertAlign val="subscript"/>
        <sz val="13"/>
        <rFont val="Times New Roman"/>
        <family val="1"/>
      </rPr>
      <t>AT</t>
    </r>
    <r>
      <rPr>
        <sz val="13"/>
        <rFont val="Times New Roman"/>
        <family val="1"/>
      </rPr>
      <t xml:space="preserve"> </t>
    </r>
  </si>
  <si>
    <t>Với:</t>
  </si>
  <si>
    <t>- Chiều dài chuổi c.điện</t>
  </si>
  <si>
    <t>λ</t>
  </si>
  <si>
    <t>* Kết luận: độ võng của dây dẫn đạt theo quy định</t>
  </si>
  <si>
    <t>- Chiều cao cột</t>
  </si>
  <si>
    <t xml:space="preserve">* Đường dây trung thế </t>
  </si>
  <si>
    <t>: không quá 06 ngày cho mỗi km.</t>
  </si>
  <si>
    <t xml:space="preserve">* Đường dây hạ thế </t>
  </si>
  <si>
    <t>`</t>
  </si>
  <si>
    <t>333142*1,1</t>
  </si>
  <si>
    <t>375326*1,1</t>
  </si>
  <si>
    <t>458611*1,1</t>
  </si>
  <si>
    <t>537570*1,1</t>
  </si>
  <si>
    <t>628427*1,1</t>
  </si>
  <si>
    <t>749570*1,1</t>
  </si>
  <si>
    <t>Phá dỡ bê tông có cốt thép bằng búa</t>
  </si>
  <si>
    <t>Phá dỡ bê tông k.có cốt thép bằng búa</t>
  </si>
  <si>
    <t>Phá dỡ kết cấu gạch bằng búa</t>
  </si>
  <si>
    <t>Phá dỡ bê tông có cốt thép bằng M Kh</t>
  </si>
  <si>
    <t>Lắp đặt hộp nối cáp hạ áp ≤ 35mm2</t>
  </si>
  <si>
    <t>Lắp đặt hộp nối cáp hạ áp ≤ 70mm2</t>
  </si>
  <si>
    <t>Dựng trụ BT &gt; 20m, thủ công</t>
  </si>
  <si>
    <t>Dựng trụ BT ≤ 8m, TC + cẩu</t>
  </si>
  <si>
    <t>Dựng trụ BT ≤ 10m, TC + cẩu</t>
  </si>
  <si>
    <t>Đóng cọc tiếp đất trụ, đất cấp I</t>
  </si>
  <si>
    <t>Đóng cọc tiếp đất trụ, đất cấp II</t>
  </si>
  <si>
    <t>Đóng cọc tiếp đất trụ, đất cấp III</t>
  </si>
  <si>
    <t>Đóng cọc tiếp đất trụ, đất cấp IV</t>
  </si>
  <si>
    <t>MA002</t>
  </si>
  <si>
    <t>Bảng gỗ trạm 420x440</t>
  </si>
  <si>
    <t>MA003</t>
  </si>
  <si>
    <t xml:space="preserve">Bảng gỗ điện kế 3 pha </t>
  </si>
  <si>
    <t>MA004</t>
  </si>
  <si>
    <t>Bảng gỗ và hộp điện kế</t>
  </si>
  <si>
    <t>MB000</t>
  </si>
  <si>
    <t>Bảng tên 200x300</t>
  </si>
  <si>
    <t>MB001</t>
  </si>
  <si>
    <t>Làm đầu cáp ≤ 22kV, 1 pha ≤ 120mm2</t>
  </si>
  <si>
    <t>Làm đầu cáp ≤ 22kV, 1 pha ≤ 185mm2</t>
  </si>
  <si>
    <t>Làm đầu cáp ≤ 22kV, 1 pha ≤ 240mm2</t>
  </si>
  <si>
    <t>QH013</t>
  </si>
  <si>
    <t>4.2 Vị trí trụ góc</t>
  </si>
  <si>
    <t>Rãi căng dây lấy độ võng ≤ A95mm2</t>
  </si>
  <si>
    <t>Rãi căng dây lấy độ võng ≤ thép 16mm2</t>
  </si>
  <si>
    <t>V/c đà bằng thủ công ( ≤ 500m)</t>
  </si>
  <si>
    <t>Trang 14, quyết định số 79/QĐ-BXD ngày 15/02/2017</t>
  </si>
  <si>
    <t>- Định mức chi phí GS thi công xây dựng</t>
  </si>
  <si>
    <t>- Định mức chi phí GS lắp đặt thiết bị</t>
  </si>
  <si>
    <t>ΔU</t>
  </si>
  <si>
    <t>04.1103</t>
  </si>
  <si>
    <t>04.1104</t>
  </si>
  <si>
    <t>04.1105</t>
  </si>
  <si>
    <t>04.1106</t>
  </si>
  <si>
    <t>04.1201</t>
  </si>
  <si>
    <t>04.1202</t>
  </si>
  <si>
    <t>04.1203</t>
  </si>
  <si>
    <t>-  Thời gian thực hiện: sau khi có lệnh khởi công và theo tiến độ thi công của đơn vị thi công.</t>
  </si>
  <si>
    <t>Đà sắt L75x75x8 dài 2,4m - trụ II tim 2,2m</t>
  </si>
  <si>
    <t>IC002</t>
  </si>
  <si>
    <t>Dây chì 25K</t>
  </si>
  <si>
    <t>Ép đầu Cosse  ≤ 240mm2</t>
  </si>
  <si>
    <t>Ép đầu Cosse  ≤ 300mm2</t>
  </si>
  <si>
    <t>Ép đầu Cosse  ≤ 400mm2</t>
  </si>
  <si>
    <r>
      <t>I</t>
    </r>
    <r>
      <rPr>
        <vertAlign val="subscript"/>
        <sz val="13"/>
        <rFont val="Times New Roman"/>
        <family val="1"/>
      </rPr>
      <t>kđnhA</t>
    </r>
    <r>
      <rPr>
        <sz val="13"/>
        <rFont val="Times New Roman"/>
        <family val="1"/>
      </rPr>
      <t>:dòng khởi động nhiệt của CB (dòng tác động của rơle nhiệt cắt quá tải)</t>
    </r>
  </si>
  <si>
    <t>NGHIỆM THU KẾT QUẢ KHẢO SÁT &amp; THIẾT KẾ</t>
  </si>
  <si>
    <t>38564*1,1</t>
  </si>
  <si>
    <t>44484*1,1</t>
  </si>
  <si>
    <t>59199*1,1</t>
  </si>
  <si>
    <r>
      <t xml:space="preserve"> - Giá trị chi phí xây dựng trước thuế (phần hạ áp): G</t>
    </r>
    <r>
      <rPr>
        <vertAlign val="subscript"/>
        <sz val="12"/>
        <rFont val="Times New Roman"/>
        <family val="1"/>
      </rPr>
      <t>XD</t>
    </r>
  </si>
  <si>
    <t>Cáp ngầm 3 pha 0,6/1kV CXV/DSTA 3x16</t>
  </si>
  <si>
    <t>KV023</t>
  </si>
  <si>
    <t>Cáp ngầm 3 pha 0,6/1kV CXV/DSTA 3x25</t>
  </si>
  <si>
    <t>KV024</t>
  </si>
  <si>
    <t xml:space="preserve"> Vận chuyển đường sông vật tư, phụ kiện, cáp từ ĐL Long Mỹ đến công trình</t>
  </si>
  <si>
    <t>Theo QĐ số 89/2000/QĐ-BVGCP ngày 13/11/2000 của Ban vật giá Chính phủ</t>
  </si>
  <si>
    <t>Theo QĐ số 23/2007/QĐ-UBNN ngày 29/10/2007 của UBNN tỉnh Hậu Giang</t>
  </si>
  <si>
    <t>OF001</t>
  </si>
  <si>
    <t>Kẹp rẽ nhánh WR 25-50 / 25-50</t>
  </si>
  <si>
    <t>Kẹp rẽ nhánh WR 50-70 / 50-70</t>
  </si>
  <si>
    <t>06.6141</t>
  </si>
  <si>
    <t>06.6142</t>
  </si>
  <si>
    <t>06.6143</t>
  </si>
  <si>
    <t>06.6144</t>
  </si>
  <si>
    <t>06.6145</t>
  </si>
  <si>
    <t>06.6146</t>
  </si>
  <si>
    <t>06.6167</t>
  </si>
  <si>
    <t>06.6168</t>
  </si>
  <si>
    <t>07.1121</t>
  </si>
  <si>
    <t>07.1122</t>
  </si>
  <si>
    <t>07.1123</t>
  </si>
  <si>
    <t>07.1124</t>
  </si>
  <si>
    <t>móng</t>
  </si>
  <si>
    <t>Bảng II.3.5</t>
  </si>
  <si>
    <r>
      <t>Với khoảng cột của tuyến dây thiết kế &lt; l</t>
    </r>
    <r>
      <rPr>
        <vertAlign val="subscript"/>
        <sz val="13"/>
        <rFont val="Times New Roman"/>
        <family val="1"/>
      </rPr>
      <t>th</t>
    </r>
    <r>
      <rPr>
        <sz val="13"/>
        <rFont val="Times New Roman"/>
        <family val="1"/>
      </rPr>
      <t>,ứng suất trong dây xuất hiện khi θ</t>
    </r>
    <r>
      <rPr>
        <vertAlign val="subscript"/>
        <sz val="13"/>
        <rFont val="Times New Roman"/>
        <family val="1"/>
      </rPr>
      <t>min</t>
    </r>
  </si>
  <si>
    <t>2.2/ Phương trình trạng thái:</t>
  </si>
  <si>
    <t>03.3142</t>
  </si>
  <si>
    <t>Phân xưởng mộc</t>
  </si>
  <si>
    <t>- Chọn máy biến áp:</t>
  </si>
  <si>
    <r>
      <t>- Giá trị chi phí xây dựng trước thuế G</t>
    </r>
    <r>
      <rPr>
        <vertAlign val="subscript"/>
        <sz val="11"/>
        <rFont val="Times New Roman"/>
        <family val="1"/>
      </rPr>
      <t>XD</t>
    </r>
  </si>
  <si>
    <t xml:space="preserve">Gía trị dự toán xây dựng sau thuế </t>
  </si>
  <si>
    <t>Rãi căng dây lấy độ võng ≤ AC150mm2</t>
  </si>
  <si>
    <t>Rãi căng dây lấy độ võng ≤ AC185mm2</t>
  </si>
  <si>
    <t>Rãi căng dây lấy độ võng ≤ AC240mm2</t>
  </si>
  <si>
    <t>Rãi căng dây lấy độ võng ≤ AC300mm2</t>
  </si>
  <si>
    <t>Cáp ĐK 4 ruột đồng bọc PVC vỏ PVC3x10+6</t>
  </si>
  <si>
    <t>KK002</t>
  </si>
  <si>
    <t>Cáp ĐK 4 ruột đồng bọc PVC vỏ PVC3x11+6</t>
  </si>
  <si>
    <t>KK003</t>
  </si>
  <si>
    <t>Cáp ĐK 4 ruột đồng bọc PVC vỏ PVC3x16+10</t>
  </si>
  <si>
    <t>KK004</t>
  </si>
  <si>
    <t>* Lưu ý đo đếm cơ hay điện tử (QP)</t>
  </si>
  <si>
    <t>Giá đỡ đầu cáp ngầm</t>
  </si>
  <si>
    <t xml:space="preserve">KÝ HIỆU </t>
  </si>
  <si>
    <t>DIỄN GIẢI</t>
  </si>
  <si>
    <t xml:space="preserve">Gía trị dự toán sau thuế </t>
  </si>
  <si>
    <r>
      <t>C</t>
    </r>
    <r>
      <rPr>
        <vertAlign val="subscript"/>
        <sz val="10"/>
        <rFont val="Times New Roman"/>
        <family val="1"/>
      </rPr>
      <t>SDL</t>
    </r>
  </si>
  <si>
    <r>
      <t>C</t>
    </r>
    <r>
      <rPr>
        <vertAlign val="subscript"/>
        <sz val="10"/>
        <rFont val="Times New Roman"/>
        <family val="1"/>
      </rPr>
      <t>C</t>
    </r>
  </si>
  <si>
    <t>Vật tư
SD lại</t>
  </si>
  <si>
    <r>
      <t>C</t>
    </r>
    <r>
      <rPr>
        <vertAlign val="subscript"/>
        <sz val="10"/>
        <rFont val="Times New Roman"/>
        <family val="1"/>
      </rPr>
      <t>CL</t>
    </r>
  </si>
  <si>
    <t>Chi phí xây dựng, lắp đặt công trình</t>
  </si>
  <si>
    <t>Chi phí phần xây dựng</t>
  </si>
  <si>
    <t>Bảng II.3.4</t>
  </si>
  <si>
    <t>05.6063</t>
  </si>
  <si>
    <t>05.6073</t>
  </si>
  <si>
    <t>05.6083</t>
  </si>
  <si>
    <t>05.6093</t>
  </si>
  <si>
    <t>05.6103</t>
  </si>
  <si>
    <t>05.6044</t>
  </si>
  <si>
    <t>05.6054</t>
  </si>
  <si>
    <t>05.6064</t>
  </si>
  <si>
    <t>05.6074</t>
  </si>
  <si>
    <t>05.6084</t>
  </si>
  <si>
    <t>Đơn vị thi công :</t>
  </si>
  <si>
    <t>Đơn vị giám sát :</t>
  </si>
  <si>
    <t>Cty TNHH Cơ Điện Thới Hưng</t>
  </si>
  <si>
    <t>Km</t>
  </si>
  <si>
    <t>06.6115</t>
  </si>
  <si>
    <t>06.6116</t>
  </si>
  <si>
    <t>06.6161</t>
  </si>
  <si>
    <t>06.6162</t>
  </si>
  <si>
    <t>06.6163</t>
  </si>
  <si>
    <t>Lắp đặt cáp trong ống bảo vệ ≤ 9kg/m</t>
  </si>
  <si>
    <t>31-35</t>
  </si>
  <si>
    <t>36-40</t>
  </si>
  <si>
    <t>41-45</t>
  </si>
  <si>
    <t>46-50</t>
  </si>
  <si>
    <t>51-55</t>
  </si>
  <si>
    <t>56-60</t>
  </si>
  <si>
    <t>61-70</t>
  </si>
  <si>
    <t>Boulon mắt MK 16x300</t>
  </si>
  <si>
    <t>Cáp nhôm trần lõi thép (AC) - 50mm2</t>
  </si>
  <si>
    <t>Cáp đồng 24kV (CX) - 50mm2</t>
  </si>
  <si>
    <t>Trụ</t>
  </si>
  <si>
    <t>Giáp níu dây ACX50</t>
  </si>
  <si>
    <t>Giáp buộc đầu sứ cỡ dây 50mm2</t>
  </si>
  <si>
    <t>Giáp buộc cổ sứ cỡ dây 50mm2</t>
  </si>
  <si>
    <t>Đầu cosse Cu/Al cỡ dây 50</t>
  </si>
  <si>
    <t>Kẹp bulon U cỡ 35 - 50mm2</t>
  </si>
  <si>
    <t>Boulon MK VRS 16x600</t>
  </si>
  <si>
    <r>
      <t>Trụ 14m ghép - Móng bêtông M200 (1,6x1,4x1)m</t>
    </r>
    <r>
      <rPr>
        <b/>
        <vertAlign val="superscript"/>
        <sz val="10"/>
        <rFont val="Times New Roman"/>
        <family val="1"/>
      </rPr>
      <t>3</t>
    </r>
  </si>
  <si>
    <r>
      <t>Trụ 14m - Móng bêtông M200 (1,4x1,4x1)m</t>
    </r>
    <r>
      <rPr>
        <b/>
        <vertAlign val="superscript"/>
        <sz val="10"/>
        <rFont val="Times New Roman"/>
        <family val="1"/>
      </rPr>
      <t>3</t>
    </r>
  </si>
  <si>
    <t>Bộ đà 24Đ</t>
  </si>
  <si>
    <t>D2.6021</t>
  </si>
  <si>
    <t>T2.3505a</t>
  </si>
  <si>
    <t xml:space="preserve"> Vận chuyển đường bộ trụ, xi măng từ TP.Vị Thanh đến Công trình</t>
  </si>
  <si>
    <t xml:space="preserve"> Vận chuyển đường bộ vật tư, phụ kiện, cáp từ TP.Vị Thanh đến Công trình</t>
  </si>
  <si>
    <t>: Quãng đường vận chuyển đường bộ từ TP.Vị Thanh đến Công trình.</t>
  </si>
  <si>
    <t>MCCB - 2 pha 600V - 45A</t>
  </si>
  <si>
    <t>DA002</t>
  </si>
  <si>
    <t>MCCB - 2 pha 600V - 63A</t>
  </si>
  <si>
    <t>DA003</t>
  </si>
  <si>
    <t>MCCB - 2 pha 600V - 75A</t>
  </si>
  <si>
    <t>DA004</t>
  </si>
  <si>
    <t>TÍNH TOÁN LỰA CHỌN THIẾT BỊ BẢO VỆ HẠ ÁP</t>
  </si>
  <si>
    <t>MCCB - 3P - 600V - 125A</t>
  </si>
  <si>
    <t xml:space="preserve">  Lập hồ sơ mời thầu, đánh giá hồ sơ dự thầu tư vấn</t>
  </si>
  <si>
    <t xml:space="preserve">  Lập hồ sơ mời thầu, đánh giá hồ sơ dự thầu thi công xây dựng </t>
  </si>
  <si>
    <r>
      <t>G</t>
    </r>
    <r>
      <rPr>
        <vertAlign val="subscript"/>
        <sz val="10"/>
        <rFont val="Times New Roman"/>
        <family val="1"/>
      </rPr>
      <t>LHSTV</t>
    </r>
  </si>
  <si>
    <t>Bảng 19, trang 40, quyết định số 79/QĐ-BXD ngày 15/02/2017</t>
  </si>
  <si>
    <t>Lắp đặt xà thép cho trụ néo (100kg)</t>
  </si>
  <si>
    <t>Kéo rãi lắp đặt cáp ngầm ≤ 3kg/m</t>
  </si>
  <si>
    <t>Kéo rãi lắp đặt cáp ngầm ≤ 4,5kg/m</t>
  </si>
  <si>
    <t>Kéo rãi lắp đặt cáp ngầm ≤ 6kg/m</t>
  </si>
  <si>
    <t>ĐL Châu Thành A (Một Ngàn)</t>
  </si>
  <si>
    <t>-  Bên A chỉ nghiệm thu khi công trình đã hoàn thành và có đủ hồ sơ theo quy định.</t>
  </si>
  <si>
    <t xml:space="preserve">-  Công trình chỉ được nghiệm thu đưa vào sử dụng khi đảm bảo đúng yêu cầu thiết kế, đảm </t>
  </si>
  <si>
    <t>bảo chất lượng và đạt các tiêu chuẩn theo quy định.</t>
  </si>
  <si>
    <t>4.2 Điều kiện để bàn giao công trình đưa vào sử dụng :</t>
  </si>
  <si>
    <t xml:space="preserve">-  Đảm bảo các yêu cầu về nguyên tắc, nội dung và trình tự bàn giao công trình đã xây dựng </t>
  </si>
  <si>
    <t>xong đưa vào sử dụng theo quy định của pháp luật về xây dựng.</t>
  </si>
  <si>
    <t>Đào đất để đắp móng, đất cấp II</t>
  </si>
  <si>
    <t>dây TH:</t>
  </si>
  <si>
    <t>- Chiều dài dây dẫn</t>
  </si>
  <si>
    <r>
      <t>H</t>
    </r>
    <r>
      <rPr>
        <vertAlign val="subscript"/>
        <sz val="13"/>
        <rFont val="Times New Roman"/>
        <family val="1"/>
      </rPr>
      <t>d</t>
    </r>
  </si>
  <si>
    <t>* Tổng mômen tác dụng lên tiết diện trụ tại mặt đất</t>
  </si>
  <si>
    <r>
      <t>(R</t>
    </r>
    <r>
      <rPr>
        <vertAlign val="subscript"/>
        <sz val="13"/>
        <rFont val="Times New Roman"/>
        <family val="1"/>
      </rPr>
      <t>BA</t>
    </r>
    <r>
      <rPr>
        <sz val="13"/>
        <rFont val="Times New Roman"/>
        <family val="1"/>
      </rPr>
      <t xml:space="preserve"> + R</t>
    </r>
    <r>
      <rPr>
        <vertAlign val="subscript"/>
        <sz val="13"/>
        <rFont val="Times New Roman"/>
        <family val="1"/>
      </rPr>
      <t>C</t>
    </r>
    <r>
      <rPr>
        <sz val="13"/>
        <rFont val="Times New Roman"/>
        <family val="1"/>
      </rPr>
      <t xml:space="preserve"> + R</t>
    </r>
    <r>
      <rPr>
        <vertAlign val="subscript"/>
        <sz val="13"/>
        <rFont val="Times New Roman"/>
        <family val="1"/>
      </rPr>
      <t>AT</t>
    </r>
    <r>
      <rPr>
        <sz val="13"/>
        <rFont val="Times New Roman"/>
        <family val="1"/>
      </rPr>
      <t>)</t>
    </r>
    <r>
      <rPr>
        <vertAlign val="superscript"/>
        <sz val="13"/>
        <rFont val="Times New Roman"/>
        <family val="1"/>
      </rPr>
      <t>2</t>
    </r>
    <r>
      <rPr>
        <sz val="13"/>
        <rFont val="Times New Roman"/>
        <family val="1"/>
      </rPr>
      <t xml:space="preserve"> + (X</t>
    </r>
    <r>
      <rPr>
        <vertAlign val="subscript"/>
        <sz val="13"/>
        <rFont val="Times New Roman"/>
        <family val="1"/>
      </rPr>
      <t>BA</t>
    </r>
    <r>
      <rPr>
        <sz val="13"/>
        <rFont val="Times New Roman"/>
        <family val="1"/>
      </rPr>
      <t xml:space="preserve"> + X</t>
    </r>
    <r>
      <rPr>
        <vertAlign val="subscript"/>
        <sz val="13"/>
        <rFont val="Times New Roman"/>
        <family val="1"/>
      </rPr>
      <t>C</t>
    </r>
    <r>
      <rPr>
        <sz val="13"/>
        <rFont val="Times New Roman"/>
        <family val="1"/>
      </rPr>
      <t xml:space="preserve"> + X</t>
    </r>
    <r>
      <rPr>
        <vertAlign val="subscript"/>
        <sz val="13"/>
        <rFont val="Times New Roman"/>
        <family val="1"/>
      </rPr>
      <t>AT</t>
    </r>
    <r>
      <rPr>
        <sz val="13"/>
        <rFont val="Times New Roman"/>
        <family val="1"/>
      </rPr>
      <t>)</t>
    </r>
    <r>
      <rPr>
        <vertAlign val="superscript"/>
        <sz val="13"/>
        <rFont val="Times New Roman"/>
        <family val="1"/>
      </rPr>
      <t>2</t>
    </r>
  </si>
  <si>
    <r>
      <t>I</t>
    </r>
    <r>
      <rPr>
        <vertAlign val="subscript"/>
        <sz val="13"/>
        <rFont val="Times New Roman"/>
        <family val="1"/>
      </rPr>
      <t>N1</t>
    </r>
  </si>
  <si>
    <t>Đất sét rất mịn</t>
  </si>
  <si>
    <t>Loại đất</t>
  </si>
  <si>
    <t>θ</t>
  </si>
  <si>
    <r>
      <t>θ</t>
    </r>
    <r>
      <rPr>
        <b/>
        <vertAlign val="superscript"/>
        <sz val="13"/>
        <rFont val="Times New Roman"/>
        <family val="1"/>
      </rPr>
      <t>2</t>
    </r>
  </si>
  <si>
    <r>
      <t>Φ</t>
    </r>
    <r>
      <rPr>
        <b/>
        <vertAlign val="superscript"/>
        <sz val="13"/>
        <rFont val="Times New Roman"/>
        <family val="1"/>
      </rPr>
      <t>2</t>
    </r>
  </si>
  <si>
    <t xml:space="preserve"> Chi phí máy thi công</t>
  </si>
  <si>
    <t>CHI PHÍ CHUNG</t>
  </si>
  <si>
    <t>5,5% x T</t>
  </si>
  <si>
    <t>GIÁ THÀNH DỰ TOÁN XÂY DỰNG</t>
  </si>
  <si>
    <t>T + C</t>
  </si>
  <si>
    <t>KY006</t>
  </si>
  <si>
    <t>Đầu cáp ngầm 3 pha 24kV ngoài trời 3x185</t>
  </si>
  <si>
    <t>KY007</t>
  </si>
  <si>
    <t>Đầu cáp ngầm 3 pha 24kV ngoài trời 3x240</t>
  </si>
  <si>
    <t>Kẹp treo cáp ABC 4x120 góc ≤ 60 độ</t>
  </si>
  <si>
    <t>PC007</t>
  </si>
  <si>
    <t>Kẹp treo cáp ABC 4x150 góc ≤ 60 độ</t>
  </si>
  <si>
    <t>PD000</t>
  </si>
  <si>
    <t>Cáp quadruplex đồng bọc PVC 0,6/1kV 4x16</t>
  </si>
  <si>
    <t>KI004</t>
  </si>
  <si>
    <t>Cáp quadruplex đồng bọc PVC 0,6/1kV 4x25</t>
  </si>
  <si>
    <t>KI005</t>
  </si>
  <si>
    <t>Cầu chì trời 30A</t>
  </si>
  <si>
    <t>CF001</t>
  </si>
  <si>
    <r>
      <t xml:space="preserve">Điều 1. </t>
    </r>
    <r>
      <rPr>
        <sz val="12"/>
        <rFont val="Times New Roman"/>
        <family val="1"/>
      </rPr>
      <t>Nội dung công việc phải thực hiện: Bên A giao cho bên B hồ sơ khảo sát và thiết kế</t>
    </r>
  </si>
  <si>
    <r>
      <t>Điều 2.</t>
    </r>
    <r>
      <rPr>
        <sz val="12"/>
        <rFont val="Times New Roman"/>
        <family val="1"/>
      </rPr>
      <t xml:space="preserve"> Chất lượng và các yêu cầu kỹ thuật, mỹ thuật: </t>
    </r>
  </si>
  <si>
    <r>
      <t>Điều 3.</t>
    </r>
    <r>
      <rPr>
        <sz val="12"/>
        <rFont val="Times New Roman"/>
        <family val="1"/>
      </rPr>
      <t xml:space="preserve"> Thời gian, tiến độ thực hiện: </t>
    </r>
  </si>
  <si>
    <t>03.1113</t>
  </si>
  <si>
    <t>03.1114</t>
  </si>
  <si>
    <t>03.1115</t>
  </si>
  <si>
    <t>100m</t>
  </si>
  <si>
    <t>Kéo rãi lắp đặt cáp ngầm ≤ 24kg/m</t>
  </si>
  <si>
    <t>Kéo rãi lắp đặt cáp ngầm ≤ 28kg/m</t>
  </si>
  <si>
    <t>10%</t>
  </si>
  <si>
    <t>CHI PHÍ THIẾT BỊ</t>
  </si>
  <si>
    <r>
      <t>G</t>
    </r>
    <r>
      <rPr>
        <b/>
        <vertAlign val="subscript"/>
        <sz val="10"/>
        <color indexed="10"/>
        <rFont val="Times New Roman"/>
        <family val="1"/>
      </rPr>
      <t>TB</t>
    </r>
  </si>
  <si>
    <r>
      <t>G</t>
    </r>
    <r>
      <rPr>
        <b/>
        <vertAlign val="subscript"/>
        <sz val="10"/>
        <color indexed="10"/>
        <rFont val="Times New Roman"/>
        <family val="1"/>
      </rPr>
      <t>K</t>
    </r>
  </si>
  <si>
    <t>Bảng II.1.2</t>
  </si>
  <si>
    <t>I</t>
  </si>
  <si>
    <r>
      <t>10% x (C</t>
    </r>
    <r>
      <rPr>
        <vertAlign val="subscript"/>
        <sz val="10"/>
        <rFont val="Times New Roman"/>
        <family val="1"/>
      </rPr>
      <t>CG</t>
    </r>
    <r>
      <rPr>
        <sz val="10"/>
        <rFont val="Times New Roman"/>
        <family val="1"/>
      </rPr>
      <t>+C</t>
    </r>
    <r>
      <rPr>
        <vertAlign val="subscript"/>
        <sz val="10"/>
        <rFont val="Times New Roman"/>
        <family val="1"/>
      </rPr>
      <t>QL</t>
    </r>
    <r>
      <rPr>
        <sz val="10"/>
        <rFont val="Times New Roman"/>
        <family val="1"/>
      </rPr>
      <t>+C</t>
    </r>
    <r>
      <rPr>
        <vertAlign val="subscript"/>
        <sz val="10"/>
        <rFont val="Times New Roman"/>
        <family val="1"/>
      </rPr>
      <t>K</t>
    </r>
    <r>
      <rPr>
        <sz val="10"/>
        <rFont val="Times New Roman"/>
        <family val="1"/>
      </rPr>
      <t>+TN+VAT)</t>
    </r>
  </si>
  <si>
    <t>PHẦN ĐƯỜNG DÂY HẠ ÁP</t>
  </si>
  <si>
    <t>Mục II (Bảng II.10a)</t>
  </si>
  <si>
    <t>TỔNG CỘNG (mục I + II)</t>
  </si>
  <si>
    <t>II.10a. Bảng tính chi tiết chi phí chuyên gia</t>
  </si>
  <si>
    <r>
      <t>H</t>
    </r>
    <r>
      <rPr>
        <b/>
        <vertAlign val="subscript"/>
        <sz val="10"/>
        <rFont val="Times New Roman"/>
        <family val="1"/>
      </rPr>
      <t>CB</t>
    </r>
  </si>
  <si>
    <t>LƯƠNG N.CÔNG</t>
  </si>
  <si>
    <t>(6)=(4)x(5)</t>
  </si>
  <si>
    <t xml:space="preserve">Lê Ngọc Thiện </t>
  </si>
  <si>
    <t>Lê Huynh</t>
  </si>
  <si>
    <t>Nguyễn Văn Tiến</t>
  </si>
  <si>
    <r>
      <t>khoảng 0,8 m. Các cọc được nối với nhau bằng dây đồng trần tiết diện tối thiểu là 25mm</t>
    </r>
    <r>
      <rPr>
        <vertAlign val="superscript"/>
        <sz val="13"/>
        <rFont val="Times New Roman"/>
        <family val="1"/>
      </rPr>
      <t xml:space="preserve">2 </t>
    </r>
  </si>
  <si>
    <t>Chiều dài cọc L</t>
  </si>
  <si>
    <t>Đường kính cọc d</t>
  </si>
  <si>
    <t>theo quy định quản lý chất lượng hiện hành và tiêu chuẩn của thiết kế được duyệt; tiến độ thực hiện</t>
  </si>
  <si>
    <t>an toàn lao động và vệ sinh môi trường trong thi công xây dựng công trình.</t>
  </si>
  <si>
    <t xml:space="preserve"> Giá trị khảo sát trước thuế</t>
  </si>
  <si>
    <t xml:space="preserve"> Giá trị thiết kế trước thuế</t>
  </si>
  <si>
    <t xml:space="preserve">     ĐD trung áp</t>
  </si>
  <si>
    <t>Đ.Vị
tính</t>
  </si>
  <si>
    <t>Số
lượng</t>
  </si>
  <si>
    <t>Thành
tiền</t>
  </si>
  <si>
    <t xml:space="preserve">     Trạm biến áp</t>
  </si>
  <si>
    <t>AA001</t>
  </si>
  <si>
    <t xml:space="preserve">     ĐD hạ áp</t>
  </si>
  <si>
    <t>Tổng</t>
  </si>
  <si>
    <t>lục hợp đồng, phần chi phí phát sinh thêm bên A phải thanh toán cho bên B.</t>
  </si>
  <si>
    <t>Dây nhôm chống thấm bọc XLPE 24kV 50</t>
  </si>
  <si>
    <t>KN003</t>
  </si>
  <si>
    <t>Dây nhôm chống thấm bọc XLPE 24kV 70</t>
  </si>
  <si>
    <t>KN004</t>
  </si>
  <si>
    <t>PHÁ DỠ KẾT CẤU BẰNG BÚA CĂN</t>
  </si>
  <si>
    <t>07.1220</t>
  </si>
  <si>
    <t>PHÁ DỠ KẾT CẤU BẰNG MÁY KHOAN</t>
  </si>
  <si>
    <t>Phá dỡ kết cấu bằng máy khoan</t>
  </si>
  <si>
    <t>07.1221</t>
  </si>
  <si>
    <t>07.1222</t>
  </si>
  <si>
    <t>07.1223</t>
  </si>
  <si>
    <t>07.2000</t>
  </si>
  <si>
    <t>NĐ 209/2004/NĐ-CP 16/12/2004 Phụ lục 1, Trang 28 công trình cấp III: Công trình năng lượng; Đường dây và trạm biến áp dưới 35kV</t>
  </si>
  <si>
    <t>469427*1,8</t>
  </si>
  <si>
    <t xml:space="preserve">d/ Trong trường hợp hết hạn mà công trình chưa hoàn tất thì hai bên sẽ thương thảo để ký phụ </t>
  </si>
  <si>
    <t>IO003</t>
  </si>
  <si>
    <t>Kẹp ngừng cáp Duplex 2x6</t>
  </si>
  <si>
    <t>D3.6141</t>
  </si>
  <si>
    <t>nhánh</t>
  </si>
  <si>
    <t>05.01.41</t>
  </si>
  <si>
    <t>Dây đai thép dẹt 20x0,4</t>
  </si>
  <si>
    <t>IO004</t>
  </si>
  <si>
    <t>Khóa đai</t>
  </si>
  <si>
    <t>Recloser 3 pha 630A - 24kV + DS 3 pha</t>
  </si>
  <si>
    <t>DS 1 pha 24kV - 630A</t>
  </si>
  <si>
    <t>DS 3 pha 24kV - 630A</t>
  </si>
  <si>
    <t>DS 3 pha 24kV - 630A có bệ chì (trong nhà)</t>
  </si>
  <si>
    <t>LBS 3 pha 24kV - 630A + 3 DS 1 pha</t>
  </si>
  <si>
    <t>KI002</t>
  </si>
  <si>
    <t>Cáp quadruplex đồng bọc PVC 0,6/1kV 4x11</t>
  </si>
  <si>
    <t>KI003</t>
  </si>
  <si>
    <t>Lắp đặt dây xuống thiết bị ≤ Cu 95</t>
  </si>
  <si>
    <t>BẢNG TỔNG KÊ PHẦN ĐƯỜNG DÂY TRUNG ÁP HIỆN HỮU 1 (ĐIỆN LỰC CHÂU THÀNH)</t>
  </si>
  <si>
    <t>Móng BT 1,2x1,0x0,8m3</t>
  </si>
  <si>
    <t>Trụ 12-Ghép Móng BT M200 (1,4x1,2x1)m3</t>
  </si>
  <si>
    <t>AB.11442</t>
  </si>
  <si>
    <t>Rãi căng dây lấy độ võng ≤ AC95mm2</t>
  </si>
  <si>
    <t>Rãi căng dây lấy độ võng ≤ AC120mm2</t>
  </si>
  <si>
    <t>KN007</t>
  </si>
  <si>
    <t>Dây nhôm chống thấm bọc XLPE 24kV 185</t>
  </si>
  <si>
    <t>KN008</t>
  </si>
  <si>
    <t>Dây nhôm chống thấm bọc XLPE 24kV 240</t>
  </si>
  <si>
    <t>KO000</t>
  </si>
  <si>
    <t>KO001</t>
  </si>
  <si>
    <t>KO002</t>
  </si>
  <si>
    <t>Lắp dựng trụ thép cao ≤15m, TC+máy</t>
  </si>
  <si>
    <t>Lắp dựng trụ thép cao ≤30m, TC+máy</t>
  </si>
  <si>
    <t>Cáp ngầm 1 pha 24kV CXV/S35</t>
  </si>
  <si>
    <t>KP002</t>
  </si>
  <si>
    <t>Cáp ngầm 1 pha 24kV CXV/S50</t>
  </si>
  <si>
    <t>KP003</t>
  </si>
  <si>
    <t xml:space="preserve"> Nắp bịt đầu cáp 120-150</t>
  </si>
  <si>
    <t>PE007</t>
  </si>
  <si>
    <t>Giá móc treo cáp ABC</t>
  </si>
  <si>
    <t>PE008</t>
  </si>
  <si>
    <t>RG000a</t>
  </si>
  <si>
    <t>37012756a</t>
  </si>
  <si>
    <t>Băng cao su</t>
  </si>
  <si>
    <t>RG000b</t>
  </si>
  <si>
    <t>37012756b</t>
  </si>
  <si>
    <t>Băng PVC chịu nước</t>
  </si>
  <si>
    <t>RG011a</t>
  </si>
  <si>
    <t>Đá hộc</t>
  </si>
  <si>
    <t>Gạch tàu 30x30x2.5</t>
  </si>
  <si>
    <t>RG012a</t>
  </si>
  <si>
    <t>Gạch ống 8x8x18</t>
  </si>
  <si>
    <t>RG012b</t>
  </si>
  <si>
    <t>Gạch thẻ 4x8x18</t>
  </si>
  <si>
    <t>RG016a</t>
  </si>
  <si>
    <t>41506089a</t>
  </si>
  <si>
    <t>Cừ tràm (ngọn 4,5-5cm)</t>
  </si>
  <si>
    <t>cây</t>
  </si>
  <si>
    <t>RH000</t>
  </si>
  <si>
    <t>Thép tròn Ø6</t>
  </si>
  <si>
    <t>RH001</t>
  </si>
  <si>
    <t>Thép tròn Ø8</t>
  </si>
  <si>
    <t>RH002</t>
  </si>
  <si>
    <t>Thép tròn Ø10-20</t>
  </si>
  <si>
    <t>RH003</t>
  </si>
  <si>
    <t>Thép thanh vằn Ø10</t>
  </si>
  <si>
    <t>Ông Lý Quốc Phong</t>
  </si>
  <si>
    <t>Ông Nguyễn Hoàng An</t>
  </si>
  <si>
    <t>Ông Phan Tấn Đức</t>
  </si>
  <si>
    <t>Ông Lý Chiêu Bình</t>
  </si>
  <si>
    <t>Ông Nguyễn Hoàng Hải</t>
  </si>
  <si>
    <t xml:space="preserve">Điều 3. </t>
  </si>
  <si>
    <t>* Bố trí nhân lực kiểm tra thi công tại hiện trường định kỳ báo cáo về CTy Điện lực Hậu Giang.</t>
  </si>
  <si>
    <t>Ông Trang Văn Hoàng</t>
  </si>
  <si>
    <t>Ông Hồ Hiền Lương</t>
  </si>
  <si>
    <t>Ông Trần Minh Đức</t>
  </si>
  <si>
    <t>Ông Dương Duy Hiền</t>
  </si>
  <si>
    <t>CG007</t>
  </si>
  <si>
    <t>12/05/2015 của Chính phủ về quản lý chất lượng và bảo trì công trình xây dựng.</t>
  </si>
  <si>
    <t>c/ Kịp thời báo cáo để tổ chức nghiệm thu sản phẩm theo Nghị định 46/2015/NĐ-CP ngày</t>
  </si>
  <si>
    <t>MBA 3 pha 15(22)/0,4kV 750kVA</t>
  </si>
  <si>
    <t>AB011</t>
  </si>
  <si>
    <t>MBA 3 pha 15(22)/0,4kV 800kVA</t>
  </si>
  <si>
    <t>AB012</t>
  </si>
  <si>
    <t>MBA 3 pha 15(22)/0,4kV 1000kVA</t>
  </si>
  <si>
    <t>AB013</t>
  </si>
  <si>
    <t>đ/m: ĐG XDCT tỉnh HG-Phần KSXD 41/2006/QĐ-UBND ngày 13/11/2006. Chương XIII, trang 40);(0,8: công văn: 7441/EVN SPC-QLĐT ngày 07/12/2011 HD áp dụng hệ số điều chỉnh đơn giá KSXD; số 1297/SXD-KHĐT ngày 6/12/2011 UBND Tỉnh HG)</t>
  </si>
  <si>
    <t>5% x (mục I.2) x 1.1</t>
  </si>
  <si>
    <t>Lắp đặt dây xuống thiết bị ≤ AC 150</t>
  </si>
  <si>
    <t>LẮP ĐẶT CÁC LOẠI THANH CÁI DẸT HOẶC ỐNG (đồng hoặc nhôm)</t>
  </si>
  <si>
    <t>04.5101</t>
  </si>
  <si>
    <t xml:space="preserve">Nội dung bảo hành công trình bao gồm khắc phục, sửa chữa, thay thế thiết bị hư hỏng, khiếm khuyết </t>
  </si>
  <si>
    <t>V/c cát vàng bằng thủ công ( ≤ 500m)</t>
  </si>
  <si>
    <t>2. Xác định ứng suất và độ võng của đường dây</t>
  </si>
  <si>
    <t>Quyết định có hiệu lực từ ngày ký.</t>
  </si>
  <si>
    <t>HỢP ĐỒNG TỔNG THẦU EPC</t>
  </si>
  <si>
    <t>Tổ giám sát :</t>
  </si>
  <si>
    <t>Bảng nguy hiểm và số trụ</t>
  </si>
  <si>
    <t>MB002</t>
  </si>
  <si>
    <t xml:space="preserve"> Biển báo vượt sông</t>
  </si>
  <si>
    <t>MB003</t>
  </si>
  <si>
    <t>Bảng PANO an toàn</t>
  </si>
  <si>
    <t>NA000</t>
  </si>
  <si>
    <t>Làm vàn khuôn trụ vuông, trụ chữ</t>
  </si>
  <si>
    <t>Lắp ráp chi tiết trụ thép ≤ 5 tấn, TC</t>
  </si>
  <si>
    <t>OE004</t>
  </si>
  <si>
    <t>OE005</t>
  </si>
  <si>
    <t>Cọc neo ĐK22 dài 3000 mạ kẽm</t>
  </si>
  <si>
    <t>JB002</t>
  </si>
  <si>
    <t>Cọc neo ĐK22 dài 3700 mạ kẽm</t>
  </si>
  <si>
    <t>05.2024</t>
  </si>
  <si>
    <t>05.3102</t>
  </si>
  <si>
    <t>V/c bulon, tiếp địa, cốt thép, dây néo TC ( ≤ 500m)</t>
  </si>
  <si>
    <t>V/c đà bằng thủ công ( ≤ 100m)</t>
  </si>
  <si>
    <t>Máy</t>
  </si>
  <si>
    <t>PHÓ GIÁM ĐỐC</t>
  </si>
  <si>
    <t>Lê Hoàng Thắng</t>
  </si>
  <si>
    <t>Vật liệu
chính</t>
  </si>
  <si>
    <t>Vật liệu
phụ</t>
  </si>
  <si>
    <t>(10)=(4)x(5)</t>
  </si>
  <si>
    <t>(11)=(4)x(6)</t>
  </si>
  <si>
    <t>(12)=(4)x(7)</t>
  </si>
  <si>
    <t>(13)=(4)x(8)</t>
  </si>
  <si>
    <t>1480256*1,3</t>
  </si>
  <si>
    <t>chuỗi</t>
  </si>
  <si>
    <t>Lắp cách điện chuỗi trong trạm ≤ 2 bát/chuỗi</t>
  </si>
  <si>
    <t>Lắp cách điện chuỗi trong trạm ≤ 5 bát/chuỗi</t>
  </si>
  <si>
    <t>RG007</t>
  </si>
  <si>
    <t>- Kiểm tra theo điều kiện khả năng cắt dòng ngắn mạch:</t>
  </si>
  <si>
    <r>
      <t>Z</t>
    </r>
    <r>
      <rPr>
        <vertAlign val="subscript"/>
        <sz val="13"/>
        <rFont val="Times New Roman"/>
        <family val="1"/>
      </rPr>
      <t>AT</t>
    </r>
  </si>
  <si>
    <t>Tổng trở CB:</t>
  </si>
  <si>
    <t>- Kiểm tra theo điều kiện kết hợp với thiết bị bảo vệ:</t>
  </si>
  <si>
    <t>- Kiểm tra theo điều kiện ổn định nhiệt dòng ngắn mạch:</t>
  </si>
  <si>
    <t>Minh Long</t>
  </si>
  <si>
    <t>Chân sứ đứng</t>
  </si>
  <si>
    <t>02/2011</t>
  </si>
  <si>
    <t>DA000a</t>
  </si>
  <si>
    <t>CB - 1 pha 240V - 32A</t>
  </si>
  <si>
    <t>trang 161, đơn giá XDCB chuyên ngành xây lắp đường dây tải điện và lắp đặt TBA</t>
  </si>
  <si>
    <t>85449*0,8</t>
  </si>
  <si>
    <t>98428*0,8</t>
  </si>
  <si>
    <t>111408*0,8</t>
  </si>
  <si>
    <t>123306*0,8</t>
  </si>
  <si>
    <t>138449*0,8</t>
  </si>
  <si>
    <t>155755*0,8</t>
  </si>
  <si>
    <t>187122*0,8</t>
  </si>
  <si>
    <t>03.2311a</t>
  </si>
  <si>
    <t>03.2312a</t>
  </si>
  <si>
    <t>03.2313a</t>
  </si>
  <si>
    <t>03.2314a</t>
  </si>
  <si>
    <t>03.2315a</t>
  </si>
  <si>
    <t>03.2316a</t>
  </si>
  <si>
    <t>03.2317a</t>
  </si>
  <si>
    <t>02.1222</t>
  </si>
  <si>
    <t>Bộ đà giằng trụ Pi tim 1,4m</t>
  </si>
  <si>
    <t>Bộ xà 42K</t>
  </si>
  <si>
    <t>TBACC</t>
  </si>
  <si>
    <t xml:space="preserve">Bộ xà lệch 20Đ </t>
  </si>
  <si>
    <t>Pí18_t18</t>
  </si>
  <si>
    <t>pi14_t14</t>
  </si>
  <si>
    <t>pi20_t18</t>
  </si>
  <si>
    <t>Rẽ TBA</t>
  </si>
  <si>
    <t>m cáp nhôm trần lỏi thép (AC) - 185mm2 (hh)</t>
  </si>
  <si>
    <t>m cáp nhôm trần lỏi thép (AC) - 150mm2 (hh)</t>
  </si>
  <si>
    <t>m cáp nhôm trần lỏi thép (AC) - 120mm2 (hh)</t>
  </si>
  <si>
    <t>kg cáp nhôm trần lỏi thép (AC)-185mm2 (hh)</t>
  </si>
  <si>
    <t>kg cáp nhôm trần lỏi thép (AC)-150mm2 (hh)</t>
  </si>
  <si>
    <t>kg cáp nhôm trần lỏi thép (AC)-120mm2 (hh)</t>
  </si>
  <si>
    <t>Bộ Chân sứ đỉnh kép (C) dài 870mm</t>
  </si>
  <si>
    <t>Bộ đà 4,2K (trụ 20m tim 1,8m)</t>
  </si>
  <si>
    <t>200</t>
  </si>
  <si>
    <t>500</t>
  </si>
  <si>
    <t>1.000</t>
  </si>
  <si>
    <t>2.000</t>
  </si>
  <si>
    <t>5.000</t>
  </si>
  <si>
    <t>8.000</t>
  </si>
  <si>
    <t>10.000</t>
  </si>
  <si>
    <t>1.3</t>
  </si>
  <si>
    <t>Thiết kế 3 bước</t>
  </si>
  <si>
    <t>Về chất lượng kết quả khảo sát và thiết kế: đạt theo yêu cầu trong hợp đồng KSTK.</t>
  </si>
  <si>
    <t>Khóa néo dây AC 95-150</t>
  </si>
  <si>
    <t>Trụ BTLT 16m</t>
  </si>
  <si>
    <t>Móng BTCT lọ mực trụ 16</t>
  </si>
  <si>
    <t>Cáp nhôm 0,6/1kV (LV-ABC) 4x150mm2</t>
  </si>
  <si>
    <t>m cáp nhôm văn xoắn 0,6/1kV (LV-ABC) 4x150mm2</t>
  </si>
  <si>
    <t>xx</t>
  </si>
  <si>
    <t>7b</t>
  </si>
  <si>
    <t>T2.5004a</t>
  </si>
  <si>
    <t>Lắp đặt cáp trong ống bảo vệ ≤ 6kg/m</t>
  </si>
  <si>
    <t>3. Đường dây trung áp ngầm 6-35kV</t>
  </si>
  <si>
    <t>THÀNH TIỀN</t>
  </si>
  <si>
    <t>Boulon mắt MK 16x250</t>
  </si>
  <si>
    <t>Tiếp đất trụ 14</t>
  </si>
  <si>
    <t>Kẹp rẽ nhánh WR 50-70/50-70</t>
  </si>
  <si>
    <t>Giáp níu dây ACX 24kV-185mm2</t>
  </si>
  <si>
    <t>Ống nối lèo dây AC 185</t>
  </si>
  <si>
    <t xml:space="preserve">dựng ngay từ khi khởi công xây dựng và thường xuyên liên tục trong quá trình thi công. Theo dõi, </t>
  </si>
  <si>
    <t>kiểm tra vị trí; khối lượng thi công; chất lượng sản phẩm của từng hạng mục và toàn bộ công trình</t>
  </si>
  <si>
    <t>Lắp cáp trong ống bảo vệ ≤15kg/m</t>
  </si>
  <si>
    <t xml:space="preserve">  Chi phí xây dựng nhà tạm tại hiện trường để ở và điều hành thi công</t>
  </si>
  <si>
    <r>
      <t>G</t>
    </r>
    <r>
      <rPr>
        <b/>
        <vertAlign val="subscript"/>
        <sz val="10"/>
        <color indexed="10"/>
        <rFont val="Times New Roman"/>
        <family val="1"/>
      </rPr>
      <t>MVTB</t>
    </r>
  </si>
  <si>
    <r>
      <t>G</t>
    </r>
    <r>
      <rPr>
        <b/>
        <vertAlign val="subscript"/>
        <sz val="10"/>
        <color indexed="10"/>
        <rFont val="Times New Roman"/>
        <family val="1"/>
      </rPr>
      <t>LTTB</t>
    </r>
  </si>
  <si>
    <r>
      <t>G</t>
    </r>
    <r>
      <rPr>
        <vertAlign val="subscript"/>
        <sz val="10"/>
        <color indexed="10"/>
        <rFont val="Times New Roman"/>
        <family val="1"/>
      </rPr>
      <t>NT</t>
    </r>
  </si>
  <si>
    <r>
      <t>G</t>
    </r>
    <r>
      <rPr>
        <vertAlign val="subscript"/>
        <sz val="10"/>
        <color indexed="10"/>
        <rFont val="Times New Roman"/>
        <family val="1"/>
      </rPr>
      <t>KKL</t>
    </r>
  </si>
  <si>
    <t>a/ Theo dõi, kiểm tra, xác định khối lượng và chất lượng trong quá trình thi công công trình</t>
  </si>
  <si>
    <t>Đầu cáp ngầm 1 pha 24kV trong nhà 1x25</t>
  </si>
  <si>
    <t>KT001</t>
  </si>
  <si>
    <t>Đầu cáp ngầm 1 pha 24kV trong nhà 1x35</t>
  </si>
  <si>
    <t>Bù lon mạ kẽm 12x350</t>
  </si>
  <si>
    <t>QE000</t>
  </si>
  <si>
    <t>Lắp dựng trụ thép cao ≤40m, TC+máy</t>
  </si>
  <si>
    <t>Lắp dựng trụ thép cao ≤50m, TC+máy</t>
  </si>
  <si>
    <t>Lắp dựng trụ thép cao ≤60m, TC+máy</t>
  </si>
  <si>
    <t>Lắp dựng trụ thép cao ≤70m, TC+máy</t>
  </si>
  <si>
    <t>Lắp dựng trụ thép cao ≤85m, TC+máy</t>
  </si>
  <si>
    <t>Đầu cáp ngầm 1 pha 24kV ngoài trời 1x95</t>
  </si>
  <si>
    <t>04.1212d</t>
  </si>
  <si>
    <t>Ống PVC 114</t>
  </si>
  <si>
    <t>NA005</t>
  </si>
  <si>
    <t>Ống PVC 168</t>
  </si>
  <si>
    <t>NB000</t>
  </si>
  <si>
    <t>Co 90 ống PVC 21</t>
  </si>
  <si>
    <t>NB001</t>
  </si>
  <si>
    <t>Co 90 ống PVC 27</t>
  </si>
  <si>
    <t>KH005</t>
  </si>
  <si>
    <t>Cáp duplex đồng bọc PVC 0,6/1kV 2x35</t>
  </si>
  <si>
    <t>KH006</t>
  </si>
  <si>
    <t>03.4010</t>
  </si>
  <si>
    <t>Kéo dây trong phạm vi trạm</t>
  </si>
  <si>
    <t>04.1102</t>
  </si>
  <si>
    <t>Người kiểm tra chất lượng</t>
  </si>
  <si>
    <t>Người kiểm tra</t>
  </si>
  <si>
    <t>````</t>
  </si>
  <si>
    <t>THÁNG 9</t>
  </si>
  <si>
    <t>Bốc xi măng bao lên</t>
  </si>
  <si>
    <t>Bốc tre cây (Φ=8-10cm, L=6-8m) lên</t>
  </si>
  <si>
    <t>Lắp đặt xà thép cho trụ néo (15kg)</t>
  </si>
  <si>
    <t>Collier sắt dẹt 40x4 ĐK310 giữ ống ĐK21</t>
  </si>
  <si>
    <t>Lắp dựng trụ thép cao ≤100m, TC+máy</t>
  </si>
  <si>
    <t>Nối mặt bích trụ BT, địa hình bthường</t>
  </si>
  <si>
    <t>Nối mặt bích trụ BT, địa hình sườn đồi</t>
  </si>
  <si>
    <t>trang 156, đơn giá XDCB chuyên ngành xây lắp đường dây tải điện và lắp đặt TBA</t>
  </si>
  <si>
    <t>LC002</t>
  </si>
  <si>
    <t>Khóa mấu đầu tròn (Ball eye)</t>
  </si>
  <si>
    <t>LC003</t>
  </si>
  <si>
    <t>Mắt nối đơn (Socket eye)</t>
  </si>
  <si>
    <t>Móc treo chữ U (Ma ní)</t>
  </si>
  <si>
    <t>giá Tuấn Ân 12/09/2008</t>
  </si>
  <si>
    <t>Sứ ống chỉ</t>
  </si>
  <si>
    <t>LD001</t>
  </si>
  <si>
    <t>Sứ chằng</t>
  </si>
  <si>
    <t>BẢNG BÁO - BẢNG GỖ</t>
  </si>
  <si>
    <t>MA000</t>
  </si>
  <si>
    <t>Cáp duplex đồng bọc PVC 0,6/1kV 2x50</t>
  </si>
  <si>
    <t>KH007</t>
  </si>
  <si>
    <t>Cáp duplex đồng bọc PVC 0,6/1kV 2x70</t>
  </si>
  <si>
    <t>KI000</t>
  </si>
  <si>
    <t xml:space="preserve">Cáp quadruplex đồng bọc PVC 0,6/1kV 4x7 </t>
  </si>
  <si>
    <t>KI001</t>
  </si>
  <si>
    <t>Cáp quadruplex đồng bọc PVC 0,6/1kV 4x10</t>
  </si>
  <si>
    <t>DB008</t>
  </si>
  <si>
    <t>MCCB - 3 pha 600V - 1000A</t>
  </si>
  <si>
    <t>Tủ</t>
  </si>
  <si>
    <t>DC000</t>
  </si>
  <si>
    <t>ACB - 3 pha 600V - 1250A (trọn bộ)</t>
  </si>
  <si>
    <t>Báo giá CT TNHH KTCN MINH DŨNG ngày 03/09/2008</t>
  </si>
  <si>
    <t>DC001</t>
  </si>
  <si>
    <t xml:space="preserve">ACB - 3 pha 600V - 1600A </t>
  </si>
  <si>
    <t>DC002</t>
  </si>
  <si>
    <t xml:space="preserve">ACB - 3 pha 600V - 2500A </t>
  </si>
  <si>
    <t>DC003</t>
  </si>
  <si>
    <t>04.3001</t>
  </si>
  <si>
    <t>Lắp đặt tạ bù 50kg</t>
  </si>
  <si>
    <t>04.3002</t>
  </si>
  <si>
    <t>Lắp đặt chống rung dây</t>
  </si>
  <si>
    <t>Lắp đặt cáp trên dây thép ≤ 9kg/m</t>
  </si>
  <si>
    <t>Lắp đặt các loại phụ kiện cho dây dẫn, thanh cái, sứ và thiết bị trong phạm vi trạm</t>
  </si>
  <si>
    <t>- Hệ số biểu thị sự phân bố không đồng đều của gió trên khoảng trụ</t>
  </si>
  <si>
    <t>α:</t>
  </si>
  <si>
    <t>- Hệ số động lực của không khí phụ thuộc bề mặt chịu gió</t>
  </si>
  <si>
    <t>C:</t>
  </si>
  <si>
    <t>- Tốc độ gió lớn nhất</t>
  </si>
  <si>
    <t>v</t>
  </si>
  <si>
    <t>[m/s]</t>
  </si>
  <si>
    <t xml:space="preserve">- Tiết diện mặt cắt trụ từ đỉnh đến mặt đất </t>
  </si>
  <si>
    <r>
      <t>[m</t>
    </r>
    <r>
      <rPr>
        <vertAlign val="superscript"/>
        <sz val="13"/>
        <rFont val="Times New Roman"/>
        <family val="1"/>
      </rPr>
      <t>2</t>
    </r>
    <r>
      <rPr>
        <sz val="13"/>
        <rFont val="Times New Roman"/>
        <family val="1"/>
      </rPr>
      <t>]</t>
    </r>
  </si>
  <si>
    <t>ĐL Vị Thủy</t>
  </si>
  <si>
    <t>05.6094</t>
  </si>
  <si>
    <t>05.6104</t>
  </si>
  <si>
    <t>Sơn kẻ biển và đánh số trụ</t>
  </si>
  <si>
    <t>Lắp tụ bù trên trụ 6 - 35kV</t>
  </si>
  <si>
    <t>Lắp tụ bù trên trụ 0,4kV</t>
  </si>
  <si>
    <t>trụ thép ( hàn )</t>
  </si>
  <si>
    <t>trụ thép ( bulông)</t>
  </si>
  <si>
    <t>trụ bê tông</t>
  </si>
  <si>
    <t>Chiều dài thực tế của dây dẫn</t>
  </si>
  <si>
    <r>
      <t>Tiết
diện</t>
    </r>
    <r>
      <rPr>
        <sz val="13"/>
        <rFont val="Times New Roman"/>
        <family val="1"/>
      </rPr>
      <t xml:space="preserve">
(mm</t>
    </r>
    <r>
      <rPr>
        <vertAlign val="superscript"/>
        <sz val="13"/>
        <rFont val="Times New Roman"/>
        <family val="1"/>
      </rPr>
      <t>2</t>
    </r>
    <r>
      <rPr>
        <sz val="13"/>
        <rFont val="Times New Roman"/>
        <family val="1"/>
      </rPr>
      <t>)</t>
    </r>
  </si>
  <si>
    <r>
      <t>U</t>
    </r>
    <r>
      <rPr>
        <vertAlign val="subscript"/>
        <sz val="13"/>
        <rFont val="Times New Roman"/>
        <family val="1"/>
      </rPr>
      <t>đm/pha</t>
    </r>
  </si>
  <si>
    <t>Bộ đà 24K</t>
  </si>
  <si>
    <t>Phần dây, sứ và phụ kiện</t>
  </si>
  <si>
    <t>(10)</t>
  </si>
  <si>
    <t>Co 90 ống PVC 90</t>
  </si>
  <si>
    <t>NB004</t>
  </si>
  <si>
    <t>Co 90 ống PVC 114</t>
  </si>
  <si>
    <t>NB005</t>
  </si>
  <si>
    <t>Lắp cáp treo trên dây cáp ≤9kg/m</t>
  </si>
  <si>
    <t>Lắp cáp treo trên dây cáp ≤10,5kg/m</t>
  </si>
  <si>
    <t>Lắp cáp treo trên dây cáp ≤12kg/m</t>
  </si>
  <si>
    <t>KÉO RẢI VÀ LẮP ĐẶT CÁP TRONG ỐNG BẢO VỆ</t>
  </si>
  <si>
    <t>07.3401</t>
  </si>
  <si>
    <t>07.3402</t>
  </si>
  <si>
    <t>07.3403</t>
  </si>
  <si>
    <t>07.3414</t>
  </si>
  <si>
    <t>07.3415</t>
  </si>
  <si>
    <t>07.3416</t>
  </si>
  <si>
    <t>.ρ.k.</t>
  </si>
  <si>
    <t>2.π.L</t>
  </si>
  <si>
    <t>2.L</t>
  </si>
  <si>
    <t>+</t>
  </si>
  <si>
    <t>.ln</t>
  </si>
  <si>
    <t>. ln</t>
  </si>
  <si>
    <t>4t + L</t>
  </si>
  <si>
    <t>4t - L</t>
  </si>
  <si>
    <r>
      <t>R</t>
    </r>
    <r>
      <rPr>
        <vertAlign val="subscript"/>
        <sz val="13"/>
        <rFont val="Times New Roman"/>
        <family val="1"/>
      </rPr>
      <t>1cọc</t>
    </r>
  </si>
  <si>
    <t>(Ω.m)</t>
  </si>
  <si>
    <t>(Ω.cm)</t>
  </si>
  <si>
    <t>=&gt;</t>
  </si>
  <si>
    <t>[mΩ]</t>
  </si>
  <si>
    <t>[Ω.mm2/km]</t>
  </si>
  <si>
    <t>[Ω/km]</t>
  </si>
  <si>
    <t>=&gt; φ1 =</t>
  </si>
  <si>
    <r>
      <t>cosφ</t>
    </r>
    <r>
      <rPr>
        <vertAlign val="subscript"/>
        <sz val="13"/>
        <rFont val="Times New Roman"/>
        <family val="1"/>
      </rPr>
      <t>2</t>
    </r>
    <r>
      <rPr>
        <sz val="13"/>
        <rFont val="Times New Roman"/>
        <family val="1"/>
      </rPr>
      <t xml:space="preserve"> =</t>
    </r>
  </si>
  <si>
    <t>=&gt; φ2 =</t>
  </si>
  <si>
    <r>
      <t>P.(tgφ</t>
    </r>
    <r>
      <rPr>
        <vertAlign val="subscript"/>
        <sz val="13"/>
        <rFont val="Times New Roman"/>
        <family val="1"/>
      </rPr>
      <t>1</t>
    </r>
    <r>
      <rPr>
        <sz val="13"/>
        <rFont val="Times New Roman"/>
        <family val="1"/>
      </rPr>
      <t xml:space="preserve"> - tgφ</t>
    </r>
    <r>
      <rPr>
        <vertAlign val="subscript"/>
        <sz val="13"/>
        <rFont val="Times New Roman"/>
        <family val="1"/>
      </rPr>
      <t>2</t>
    </r>
    <r>
      <rPr>
        <sz val="13"/>
        <rFont val="Times New Roman"/>
        <family val="1"/>
      </rPr>
      <t>)</t>
    </r>
  </si>
  <si>
    <t>Cosφ</t>
  </si>
  <si>
    <t>II.1.6. BẢNG TÍNH CHI TIẾT VẬT LIỆU, THIẾT BỊ, NHÂN CÔNG, MÁY THI CÔNG</t>
  </si>
  <si>
    <t>6%( T + C)</t>
  </si>
  <si>
    <t>II.1.1. BẢNG DỰ TOÁN CHI PHÍ MUA SẮM VẬT LIỆU</t>
  </si>
  <si>
    <t>Bảng II.1.4</t>
  </si>
  <si>
    <r>
      <t>G</t>
    </r>
    <r>
      <rPr>
        <vertAlign val="subscript"/>
        <sz val="10"/>
        <rFont val="Times New Roman"/>
        <family val="1"/>
      </rPr>
      <t>VLXC</t>
    </r>
  </si>
  <si>
    <r>
      <t>G</t>
    </r>
    <r>
      <rPr>
        <vertAlign val="subscript"/>
        <sz val="10"/>
        <rFont val="Times New Roman"/>
        <family val="1"/>
      </rPr>
      <t>XDLĐ</t>
    </r>
  </si>
  <si>
    <r>
      <t>G</t>
    </r>
    <r>
      <rPr>
        <b/>
        <vertAlign val="subscript"/>
        <sz val="10"/>
        <color indexed="10"/>
        <rFont val="VNI-Times"/>
      </rPr>
      <t>MVTB</t>
    </r>
  </si>
  <si>
    <r>
      <t>G</t>
    </r>
    <r>
      <rPr>
        <b/>
        <vertAlign val="subscript"/>
        <sz val="10"/>
        <color indexed="10"/>
        <rFont val="VNI-Times"/>
      </rPr>
      <t>LTTB</t>
    </r>
  </si>
  <si>
    <r>
      <t>G</t>
    </r>
    <r>
      <rPr>
        <b/>
        <vertAlign val="subscript"/>
        <sz val="10"/>
        <color indexed="10"/>
        <rFont val="Times New Roman"/>
        <family val="1"/>
      </rPr>
      <t xml:space="preserve">MVTB </t>
    </r>
    <r>
      <rPr>
        <b/>
        <sz val="10"/>
        <color indexed="10"/>
        <rFont val="Times New Roman"/>
        <family val="1"/>
      </rPr>
      <t/>
    </r>
  </si>
  <si>
    <t>Cáp ngầm 1 pha 0,6/1kV CXV/DSTA 2x120</t>
  </si>
  <si>
    <t>KV013</t>
  </si>
  <si>
    <t>Cáp ngầm 1 pha 0,6/1kV CXV/DSTA 2x150</t>
  </si>
  <si>
    <t>KV014</t>
  </si>
  <si>
    <t>Cáp ngầm 1 pha 0,6/1kV CXV/DSTA 2x185</t>
  </si>
  <si>
    <t>Quyết định duyệt vốn của công trình.</t>
  </si>
  <si>
    <t>THÀNH TIỀN ĐD NGẦM</t>
  </si>
  <si>
    <t>KP009</t>
  </si>
  <si>
    <t>Cáp ngầm 1 pha 24kV CXV/S300</t>
  </si>
  <si>
    <t>KP010</t>
  </si>
  <si>
    <t>Tủ cấp nguồn xoay chiều, 3 pha</t>
  </si>
  <si>
    <t>05.1003</t>
  </si>
  <si>
    <t>Tủ nguồn 1 chiều</t>
  </si>
  <si>
    <t>-   Bên B đã thực hiện hoàn tất việc giám sát thi công công trình theo đúng hồ sơ thiết kế.</t>
  </si>
  <si>
    <t>-   Vấn đề tồn tại :  không.</t>
  </si>
  <si>
    <t>HA000</t>
  </si>
  <si>
    <t>Trụ BTV 6,5m</t>
  </si>
  <si>
    <t>trụ</t>
  </si>
  <si>
    <t>HA001</t>
  </si>
  <si>
    <t>Trụ BTV 7,5m</t>
  </si>
  <si>
    <t>HA002</t>
  </si>
  <si>
    <t>Trụ BTLT 7,5m</t>
  </si>
  <si>
    <t>HA003</t>
  </si>
  <si>
    <t>05.5802</t>
  </si>
  <si>
    <t>05.5902</t>
  </si>
  <si>
    <t>05.5603</t>
  </si>
  <si>
    <t>-  Việc tạm ứng vốn được thực hiện ngay sau khi hợp đồng có hiệu lực:</t>
  </si>
  <si>
    <t>Ép nối lèo, khoá néo, tiết diện ≤ 185mm2</t>
  </si>
  <si>
    <t>AC002</t>
  </si>
  <si>
    <t>Lắp dựng trụ thép cao ≤15m, TC</t>
  </si>
  <si>
    <t>Cát nhỏ sũng nước</t>
  </si>
  <si>
    <t>Cát nhỏ sạch và ướt</t>
  </si>
  <si>
    <t>Cát nhỏ sạch và khô</t>
  </si>
  <si>
    <t>cát lớn lẫn sỏi, khô</t>
  </si>
  <si>
    <t>Đất sét lẫn đá</t>
  </si>
  <si>
    <t>Gạch đá vụn cát ướt</t>
  </si>
  <si>
    <t>φ</t>
  </si>
  <si>
    <t>γ</t>
  </si>
  <si>
    <t>f = tgφ</t>
  </si>
  <si>
    <t>Bảng 1, trang 6, quyết định số 957/QĐ-BXD ngày 29/9/2009</t>
  </si>
  <si>
    <t>ký DPtải,HDTK,TTDN</t>
  </si>
  <si>
    <t>07.3105</t>
  </si>
  <si>
    <t>07.3106</t>
  </si>
  <si>
    <t>07.3107</t>
  </si>
  <si>
    <t>D2.5251</t>
  </si>
  <si>
    <t>2. Đường số 3A (phải)</t>
  </si>
  <si>
    <t>Cộng (3):</t>
  </si>
  <si>
    <t>3. Rạch Búng Tàu</t>
  </si>
  <si>
    <t>Tuyến trung áp 1 pha</t>
  </si>
  <si>
    <t>160/175/79/15</t>
  </si>
  <si>
    <t>160/175/79/15/1</t>
  </si>
  <si>
    <t>160/175/79/15/2</t>
  </si>
  <si>
    <t>160/175/79/15/3</t>
  </si>
  <si>
    <t>160/175/79/15/4</t>
  </si>
  <si>
    <t>160/175/79/15/5</t>
  </si>
  <si>
    <t>160/175/79/15/6</t>
  </si>
  <si>
    <t>KL006</t>
  </si>
  <si>
    <t>Cáp nhôm ABC bọc XLPE 0,6/1kV 4x120</t>
  </si>
  <si>
    <t>KL007</t>
  </si>
  <si>
    <t>Đơn vị thi công phải bảo hành và sửa chữa trong 12 tháng kể từ khi đóng điện</t>
  </si>
  <si>
    <t>Chụp cách điện XLPE sứ MBA cỡ 90</t>
  </si>
  <si>
    <t>Chụp cách điện XLPE sứ MBA cỡ 120</t>
  </si>
  <si>
    <t>Chụp cách điện XLPE sứ MBA cỡ 150</t>
  </si>
  <si>
    <t>Chụp cách điện XLPE đầu dưới FCO</t>
  </si>
  <si>
    <t>Chụp cách điện XLPE đầu dưới LBFCO</t>
  </si>
  <si>
    <t>Chụp cách điện XLPE đầu trên FCO</t>
  </si>
  <si>
    <t>Chụp cách điện XLPE đầu trên LBFCO</t>
  </si>
  <si>
    <t>Chụp cách điện XLPE đầu cực LA</t>
  </si>
  <si>
    <t>Chụp cách điện XLPE sứ TU cỡ 120</t>
  </si>
  <si>
    <t>Chụp cách điện XLPE sứ TU cỡ 145</t>
  </si>
  <si>
    <t>Chụp cách điện XLPE sứ TI</t>
  </si>
  <si>
    <t>CH002</t>
  </si>
  <si>
    <t>CI000</t>
  </si>
  <si>
    <t>CI001</t>
  </si>
  <si>
    <t>CI002</t>
  </si>
  <si>
    <t>06.3251</t>
  </si>
  <si>
    <t>06.3261</t>
  </si>
  <si>
    <t>06.3271</t>
  </si>
  <si>
    <t>Lắp khoá dây dẫn ≤ 240mm2</t>
  </si>
  <si>
    <t>Lắp khoá dây dẫn &gt; 240mm2</t>
  </si>
  <si>
    <t>CÔNG TÁC ÉP NỐI DÂY</t>
  </si>
  <si>
    <t>06.4011</t>
  </si>
  <si>
    <t>Mối</t>
  </si>
  <si>
    <t>06.4012</t>
  </si>
  <si>
    <t>06.4013</t>
  </si>
  <si>
    <t>03.3115</t>
  </si>
  <si>
    <t>03.3116</t>
  </si>
  <si>
    <t>03.3117</t>
  </si>
  <si>
    <t>03.3311a</t>
  </si>
  <si>
    <t>03.3312a</t>
  </si>
  <si>
    <t>145 -  472PH</t>
  </si>
  <si>
    <t>CÔNG TÁC BẢO VỆ CÁP NGẦM</t>
  </si>
  <si>
    <t>07.2100</t>
  </si>
  <si>
    <t>Đắp đất hố móng, độ chặt k =0,85</t>
  </si>
  <si>
    <t>Đắp đất hố móng, độ chặt k =0,9</t>
  </si>
  <si>
    <t>Đắp đất hố móng, độ chặt k =0,95</t>
  </si>
  <si>
    <t>03.4111</t>
  </si>
  <si>
    <t>05.1004</t>
  </si>
  <si>
    <t>hòa giải, Trọng tài hoặc Tòa án kinh tế giải quyết theo quy định của Pháp luật.</t>
  </si>
  <si>
    <t>7.1.  Các trường hợp tạm dừng thực hiện hợp đồng :</t>
  </si>
  <si>
    <t>-  Do lỗi của Bên A hoặc Bên B gây ra.</t>
  </si>
  <si>
    <t xml:space="preserve">  Giám sát thi công xây dựng</t>
  </si>
  <si>
    <t xml:space="preserve">  Giám sát thiết bị</t>
  </si>
  <si>
    <t xml:space="preserve">  Chi phí bảo hiểm công trình</t>
  </si>
  <si>
    <t>Kéo rải và lắp cố định đường cáp ngầm</t>
  </si>
  <si>
    <t>03.1101</t>
  </si>
  <si>
    <t>04.1107</t>
  </si>
  <si>
    <t>04.1204</t>
  </si>
  <si>
    <t>04.1205</t>
  </si>
  <si>
    <t>04.1206</t>
  </si>
  <si>
    <t>04.1207</t>
  </si>
  <si>
    <t>Kẹp ngừng cáp ABC 4x120</t>
  </si>
  <si>
    <t>PA007</t>
  </si>
  <si>
    <t>Kẹp ngừng cáp ABC 4x150</t>
  </si>
  <si>
    <t>PB000</t>
  </si>
  <si>
    <t>PB001</t>
  </si>
  <si>
    <t>19b</t>
  </si>
  <si>
    <t>ht</t>
  </si>
  <si>
    <t>trụ ht</t>
  </si>
  <si>
    <t>Trụ ht lót</t>
  </si>
  <si>
    <t>Móng BT 1,4x1,2x1,0m3</t>
  </si>
  <si>
    <t>I.7</t>
  </si>
  <si>
    <t>m cáp nhôm văn xoắn 0,6/1kV (LV-ABC) 3x50mm2</t>
  </si>
  <si>
    <t>Tủ điều khiển dao cách ly</t>
  </si>
  <si>
    <t>05.1005</t>
  </si>
  <si>
    <t>Tủ điều khiển máy cắt, tủ đấu dây</t>
  </si>
  <si>
    <t>LẮP ĐẶT TỦ ĐIỆN CAO ÁP: MÁY CẮT HỢP BỘ, TỦ BẢO VỆ, ĐO LƯỜNG</t>
  </si>
  <si>
    <t>05.2102</t>
  </si>
  <si>
    <t>Độc lập - Tự do - Hạnh Phúc</t>
  </si>
  <si>
    <t>Tủ tụ bù hạ áp  60(90) kVAr</t>
  </si>
  <si>
    <t>thép</t>
  </si>
  <si>
    <t>tổng</t>
  </si>
  <si>
    <t>lý hợp đồng.</t>
  </si>
  <si>
    <t>Lắp máy biến dòng</t>
  </si>
  <si>
    <t>02.1124</t>
  </si>
  <si>
    <t>Kéo dây trong phạm vi trạm ≤ Cu 95</t>
  </si>
  <si>
    <t>Kéo dây trong phạm vi trạm ≤ Cu 120</t>
  </si>
  <si>
    <t>Kéo dây trong phạm vi trạm ≤ Cu 150</t>
  </si>
  <si>
    <t>Kéo dây trong phạm vi trạm ≤ Cu 185</t>
  </si>
  <si>
    <t>5a</t>
  </si>
  <si>
    <t>6a</t>
  </si>
  <si>
    <t>7a</t>
  </si>
  <si>
    <t>8a</t>
  </si>
  <si>
    <t>9a</t>
  </si>
  <si>
    <t>10a</t>
  </si>
  <si>
    <t>11a</t>
  </si>
  <si>
    <t>Cộng (1):</t>
  </si>
  <si>
    <t>Cộng (2):</t>
  </si>
  <si>
    <t>BẢNG TỔNG KÊ PHẦN ĐƯỜNG DÂY HẠ ÁP DỰ KIẾN</t>
  </si>
  <si>
    <t>hh</t>
  </si>
  <si>
    <t xml:space="preserve"> Bùlon móc 16x350</t>
  </si>
  <si>
    <t>AB.11422</t>
  </si>
  <si>
    <t>AB.13122</t>
  </si>
  <si>
    <t>HB000a</t>
  </si>
  <si>
    <t>QD000a</t>
  </si>
  <si>
    <t>Hộp phân phối hạ áp 6 cực &amp; Phụ kiện</t>
  </si>
  <si>
    <t>T3.3502</t>
  </si>
  <si>
    <t>Cosse áp Cu/Al 70</t>
  </si>
  <si>
    <t>1b</t>
  </si>
  <si>
    <t>2b</t>
  </si>
  <si>
    <t>3b</t>
  </si>
  <si>
    <t>4b</t>
  </si>
  <si>
    <t>5b</t>
  </si>
  <si>
    <t>6b</t>
  </si>
  <si>
    <t>1c</t>
  </si>
  <si>
    <t>2c</t>
  </si>
  <si>
    <t>3c</t>
  </si>
  <si>
    <t>4c</t>
  </si>
  <si>
    <t>5c</t>
  </si>
  <si>
    <t>6c</t>
  </si>
  <si>
    <t>7c</t>
  </si>
  <si>
    <t>8c</t>
  </si>
  <si>
    <t>9c</t>
  </si>
  <si>
    <t>10c</t>
  </si>
  <si>
    <t>Kẹp rẽ nhánh WR120-240/95-150</t>
  </si>
  <si>
    <t>Kẹp rẽ nhánh WR120-240/50-95</t>
  </si>
  <si>
    <t>Kẹp rẽ nhánh WR 70-95/50-70</t>
  </si>
  <si>
    <t>JD001</t>
  </si>
  <si>
    <t>Phụ kiện cáp LV-ABC</t>
  </si>
  <si>
    <t>- Trường hợp dây trung hòa đặt trên đà (gây môment lớn hất)</t>
  </si>
  <si>
    <r>
      <t>n M</t>
    </r>
    <r>
      <rPr>
        <vertAlign val="subscript"/>
        <sz val="13"/>
        <rFont val="Times New Roman"/>
        <family val="1"/>
      </rPr>
      <t>Σ</t>
    </r>
  </si>
  <si>
    <r>
      <t>n . T</t>
    </r>
    <r>
      <rPr>
        <vertAlign val="subscript"/>
        <sz val="13"/>
        <rFont val="Times New Roman"/>
        <family val="1"/>
      </rPr>
      <t>d</t>
    </r>
    <r>
      <rPr>
        <sz val="13"/>
        <rFont val="Times New Roman"/>
        <family val="1"/>
      </rPr>
      <t xml:space="preserve"> . H</t>
    </r>
    <r>
      <rPr>
        <vertAlign val="subscript"/>
        <sz val="13"/>
        <rFont val="Times New Roman"/>
        <family val="1"/>
      </rPr>
      <t>d</t>
    </r>
  </si>
  <si>
    <t>* Cần phải lắp neo chằng để đảm bảo khả năng chịu lực cho vị trí góc</t>
  </si>
  <si>
    <t>Làm đầu cáp ≤ 22kV, 1 pha ≤ 70mm2</t>
  </si>
  <si>
    <t>II . CÁC BÊN KÝ HƠP ĐỒNG :</t>
  </si>
  <si>
    <t>Rãi căng dây lấy độ võng ≤ AC500mm2</t>
  </si>
  <si>
    <t>Rãi căng dây lấy độ võng ≤ AC16mm2</t>
  </si>
  <si>
    <t>Rãi căng dây lấy độ võng &gt; AC500mm2</t>
  </si>
  <si>
    <t>Rãi căng dây lấy độ võng ≤ A16mm2</t>
  </si>
  <si>
    <t>Rãi căng dây lấy độ võng ≤ A25mm2</t>
  </si>
  <si>
    <t>(4)</t>
  </si>
  <si>
    <t>(5)</t>
  </si>
  <si>
    <t>(6)</t>
  </si>
  <si>
    <t>(7)</t>
  </si>
  <si>
    <t>(8)</t>
  </si>
  <si>
    <t>TT</t>
  </si>
  <si>
    <t>G</t>
  </si>
  <si>
    <t>G x 10%</t>
  </si>
  <si>
    <t>G + GTGT</t>
  </si>
  <si>
    <t>65% x NC</t>
  </si>
  <si>
    <t>Ghi chú</t>
  </si>
  <si>
    <t>OF009</t>
  </si>
  <si>
    <t>MBA 3 pha 22/0,4kV 160kVA</t>
  </si>
  <si>
    <t>AD004</t>
  </si>
  <si>
    <t>MBA 3 pha 22/0,4kV 180kVA</t>
  </si>
  <si>
    <t>AD005</t>
  </si>
  <si>
    <t>MBA 3 pha 22/0,4kV 250kVA</t>
  </si>
  <si>
    <t>AD006</t>
  </si>
  <si>
    <t>MBA 3 pha 22/0,4kV 320kVA</t>
  </si>
  <si>
    <t>AD007</t>
  </si>
  <si>
    <t>JC000</t>
  </si>
  <si>
    <t>Máng che dây chằng</t>
  </si>
  <si>
    <t>JD000</t>
  </si>
  <si>
    <t>Cọc nối đất và kẹp</t>
  </si>
  <si>
    <t>DÂY DẪN</t>
  </si>
  <si>
    <t>KA000</t>
  </si>
  <si>
    <t>Dây đồng trần xoắn 11mm2</t>
  </si>
  <si>
    <t>1a</t>
  </si>
  <si>
    <t>2a</t>
  </si>
  <si>
    <t>3a</t>
  </si>
  <si>
    <t>4a</t>
  </si>
  <si>
    <t>07.6007</t>
  </si>
  <si>
    <t>07.6008</t>
  </si>
  <si>
    <t>07.6009</t>
  </si>
  <si>
    <t>Ép đầu cosse ≤ 25mm2</t>
  </si>
  <si>
    <t>Ép đầu cosse ≤ 50mm2</t>
  </si>
  <si>
    <r>
      <t>U</t>
    </r>
    <r>
      <rPr>
        <vertAlign val="subscript"/>
        <sz val="13"/>
        <rFont val="Times New Roman"/>
        <family val="1"/>
      </rPr>
      <t>đm/pha</t>
    </r>
    <r>
      <rPr>
        <sz val="13"/>
        <rFont val="Times New Roman"/>
        <family val="1"/>
      </rPr>
      <t xml:space="preserve"> . cos φ</t>
    </r>
  </si>
  <si>
    <r>
      <t>P</t>
    </r>
    <r>
      <rPr>
        <vertAlign val="subscript"/>
        <sz val="13"/>
        <rFont val="Times New Roman"/>
        <family val="1"/>
      </rPr>
      <t>tt/pha</t>
    </r>
  </si>
  <si>
    <t>01.1414</t>
  </si>
  <si>
    <t>01.1415</t>
  </si>
  <si>
    <t>01.1416</t>
  </si>
  <si>
    <t>01.1417</t>
  </si>
  <si>
    <t>01.1431</t>
  </si>
  <si>
    <t>01.1432</t>
  </si>
  <si>
    <t>01.1433</t>
  </si>
  <si>
    <t>246612*1,1</t>
  </si>
  <si>
    <t>284469*1,1</t>
  </si>
  <si>
    <t>378571*1,1</t>
  </si>
  <si>
    <t>299445*1,1</t>
  </si>
  <si>
    <t>239556*1,1</t>
  </si>
  <si>
    <t>191645*1,1</t>
  </si>
  <si>
    <t>trang 145, đơn giá XDCB chuyên ngành xây lắp đường dây tải điện và lắp đặt TBA</t>
  </si>
  <si>
    <t>59199*1,2</t>
  </si>
  <si>
    <t>59199*1,3</t>
  </si>
  <si>
    <t>59199*1,4</t>
  </si>
  <si>
    <t>59199*1,5</t>
  </si>
  <si>
    <t>02.2113</t>
  </si>
  <si>
    <t>02.3114a</t>
  </si>
  <si>
    <t>Bộ chằng xuống trụ 14m</t>
  </si>
  <si>
    <t>Khóa néo dây AC 35-70</t>
  </si>
  <si>
    <t>Tiếp đất lặp lại</t>
  </si>
  <si>
    <t>TBA</t>
  </si>
  <si>
    <t>kg cáp nhôm trần lỏi thép (AC) - 50mm2</t>
  </si>
  <si>
    <t>Móng 14ba</t>
  </si>
  <si>
    <t>AB.11372</t>
  </si>
  <si>
    <t>AG.42112</t>
  </si>
  <si>
    <t>Bộ giá đỡ FCO, LA</t>
  </si>
  <si>
    <t>RM015</t>
  </si>
  <si>
    <t>RN010</t>
  </si>
  <si>
    <t>I.6</t>
  </si>
  <si>
    <t>D2.6011</t>
  </si>
  <si>
    <t>Bộ CSĐ thẳng dài 870mm (T)</t>
  </si>
  <si>
    <t>II.10</t>
  </si>
  <si>
    <t>II.11</t>
  </si>
  <si>
    <t>-  Các trường hợp khác do hai bên thỏa thuận.</t>
  </si>
  <si>
    <t>Biên bản được lập thành 08 bản, bên A giữ 04 bản bên B giữ 04 bản và có giá trị như nhau.</t>
  </si>
  <si>
    <t>g</t>
  </si>
  <si>
    <t>[V]</t>
  </si>
  <si>
    <t>- Sụt áp từ điểm đấu nối đến cuối đường dây:</t>
  </si>
  <si>
    <t>MA001</t>
  </si>
  <si>
    <t>ông</t>
  </si>
  <si>
    <t>GIÁM ĐỐC</t>
  </si>
  <si>
    <t xml:space="preserve">BẢNG TÍNH VẬN CHUYỂN VẬT TƯ, THIẾT BỊ PHẦN ĐƯỜNG DÂY HẠ ÁP </t>
  </si>
  <si>
    <t xml:space="preserve">    Căn cứ Nghị định số: 48/2010/NĐ-CP ngày 07/5/2010 của Chính phủ về hợp đồng trong hoạt   </t>
  </si>
  <si>
    <t>động xây dựng;</t>
  </si>
  <si>
    <t>mẫu hợp đồng một số công việc tư vấn xây dựng;</t>
  </si>
  <si>
    <t>Khảo sát, thiết kế công trình đúng theo quy phạm, tiêu chuẩn định mức KTKT.</t>
  </si>
  <si>
    <t>theo các quy định hiện hành của Nhà nước và các quy trình quy phạm chuyên ngành khác.</t>
  </si>
  <si>
    <t>từng hạng mục công trình. Đối với các bộ phận bị che khuất của công trình phải được nghiệm thu</t>
  </si>
  <si>
    <t xml:space="preserve">    Căn cứ Luật Thương mại số: 36/2005/QH11 ngày 14/06/2005 của Quốc Hội Nước Cộng Hòa Xã</t>
  </si>
  <si>
    <t>03.1109</t>
  </si>
  <si>
    <t>03.1110</t>
  </si>
  <si>
    <t>Cáp Cu/PVC 0,6/1kV (2x35)mm2</t>
  </si>
  <si>
    <t>Cáp Cu/PVC 0,6/1kV (2x35 + 1x25)mm2</t>
  </si>
  <si>
    <t>Cáp Cu/PVC 0,6/1kV (3x70 + 1x50)mm2</t>
  </si>
  <si>
    <t>Cáp Cu/PVC 0,6/1kV (3x25 + 1x16)mm2</t>
  </si>
  <si>
    <t>Cáp Cu/PVC 0,6/1kV (3x35 + 1x25)mm2</t>
  </si>
  <si>
    <t>Cáp Cu/PVC 0,6/1kV (3x50 + 1x35)mm2</t>
  </si>
  <si>
    <t>Cáp Cu/PVC 0,6/1kV (3x150 + 1x95)mm2</t>
  </si>
  <si>
    <t>Cáp Cu/PVC 0,6/1kV (3x4x120 + 2x240)mm2</t>
  </si>
  <si>
    <t>Cáp Cu/PVC 0,6/1kV (3x4x400 + 2x400)mm2</t>
  </si>
  <si>
    <t xml:space="preserve">    Căn cứ Nghị định 15/2013/NĐ-CP ngày 06/02/2013 của Chính phủ về quản lý chất lượng</t>
  </si>
  <si>
    <r>
      <t>- Giá trị chi phí thiết bị trước thuế G</t>
    </r>
    <r>
      <rPr>
        <vertAlign val="subscript"/>
        <sz val="11"/>
        <rFont val="Times New Roman"/>
        <family val="1"/>
      </rPr>
      <t>TB</t>
    </r>
  </si>
  <si>
    <r>
      <t>K</t>
    </r>
    <r>
      <rPr>
        <vertAlign val="subscript"/>
        <sz val="13"/>
        <rFont val="Times New Roman"/>
        <family val="1"/>
      </rPr>
      <t>nc</t>
    </r>
    <r>
      <rPr>
        <sz val="13"/>
        <rFont val="Times New Roman"/>
        <family val="1"/>
      </rPr>
      <t>.P</t>
    </r>
    <r>
      <rPr>
        <vertAlign val="subscript"/>
        <sz val="13"/>
        <rFont val="Times New Roman"/>
        <family val="1"/>
      </rPr>
      <t>đ</t>
    </r>
  </si>
  <si>
    <r>
      <t>P</t>
    </r>
    <r>
      <rPr>
        <vertAlign val="subscript"/>
        <sz val="13"/>
        <rFont val="Times New Roman"/>
        <family val="1"/>
      </rPr>
      <t>tt</t>
    </r>
  </si>
  <si>
    <r>
      <t>P</t>
    </r>
    <r>
      <rPr>
        <vertAlign val="subscript"/>
        <sz val="13"/>
        <rFont val="Times New Roman"/>
        <family val="1"/>
      </rPr>
      <t>tt/1pha</t>
    </r>
  </si>
  <si>
    <r>
      <t>S</t>
    </r>
    <r>
      <rPr>
        <vertAlign val="subscript"/>
        <sz val="13"/>
        <rFont val="Times New Roman"/>
        <family val="1"/>
      </rPr>
      <t>tt</t>
    </r>
  </si>
  <si>
    <r>
      <t>P</t>
    </r>
    <r>
      <rPr>
        <vertAlign val="subscript"/>
        <sz val="13"/>
        <rFont val="Times New Roman"/>
        <family val="1"/>
      </rPr>
      <t>đ</t>
    </r>
  </si>
  <si>
    <r>
      <t>K</t>
    </r>
    <r>
      <rPr>
        <vertAlign val="subscript"/>
        <sz val="13"/>
        <rFont val="Times New Roman"/>
        <family val="1"/>
      </rPr>
      <t>nc</t>
    </r>
  </si>
  <si>
    <r>
      <t>S</t>
    </r>
    <r>
      <rPr>
        <b/>
        <vertAlign val="subscript"/>
        <sz val="13"/>
        <rFont val="Times New Roman"/>
        <family val="1"/>
      </rPr>
      <t>MBA</t>
    </r>
  </si>
  <si>
    <t>S</t>
  </si>
  <si>
    <t>Mốc đôi treo cáp ABC</t>
  </si>
  <si>
    <t xml:space="preserve"> Bùlon móc 16x200</t>
  </si>
  <si>
    <t>QUÉT NHỰA BITUM MÓNG TRỤ</t>
  </si>
  <si>
    <t>trang 24, đơn giá XDCB chuyên ngành xây lắp đường dây tải điện và lắp đặt TBA</t>
  </si>
  <si>
    <t>02.1032</t>
  </si>
  <si>
    <t>02.1033</t>
  </si>
  <si>
    <t>02.1034</t>
  </si>
  <si>
    <t>02.1035</t>
  </si>
  <si>
    <t>Lắp sứ chuỗi néo dây dẫn (&lt; 5 bát)</t>
  </si>
  <si>
    <t>06.6111</t>
  </si>
  <si>
    <t>06.6121</t>
  </si>
  <si>
    <t>06.6122</t>
  </si>
  <si>
    <t>06.6123</t>
  </si>
  <si>
    <t>06.6124</t>
  </si>
  <si>
    <t>QH001</t>
  </si>
  <si>
    <t>Bù lon mạ kẽm VRS 22x450</t>
  </si>
  <si>
    <t>QH002</t>
  </si>
  <si>
    <t>Bù lon mạ kẽm VRS 22x500</t>
  </si>
  <si>
    <t>QH003</t>
  </si>
  <si>
    <t>Măng sông ống gân xoắn HDPE Ø 75</t>
  </si>
  <si>
    <t>Măng sông ống gân xoắn HDPE Ø 90</t>
  </si>
  <si>
    <t>Măng sông ống gân xoắn HDPE Ø 110</t>
  </si>
  <si>
    <t>Măng sông ống gân xoắn HDPE Ø 125</t>
  </si>
  <si>
    <t>ĐƠN GIÁ KHẢO SÁT ĐIỀU CHỈNH CỦA TỈNH HẬU GIANG</t>
  </si>
  <si>
    <t>- Áp dụng đơn giá khảo sát công trình điện ban hành kèm theo Công văn số 11/SXD-KTXD ngày 04/11/2013 của UBND tỉnh Hậu Giang.</t>
  </si>
  <si>
    <t>Dây chì 10K</t>
  </si>
  <si>
    <t>CG004</t>
  </si>
  <si>
    <t>Dây chì 12K</t>
  </si>
  <si>
    <t>CG005</t>
  </si>
  <si>
    <t>Dây chì 15K</t>
  </si>
  <si>
    <t>CG006</t>
  </si>
  <si>
    <t>Dây chì 20K</t>
  </si>
  <si>
    <t xml:space="preserve">- Hàng bậc 3: Phân bón các loại, thuốc trừ sâu, xi măng, muối ăn các loại. </t>
  </si>
  <si>
    <t>Điện kế 3 pha trực tiếp 50(75)A - 220/380V</t>
  </si>
  <si>
    <t>Điện kế 3 pha trực tiếp 50(100)A - 220/380V</t>
  </si>
  <si>
    <t>Điện kế 3 pha hữu công 5A - 220/380V</t>
  </si>
  <si>
    <t>Điện kế 3 pha vô công 5A - 220/380V</t>
  </si>
  <si>
    <t>Điện kế 3 pha hữu công 5A - 120/208V</t>
  </si>
  <si>
    <t>Điện kế 3 pha vô công 5A - 120/208V</t>
  </si>
  <si>
    <t>Đầu cáp ngầm 1 pha 24kV ngoài trời 1x240</t>
  </si>
  <si>
    <t>KU009</t>
  </si>
  <si>
    <t>Bảo vệ trung áp</t>
  </si>
  <si>
    <t>CA000</t>
  </si>
  <si>
    <t>Chống sét van LA 18kV</t>
  </si>
  <si>
    <t>FCO 27kV - 100A</t>
  </si>
  <si>
    <t>CB001</t>
  </si>
  <si>
    <t>FCO 27kV - 200A</t>
  </si>
  <si>
    <t>CB002</t>
  </si>
  <si>
    <t>MBA 1 pha 12,7/0,22-0,44kV 50kVA</t>
  </si>
  <si>
    <t>AC005</t>
  </si>
  <si>
    <t>Cáp ĐK 2 ruột đồng bọc PVC vỏ PVC 2x25</t>
  </si>
  <si>
    <t>KJ005</t>
  </si>
  <si>
    <t>Cáp ĐK 2 ruột đồng bọc PVC vỏ PVC 2x35</t>
  </si>
  <si>
    <t>KJ006</t>
  </si>
  <si>
    <t>Rãi căng dây lấy độ võng ≤ C95mm2</t>
  </si>
  <si>
    <t>Rãi căng dây lấy độ võng ≤ C120mm2</t>
  </si>
  <si>
    <t>Rãi căng dây lấy độ võng ≤ C150mm2</t>
  </si>
  <si>
    <t>Rãi căng dây lấy độ võng ≤ C185mm2</t>
  </si>
  <si>
    <t>Dây nhôm lõi thép chống thấm bọc XLPE 24kV 35/6,2</t>
  </si>
  <si>
    <t>Dây nhôm lõi thép chống thấm bọc XLPE 24kV 50/8</t>
  </si>
  <si>
    <t>Dây nhôm lõi thép chống thấm bọc XLPE 24kV 70/11</t>
  </si>
  <si>
    <t>Số 81, Đ. Võ Văn Kiệt, KV2, P5, Tp. Vị Thanh, tỉnh Hậu Giang</t>
  </si>
  <si>
    <t>Trụ 12Đ + M 1,2x1,2x1,0</t>
  </si>
  <si>
    <t>Trụ 12G + M 1,4x1,2x1,0</t>
  </si>
  <si>
    <t>Trụ 14Đ + M14ba</t>
  </si>
  <si>
    <t>Trụ 14Đ + M 1,4x1,4x1,0</t>
  </si>
  <si>
    <t>Trụ 14G + M 1,6x1,4x1,0</t>
  </si>
  <si>
    <t>Cáp ngầm 1 pha 0,6/1kV CXV/DSTA 2x35</t>
  </si>
  <si>
    <t>KV009</t>
  </si>
  <si>
    <t>Cáp ngầm 1 pha 0,6/1kV CXV/DSTA 2x50</t>
  </si>
  <si>
    <t>KV010</t>
  </si>
  <si>
    <r>
      <t>σ</t>
    </r>
    <r>
      <rPr>
        <vertAlign val="subscript"/>
        <sz val="13"/>
        <rFont val="Times New Roman"/>
        <family val="1"/>
      </rPr>
      <t>Agh</t>
    </r>
  </si>
  <si>
    <r>
      <t>[N/mm</t>
    </r>
    <r>
      <rPr>
        <vertAlign val="superscript"/>
        <sz val="13"/>
        <rFont val="Times New Roman"/>
        <family val="1"/>
      </rPr>
      <t>2</t>
    </r>
    <r>
      <rPr>
        <sz val="13"/>
        <rFont val="Times New Roman"/>
        <family val="1"/>
      </rPr>
      <t>]</t>
    </r>
  </si>
  <si>
    <r>
      <t>σ</t>
    </r>
    <r>
      <rPr>
        <vertAlign val="subscript"/>
        <sz val="13"/>
        <rFont val="Times New Roman"/>
        <family val="1"/>
      </rPr>
      <t>ACθmin</t>
    </r>
  </si>
  <si>
    <t>Lắp ống thép bảo vệ cáp D≤100</t>
  </si>
  <si>
    <t>Lắp ống thép bảo vệ cáp D&gt;100</t>
  </si>
  <si>
    <t>Đắp cát công trình trong mọi điều kiện</t>
  </si>
  <si>
    <t>CÔNG TÁC BÊ TÔNG</t>
  </si>
  <si>
    <t>ĐỔ BÊ TÔNG LÓT MÓNG</t>
  </si>
  <si>
    <t>Bê tông lót móng trụ, đá 4x6, M50</t>
  </si>
  <si>
    <t>Bê tông lót móng trụ, đá 4x6, M100</t>
  </si>
  <si>
    <t>04.1101</t>
  </si>
  <si>
    <t>Bê tông lót móng bản, đá 4x6, M50</t>
  </si>
  <si>
    <t>Bê tông lót móng bản, đá 4x6, M100</t>
  </si>
  <si>
    <t>ĐỔ BÊ TÔNG MÓNG</t>
  </si>
  <si>
    <t>04.4001</t>
  </si>
  <si>
    <t>04.4002</t>
  </si>
  <si>
    <t>04.4003</t>
  </si>
  <si>
    <t>LẮP CẤU KIỆN BÊTÔNG ĐÚC SẴN</t>
  </si>
  <si>
    <t>Lắp neo BT trọng lượng ≤ 0,25 tấn</t>
  </si>
  <si>
    <t>Lắp neo BT trọng lượng ≤ 0,5 tấn</t>
  </si>
  <si>
    <t>Lắp đặt cáp vặn xoắn 2 x 150 mm2</t>
  </si>
  <si>
    <t>trang 90, đơn giá XDCB chuyên ngành xây lắp đường dây tải điện và lắp đặt TBA</t>
  </si>
  <si>
    <t>1287614*0,7</t>
  </si>
  <si>
    <t>1750755*0,7</t>
  </si>
  <si>
    <t>1967354*0,7</t>
  </si>
  <si>
    <t>2380588*0,7</t>
  </si>
  <si>
    <t>2809792*0,7</t>
  </si>
  <si>
    <t>MCCB - 3P - 600V - 200A</t>
  </si>
  <si>
    <t>Bảng II - Huyện Châu Thành</t>
  </si>
  <si>
    <t>Bảng II - Thị xã Ngã Bảy</t>
  </si>
  <si>
    <t>2. Đo vẽ bản đồ địa hình: (mỗi bên 10m)</t>
  </si>
  <si>
    <t xml:space="preserve">B. Chi phí lập Báo cáo kinh tế kỹ thuật </t>
  </si>
  <si>
    <r>
      <t xml:space="preserve"> - Giá trị chi phí thiết bị trước thuế (phần trung áp): G</t>
    </r>
    <r>
      <rPr>
        <vertAlign val="subscript"/>
        <sz val="12"/>
        <rFont val="Times New Roman"/>
        <family val="1"/>
      </rPr>
      <t>TB</t>
    </r>
  </si>
  <si>
    <t>QJ005</t>
  </si>
  <si>
    <t>Bù lon mắt mạ kẽm 16x450</t>
  </si>
  <si>
    <t>QJ006</t>
  </si>
  <si>
    <t>Bù lon mắt mạ kẽm 16x500</t>
  </si>
  <si>
    <t>QK000</t>
  </si>
  <si>
    <t>Long đền tròn ĐK      bù lon 6</t>
  </si>
  <si>
    <t>QK001</t>
  </si>
  <si>
    <t>Long đền tròn ĐK      bù lon 8</t>
  </si>
  <si>
    <t>Lắp đặt xà thép cho trụ néo (25kg)</t>
  </si>
  <si>
    <t>Lắp đặt xà thép cho trụ néo (50kg)</t>
  </si>
  <si>
    <t>Cáp ngầm 1 pha 0,6/1kV CXV/DSTA 2x11</t>
  </si>
  <si>
    <t>KV006</t>
  </si>
  <si>
    <t>Cáp ngầm 1 pha 0,6/1kV CXV/DSTA 2x16</t>
  </si>
  <si>
    <t>KV007</t>
  </si>
  <si>
    <t>15</t>
  </si>
  <si>
    <t>16</t>
  </si>
  <si>
    <t>17</t>
  </si>
  <si>
    <t>18</t>
  </si>
  <si>
    <t>19</t>
  </si>
  <si>
    <t>20</t>
  </si>
  <si>
    <t>21</t>
  </si>
  <si>
    <r>
      <t xml:space="preserve">Điều 2. </t>
    </r>
    <r>
      <rPr>
        <sz val="12"/>
        <rFont val="Times New Roman"/>
        <family val="1"/>
      </rPr>
      <t xml:space="preserve">Chất lượng và các yêu cầu kỹ thuật, mỹ thuật: </t>
    </r>
  </si>
  <si>
    <r>
      <t xml:space="preserve">Điều 4. </t>
    </r>
    <r>
      <rPr>
        <sz val="12"/>
        <rFont val="Times New Roman"/>
        <family val="1"/>
      </rPr>
      <t>Giá trị hợp đồng: (tạm tính)</t>
    </r>
  </si>
  <si>
    <r>
      <t xml:space="preserve">Điều 5. </t>
    </r>
    <r>
      <rPr>
        <sz val="12"/>
        <rFont val="Times New Roman"/>
        <family val="1"/>
      </rPr>
      <t>Thanh toán hợp đồng:</t>
    </r>
  </si>
  <si>
    <t>3.2.  Hồ sơ thiết kế giao cho Bên A: gồm 04 bộ.</t>
  </si>
  <si>
    <r>
      <t xml:space="preserve">Điều 8. </t>
    </r>
    <r>
      <rPr>
        <sz val="12"/>
        <rFont val="Times New Roman"/>
        <family val="1"/>
      </rPr>
      <t>Quyền và nghĩa vụ của bên B:</t>
    </r>
  </si>
  <si>
    <r>
      <t>VỀ VIỆC</t>
    </r>
    <r>
      <rPr>
        <b/>
        <sz val="12"/>
        <rFont val="Times New Roman"/>
        <family val="1"/>
      </rPr>
      <t xml:space="preserve"> </t>
    </r>
    <r>
      <rPr>
        <b/>
        <u/>
        <sz val="12"/>
        <rFont val="Times New Roman"/>
        <family val="1"/>
      </rPr>
      <t>TƯ VẤN GIÁM SÁT THI CÔNG</t>
    </r>
  </si>
  <si>
    <t>VỀ VIỆC TƯ VẤN KHẢO SÁT, THIẾT KẾ</t>
  </si>
  <si>
    <t>ĐL Châu Thành A</t>
  </si>
  <si>
    <t>ĐL Long Mỹ</t>
  </si>
  <si>
    <t>ĐL Châu Thành</t>
  </si>
  <si>
    <t>Bảng II.2.5</t>
  </si>
  <si>
    <t>II.2.2. BẢNG DỰ TOÁN CHI PHÍ PHẦN XÂY DỰNG</t>
  </si>
  <si>
    <t>II.3.2. BẢNG DỰ TOÁN CHI PHÍ PHẦN XÂY DỰNG</t>
  </si>
  <si>
    <t>II.2.4. BẢNG DỰ TOÁN CHI PHÍ PHẦN LẮP ĐẶT THIẾT BỊ</t>
  </si>
  <si>
    <r>
      <t>.10</t>
    </r>
    <r>
      <rPr>
        <vertAlign val="superscript"/>
        <sz val="13"/>
        <rFont val="Times New Roman"/>
        <family val="1"/>
      </rPr>
      <t>-3</t>
    </r>
  </si>
  <si>
    <r>
      <t>(R</t>
    </r>
    <r>
      <rPr>
        <vertAlign val="subscript"/>
        <sz val="13"/>
        <rFont val="Times New Roman"/>
        <family val="1"/>
      </rPr>
      <t>BA</t>
    </r>
    <r>
      <rPr>
        <sz val="13"/>
        <rFont val="Times New Roman"/>
        <family val="1"/>
      </rPr>
      <t xml:space="preserve"> + R</t>
    </r>
    <r>
      <rPr>
        <vertAlign val="subscript"/>
        <sz val="13"/>
        <rFont val="Times New Roman"/>
        <family val="1"/>
      </rPr>
      <t>C</t>
    </r>
    <r>
      <rPr>
        <sz val="13"/>
        <rFont val="Times New Roman"/>
        <family val="1"/>
      </rPr>
      <t>)</t>
    </r>
    <r>
      <rPr>
        <vertAlign val="superscript"/>
        <sz val="13"/>
        <rFont val="Times New Roman"/>
        <family val="1"/>
      </rPr>
      <t>2</t>
    </r>
    <r>
      <rPr>
        <sz val="13"/>
        <rFont val="Times New Roman"/>
        <family val="1"/>
      </rPr>
      <t xml:space="preserve"> + (X</t>
    </r>
    <r>
      <rPr>
        <vertAlign val="subscript"/>
        <sz val="13"/>
        <rFont val="Times New Roman"/>
        <family val="1"/>
      </rPr>
      <t>BA</t>
    </r>
    <r>
      <rPr>
        <sz val="13"/>
        <rFont val="Times New Roman"/>
        <family val="1"/>
      </rPr>
      <t xml:space="preserve"> + X</t>
    </r>
    <r>
      <rPr>
        <vertAlign val="subscript"/>
        <sz val="13"/>
        <rFont val="Times New Roman"/>
        <family val="1"/>
      </rPr>
      <t>C</t>
    </r>
    <r>
      <rPr>
        <sz val="13"/>
        <rFont val="Times New Roman"/>
        <family val="1"/>
      </rPr>
      <t>)</t>
    </r>
    <r>
      <rPr>
        <vertAlign val="superscript"/>
        <sz val="13"/>
        <rFont val="Times New Roman"/>
        <family val="1"/>
      </rPr>
      <t>2</t>
    </r>
  </si>
  <si>
    <r>
      <t>I</t>
    </r>
    <r>
      <rPr>
        <vertAlign val="subscript"/>
        <sz val="13"/>
        <rFont val="Times New Roman"/>
        <family val="1"/>
      </rPr>
      <t>N</t>
    </r>
  </si>
  <si>
    <t>[kA]</t>
  </si>
  <si>
    <t>+ Dòng ngưỡng của CB:</t>
  </si>
  <si>
    <r>
      <t>I</t>
    </r>
    <r>
      <rPr>
        <vertAlign val="subscript"/>
        <sz val="13"/>
        <rFont val="Times New Roman"/>
        <family val="1"/>
      </rPr>
      <t>cu</t>
    </r>
  </si>
  <si>
    <t>KV038</t>
  </si>
  <si>
    <t>Cáp ngầm 3 pha 0,6/1kV CXV/DSTA 4x35</t>
  </si>
  <si>
    <t>KV039</t>
  </si>
  <si>
    <t>Cáp ngầm 3 pha 0,6/1kV CXV/DSTA 4x50</t>
  </si>
  <si>
    <t>KV040</t>
  </si>
  <si>
    <t>Cáp ngầm 3 pha 0,6/1kV CXV/DSTA 4x70</t>
  </si>
  <si>
    <t>KV041</t>
  </si>
  <si>
    <t>Cáp ngầm 3 pha 0,6/1kV CXV/DSTA 4x95</t>
  </si>
  <si>
    <t>KV042</t>
  </si>
  <si>
    <t>Cáp ngầm 3 pha 0,6/1kV CXV/DSTA 4x120</t>
  </si>
  <si>
    <t>KV043</t>
  </si>
  <si>
    <t>Cáp ngầm 3 pha 0,6/1kV CXV/DSTA 4x150</t>
  </si>
  <si>
    <t>KV044</t>
  </si>
  <si>
    <t>Cáp ngầm 3 pha 0,6/1kV CXV/DSTA 4x185</t>
  </si>
  <si>
    <t>KV045</t>
  </si>
  <si>
    <t>a/ Xây dựng mới (km)</t>
  </si>
  <si>
    <t>5 &lt; L &lt; 15</t>
  </si>
  <si>
    <t>b/ Cải tạo, nâng cấp (km)</t>
  </si>
  <si>
    <r>
      <t>k</t>
    </r>
    <r>
      <rPr>
        <vertAlign val="subscript"/>
        <sz val="13"/>
        <rFont val="Times New Roman"/>
        <family val="1"/>
      </rPr>
      <t>đc =</t>
    </r>
  </si>
  <si>
    <t>1. Đường dây trung áp trên không 6-35kV</t>
  </si>
  <si>
    <t>Kéo rãi lắp đặt cáp ngầm ≤ 1kg/m</t>
  </si>
  <si>
    <t>Kéo rãi lắp đặt cáp ngầm ≤ 2kg/m</t>
  </si>
  <si>
    <t>Kẹp 2 rãnh song song cho dây nhôm 95-120</t>
  </si>
  <si>
    <t>Lắp đặt xà thép cho trụ ghép (140kg)</t>
  </si>
  <si>
    <t>Lắp đặt xà thép cho trụ ghép (230kg)</t>
  </si>
  <si>
    <t>Lắp đặt xà thép cho trụ ghép (320kg)</t>
  </si>
  <si>
    <t>Lắp đặt sứ ống chỉ, loại 1 sứ</t>
  </si>
  <si>
    <t>Lắp đặt sứ ống chỉ, loại 2 sứ</t>
  </si>
  <si>
    <t>Lắp đặt sứ ống chỉ, loại 3 sứ</t>
  </si>
  <si>
    <t>Lắp đặt sứ ống chỉ, loại 4 sứ</t>
  </si>
  <si>
    <t>LẮP ĐẶT SỨ HẠ THẾ (lắp sứ vào giá đở, NC lắp U, rack: lắp đặt xà)</t>
  </si>
  <si>
    <t>LẮP ĐẶT CHUỖI SỨ ĐỠ ĐƠN DÂY DẪN</t>
  </si>
  <si>
    <t>06.1401</t>
  </si>
  <si>
    <t>Chuỗi</t>
  </si>
  <si>
    <t>06.1402</t>
  </si>
  <si>
    <t>06.1701</t>
  </si>
  <si>
    <t>06.1702</t>
  </si>
  <si>
    <t>LẮP CÁCH ĐIỆN POLYMER/COMPUSIT/SILICON.</t>
  </si>
  <si>
    <t>Sứ đứng 24kVChống muối biển</t>
  </si>
  <si>
    <t>LA003</t>
  </si>
  <si>
    <t xml:space="preserve">Sứ xuyên tường 24kV </t>
  </si>
  <si>
    <t>Cáp ngầm 3 pha 24kV CXV/Sehh/DSTA/PVC 3x35</t>
  </si>
  <si>
    <t>Cáp ngầm 3 pha 24kV CXV/Sehh/DSTA/PVC 3x50</t>
  </si>
  <si>
    <t>Cáp ngầm 3 pha 24kV CXV/Sehh/DSTA/PVC 3x70</t>
  </si>
  <si>
    <t>Cáp ngầm 3 pha 24kV CXV/Sehh/DSTA/PVC 3x95</t>
  </si>
  <si>
    <t>Cáp ngầm 3 pha 24kV CXV/Sehh/DSTA/PVC 3x120</t>
  </si>
  <si>
    <r>
      <t xml:space="preserve">Đổ bê tông móng trụ, chiều rộng </t>
    </r>
    <r>
      <rPr>
        <sz val="10"/>
        <color indexed="8"/>
        <rFont val="Arial"/>
        <family val="2"/>
      </rPr>
      <t>≤</t>
    </r>
    <r>
      <rPr>
        <sz val="10"/>
        <color indexed="8"/>
        <rFont val="Times New Roman"/>
        <family val="1"/>
      </rPr>
      <t xml:space="preserve">250cm, đá 2x4, bằng thủ công M100 </t>
    </r>
  </si>
  <si>
    <t>04.1202b</t>
  </si>
  <si>
    <r>
      <t xml:space="preserve">Đổ bê tông móng trụ, chiều rộng </t>
    </r>
    <r>
      <rPr>
        <sz val="10"/>
        <color indexed="8"/>
        <rFont val="Arial"/>
        <family val="2"/>
      </rPr>
      <t>≤</t>
    </r>
    <r>
      <rPr>
        <sz val="10"/>
        <color indexed="8"/>
        <rFont val="Times New Roman"/>
        <family val="1"/>
      </rPr>
      <t>250cm, đá 2x4, bằng thủ công M150</t>
    </r>
  </si>
  <si>
    <t>04.1203c</t>
  </si>
  <si>
    <r>
      <t xml:space="preserve">Đổ bê tông móng trụ, chiều rộng </t>
    </r>
    <r>
      <rPr>
        <sz val="10"/>
        <color indexed="8"/>
        <rFont val="Arial"/>
        <family val="2"/>
      </rPr>
      <t>≤</t>
    </r>
    <r>
      <rPr>
        <sz val="10"/>
        <color indexed="8"/>
        <rFont val="Times New Roman"/>
        <family val="1"/>
      </rPr>
      <t>250cm, đá 2x4, bằng thủ công M200</t>
    </r>
  </si>
  <si>
    <t xml:space="preserve">và Nghị định số 46/2015/NĐ-CP ngày 12/05/2015 của Chính phủ về quản lý chất lượng và bảo </t>
  </si>
  <si>
    <t>5. Trạm biến áp phân phối (kVA)</t>
  </si>
  <si>
    <t>S &lt;= 50</t>
  </si>
  <si>
    <r>
      <t>%G</t>
    </r>
    <r>
      <rPr>
        <vertAlign val="subscript"/>
        <sz val="13"/>
        <rFont val="Times New Roman"/>
        <family val="1"/>
      </rPr>
      <t>XD</t>
    </r>
  </si>
  <si>
    <t>15&lt;= L&lt; 30</t>
  </si>
  <si>
    <t>50&lt;S&lt;=180</t>
  </si>
  <si>
    <t>180&lt;S&lt;=400</t>
  </si>
  <si>
    <t>400&lt;S&lt;=750</t>
  </si>
  <si>
    <t>750&lt;S&lt;=1000</t>
  </si>
  <si>
    <t>1000&lt;S&lt;=1600</t>
  </si>
  <si>
    <t>1600&lt;S&lt;=2000</t>
  </si>
  <si>
    <t>S&gt;2000</t>
  </si>
  <si>
    <t>b/ Cải tạo mở rộng</t>
  </si>
  <si>
    <t>Nếu thay MBA &amp; VTTB tương đương CT xây dựng mới.</t>
  </si>
  <si>
    <t>Bù lon mạ kẽm 10x80</t>
  </si>
  <si>
    <t>QC003</t>
  </si>
  <si>
    <t>Bù lon mạ kẽm 10x150</t>
  </si>
  <si>
    <t>QD000</t>
  </si>
  <si>
    <t>Đắp đất rãnh tiếp địa, độ chặt k =0,95</t>
  </si>
  <si>
    <r>
      <t>R</t>
    </r>
    <r>
      <rPr>
        <vertAlign val="subscript"/>
        <sz val="13"/>
        <rFont val="Times New Roman"/>
        <family val="1"/>
      </rPr>
      <t>nđ tương đương</t>
    </r>
  </si>
  <si>
    <t>* Vậy chọn thiết bị bảo vệ hạ áp là hợp lý</t>
  </si>
  <si>
    <t>TÍNH TOÁN PHẦN TRẠM BIẾN ÁP</t>
  </si>
  <si>
    <t>TÍNH TOÁN PHẦN ĐƯỜNG DÂY</t>
  </si>
  <si>
    <t>DT,(HĐ+QĐ)GS</t>
  </si>
  <si>
    <t>231825*0,8</t>
  </si>
  <si>
    <t>406157*0,8</t>
  </si>
  <si>
    <t>695475*0,8</t>
  </si>
  <si>
    <t>SƠN SẮT THÉP CÁC LOẠI</t>
  </si>
  <si>
    <t>05.9001</t>
  </si>
  <si>
    <t>05.9002</t>
  </si>
  <si>
    <t>- Dùng cọc thép ĐK 16 dài 2,4m đóng thẳng trực tiếp xuống đất, đầu trên cách mặt đất</t>
  </si>
  <si>
    <t>02.3082</t>
  </si>
  <si>
    <t>02.3092</t>
  </si>
  <si>
    <t>02.3122</t>
  </si>
  <si>
    <t>02.3132</t>
  </si>
  <si>
    <t>02.3152</t>
  </si>
  <si>
    <t>Xếp cát các loại xuống</t>
  </si>
  <si>
    <t>ĐÀ CẢN - ĐẾ NEO</t>
  </si>
  <si>
    <t>GA000</t>
  </si>
  <si>
    <t>Neo bê tông cốt thép dài 1,2m</t>
  </si>
  <si>
    <t>GA001</t>
  </si>
  <si>
    <t>Cosse áp Cu/Al 95</t>
  </si>
  <si>
    <t>Ống nối bọc cách điện LV-ABC 50</t>
  </si>
  <si>
    <t>m cáp nhôm văn xoắn 0,6/1kV (LV-ABC) 4x95mm2</t>
  </si>
  <si>
    <t>m cáp đồng 0,6/1kV (CV) 50mm2</t>
  </si>
  <si>
    <t xml:space="preserve"> Kẹp treo cáp LV-ABC 4x95</t>
  </si>
  <si>
    <t xml:space="preserve"> Kẹp dừng cáp LV-ABC 4x95</t>
  </si>
  <si>
    <t>Recloser 3 pha 630A - 24kV + 3 DS 1 pha</t>
  </si>
  <si>
    <t>PHÁ DỠ KẾT CẤU MẶT ĐƯỜNG.</t>
  </si>
  <si>
    <t>QF007</t>
  </si>
  <si>
    <t>Bù lon mạ kẽm 16x400</t>
  </si>
  <si>
    <t>QF008</t>
  </si>
  <si>
    <t>3.1.  Thời gian thực hiện :</t>
  </si>
  <si>
    <t>c/ Cung cấp đầy đủ kết quả, số liệu khảo sát và hồ sơ thiết kế cho bên A.</t>
  </si>
  <si>
    <t>d/ Bắt đầu và hoàn tất hồ sơ thiết kế đúng thời gian hợp đồng.</t>
  </si>
  <si>
    <t>a/ Cấp đủ kinh phí cho bên B.</t>
  </si>
  <si>
    <t>Cáp Muller CVV2x(2x3,5) Xanh Trắng Đen</t>
  </si>
  <si>
    <t>KK013</t>
  </si>
  <si>
    <t>Cáp Muller CVV2x(2x3,5) Đỏ Trắng Đen</t>
  </si>
  <si>
    <t>KL000</t>
  </si>
  <si>
    <t>Cáp nhôm ABC bọc XLPE 0,6/1kV 4x16</t>
  </si>
  <si>
    <t>KL001</t>
  </si>
  <si>
    <t>Cáp nhôm ABC bọc XLPE 0,6/1kV 4x25</t>
  </si>
  <si>
    <t>KL002</t>
  </si>
  <si>
    <t>Dựng trụ BT ≤ 16m, thủ công</t>
  </si>
  <si>
    <t>Dựng trụ BT ≤ 18m, thủ công</t>
  </si>
  <si>
    <t>Dựng trụ BT ≤ 20m, thủ công</t>
  </si>
  <si>
    <t>KV017</t>
  </si>
  <si>
    <t>Cáp ngầm 3 pha 0,6/1kV CXV/DSTA 3x2,5</t>
  </si>
  <si>
    <t>KV018</t>
  </si>
  <si>
    <t>Cáp ngầm 3 pha 0,6/1kV CXV/DSTA 3x4,0</t>
  </si>
  <si>
    <t>KV019</t>
  </si>
  <si>
    <t>Cáp ngầm 3 pha 0,6/1kV CXV/DSTA 3x6,0</t>
  </si>
  <si>
    <t>KV020</t>
  </si>
  <si>
    <t>(11)=(5)x(6)</t>
  </si>
  <si>
    <t>(12)=(5)x(7)</t>
  </si>
  <si>
    <t>(13)=(5)x(8)</t>
  </si>
  <si>
    <t>(14)=(5)x(9)</t>
  </si>
  <si>
    <t>(15)=(5)x(10)</t>
  </si>
  <si>
    <t>II.3. BẢNG TỔNG HỢP CHI PHÍ XÂY DỰNG, THIẾT BỊ, QLDA, TV, CPK &amp; DP</t>
  </si>
  <si>
    <t>TRẠM BIẾN ÁP</t>
  </si>
  <si>
    <t>KÝ HIỆU</t>
  </si>
  <si>
    <t>10m</t>
  </si>
  <si>
    <t>Lắp đặt thanh cái dẹt kích thước 25x4</t>
  </si>
  <si>
    <t xml:space="preserve">-  Bên A sẽ thanh toán dứt cho bên B theo bảng quyết toán công trình trong vòng 15 ngày kể </t>
  </si>
  <si>
    <t xml:space="preserve"> Đơn vị lập</t>
  </si>
  <si>
    <t>Dây nhôm lõi thép chống thấm bọc XLPE 24kV 240/32</t>
  </si>
  <si>
    <t>Móc đôi treo cáp ABC</t>
  </si>
  <si>
    <t>3.1.  Thời gian thực hiện:</t>
  </si>
  <si>
    <t>-  Thời gian bắt đầu: ngay sau khi hợp đồng được ký kết.</t>
  </si>
  <si>
    <t>07.3102</t>
  </si>
  <si>
    <t>07.3103</t>
  </si>
  <si>
    <t>07.31111</t>
  </si>
  <si>
    <t>07.31112</t>
  </si>
  <si>
    <t>07.31113</t>
  </si>
  <si>
    <t>07.31114</t>
  </si>
  <si>
    <t>07.31115</t>
  </si>
  <si>
    <t xml:space="preserve">Hậu Giang, ngày     tháng    năm </t>
  </si>
  <si>
    <t xml:space="preserve">Hậu Giang, ngày     tháng       năm </t>
  </si>
  <si>
    <t>Hậu Giang, ngày    tháng     năm 20</t>
  </si>
  <si>
    <t>Đào rãnh tiếp địa, đất cấp I</t>
  </si>
  <si>
    <t>Đào rãnh tiếp địa, đất cấp II</t>
  </si>
  <si>
    <t>03.3121</t>
  </si>
  <si>
    <t>03.3122</t>
  </si>
  <si>
    <t>ρ</t>
  </si>
  <si>
    <t xml:space="preserve">Có công văn ủy quyền cho bên B làm giám sát kỹ thuật, quản lý chất lượng công trình </t>
  </si>
  <si>
    <t>xây dựng và thông báo cho đơn vị nhận thầu xây lắp biết để tạo điều kiện cho bên B làm việc.</t>
  </si>
  <si>
    <t>Dây đồng bọc PVC 0,6/1kV 150</t>
  </si>
  <si>
    <t>KF009</t>
  </si>
  <si>
    <t>Dây đồng bọc PVC 0,6/1kV 185</t>
  </si>
  <si>
    <t>KF010</t>
  </si>
  <si>
    <t>Dây đồng bọc PVC 0,6/1kV 200</t>
  </si>
  <si>
    <t>KF011</t>
  </si>
  <si>
    <t>Dây đồng bọc PVC 0,6/1kV 240</t>
  </si>
  <si>
    <t>Đơn vị thi công: tập kết vật tư tại hiện trường.</t>
  </si>
  <si>
    <r>
      <t>16 . F . 10</t>
    </r>
    <r>
      <rPr>
        <vertAlign val="superscript"/>
        <sz val="13"/>
        <rFont val="Times New Roman"/>
        <family val="1"/>
      </rPr>
      <t>3</t>
    </r>
  </si>
  <si>
    <t>α - hệ số biểu thị sự phân bố không đồng đều của gió trên khoảng cột</t>
  </si>
  <si>
    <t>C - hệ số động lực của không khí phụ thuộc bề mặt chịu gió</t>
  </si>
  <si>
    <t>V/c đà cản bằng thủ công (≤ 500m)</t>
  </si>
  <si>
    <t>V/c trụ bằng thủ công (≤ 100m)</t>
  </si>
  <si>
    <t>V/c trụ bằng thủ công (≤ 300m)</t>
  </si>
  <si>
    <t>thông tư số 33/2004/TT-BTC ngày 12/4/2004 hết hiệu lực</t>
  </si>
  <si>
    <t>Lắp đặt phụ kiện thanh cái</t>
  </si>
  <si>
    <r>
      <t>19,6.10</t>
    </r>
    <r>
      <rPr>
        <vertAlign val="superscript"/>
        <sz val="13"/>
        <rFont val="Times New Roman"/>
        <family val="1"/>
      </rPr>
      <t>4</t>
    </r>
    <r>
      <rPr>
        <sz val="13"/>
        <rFont val="Times New Roman"/>
        <family val="1"/>
      </rPr>
      <t xml:space="preserve"> +</t>
    </r>
  </si>
  <si>
    <r>
      <t>g</t>
    </r>
    <r>
      <rPr>
        <vertAlign val="superscript"/>
        <sz val="13"/>
        <color indexed="10"/>
        <rFont val="Times New Roman"/>
        <family val="1"/>
      </rPr>
      <t>2</t>
    </r>
    <r>
      <rPr>
        <vertAlign val="subscript"/>
        <sz val="13"/>
        <color indexed="10"/>
        <rFont val="Times New Roman"/>
        <family val="1"/>
      </rPr>
      <t>bão</t>
    </r>
    <r>
      <rPr>
        <sz val="13"/>
        <color indexed="10"/>
        <rFont val="Times New Roman"/>
        <family val="1"/>
      </rPr>
      <t xml:space="preserve"> - g</t>
    </r>
    <r>
      <rPr>
        <vertAlign val="superscript"/>
        <sz val="13"/>
        <color indexed="10"/>
        <rFont val="Times New Roman"/>
        <family val="1"/>
      </rPr>
      <t>2</t>
    </r>
    <r>
      <rPr>
        <vertAlign val="subscript"/>
        <sz val="13"/>
        <color indexed="10"/>
        <rFont val="Times New Roman"/>
        <family val="1"/>
      </rPr>
      <t>1</t>
    </r>
  </si>
  <si>
    <r>
      <t>. 10</t>
    </r>
    <r>
      <rPr>
        <vertAlign val="superscript"/>
        <sz val="13"/>
        <color indexed="10"/>
        <rFont val="Times New Roman"/>
        <family val="1"/>
      </rPr>
      <t>-6</t>
    </r>
    <r>
      <rPr>
        <sz val="13"/>
        <color indexed="10"/>
        <rFont val="Times New Roman"/>
        <family val="1"/>
      </rPr>
      <t>.(25 - 5)</t>
    </r>
  </si>
  <si>
    <t>- Tiết diện dây dẫn</t>
  </si>
  <si>
    <r>
      <t>g</t>
    </r>
    <r>
      <rPr>
        <vertAlign val="subscript"/>
        <sz val="13"/>
        <rFont val="Times New Roman"/>
        <family val="1"/>
      </rPr>
      <t>2</t>
    </r>
    <r>
      <rPr>
        <sz val="13"/>
        <rFont val="Times New Roman"/>
        <family val="1"/>
      </rPr>
      <t xml:space="preserve"> . F . l</t>
    </r>
  </si>
  <si>
    <t>Kéo rãi lắp đặt cáp ngầm ≤ 7,5kg/m</t>
  </si>
  <si>
    <t>22/0,4kV - 1000</t>
  </si>
  <si>
    <t>Cáp duplex đồng bọc PVC 0,6/1kV 2x6</t>
  </si>
  <si>
    <t>KJ000a</t>
  </si>
  <si>
    <t>II.3.3. BẢNG DỰ TOÁN CHI PHÍ PHẦN LẮP ĐẶT THIẾT BỊ</t>
  </si>
  <si>
    <t>II.3.5. BẢNG TỔNG HỢP CHI PHÍ VẬT LIỆU, THIẾT BỊ, NHÂN CÔNG, MÁY THI CÔNG</t>
  </si>
  <si>
    <t>II.3.6. BẢNG TÍNH CHI TIẾT VẬT LIỆU, THIẾT BỊ, NHÂN CÔNG, MÁY THI CÔNG</t>
  </si>
  <si>
    <r>
      <t>R</t>
    </r>
    <r>
      <rPr>
        <vertAlign val="subscript"/>
        <sz val="13"/>
        <rFont val="Times New Roman"/>
        <family val="1"/>
      </rPr>
      <t>1</t>
    </r>
    <r>
      <rPr>
        <sz val="13"/>
        <rFont val="Times New Roman"/>
        <family val="1"/>
      </rPr>
      <t xml:space="preserve"> </t>
    </r>
  </si>
  <si>
    <t>: điện trở tiếp xúc</t>
  </si>
  <si>
    <r>
      <t>R</t>
    </r>
    <r>
      <rPr>
        <vertAlign val="subscript"/>
        <sz val="13"/>
        <rFont val="Times New Roman"/>
        <family val="1"/>
      </rPr>
      <t>2</t>
    </r>
    <r>
      <rPr>
        <sz val="13"/>
        <rFont val="Times New Roman"/>
        <family val="1"/>
      </rPr>
      <t xml:space="preserve"> </t>
    </r>
  </si>
  <si>
    <t>: điện trở cuộn dây</t>
  </si>
  <si>
    <r>
      <t>X</t>
    </r>
    <r>
      <rPr>
        <vertAlign val="subscript"/>
        <sz val="13"/>
        <rFont val="Times New Roman"/>
        <family val="1"/>
      </rPr>
      <t>AT</t>
    </r>
    <r>
      <rPr>
        <sz val="13"/>
        <rFont val="Times New Roman"/>
        <family val="1"/>
      </rPr>
      <t xml:space="preserve"> </t>
    </r>
  </si>
  <si>
    <t>: điện kháng cuộn dây</t>
  </si>
  <si>
    <t>KB005</t>
  </si>
  <si>
    <t>KB006</t>
  </si>
  <si>
    <t>Dây nhôm trần lõi thép 185/24</t>
  </si>
  <si>
    <t>KB007</t>
  </si>
  <si>
    <t>Bốc thép thanh trụ lên</t>
  </si>
  <si>
    <t>Xếp thép thanh trụ xuống</t>
  </si>
  <si>
    <t>v - Tốc độ gió lớn nhất; [m/s]</t>
  </si>
  <si>
    <t>d - đường kính dây dẫn; [mm]</t>
  </si>
  <si>
    <t>. 25</t>
  </si>
  <si>
    <r>
      <t>. 10</t>
    </r>
    <r>
      <rPr>
        <vertAlign val="superscript"/>
        <sz val="13"/>
        <rFont val="Times New Roman"/>
        <family val="1"/>
      </rPr>
      <t>3</t>
    </r>
  </si>
  <si>
    <t>Cáp nhôm ABC bọc XLPE 0,6/1kV 3x120</t>
  </si>
  <si>
    <t>KL007a</t>
  </si>
  <si>
    <t>**Auto and On Sheet Starts Here**</t>
  </si>
  <si>
    <t>Về hình thức, số lượng hồ sơ thiết kế công trình: đạt theo yêu cầu.</t>
  </si>
  <si>
    <t>Chấp nhận nghiệm thu kết quả khảo sát và hồ sơ thiết kế.</t>
  </si>
  <si>
    <t>HỢP ĐỒNG GIÁM SÁT THI CÔNG VỚI NHỮNG ĐIỀU KHOẢN SAU</t>
  </si>
  <si>
    <t xml:space="preserve">Sản phẩm của hợp đồng giám sát thi công công trình: thực hiện việc giám sát thi công xây </t>
  </si>
  <si>
    <t>AD010</t>
  </si>
  <si>
    <t>MBA 3 pha 22/0,4kV 750kVA</t>
  </si>
  <si>
    <t>AD011</t>
  </si>
  <si>
    <t>TMĐT</t>
  </si>
  <si>
    <t>Khi KQ = 0</t>
  </si>
  <si>
    <r>
      <t>G</t>
    </r>
    <r>
      <rPr>
        <b/>
        <vertAlign val="subscript"/>
        <sz val="10"/>
        <color indexed="12"/>
        <rFont val="Times New Roman"/>
        <family val="1"/>
      </rPr>
      <t>TV</t>
    </r>
  </si>
  <si>
    <t xml:space="preserve">                      Past Value</t>
  </si>
  <si>
    <t>Lắp đặt cáp trong ống bảo vệ ≤ 7,5kg/m</t>
  </si>
  <si>
    <t>Làm đầu cáp ≤ 22kV, 3 pha ≤ 300mm2</t>
  </si>
  <si>
    <t>Làm đầu cáp ≤ 22kV, 3 pha ≤ 400mm2</t>
  </si>
  <si>
    <t>RB002</t>
  </si>
  <si>
    <t>Kẹp cáp 3 bùlon cáp thép 35</t>
  </si>
  <si>
    <t>RB003</t>
  </si>
  <si>
    <t>Kẹp cáp 3 bùlon cáp thép 50</t>
  </si>
  <si>
    <t>Kẹp 2 rãnh song song cho dây nhôm 35-50</t>
  </si>
  <si>
    <t>RC001</t>
  </si>
  <si>
    <t>Lắp đặt thanh cái dẹt kích thước 40x4</t>
  </si>
  <si>
    <t>Stt</t>
  </si>
  <si>
    <t>Vận chuyển đường bộ, đường thủy:</t>
  </si>
  <si>
    <t>-</t>
  </si>
  <si>
    <t>STT</t>
  </si>
  <si>
    <t>TỔNG CỘNG</t>
  </si>
  <si>
    <t>Cáp ngầm 3 pha 0,6/1kV CXV/DSTA 3x50</t>
  </si>
  <si>
    <t>KV026</t>
  </si>
  <si>
    <t>Cáp ngầm 3 pha 0,6/1kV CXV/DSTA 3x70</t>
  </si>
  <si>
    <t>Lý Quốc Phong</t>
  </si>
  <si>
    <t>Lý Nhân Tân</t>
  </si>
  <si>
    <t>Phan Văn Khải</t>
  </si>
  <si>
    <t>Đỗ Anh Hoài</t>
  </si>
  <si>
    <t>Quách Huỳnh Nhị Anh</t>
  </si>
  <si>
    <t>NGUYỄN VĂN A</t>
  </si>
  <si>
    <t>TP.Vị Thanh, tỉnh Hậu Giang</t>
  </si>
  <si>
    <t>Huỳnh Thanh Truyền</t>
  </si>
  <si>
    <t>Lâm Quốc Thái</t>
  </si>
  <si>
    <t>Lê Thanh Phong</t>
  </si>
  <si>
    <t>Lê A Tùa</t>
  </si>
  <si>
    <t>Cosse ép dùng cho dây nhôm 95</t>
  </si>
  <si>
    <t>OB004</t>
  </si>
  <si>
    <t>Cosse ép dùng cho dây nhôm 120</t>
  </si>
  <si>
    <t>OB005</t>
  </si>
  <si>
    <t>Cosse ép dùng cho dây nhôm 150</t>
  </si>
  <si>
    <t>Đổ BT móng trụ, chiều rộng ≤250cm, đá 2x4, bằng TC + đầm dùi M200</t>
  </si>
  <si>
    <t>04.1211d</t>
  </si>
  <si>
    <t>Đổ BT móng trụ, chiều rộng ≤250cm, đá 2x4, bằng TC + đầm dùi M250</t>
  </si>
  <si>
    <t>04.1212a</t>
  </si>
  <si>
    <t>*</t>
  </si>
  <si>
    <t>Chi phí xây dựng (chưa có thuế GTGT) trong tổng mức đầu tư được duyệt hoặc giá gói thầu được duyệt (tỷ đồng)</t>
  </si>
  <si>
    <t>TTTKXD79$</t>
  </si>
  <si>
    <t>Bảng số 18: Định mức chi phí thẩm tra dự toán xây dựng</t>
  </si>
  <si>
    <t>TTDT79^</t>
  </si>
  <si>
    <t>TTDT79$</t>
  </si>
  <si>
    <t>Bảng số 19: Định mức chi phí lập hồ sơ mời thầu, đánh giá hồ sơ dự thầu tư vấn</t>
  </si>
  <si>
    <t>LHSTV79^</t>
  </si>
  <si>
    <t>Chi phí tư vấn (chưa có thuế GTGT) của giá gói thầu được duyệt (tỷ đồng)</t>
  </si>
  <si>
    <t>Tỷ lệ %</t>
  </si>
  <si>
    <t>LHSTV79$</t>
  </si>
  <si>
    <t>Bảng số 20: Định mức chi phí lập hồ sơ mời thầu, đánh giá hồ sơ dự thầu thi công xây dựng</t>
  </si>
  <si>
    <t>LXL79^</t>
  </si>
  <si>
    <t>Chi phí xây dựng (chưa có thuế GTGT) của giá gói thầu được duyệt (tỷ đồng)</t>
  </si>
  <si>
    <t>LXL79$</t>
  </si>
  <si>
    <t>Bảng số 21: Định mức chi phí lập hồ sơ mời thầu, đánh giá hồ sơ dự thầu mua sắm vật tư, thiết bị</t>
  </si>
  <si>
    <t>LTB79^</t>
  </si>
  <si>
    <t>Chi phí vật tư, thiết bị (chưa có thuế GTGT) của giá gói thầu được duyệt (tỷ đồng)</t>
  </si>
  <si>
    <t>LTB79$</t>
  </si>
  <si>
    <t>Điện kế điện tử 3 pha 5A - 220/380V</t>
  </si>
  <si>
    <t>Ống nối căng cho dây nhôm trần lõi thép 150</t>
  </si>
  <si>
    <t>OD006</t>
  </si>
  <si>
    <t>Ống nối căng cho dây nhôm trần lõi thép 185</t>
  </si>
  <si>
    <t>OD007</t>
  </si>
  <si>
    <t>OD008</t>
  </si>
  <si>
    <t>Nghiệm thu, TLTK</t>
  </si>
  <si>
    <t>Đường dây trung áp</t>
  </si>
  <si>
    <t>Trạm biến áp</t>
  </si>
  <si>
    <t xml:space="preserve"> - Chi phí lập Báo cáo kinh tế kỹ thuật:</t>
  </si>
  <si>
    <t xml:space="preserve">- Chiều dài đường dây </t>
  </si>
  <si>
    <t>Điện trở suất (Ωm)</t>
  </si>
  <si>
    <t>sét</t>
  </si>
  <si>
    <t>đất vườn, ruộng</t>
  </si>
  <si>
    <t>GHI CHÚ</t>
  </si>
  <si>
    <t>la</t>
  </si>
  <si>
    <t>fco</t>
  </si>
  <si>
    <t>ds</t>
  </si>
  <si>
    <t>50/8</t>
  </si>
  <si>
    <t>ac185</t>
  </si>
  <si>
    <t>50-8</t>
  </si>
  <si>
    <t>185-24</t>
  </si>
  <si>
    <t>CT</t>
  </si>
  <si>
    <t>MBA 1 pha 12,7/0,22-0,44kV 50kVA (Amorphous)</t>
  </si>
  <si>
    <t>Cáp nhôm bọc vặn xoắn LV-ABC 0,6/1kV 3x50</t>
  </si>
  <si>
    <t>Dây nhôm lõi thép chống thấm bọc XLPE 24kV (ACX)-50/8</t>
  </si>
  <si>
    <t>Dây nhôm lõi thép chống thấm bọc XLPE 24kV (ACX)-185/24</t>
  </si>
  <si>
    <t>Dây nhôm trần lõi thép (AC)-50/8</t>
  </si>
  <si>
    <t>Dây nhôm trần lõi thép (AC)-185/24</t>
  </si>
  <si>
    <t>NB</t>
  </si>
  <si>
    <t>MBA &amp; TB trạm 1x75kVA (Amorphous)</t>
  </si>
  <si>
    <t>MBA 1 pha 12,7/0,22-0,44kV 75kVA (Amorphous)</t>
  </si>
  <si>
    <t>Phụ kiện trạm 3x50kVA</t>
  </si>
  <si>
    <t>Phụ kiện trạm 1x75kVA; 1 pha 3 dây</t>
  </si>
  <si>
    <t>Cáp nhôm bọc vặn xoắn LV-ABC 0,6/1kV 4x95</t>
  </si>
  <si>
    <t>Gói thầu ĐTXD.2019-HH: Giám sát thi công xây lắp công trình</t>
  </si>
  <si>
    <r>
      <t xml:space="preserve">BẢNG TỔNG HỢP </t>
    </r>
    <r>
      <rPr>
        <b/>
        <sz val="13"/>
        <color indexed="10"/>
        <rFont val="Times New Roman"/>
        <family val="1"/>
      </rPr>
      <t>GIÁ GÓI THẦU</t>
    </r>
  </si>
  <si>
    <t>Nội dung</t>
  </si>
  <si>
    <t>Ký hiệu</t>
  </si>
  <si>
    <t>Diễn giải</t>
  </si>
  <si>
    <r>
      <t>Giá trị G</t>
    </r>
    <r>
      <rPr>
        <b/>
        <sz val="8"/>
        <color indexed="8"/>
        <rFont val="Times New Roman"/>
        <family val="1"/>
      </rPr>
      <t>XD</t>
    </r>
    <r>
      <rPr>
        <b/>
        <sz val="12"/>
        <color indexed="8"/>
        <rFont val="Times New Roman"/>
        <family val="1"/>
      </rPr>
      <t xml:space="preserve"> &amp; G</t>
    </r>
    <r>
      <rPr>
        <b/>
        <sz val="8"/>
        <color indexed="8"/>
        <rFont val="Times New Roman"/>
        <family val="1"/>
      </rPr>
      <t xml:space="preserve">TB </t>
    </r>
    <r>
      <rPr>
        <b/>
        <sz val="12"/>
        <color indexed="8"/>
        <rFont val="Times New Roman"/>
        <family val="1"/>
      </rPr>
      <t>trước thuế</t>
    </r>
  </si>
  <si>
    <t>Giá trị sau thuế</t>
  </si>
  <si>
    <r>
      <t>G</t>
    </r>
    <r>
      <rPr>
        <b/>
        <sz val="8"/>
        <color indexed="8"/>
        <rFont val="Times New Roman"/>
        <family val="1"/>
      </rPr>
      <t>GS</t>
    </r>
  </si>
  <si>
    <r>
      <t>G</t>
    </r>
    <r>
      <rPr>
        <b/>
        <sz val="8"/>
        <color indexed="8"/>
        <rFont val="Times New Roman"/>
        <family val="1"/>
      </rPr>
      <t xml:space="preserve">GSXD + </t>
    </r>
    <r>
      <rPr>
        <b/>
        <sz val="13"/>
        <color indexed="8"/>
        <rFont val="Times New Roman"/>
        <family val="1"/>
      </rPr>
      <t>G</t>
    </r>
    <r>
      <rPr>
        <b/>
        <sz val="8"/>
        <color indexed="8"/>
        <rFont val="Times New Roman"/>
        <family val="1"/>
      </rPr>
      <t>GSTB</t>
    </r>
  </si>
  <si>
    <r>
      <t>G</t>
    </r>
    <r>
      <rPr>
        <b/>
        <sz val="8"/>
        <color indexed="8"/>
        <rFont val="Times New Roman"/>
        <family val="1"/>
      </rPr>
      <t>GSXD</t>
    </r>
  </si>
  <si>
    <t>3,508% x GXD</t>
  </si>
  <si>
    <r>
      <t>G</t>
    </r>
    <r>
      <rPr>
        <b/>
        <sz val="8"/>
        <color indexed="8"/>
        <rFont val="Times New Roman"/>
        <family val="1"/>
      </rPr>
      <t>DPGS</t>
    </r>
  </si>
  <si>
    <r>
      <t>5%xG</t>
    </r>
    <r>
      <rPr>
        <b/>
        <sz val="8"/>
        <color indexed="8"/>
        <rFont val="Times New Roman"/>
        <family val="1"/>
      </rPr>
      <t>GS</t>
    </r>
  </si>
  <si>
    <t>TỔNG (I+II)</t>
  </si>
  <si>
    <t>Đvt</t>
  </si>
  <si>
    <t>Thành tiền trước thuế</t>
  </si>
  <si>
    <t>Thành tiền sau thuế</t>
  </si>
  <si>
    <t>CHI PHÍ MUA SẮM VẬT TƯ</t>
  </si>
  <si>
    <r>
      <t>G</t>
    </r>
    <r>
      <rPr>
        <b/>
        <sz val="8"/>
        <color indexed="8"/>
        <rFont val="Times New Roman"/>
        <family val="1"/>
      </rPr>
      <t>VTTB</t>
    </r>
  </si>
  <si>
    <r>
      <t>G</t>
    </r>
    <r>
      <rPr>
        <b/>
        <sz val="8"/>
        <color indexed="8"/>
        <rFont val="Times New Roman"/>
        <family val="1"/>
      </rPr>
      <t>DPVTTB</t>
    </r>
    <r>
      <rPr>
        <b/>
        <sz val="13"/>
        <color indexed="8"/>
        <rFont val="Times New Roman"/>
        <family val="1"/>
      </rPr>
      <t xml:space="preserve"> = 5%xG</t>
    </r>
    <r>
      <rPr>
        <b/>
        <sz val="8"/>
        <color indexed="8"/>
        <rFont val="Times New Roman"/>
        <family val="1"/>
      </rPr>
      <t>VTTB</t>
    </r>
  </si>
  <si>
    <t xml:space="preserve">    Nguyễn Viết Thọ </t>
  </si>
  <si>
    <t>Test trước thuế</t>
  </si>
  <si>
    <t>Test sau thuế</t>
  </si>
  <si>
    <t>DP trước thuế</t>
  </si>
  <si>
    <t>DP sau thuế</t>
  </si>
  <si>
    <t>OK</t>
  </si>
  <si>
    <t>VTT</t>
  </si>
  <si>
    <t>Nga 7</t>
  </si>
  <si>
    <t>Chau Thanh</t>
  </si>
  <si>
    <t>TX Long My</t>
  </si>
  <si>
    <t>Huyen Long My</t>
  </si>
  <si>
    <t>CTA</t>
  </si>
  <si>
    <t>PH</t>
  </si>
  <si>
    <t>TDC SH</t>
  </si>
  <si>
    <t>TỔNG CÔNG TY
 ĐIỆN LỰC MIỀN NAM</t>
  </si>
  <si>
    <t>TỔNG HỢP GIÁ GÓI THẦU</t>
  </si>
  <si>
    <t xml:space="preserve">Giá trị dự toán: </t>
  </si>
  <si>
    <t>BẢNG TỔNG HỢP GIÁ GÓI THẦU</t>
  </si>
  <si>
    <t>Cáp nhôm bọc vặn xoắn LV-ABC 0,6/1kV 3x70</t>
  </si>
  <si>
    <t>MBA &amp; Thiết bị trạm 3x50kVA (TCCS từ 2x50kVA)</t>
  </si>
  <si>
    <t>Kiểm toán</t>
  </si>
  <si>
    <r>
      <t>G</t>
    </r>
    <r>
      <rPr>
        <b/>
        <vertAlign val="subscript"/>
        <sz val="13"/>
        <color indexed="8"/>
        <rFont val="Times New Roman"/>
        <family val="1"/>
      </rPr>
      <t>KT</t>
    </r>
  </si>
  <si>
    <t>Chi phí kiểm toán</t>
  </si>
  <si>
    <r>
      <t>5%xG</t>
    </r>
    <r>
      <rPr>
        <b/>
        <vertAlign val="subscript"/>
        <sz val="13"/>
        <color indexed="8"/>
        <rFont val="Times New Roman"/>
        <family val="1"/>
      </rPr>
      <t>KT</t>
    </r>
  </si>
  <si>
    <t>MBA</t>
  </si>
  <si>
    <t>LA</t>
  </si>
  <si>
    <t>FC</t>
  </si>
  <si>
    <t>DS</t>
  </si>
  <si>
    <t>250A</t>
  </si>
  <si>
    <t>AC50-8</t>
  </si>
  <si>
    <t>AC 285</t>
  </si>
  <si>
    <t>ACX50</t>
  </si>
  <si>
    <t>ACX185</t>
  </si>
  <si>
    <t>3X50</t>
  </si>
  <si>
    <t>Gói thầu ĐTXD.2019-CAP: Cung cấp cáp</t>
  </si>
  <si>
    <t>Gói thầu ĐTXD.2019-MBA: Cung cấp máy biến áp</t>
  </si>
  <si>
    <t>Gói thầu ĐTXD.2019-VTTB: Cung cấp thiết bị LA, FCO, DS, MCCB</t>
  </si>
  <si>
    <t>Gói thầu ĐTXD.2019-XL: Thi công xây lắp công trình thuộc huyện Châu Thành, thị xã Ngã Bảy</t>
  </si>
  <si>
    <t>Gói thầu ĐTXD.2019-GS: Giám sát thi công xây lắp công trình thuộc huyện Châu Thành, thị xã Ngã Bảy</t>
  </si>
  <si>
    <t>Địa điểm: huyện Châu Thành, TX Ngã Bảy, tỉnh Hậu Giang</t>
  </si>
  <si>
    <t>Gói thầu ĐTXD.2019-KT: Kiểm toán công trình thuộc huyện Châu Thành, thị xã Ngã Bảy</t>
  </si>
  <si>
    <t>Công trình: Xây dựng, cải tạo đường dây trung hạ áp &amp; Trạm biến áp TP. Vị Thanh, 
TX. Ngã Bảy, huyện Châu Thành, Châu Thành A năm 2020</t>
  </si>
  <si>
    <t>Hậu Giang, ngày     tháng     năm 2020</t>
  </si>
  <si>
    <t>PHÒNG QUẢN LÝ ĐẦU TƯ</t>
  </si>
  <si>
    <t>Trần Nhơn Quân</t>
  </si>
  <si>
    <t>MBA 3 pha 22/0,4kV 250kVA (Amorphous)</t>
  </si>
  <si>
    <t>MBA 3 pha 22/0,4kV 400kVA (Amorphous)</t>
  </si>
  <si>
    <t>Gói thầu ĐTXD.2020.-MBA1: Cung cấp máy biến áp</t>
  </si>
  <si>
    <t>Cáp nhôm bọc vặn xoắn LV-ABC 0,6/1kV 3x95</t>
  </si>
  <si>
    <t xml:space="preserve">                Hậu Giang, ngày    tháng    năm 2020</t>
  </si>
  <si>
    <t>Công trình: Xây dựng, cải tạo đường dây trung hạ áp &amp; Trạm biến áp huyện Long Mỹ, Vị Thủy năm 2020</t>
  </si>
  <si>
    <t>Dây nhôm trần lõi thép (AC)-120/19</t>
  </si>
  <si>
    <t>Gói thầu ĐTXD.2020-XL4: Thi công xây lắp công trình</t>
  </si>
  <si>
    <t xml:space="preserve">      </t>
  </si>
  <si>
    <t>Công trình: Xây dựng, cải tạo đường dây trung áp 22kV Mái Dầm – Ngã Sáu phục vụ khai thác lộ ra trạm 110/22kV Phú Xuân</t>
  </si>
  <si>
    <t>Gói thầu ĐTXD.2020.4-VTTB: Cung cấp thiết bị DS</t>
  </si>
  <si>
    <t xml:space="preserve">                Hậu Giang, ngày    tháng   năm 2020</t>
  </si>
  <si>
    <t>Gói thầu ĐTXD..2020.4-XL: Thi công xây lắp công trình</t>
  </si>
  <si>
    <t xml:space="preserve">                Công trình: Công trình: Xây dựng, cải tạo đường dây trung áp 22kV Mái Dầm – Ngã Sáu phục vụ khai thác lộ ra trạm 110/22kV Phú Xuân</t>
  </si>
  <si>
    <t>Địa điểm: huyện Châu Thành, tỉnh Hậu Giang.</t>
  </si>
  <si>
    <t xml:space="preserve">Giá trị: </t>
  </si>
  <si>
    <r>
      <t>G</t>
    </r>
    <r>
      <rPr>
        <b/>
        <vertAlign val="subscript"/>
        <sz val="13"/>
        <color rgb="FF000000"/>
        <rFont val="Times New Roman"/>
        <family val="1"/>
      </rPr>
      <t>DPGS</t>
    </r>
  </si>
  <si>
    <r>
      <t>G</t>
    </r>
    <r>
      <rPr>
        <vertAlign val="subscript"/>
        <sz val="13"/>
        <rFont val="Times New Roman"/>
        <family val="1"/>
      </rPr>
      <t>VTTB</t>
    </r>
  </si>
  <si>
    <r>
      <t>G</t>
    </r>
    <r>
      <rPr>
        <vertAlign val="subscript"/>
        <sz val="13"/>
        <rFont val="Times New Roman"/>
        <family val="1"/>
      </rPr>
      <t>DPVTTB</t>
    </r>
    <r>
      <rPr>
        <sz val="13"/>
        <rFont val="Times New Roman"/>
        <family val="1"/>
      </rPr>
      <t xml:space="preserve"> = 5%xG</t>
    </r>
    <r>
      <rPr>
        <vertAlign val="subscript"/>
        <sz val="13"/>
        <rFont val="Times New Roman"/>
        <family val="1"/>
      </rPr>
      <t>VTTB</t>
    </r>
  </si>
  <si>
    <t>Giá trị
 sau thuế</t>
  </si>
  <si>
    <t>Thành tiền
 sau thuế</t>
  </si>
  <si>
    <t>Thành tiền
 trước thuế</t>
  </si>
  <si>
    <t>Khối
 lượng</t>
  </si>
  <si>
    <t>Giá trị GKT
trước thuế</t>
  </si>
  <si>
    <t>BAN QUẢN LÝ DỰ ÁN</t>
  </si>
  <si>
    <t>Hậu Giang, ngày 06 tháng 7 năm 2021</t>
  </si>
  <si>
    <t>Dây nhôm lõi thép chống thấm bọc XLPE/HDPE 24kV (ACXH)-50/8</t>
  </si>
  <si>
    <t>Cáp nhôm bọc vặn xoắn LV-ABC 0,6/1kV 4x120</t>
  </si>
  <si>
    <t>Công trình: Xây dựng, cải tạo lưới điện trung hạ áp TX. Long Mỹ, huyện Long Mỹ, Vị Thủy, Phụng Hiệp năm 2021</t>
  </si>
  <si>
    <t>Gói thầu ĐTXD.03.2021-CAP: Cung cấp cáp</t>
  </si>
  <si>
    <t>Vât liệu khác</t>
  </si>
  <si>
    <t>%</t>
  </si>
  <si>
    <t>Đào đất móng trụ bằng TC &lt;5m3, đất cấp II</t>
  </si>
  <si>
    <t>m³</t>
  </si>
  <si>
    <t>Đắp đất hố móng bằng TC - độ chặt K=0,9</t>
  </si>
  <si>
    <t>Đổ bê tông móng trụ bằng TC + đầm dùi, đá 1x2 M200, rộng ≤250cm</t>
  </si>
  <si>
    <t>Đào đất móng đà cản bằng TC ≥5m3, đất cấp II</t>
  </si>
  <si>
    <t>Lắp neo bê tông bằng TC ≤ 0,25 tấn</t>
  </si>
  <si>
    <t>Đào đất rãnh tiếp địa bằng TC, đất cấp II</t>
  </si>
  <si>
    <t>Đắp đất rãnh tiếp địa bằng TC, độ chặt K=0,9</t>
  </si>
  <si>
    <t>Trụ BTLT 16m - 11kN, K=1,5</t>
  </si>
  <si>
    <t>30205140a</t>
  </si>
  <si>
    <t>Trụ BTLT 14m - 9,2kN, K=1,5, TĐ</t>
  </si>
  <si>
    <t>Đà sắt U160x64x5 dài 3m tháp trụ</t>
  </si>
  <si>
    <t>Lắp đặt xà thép cho trụ néo ≤25kg</t>
  </si>
  <si>
    <t>Lắp đặt xà thép cho trụ néo ≤50kg</t>
  </si>
  <si>
    <t>Lắp đặt xà thép cho trụ đỡ ≤25kg</t>
  </si>
  <si>
    <t>Lắp đặt xà thép cho trụ đỡ ≤15kg</t>
  </si>
  <si>
    <t>Bảng tên 150x250</t>
  </si>
  <si>
    <t>Lắp đặt biển cấm, bảng tên, cao ≤20m</t>
  </si>
  <si>
    <t>Dây thép trần xoắn mạ kẽm 50mm2 (5/8)</t>
  </si>
  <si>
    <t>Lắp đặt dây néo trụ, cao ≤20m</t>
  </si>
  <si>
    <t>Cọc nối đất hàn 2m dây sắt Ø10 + long đền 50x50x6 Ø14</t>
  </si>
  <si>
    <t>Bùlon mạ kẽm 12x25 + long đền tròn Ø14</t>
  </si>
  <si>
    <t>Kéo rải dây tiếp địa</t>
  </si>
  <si>
    <t>Ép đầu cốt, cáp ≤25mm²</t>
  </si>
  <si>
    <t>Lắp đặt kẹp các loại</t>
  </si>
  <si>
    <t>Đóng trực tiếp cọc tiếp địa L=2,5m xuống đất, đất cấp II</t>
  </si>
  <si>
    <t>10 cọc</t>
  </si>
  <si>
    <t>Dây đồng chống thấm bọc XLPE 24kV (CX)-25</t>
  </si>
  <si>
    <t>Dây đồng chống thấm bọc XLPE 24kV (CX)-50</t>
  </si>
  <si>
    <t>Dây đồng chống thấm bọc XLPE 24kV (CX)-150</t>
  </si>
  <si>
    <t>Giáp níu dây nhôm bọc 24kV 50mm2</t>
  </si>
  <si>
    <t>Giáp níu dây nhôm bọc 24kV 185mm2</t>
  </si>
  <si>
    <t>Giáp buộc đầu sứ 24kV 50mm2 (composite)</t>
  </si>
  <si>
    <t>Giáp buộc đầu sứ 24kV 185mm2  (composite)</t>
  </si>
  <si>
    <t>km</t>
  </si>
  <si>
    <t>Rải căng dây lấy độ võng bằng TC + Cơ giới ≤AC185mm²</t>
  </si>
  <si>
    <t>Lắp đặt dây dẫn xuống thiết bị ≤Cu150mm²</t>
  </si>
  <si>
    <t>Lắp đặt dây dẫn xuống thiết bị ≤Cu95mm²</t>
  </si>
  <si>
    <t>Lắp cách điện néo đơn Polymer ≤35kV, cao ≤20m</t>
  </si>
  <si>
    <t>Lắp sứ đứng trên trụ BTLT, 15-22kV</t>
  </si>
  <si>
    <t>Lắp sứ hạ thế bằng TC, loại 1 sứ</t>
  </si>
  <si>
    <t>Ép khóa khóa néo các loại, tiết diện ≤120mm²</t>
  </si>
  <si>
    <t>Ép đầu cốt, cáp ≤185mm²</t>
  </si>
  <si>
    <t>Lắp đặt cầu chì tự rơi 35(22)kV, 1 pha</t>
  </si>
  <si>
    <t>Lắp đặt chống sét van ≤35kV, 3 pha</t>
  </si>
  <si>
    <t>Lắp đặt máy biến điện áp 1 pha độc lập ≤35kV</t>
  </si>
  <si>
    <t>Lắp đặt hệ thống tụ bù 6-35kV, trên cột</t>
  </si>
  <si>
    <t>100kVAr</t>
  </si>
  <si>
    <t>Lắp đặt máy cắt khí 3 pha ≤35kV</t>
  </si>
  <si>
    <t>Tháo hạ trụ BTLT ≤ 14m, thủ công</t>
  </si>
  <si>
    <t>Tháo hạ trụ BTLT ≤ 14m, TC + cẩu</t>
  </si>
  <si>
    <t>Tháo xà thép cho trụ đỡ ≤50kg</t>
  </si>
  <si>
    <t>Tháo xà thép cho trụ đỡ ≤25kg</t>
  </si>
  <si>
    <t>Tháo khung định vị ≤20m</t>
  </si>
  <si>
    <t>Tháo dây bằng TC ≤AC150mm²</t>
  </si>
  <si>
    <t>Tháo dây bằng TC ≤AC120mm²</t>
  </si>
  <si>
    <t>Tháo sứ đứng trên cột tròn 15-22kV</t>
  </si>
  <si>
    <t>Tháo sứ bằng TC, loại 1 sứ</t>
  </si>
  <si>
    <t>Tháo cầu chì tự rơi 35(22)kV, 1 pha</t>
  </si>
  <si>
    <t>Tháo chống sét van ≤20m</t>
  </si>
  <si>
    <t>Tháo dao cách ly 1 pha ngoài trời ≤35kV, không tiếp đất</t>
  </si>
  <si>
    <t>Tháo máy biến điện áp 1 pha độc lập ≤35kV</t>
  </si>
  <si>
    <t>Tháo hệ thống tụ bù 6-35kV, trên cột</t>
  </si>
  <si>
    <t>Tháo máy cắt khí 3 pha ≤35kV</t>
  </si>
  <si>
    <t>Đào đất móng trụ bằng TC ≥5m3, đất cấp II</t>
  </si>
  <si>
    <t>Đào đất móng đà cản bằng TC &lt;5m3, đất cấp II</t>
  </si>
  <si>
    <t>Trụ BTLT 12m - 5,4kN, K=1,5</t>
  </si>
  <si>
    <t>Trụ BTLT 10,5m - 5,0kN, K=1,5</t>
  </si>
  <si>
    <t>Trụ BTLT 8,5m - 3,0kN, K=1,5</t>
  </si>
  <si>
    <t>Dựng trụ BT ≤8,5m, thủ công</t>
  </si>
  <si>
    <t>30205070a</t>
  </si>
  <si>
    <t>Trụ BTLT 8,5m - 3,0kN, K=1,5, TĐ</t>
  </si>
  <si>
    <t>Dây thép trần xoắn mạ kẽm 35mm2 (3/8)</t>
  </si>
  <si>
    <t>Cọc nối đất hàn 1m dây sắt Ø10 + long đền 50x50x6 Ø14</t>
  </si>
  <si>
    <t>Hộp phân phối 6 cực + phụ kiện</t>
  </si>
  <si>
    <t>Dây đồng bọc PVC 0,6/1kV (CV)- 50</t>
  </si>
  <si>
    <t>Lắp đặt hộp nối cáp khô kiểm tra ≤6 ruột</t>
  </si>
  <si>
    <t>Cụm đấu rẽ Cu-Al 1-4</t>
  </si>
  <si>
    <t>Băng keo cách điện hạ thế</t>
  </si>
  <si>
    <t>Rải căng dây lấy độ võng bằng TC ≤C16mm²</t>
  </si>
  <si>
    <t>Tháo dây bằng TC ≤C16mm²</t>
  </si>
  <si>
    <t>Nắp bịt đầu cáp 35-95</t>
  </si>
  <si>
    <t>Lắp đặt cáp vặn xoắn, loại cáp ≤3x50mm²</t>
  </si>
  <si>
    <t>Tháo hạ trụ BTLT ≤ 12m, thủ công</t>
  </si>
  <si>
    <t>Tháo hạ trụ BTLT ≤ 8m, thủ công</t>
  </si>
  <si>
    <t>Tháo dây néo cột ≤20m</t>
  </si>
  <si>
    <t>Tháo dây bằng TC ≤AC35mm²</t>
  </si>
  <si>
    <t>Tháo sứ bằng TC, loại 3 sứ</t>
  </si>
  <si>
    <t>Lắp đặt MBA phân phối 1 pha ≤50kVA</t>
  </si>
  <si>
    <t>Lắp đặt chống sét van ≤35kV, 1 pha</t>
  </si>
  <si>
    <t>CT đo đếm 600V 125/5A</t>
  </si>
  <si>
    <t>Ống PVC Ø21 x1,6mm</t>
  </si>
  <si>
    <t>Kéo rải và lắp đặt cáp trong ống bảo vệ ≤1kg/m</t>
  </si>
  <si>
    <t>Tủ điện kế 2 ngăn 1,0x0,6x0,4 (STĐ), 01 điện kế</t>
  </si>
  <si>
    <t>Lắp đặt tủ điện hạ áp xoay chiều 3 pha ≤1kV</t>
  </si>
  <si>
    <t>Dây đồng bọc PVC 0,6/1kV (CV)- 95</t>
  </si>
  <si>
    <t>Ống PVC Ø90 x3,8mm</t>
  </si>
  <si>
    <t>Ép đầu cốt, cáp ≤95mm²</t>
  </si>
  <si>
    <t>Ép đầu cốt, cáp ≤50mm²</t>
  </si>
  <si>
    <t>Kéo rải và lắp đặt cáp trong ống bảo vệ ≤3kg/m</t>
  </si>
  <si>
    <t>Lắp đặt ống bảo vệ PVC</t>
  </si>
  <si>
    <t>Một tỷ, sáu trăm hai mươi sáu triệu, tám trăm bảy mươi chín ngàn, hai trăm hai mươi ba đồng</t>
  </si>
  <si>
    <t>Nguyễn Khoa Hải Long</t>
  </si>
  <si>
    <t>Công trình: Lắp đặt hệ thống bù ứng động trung thế năm 2021 (8 bộ)</t>
  </si>
  <si>
    <t>0,96% x TMĐT</t>
  </si>
  <si>
    <t>Gói thầu ĐTXD.01.2021-KT: Kiểm toán công trình</t>
  </si>
  <si>
    <t>Gói thầu số 01: Cung cấp thiết bị</t>
  </si>
  <si>
    <t>Hậu Giang, ngày 15 tháng 02 năm 2022</t>
  </si>
  <si>
    <t>Công trình: Đầu tư nâng cấp trạm biến áp chống quá tải khu vực Điện lực TP. Vị Thanh, TP. Ngã Bảy &amp; Điện lực Phụng Hiệp</t>
  </si>
  <si>
    <t>MBA 3 pha 22/0,4kV 160kVA Amorphous</t>
  </si>
  <si>
    <t>MBA 3 pha 22/0,4kV 250kVA Amorphous</t>
  </si>
  <si>
    <t>MBA 3 pha 22/0,4kV 320kVA Amorphous</t>
  </si>
  <si>
    <t>MBA 3 pha 22/0,4kV 400kVA Amorphous</t>
  </si>
  <si>
    <t>DS 1 pha 630A - 24kV cách điện polymer (dòng rò 25mm/kV)</t>
  </si>
  <si>
    <t>FCO 22kV - 100A Polymer (dòng rò 25mm/kV)</t>
  </si>
  <si>
    <t>Chống sét van LA 18kV Polymer (dòng rò 25mm/kV)</t>
  </si>
  <si>
    <t>Dây nhôm trần lõi thép (ACSR)-50/8</t>
  </si>
  <si>
    <t>Dây nhôm trần lõi thép (ACSR)-120/19</t>
  </si>
  <si>
    <t>Dây nhôm lõi thép chống thấm bọc XLPE/HDPE 24kV (ACXH)-185/24</t>
  </si>
  <si>
    <t>Dây đồng chống thấm bọc XLPE 24kV (CXH)-25</t>
  </si>
  <si>
    <t>Dây đồng chống thấm bọc XLPE 24kV (CXH)-185</t>
  </si>
  <si>
    <t>Cáp nhôm bọc vặn xoắn LV-ABC 0,6/1kV 4x70</t>
  </si>
  <si>
    <t>Cáp nhôm bọc vặn xoắn LV-ABC 0,6/1kV 4x150</t>
  </si>
  <si>
    <t>Dây đồng bọc PVC 0,6/1kV (CV)- 10</t>
  </si>
  <si>
    <t>Dây đồng bọc PVC 0,6/1kV (CV)- 70</t>
  </si>
  <si>
    <t>Dây đồng bọc PVC 0,6/1kV (CV)- 120</t>
  </si>
  <si>
    <t>Dây đồng bọc PVC 0,6/1kV (CV)- 150</t>
  </si>
  <si>
    <t>Dây đồng bọc PVC 0,6/1kV (CV)- 240</t>
  </si>
  <si>
    <t>Tủ điện hạ thế tổng TBA 3 pha 1x100kVA (Vỏ tủ Inox 304)</t>
  </si>
  <si>
    <t>Tủ điện hạ thế tổng TBA 3 pha 1x160kVA  (Vỏ tủ Inox 304)</t>
  </si>
  <si>
    <t>Tủ điện hạ thế tổng TBA 3 pha 1x250kVA  (Vỏ tủ Inox 304)</t>
  </si>
  <si>
    <t>Tủ điện hạ thế tổng TBA 3 pha 1x320kVA  (Vỏ tủ Inox 304)</t>
  </si>
  <si>
    <t>Tủ điện hạ thế tổng TBA 3 pha 1x400kVA  (Vỏ tủ Inox 304)</t>
  </si>
  <si>
    <t>Tủ điện hạ thế tổng TBA 1P3D 1x37,5kVA  (Vỏ tủ Inox 304)</t>
  </si>
  <si>
    <t>Tủ điện hạ thế tổng TBA 1P3D 1x50kVA  (Vỏ tủ Inox 304)</t>
  </si>
  <si>
    <t>Tủ điện hạ thế tổng TBA 1P3D 1x75kVA ( (Vỏ tủ Inox 304)</t>
  </si>
  <si>
    <t>Tủ điện hạ thế tổng TBA 1P3D 2x25kVA  (Vỏ tủ Inox 304)</t>
  </si>
  <si>
    <t>Tủ điện hạ thế tổng TBA 1P3D 2x37,5kVA  (Vỏ tủ Inox 304)</t>
  </si>
  <si>
    <t>Tủ điện hạ thế tổng TBA 1P3D 2x50kVA  (Vỏ tủ Inox 304)</t>
  </si>
  <si>
    <t>Tủ điện hạ thế tổng TBA 1P3D 2x75kVA  (Vỏ tủ Inox 304)</t>
  </si>
  <si>
    <t xml:space="preserve">DANH SÁCH VTTB A CẤP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</si>
</sst>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1">
    <numFmt numFmtId="41" formatCode="_-* #,##0_-;\-* #,##0_-;_-* &quot;-&quot;_-;_-@_-"/>
    <numFmt numFmtId="43" formatCode="_-* #,##0.00_-;\-* #,##0.00_-;_-* &quot;-&quot;??_-;_-@_-"/>
    <numFmt numFmtId="164" formatCode="&quot;$&quot;#,##0_);[Red]\(&quot;$&quot;#,##0\)"/>
    <numFmt numFmtId="165" formatCode="_(&quot;$&quot;* #,##0_);_(&quot;$&quot;* \(#,##0\);_(&quot;$&quot;* &quot;-&quot;_);_(@_)"/>
    <numFmt numFmtId="166" formatCode="_(* #,##0_);_(* \(#,##0\);_(* &quot;-&quot;_);_(@_)"/>
    <numFmt numFmtId="167" formatCode="_(* #,##0.00_);_(* \(#,##0.00\);_(* &quot;-&quot;??_);_(@_)"/>
    <numFmt numFmtId="168" formatCode="&quot;£&quot;#,##0.00;\-&quot;£&quot;#,##0.00"/>
    <numFmt numFmtId="169" formatCode="#,##0\ &quot;F&quot;;[Red]\-#,##0\ &quot;F&quot;"/>
    <numFmt numFmtId="170" formatCode="#,##0.00\ &quot;F&quot;;[Red]\-#,##0.00\ &quot;F&quot;"/>
    <numFmt numFmtId="171" formatCode="_-* #,##0\ &quot;F&quot;_-;\-* #,##0\ &quot;F&quot;_-;_-* &quot;-&quot;\ &quot;F&quot;_-;_-@_-"/>
    <numFmt numFmtId="172" formatCode="_-* #,##0\ _F_-;\-* #,##0\ _F_-;_-* &quot;-&quot;\ _F_-;_-@_-"/>
    <numFmt numFmtId="173" formatCode="_-* #,##0.00\ &quot;F&quot;_-;\-* #,##0.00\ &quot;F&quot;_-;_-* &quot;-&quot;??\ &quot;F&quot;_-;_-@_-"/>
    <numFmt numFmtId="174" formatCode="_-* #,##0.00\ _F_-;\-* #,##0.00\ _F_-;_-* &quot;-&quot;??\ _F_-;_-@_-"/>
    <numFmt numFmtId="175" formatCode="_-&quot;$&quot;* #,##0_-;\-&quot;$&quot;* #,##0_-;_-&quot;$&quot;* &quot;-&quot;_-;_-@_-"/>
    <numFmt numFmtId="176" formatCode="_-&quot;$&quot;* #,##0.00_-;\-&quot;$&quot;* #,##0.00_-;_-&quot;$&quot;* &quot;-&quot;??_-;_-@_-"/>
    <numFmt numFmtId="177" formatCode="_ * #,##0_)\ _$_ ;_ * \(#,##0\)\ _$_ ;_ * &quot;-&quot;_)\ _$_ ;_ @_ "/>
    <numFmt numFmtId="178" formatCode="0.00_)"/>
    <numFmt numFmtId="179" formatCode="\$#,##0\ ;\(\$#,##0\)"/>
    <numFmt numFmtId="180" formatCode="_ * #,##0_ ;_ * \-#,##0_ ;_ * &quot;-&quot;_ ;_ @_ "/>
    <numFmt numFmtId="181" formatCode="_ * #,##0.00_ ;_ * \-#,##0.00_ ;_ * &quot;-&quot;??_ ;_ @_ "/>
    <numFmt numFmtId="182" formatCode="_(* #,##0_);_(* \(#,##0\);_(* &quot;-&quot;??_);_(@_)"/>
    <numFmt numFmtId="183" formatCode="0\ \ \ \ "/>
    <numFmt numFmtId="184" formatCode="_-* #,##0.0\ _F_-;\-* #,##0.0\ _F_-;_-* &quot;-&quot;??\ _F_-;_-@_-"/>
    <numFmt numFmtId="185" formatCode="_-* #,##0\ _F_-;\-* #,##0\ _F_-;_-* &quot;-&quot;??\ _F_-;_-@_-"/>
    <numFmt numFmtId="186" formatCode="_(* #,##0.00000000_);_(* \(#,##0.00000000\);_(* &quot;-&quot;??_);_(@_)"/>
    <numFmt numFmtId="187" formatCode="_-* #,##0\ &quot;ñ&quot;_-;\-* #,##0\ &quot;ñ&quot;_-;_-* &quot;-&quot;\ &quot;ñ&quot;_-;_-@_-"/>
    <numFmt numFmtId="188" formatCode="_-* #,##0\ _ñ_-;\-* #,##0\ _ñ_-;_-* &quot;-&quot;\ _ñ_-;_-@_-"/>
    <numFmt numFmtId="189" formatCode="_-* #,##0.00\ _ñ_-;\-* #,##0.00\ _ñ_-;_-* &quot;-&quot;??\ _ñ_-;_-@_-"/>
    <numFmt numFmtId="190" formatCode="_-&quot;ñ&quot;* #,##0_-;\-&quot;ñ&quot;* #,##0_-;_-&quot;ñ&quot;* &quot;-&quot;_-;_-@_-"/>
    <numFmt numFmtId="191" formatCode="_-* #,##0\ &quot;$&quot;_-;\-* #,##0\ &quot;$&quot;_-;_-* &quot;-&quot;\ &quot;$&quot;_-;_-@_-"/>
    <numFmt numFmtId="192" formatCode="_-* #,##0\ _$_-;\-* #,##0\ _$_-;_-* &quot;-&quot;\ _$_-;_-@_-"/>
    <numFmt numFmtId="193" formatCode="#,##0.00\ \ \ "/>
    <numFmt numFmtId="194" formatCode="#,##0.00\ \ "/>
    <numFmt numFmtId="195" formatCode="#,##0.00\ "/>
    <numFmt numFmtId="196" formatCode="_ * #,##0_)\ &quot;F&quot;_ ;_ * \(#,##0\)\ &quot;F&quot;_ ;_ * &quot;-&quot;_)\ &quot;F&quot;_ ;_ @_ "/>
    <numFmt numFmtId="197" formatCode="&quot;\&quot;#,##0;[Red]&quot;\&quot;&quot;\&quot;\-#,##0"/>
    <numFmt numFmtId="198" formatCode="&quot;\&quot;#,##0.00;[Red]&quot;\&quot;&quot;\&quot;&quot;\&quot;&quot;\&quot;&quot;\&quot;&quot;\&quot;\-#,##0.00"/>
    <numFmt numFmtId="199" formatCode="_ * #,##0_ ;_ * \-#,##0_ ;_ * &quot;-&quot;??_ ;_ @_ "/>
    <numFmt numFmtId="200" formatCode="_ * #,##0_)\ &quot;$&quot;_ ;_ * \(#,##0\)\ &quot;$&quot;_ ;_ * &quot;-&quot;_)\ &quot;$&quot;_ ;_ @_ "/>
    <numFmt numFmtId="201" formatCode="_ * #,##0.00_)\ _$_ ;_ * \(#,##0.00\)\ _$_ ;_ * &quot;-&quot;??_)\ _$_ ;_ @_ "/>
    <numFmt numFmtId="202" formatCode="#,##0.0"/>
    <numFmt numFmtId="203" formatCode="#,##0&quot; ñ&quot;"/>
    <numFmt numFmtId="204" formatCode="#,##0.00\ \ \ \ "/>
    <numFmt numFmtId="205" formatCode="_-* #,##0&quot;$&quot;_-;\-* #,##0&quot;$&quot;_-;_-* &quot;-&quot;&quot;$&quot;_-;_-@_-"/>
    <numFmt numFmtId="206" formatCode="_-* #,##0_$_-;\-* #,##0_$_-;_-* &quot;-&quot;_$_-;_-@_-"/>
    <numFmt numFmtId="207" formatCode="_-* #,##0.00_$_-;\-* #,##0.00_$_-;_-* &quot;-&quot;??_$_-;_-@_-"/>
    <numFmt numFmtId="208" formatCode="_-* #,##0.00_V_N_D_-;\-* #,##0.00_V_N_D_-;_-* &quot;-&quot;??_V_N_D_-;_-@_-"/>
    <numFmt numFmtId="209" formatCode="#,##0&quot;VND&quot;_);\(#,##0&quot;VND&quot;\)"/>
    <numFmt numFmtId="210" formatCode="#,##0&quot;VND&quot;_);[Red]\(#,##0&quot;VND&quot;\)"/>
    <numFmt numFmtId="211" formatCode="_ * #,##0_)_V_N_D_ ;_ * \(#,##0\)_V_N_D_ ;_ * &quot;-&quot;_)_V_N_D_ ;_ @_ "/>
    <numFmt numFmtId="212" formatCode="_ * #,##0.00_)&quot;VND&quot;_ ;_ * \(#,##0.00\)&quot;VND&quot;_ ;_ * &quot;-&quot;??_)&quot;VND&quot;_ ;_ @_ "/>
    <numFmt numFmtId="213" formatCode="_-* #,##0\ _F_B_-;\-* #,##0\ _F_B_-;_-* &quot;-&quot;\ _F_B_-;_-@_-"/>
    <numFmt numFmtId="214" formatCode="_-* #,##0.00\ _F_B_-;\-* #,##0.00\ _F_B_-;_-* &quot;-&quot;??\ _F_B_-;_-@_-"/>
    <numFmt numFmtId="215" formatCode="_ &quot;$&quot;* #,##0_ ;_ &quot;$&quot;* \-#,##0_ ;_ &quot;$&quot;* &quot;-&quot;_ ;_ @_ "/>
    <numFmt numFmtId="216" formatCode="#,##0&quot; đ/chuyến x &quot;"/>
    <numFmt numFmtId="217" formatCode="#,##0&quot; chuyến&quot;"/>
    <numFmt numFmtId="218" formatCode="#,##0&quot;mx2.833 ñ/mx1,76x0,8&quot;"/>
    <numFmt numFmtId="219" formatCode="#,##0&quot; ñx3,17%x(1,13+0,1)x1,05&quot;"/>
    <numFmt numFmtId="220" formatCode="#,##0&quot; ñx3,17%x(0,8+0,1)x1,05&quot;"/>
    <numFmt numFmtId="221" formatCode="#,##0&quot; ñx3,17%x(2,57+0,1)x1,05&quot;"/>
    <numFmt numFmtId="222" formatCode="#,##0&quot;mx2.833 ñ/mx1,39&quot;"/>
    <numFmt numFmtId="223" formatCode="#,##0&quot;mx1.678 ñ/mx1,39&quot;"/>
    <numFmt numFmtId="224" formatCode="#,##0&quot; ñ x 0,908%&quot;"/>
    <numFmt numFmtId="225" formatCode="#,##0&quot; đ&quot;"/>
    <numFmt numFmtId="226" formatCode="_-&quot;$&quot;\ * #,##0_-;\-&quot;$&quot;\ * #,##0_-;_-&quot;$&quot;\ * &quot;-&quot;_-;_-@_-"/>
    <numFmt numFmtId="227" formatCode="0.000"/>
    <numFmt numFmtId="228" formatCode="_ * #,##0.00_)_V_N_D_ ;_ * \(#,##0.00\)_V_N_D_ ;_ * &quot;-&quot;??_)_V_N_D_ ;_ @_ "/>
    <numFmt numFmtId="229" formatCode="&quot;£&quot;#,##0.00;\-&quot;&quot;\£&quot;&quot;#,##0.00"/>
    <numFmt numFmtId="230" formatCode="&quot;£&quot;#,##0;&quot;£&quot;\-#,##0"/>
    <numFmt numFmtId="231" formatCode="_ * #,##0.00_)\ &quot;F&quot;_ ;_ * \(#,##0.00\)\ &quot;F&quot;_ ;_ * &quot;-&quot;??_)\ &quot;F&quot;_ ;_ @_ "/>
    <numFmt numFmtId="232" formatCode="_-* #,##0\ _V_N_D_-;\-* #,##0\ _V_N_D_-;_-* &quot;-&quot;\ _V_N_D_-;_-@_-"/>
    <numFmt numFmtId="233" formatCode="_-* #,##0.00\ _V_N_D_-;\-* #,##0.00\ _V_N_D_-;_-* &quot;-&quot;??\ _V_N_D_-;_-@_-"/>
    <numFmt numFmtId="234" formatCode="_ * #,##0_-_V_N_Ñ_ ;_ * #,##0\-_V_N_Ñ_ ;_ * &quot;-&quot;_-_V_N_Ñ_ ;_ @_ "/>
    <numFmt numFmtId="235" formatCode="_ * #,##0.00_-_V_N_Ñ_ ;_ * #,##0.00\-_V_N_Ñ_ ;_ * &quot;-&quot;??_-_V_N_Ñ_ ;_ @_ "/>
    <numFmt numFmtId="236" formatCode="#,##0\ &quot;$&quot;_);[Red]\(#,##0\ &quot;$&quot;\)"/>
    <numFmt numFmtId="237" formatCode="&quot;$&quot;###,0&quot;.&quot;00_);[Red]\(&quot;$&quot;###,0&quot;.&quot;00\)"/>
    <numFmt numFmtId="238" formatCode="_(* #,##0.000_);_(* \(#,##0.000\);_(* &quot;-&quot;??_);_(@_)"/>
    <numFmt numFmtId="239" formatCode="_(* #,##0.0000_);_(* \(#,##0.0000\);_(* &quot;-&quot;??_);_(@_)"/>
    <numFmt numFmtId="240" formatCode="_(&quot;$&quot;\ * #,##0_);_(&quot;$&quot;\ * \(#,##0\);_(&quot;$&quot;\ * &quot;-&quot;_);_(@_)"/>
    <numFmt numFmtId="241" formatCode="_(* #,##0.000000_);_(* \(#,##0.000000\);_(* &quot;-&quot;??_);_(@_)"/>
    <numFmt numFmtId="242" formatCode="_-* #,##0\ _€_-;\-* #,##0\ _€_-;_-* &quot;-&quot;\ _€_-;_-@_-"/>
    <numFmt numFmtId="243" formatCode="_-* #,##0.00\ _€_-;\-* #,##0.00\ _€_-;_-* &quot;-&quot;??\ _€_-;_-@_-"/>
    <numFmt numFmtId="244" formatCode="0.0"/>
    <numFmt numFmtId="245" formatCode="#&quot;kVar&quot;"/>
    <numFmt numFmtId="246" formatCode="#&quot;mm2&quot;"/>
    <numFmt numFmtId="247" formatCode="#&quot;A&quot;"/>
    <numFmt numFmtId="248" formatCode="&quot;CV&quot;#"/>
    <numFmt numFmtId="249" formatCode="#&quot; K&quot;"/>
    <numFmt numFmtId="250" formatCode="General&quot; kVA&quot;"/>
    <numFmt numFmtId="251" formatCode="0.00&quot; kV&quot;"/>
    <numFmt numFmtId="252" formatCode="0.000&quot; kW&quot;"/>
    <numFmt numFmtId="253" formatCode="0.0&quot; kVA&quot;"/>
    <numFmt numFmtId="254" formatCode="0.00000"/>
    <numFmt numFmtId="255" formatCode="0&quot; Ω&quot;"/>
    <numFmt numFmtId="256" formatCode="0.0&quot; m&quot;"/>
    <numFmt numFmtId="257" formatCode="#,##0.000"/>
    <numFmt numFmtId="258" formatCode="#.0&quot; %&quot;"/>
    <numFmt numFmtId="259" formatCode="0.0000"/>
    <numFmt numFmtId="260" formatCode="0.000&quot; [kW]&quot;"/>
    <numFmt numFmtId="261" formatCode="0.00&quot; [kV]&quot;"/>
    <numFmt numFmtId="262" formatCode="0.000&quot; [A]&quot;"/>
    <numFmt numFmtId="263" formatCode="0.0&quot; [kVA]&quot;"/>
    <numFmt numFmtId="264" formatCode="0.00&quot; [kW]&quot;"/>
    <numFmt numFmtId="265" formatCode="0.00&quot;[ kVA]&quot;"/>
    <numFmt numFmtId="266" formatCode="#.0&quot; [%]&quot;"/>
    <numFmt numFmtId="267" formatCode="0.000&quot; [kA]&quot;"/>
    <numFmt numFmtId="268" formatCode="0&quot; [kA]&quot;"/>
    <numFmt numFmtId="269" formatCode="0.0&quot; [Ω]&quot;"/>
    <numFmt numFmtId="270" formatCode="0&quot; [Ω]&quot;"/>
    <numFmt numFmtId="271" formatCode="0.000&quot; m&quot;"/>
    <numFmt numFmtId="272" formatCode="0&quot; [daN/m2]&quot;"/>
    <numFmt numFmtId="273" formatCode="0.0&quot; [mm]&quot;"/>
    <numFmt numFmtId="274" formatCode="0&quot; [mm2]&quot;"/>
    <numFmt numFmtId="275" formatCode="0.000&quot; [m]&quot;"/>
    <numFmt numFmtId="276" formatCode="0&quot; [m]&quot;"/>
    <numFmt numFmtId="277" formatCode="0.0&quot; [m]&quot;"/>
    <numFmt numFmtId="278" formatCode="#,###.0&quot; [m]&quot;"/>
    <numFmt numFmtId="279" formatCode="#,##0.00000"/>
    <numFmt numFmtId="280" formatCode="#,###.00&quot; [N]&quot;"/>
    <numFmt numFmtId="281" formatCode="0.00000&quot; [m]&quot;"/>
    <numFmt numFmtId="282" formatCode="#,###.00&quot; [N m]&quot;"/>
    <numFmt numFmtId="283" formatCode="#,##0.00&quot; [N]&quot;"/>
    <numFmt numFmtId="284" formatCode="#,##0.00&quot; [kgf]&quot;"/>
    <numFmt numFmtId="285" formatCode="#,##0&quot; [kgf]&quot;"/>
    <numFmt numFmtId="286" formatCode="0.00000000000"/>
    <numFmt numFmtId="287" formatCode="#,###.0&quot; [N m]&quot;"/>
    <numFmt numFmtId="288" formatCode="00,000"/>
    <numFmt numFmtId="289" formatCode="000,000"/>
    <numFmt numFmtId="290" formatCode="#,##0&quot;đ x 2,806%x1,1&quot;"/>
    <numFmt numFmtId="291" formatCode="&quot;Knc = &quot;#,###.0000"/>
    <numFmt numFmtId="292" formatCode="&quot;Kmtc = &quot;#,###.0000"/>
    <numFmt numFmtId="293" formatCode="#,##0&quot; m x 5252,64đ/m x 0,8 x 1,1&quot;"/>
    <numFmt numFmtId="294" formatCode="#,##0.00&quot;ha x 2090090 đ/ha x 1,1&quot;"/>
    <numFmt numFmtId="295" formatCode="#,##0.00&quot; ha x 2090090đ/ha x 1,1&quot;"/>
    <numFmt numFmtId="296" formatCode="#,##0&quot; km&quot;"/>
    <numFmt numFmtId="297" formatCode="#,##0&quot; tấn x&quot;"/>
    <numFmt numFmtId="298" formatCode="#,##0&quot;đồng/tấn.kmx1,3/0,9x1,3x&quot;"/>
    <numFmt numFmtId="299" formatCode="#,##0&quot;đx5%x1.1&quot;"/>
    <numFmt numFmtId="300" formatCode="_(* #,##0.0_);_(* \(#,##0.0\);_(* &quot;-&quot;??_);_(@_)"/>
    <numFmt numFmtId="301" formatCode="_-* #,##0.000\ _F_-;\-* #,##0.000\ _F_-;_-* &quot;-&quot;??\ _F_-;_-@_-"/>
    <numFmt numFmtId="302" formatCode="#,##0.0_);[Red]\(#,##0.0\)"/>
    <numFmt numFmtId="303" formatCode="#,##0.0000"/>
    <numFmt numFmtId="304" formatCode="_-* #,##0.00\ _$_-;\-* #,##0.00\ _$_-;_-* &quot;-&quot;??\ _$_-;_-@_-"/>
    <numFmt numFmtId="305" formatCode="#,##0.00&quot;VND&quot;;[Red]\-#,##0.00&quot;VND&quot;"/>
    <numFmt numFmtId="306" formatCode="_-* #,##0&quot;VND&quot;_-;\-* #,##0&quot;VND&quot;_-;_-* &quot;-&quot;&quot;VND&quot;_-;_-@_-"/>
    <numFmt numFmtId="307" formatCode="_(&quot;Rp&quot;* #,##0.00_);_(&quot;Rp&quot;* \(#,##0.00\);_(&quot;Rp&quot;* &quot;-&quot;??_);_(@_)"/>
    <numFmt numFmtId="308" formatCode="\ \ \ \ \ \ \+\ @"/>
    <numFmt numFmtId="310" formatCode="_-&quot;XDR&quot;* #,##0_-;\-&quot;XDR&quot;* #,##0_-;_-&quot;XDR&quot;* &quot;-&quot;_-;_-@_-"/>
    <numFmt numFmtId="311" formatCode="_-* #,##0\ &quot;XDR&quot;_-;\-* #,##0\ &quot;XDR&quot;_-;_-* &quot;-&quot;\ &quot;XDR&quot;_-;_-@_-"/>
    <numFmt numFmtId="312" formatCode="_ * #,##0_)\ &quot;XDR&quot;_ ;_ * \(#,##0\)\ &quot;XDR&quot;_ ;_ * &quot;-&quot;_)\ &quot;XDR&quot;_ ;_ @_ "/>
    <numFmt numFmtId="313" formatCode="_-* #,##0&quot;XDR&quot;_-;\-* #,##0&quot;XDR&quot;_-;_-* &quot;-&quot;&quot;XDR&quot;_-;_-@_-"/>
    <numFmt numFmtId="314" formatCode="_ &quot;XDR&quot;* #,##0_ ;_ &quot;XDR&quot;* \-#,##0_ ;_ &quot;XDR&quot;* &quot;-&quot;_ ;_ @_ "/>
    <numFmt numFmtId="315" formatCode="_-&quot;XDR&quot;\ * #,##0_-;\-&quot;XDR&quot;\ * #,##0_-;_-&quot;XDR&quot;\ * &quot;-&quot;_-;_-@_-"/>
    <numFmt numFmtId="316" formatCode="_(&quot;XDR&quot;\ * #,##0_);_(&quot;XDR&quot;\ * \(#,##0\);_(&quot;XDR&quot;\ * &quot;-&quot;_);_(@_)"/>
    <numFmt numFmtId="317" formatCode="_-* #,##0.00\ _₫_-;\-* #,##0.00\ _₫_-;_-* &quot;-&quot;??\ _₫_-;_-@_-"/>
    <numFmt numFmtId="318" formatCode="_-&quot;₫&quot;* #,##0_-;\-&quot;₫&quot;* #,##0_-;_-&quot;₫&quot;* &quot;-&quot;_-;_-@_-"/>
    <numFmt numFmtId="319" formatCode="_-&quot;₫&quot;* #,##0.00_-;\-&quot;₫&quot;* #,##0.00_-;_-&quot;₫&quot;* &quot;-&quot;??_-;_-@_-"/>
    <numFmt numFmtId="320" formatCode="_-&quot;₫&quot;\ * #,##0_-;\-&quot;₫&quot;\ * #,##0_-;_-&quot;₫&quot;\ * &quot;-&quot;_-;_-@_-"/>
    <numFmt numFmtId="321" formatCode="_-&quot;₫&quot;\ * #,##0.00_-;\-&quot;₫&quot;\ * #,##0.00_-;_-&quot;₫&quot;\ * &quot;-&quot;??_-;_-@_-"/>
    <numFmt numFmtId="322" formatCode="_-* #,##0.00&quot;ñ&quot;_-;_-* #,##0.00&quot;ñ&quot;\-;_-* &quot;-&quot;??&quot;ñ&quot;_-;_-@_-"/>
    <numFmt numFmtId="323" formatCode="&quot;\&quot;#,##0.00;[Red]&quot;\&quot;\-#,##0.00"/>
  </numFmts>
  <fonts count="212">
    <font>
      <sz val="10"/>
      <name val="Times New Roman"/>
    </font>
    <font>
      <sz val="11"/>
      <color theme="1"/>
      <name val="Calibri"/>
      <family val="2"/>
      <scheme val="minor"/>
    </font>
    <font>
      <sz val="10"/>
      <name val="Times New Roman"/>
      <family val="1"/>
    </font>
    <font>
      <b/>
      <sz val="14"/>
      <name val="Times New Roman"/>
      <family val="1"/>
    </font>
    <font>
      <b/>
      <sz val="12"/>
      <name val="Times New Roman"/>
      <family val="1"/>
    </font>
    <font>
      <sz val="11"/>
      <name val="Times New Roman"/>
      <family val="1"/>
    </font>
    <font>
      <b/>
      <sz val="11"/>
      <name val="Times New Roman"/>
      <family val="1"/>
    </font>
    <font>
      <sz val="13"/>
      <name val="Times New Roman"/>
      <family val="1"/>
    </font>
    <font>
      <b/>
      <sz val="13"/>
      <name val="Times New Roman"/>
      <family val="1"/>
    </font>
    <font>
      <b/>
      <sz val="16"/>
      <name val="Times New Roman"/>
      <family val="1"/>
    </font>
    <font>
      <sz val="10"/>
      <name val="Times New Roman"/>
      <family val="1"/>
    </font>
    <font>
      <b/>
      <sz val="10"/>
      <name val="Times New Roman"/>
      <family val="1"/>
    </font>
    <font>
      <sz val="10"/>
      <color indexed="9"/>
      <name val="Times New Roman"/>
      <family val="1"/>
    </font>
    <font>
      <sz val="9"/>
      <name val="Times New Roman"/>
      <family val="1"/>
    </font>
    <font>
      <sz val="12"/>
      <name val="Times New Roman"/>
      <family val="1"/>
    </font>
    <font>
      <b/>
      <i/>
      <sz val="14"/>
      <name val="Times New Roman"/>
      <family val="1"/>
    </font>
    <font>
      <sz val="10"/>
      <name val="VNI-Times"/>
    </font>
    <font>
      <sz val="12"/>
      <name val="???"/>
      <family val="3"/>
    </font>
    <font>
      <sz val="12"/>
      <name val="VNI-Times"/>
    </font>
    <font>
      <sz val="12"/>
      <color indexed="8"/>
      <name val="¹ÙÅÁÃ¼"/>
      <family val="1"/>
      <charset val="129"/>
    </font>
    <font>
      <sz val="14"/>
      <name val="VNI-Times"/>
    </font>
    <font>
      <sz val="12"/>
      <name val="¹UAAA¼"/>
      <family val="3"/>
      <charset val="129"/>
    </font>
    <font>
      <sz val="11"/>
      <name val="VNI-Times"/>
    </font>
    <font>
      <sz val="12"/>
      <name val="¹ÙÅÁÃ¼"/>
      <charset val="129"/>
    </font>
    <font>
      <sz val="11"/>
      <name val="µ¸¿ò"/>
      <charset val="129"/>
    </font>
    <font>
      <b/>
      <sz val="10"/>
      <name val="Helv"/>
    </font>
    <font>
      <sz val="10"/>
      <name val="Arial"/>
      <family val="2"/>
    </font>
    <font>
      <sz val="11"/>
      <name val="VNtimes new roman"/>
      <family val="2"/>
    </font>
    <font>
      <sz val="8"/>
      <name val="Arial"/>
      <family val="2"/>
    </font>
    <font>
      <b/>
      <sz val="12"/>
      <name val="Helv"/>
    </font>
    <font>
      <b/>
      <sz val="12"/>
      <name val="Arial"/>
      <family val="2"/>
    </font>
    <font>
      <b/>
      <sz val="18"/>
      <name val="Arial"/>
      <family val="2"/>
    </font>
    <font>
      <b/>
      <sz val="11"/>
      <name val="Helv"/>
    </font>
    <font>
      <b/>
      <i/>
      <sz val="16"/>
      <name val="Helv"/>
    </font>
    <font>
      <sz val="10"/>
      <name val="Arial"/>
      <family val="2"/>
    </font>
    <font>
      <sz val="13"/>
      <name val=".VnTime"/>
      <family val="2"/>
    </font>
    <font>
      <sz val="12"/>
      <name val=".VnTime"/>
      <family val="2"/>
    </font>
    <font>
      <sz val="10"/>
      <name val="VNI-Univer"/>
    </font>
    <font>
      <sz val="10"/>
      <name val="VNI-Helve-Condense"/>
    </font>
    <font>
      <sz val="14"/>
      <name val="뼻뮝"/>
      <family val="3"/>
      <charset val="129"/>
    </font>
    <font>
      <sz val="12"/>
      <name val="바탕체"/>
      <family val="3"/>
    </font>
    <font>
      <sz val="12"/>
      <name val="뼻뮝"/>
      <family val="1"/>
      <charset val="129"/>
    </font>
    <font>
      <sz val="12"/>
      <name val="新細明體"/>
      <charset val="136"/>
    </font>
    <font>
      <sz val="10"/>
      <name val="굴림체"/>
      <family val="3"/>
      <charset val="129"/>
    </font>
    <font>
      <sz val="12"/>
      <name val="????"/>
      <charset val="136"/>
    </font>
    <font>
      <sz val="10"/>
      <color indexed="8"/>
      <name val="VNI-Times"/>
    </font>
    <font>
      <sz val="8"/>
      <name val="Tahoma"/>
      <family val="2"/>
    </font>
    <font>
      <sz val="10"/>
      <name val="MS Sans Serif"/>
      <family val="2"/>
    </font>
    <font>
      <sz val="12"/>
      <name val="Courier"/>
      <family val="3"/>
    </font>
    <font>
      <i/>
      <sz val="10"/>
      <name val="VNI-Times"/>
    </font>
    <font>
      <sz val="10"/>
      <color indexed="8"/>
      <name val="Times New Roman"/>
      <family val="1"/>
    </font>
    <font>
      <sz val="10"/>
      <color indexed="10"/>
      <name val="Times New Roman"/>
      <family val="1"/>
    </font>
    <font>
      <b/>
      <sz val="10"/>
      <color indexed="10"/>
      <name val="Times New Roman"/>
      <family val="1"/>
    </font>
    <font>
      <b/>
      <vertAlign val="subscript"/>
      <sz val="10"/>
      <color indexed="10"/>
      <name val="Times New Roman"/>
      <family val="1"/>
    </font>
    <font>
      <b/>
      <sz val="10"/>
      <color indexed="8"/>
      <name val="VNI-Times"/>
    </font>
    <font>
      <vertAlign val="subscript"/>
      <sz val="10"/>
      <color indexed="10"/>
      <name val="Times New Roman"/>
      <family val="1"/>
    </font>
    <font>
      <b/>
      <sz val="10"/>
      <color indexed="8"/>
      <name val="Times New Roman"/>
      <family val="1"/>
    </font>
    <font>
      <b/>
      <sz val="10"/>
      <color indexed="12"/>
      <name val="Times New Roman"/>
      <family val="1"/>
    </font>
    <font>
      <b/>
      <sz val="10"/>
      <color indexed="9"/>
      <name val="Times New Roman"/>
      <family val="1"/>
    </font>
    <font>
      <vertAlign val="subscript"/>
      <sz val="10"/>
      <name val="Times New Roman"/>
      <family val="1"/>
    </font>
    <font>
      <sz val="9"/>
      <color indexed="8"/>
      <name val="Times New Roman"/>
      <family val="1"/>
    </font>
    <font>
      <b/>
      <u/>
      <sz val="12"/>
      <name val="Times New Roman"/>
      <family val="1"/>
    </font>
    <font>
      <b/>
      <sz val="10"/>
      <name val="VNI-Times"/>
    </font>
    <font>
      <b/>
      <i/>
      <sz val="10"/>
      <name val="VNI-Times"/>
    </font>
    <font>
      <b/>
      <sz val="12"/>
      <name val="VNI-Times"/>
    </font>
    <font>
      <sz val="9"/>
      <name val="VNI-Times"/>
    </font>
    <font>
      <b/>
      <sz val="9"/>
      <color indexed="10"/>
      <name val="Times New Roman"/>
      <family val="1"/>
    </font>
    <font>
      <b/>
      <sz val="9"/>
      <name val="Times New Roman"/>
      <family val="1"/>
    </font>
    <font>
      <b/>
      <u/>
      <sz val="11"/>
      <name val="Times New Roman"/>
      <family val="1"/>
    </font>
    <font>
      <i/>
      <sz val="11"/>
      <name val="VNI-Times"/>
    </font>
    <font>
      <sz val="14"/>
      <name val="Times New Roman"/>
      <family val="1"/>
    </font>
    <font>
      <sz val="11"/>
      <color indexed="9"/>
      <name val="Times New Roman"/>
      <family val="1"/>
    </font>
    <font>
      <i/>
      <sz val="11"/>
      <name val="Times New Roman"/>
      <family val="1"/>
    </font>
    <font>
      <b/>
      <i/>
      <sz val="12"/>
      <name val="Times New Roman"/>
      <family val="1"/>
    </font>
    <font>
      <i/>
      <sz val="12"/>
      <name val="Times New Roman"/>
      <family val="1"/>
    </font>
    <font>
      <sz val="8"/>
      <name val="Times New Roman"/>
      <family val="1"/>
    </font>
    <font>
      <b/>
      <u/>
      <sz val="10"/>
      <name val="VNI-Times"/>
    </font>
    <font>
      <b/>
      <u/>
      <sz val="10"/>
      <name val="Times New Roman"/>
      <family val="1"/>
    </font>
    <font>
      <b/>
      <u/>
      <sz val="9"/>
      <color indexed="10"/>
      <name val="Times New Roman"/>
      <family val="1"/>
    </font>
    <font>
      <sz val="10"/>
      <name val="Geneva"/>
    </font>
    <font>
      <i/>
      <sz val="12"/>
      <name val="VNI-Times"/>
    </font>
    <font>
      <sz val="10"/>
      <name val="Symbol"/>
      <family val="1"/>
      <charset val="2"/>
    </font>
    <font>
      <b/>
      <sz val="10"/>
      <name val="VNI-Univer"/>
    </font>
    <font>
      <b/>
      <u/>
      <sz val="10"/>
      <color indexed="8"/>
      <name val="Times New Roman"/>
      <family val="1"/>
    </font>
    <font>
      <vertAlign val="subscript"/>
      <sz val="12"/>
      <name val="Times New Roman"/>
      <family val="1"/>
    </font>
    <font>
      <u/>
      <sz val="9"/>
      <name val="Times New Roman"/>
      <family val="1"/>
    </font>
    <font>
      <b/>
      <u/>
      <sz val="9"/>
      <name val="Times New Roman"/>
      <family val="1"/>
    </font>
    <font>
      <i/>
      <sz val="10"/>
      <name val="Times New Roman"/>
      <family val="1"/>
    </font>
    <font>
      <b/>
      <i/>
      <sz val="10"/>
      <name val="Times New Roman"/>
      <family val="1"/>
    </font>
    <font>
      <b/>
      <i/>
      <u/>
      <sz val="9"/>
      <name val="Times New Roman"/>
      <family val="1"/>
    </font>
    <font>
      <i/>
      <sz val="9"/>
      <name val="Times New Roman"/>
      <family val="1"/>
    </font>
    <font>
      <b/>
      <sz val="18"/>
      <name val="Times New Roman"/>
      <family val="1"/>
    </font>
    <font>
      <sz val="12"/>
      <color indexed="49"/>
      <name val="Times New Roman"/>
      <family val="1"/>
    </font>
    <font>
      <sz val="12"/>
      <color indexed="9"/>
      <name val="Times New Roman"/>
      <family val="1"/>
    </font>
    <font>
      <b/>
      <u/>
      <sz val="13"/>
      <name val="Times New Roman"/>
      <family val="1"/>
    </font>
    <font>
      <i/>
      <u/>
      <sz val="13"/>
      <name val="Times New Roman"/>
      <family val="1"/>
    </font>
    <font>
      <u/>
      <sz val="12"/>
      <name val="Times New Roman"/>
      <family val="1"/>
    </font>
    <font>
      <sz val="16"/>
      <name val="Times New Roman"/>
      <family val="1"/>
    </font>
    <font>
      <vertAlign val="subscript"/>
      <sz val="11"/>
      <name val="Times New Roman"/>
      <family val="1"/>
    </font>
    <font>
      <sz val="18"/>
      <name val="Times New Roman"/>
      <family val="1"/>
    </font>
    <font>
      <b/>
      <sz val="12"/>
      <color indexed="10"/>
      <name val="Times New Roman"/>
      <family val="1"/>
    </font>
    <font>
      <b/>
      <vertAlign val="subscript"/>
      <sz val="12"/>
      <color indexed="10"/>
      <name val="Times New Roman"/>
      <family val="1"/>
    </font>
    <font>
      <b/>
      <sz val="12"/>
      <name val="Times New Roman"/>
      <family val="1"/>
      <charset val="238"/>
    </font>
    <font>
      <sz val="10"/>
      <name val="??"/>
      <family val="3"/>
      <charset val="129"/>
    </font>
    <font>
      <sz val="10"/>
      <name val=".VnArial"/>
      <family val="2"/>
    </font>
    <font>
      <sz val="12"/>
      <name val="???"/>
      <family val="1"/>
      <charset val="129"/>
    </font>
    <font>
      <sz val="10"/>
      <name val="MS Sans Serif"/>
      <family val="2"/>
    </font>
    <font>
      <sz val="12"/>
      <name val="Arial"/>
      <family val="2"/>
    </font>
    <font>
      <sz val="14"/>
      <name val=".Vn3DH"/>
      <family val="2"/>
    </font>
    <font>
      <b/>
      <sz val="9"/>
      <name val="Arial"/>
      <family val="2"/>
    </font>
    <font>
      <sz val="10"/>
      <name val=" "/>
      <family val="1"/>
      <charset val="136"/>
    </font>
    <font>
      <b/>
      <sz val="28"/>
      <name val="Times New Roman"/>
      <family val="1"/>
    </font>
    <font>
      <b/>
      <sz val="20"/>
      <name val="Times New Roman"/>
      <family val="1"/>
    </font>
    <font>
      <b/>
      <sz val="19"/>
      <name val="Times New Roman"/>
      <family val="1"/>
    </font>
    <font>
      <b/>
      <sz val="31"/>
      <name val="Times New Roman"/>
      <family val="1"/>
    </font>
    <font>
      <vertAlign val="superscript"/>
      <sz val="13"/>
      <name val="Times New Roman"/>
      <family val="1"/>
    </font>
    <font>
      <vertAlign val="subscript"/>
      <sz val="13"/>
      <name val="Times New Roman"/>
      <family val="1"/>
    </font>
    <font>
      <b/>
      <vertAlign val="subscript"/>
      <sz val="13"/>
      <name val="Times New Roman"/>
      <family val="1"/>
    </font>
    <font>
      <b/>
      <sz val="8"/>
      <color indexed="81"/>
      <name val="Tahoma"/>
      <family val="2"/>
    </font>
    <font>
      <b/>
      <sz val="12"/>
      <color indexed="61"/>
      <name val="Times New Roman"/>
      <family val="1"/>
    </font>
    <font>
      <b/>
      <sz val="12"/>
      <name val="Symbol"/>
      <family val="1"/>
      <charset val="2"/>
    </font>
    <font>
      <sz val="12"/>
      <name val="Times New Roman"/>
      <family val="1"/>
    </font>
    <font>
      <vertAlign val="superscript"/>
      <sz val="12"/>
      <name val="Times New Roman"/>
      <family val="1"/>
    </font>
    <font>
      <b/>
      <vertAlign val="subscript"/>
      <sz val="10"/>
      <name val="Times New Roman"/>
      <family val="1"/>
    </font>
    <font>
      <b/>
      <sz val="14"/>
      <color indexed="81"/>
      <name val="Times New Roman"/>
      <family val="1"/>
    </font>
    <font>
      <sz val="12"/>
      <color indexed="9"/>
      <name val="Times New Roman"/>
      <family val="1"/>
    </font>
    <font>
      <sz val="13"/>
      <color indexed="9"/>
      <name val="Times New Roman"/>
      <family val="1"/>
    </font>
    <font>
      <sz val="13"/>
      <color indexed="8"/>
      <name val="Times New Roman"/>
      <family val="1"/>
    </font>
    <font>
      <sz val="10"/>
      <color indexed="81"/>
      <name val="Times New Roman"/>
      <family val="1"/>
    </font>
    <font>
      <b/>
      <sz val="10"/>
      <color indexed="81"/>
      <name val="Times New Roman"/>
      <family val="1"/>
    </font>
    <font>
      <sz val="16.899999999999999"/>
      <name val="Times New Roman"/>
      <family val="1"/>
    </font>
    <font>
      <sz val="8"/>
      <color indexed="81"/>
      <name val="Times New Roman"/>
      <family val="1"/>
    </font>
    <font>
      <sz val="12"/>
      <color indexed="10"/>
      <name val="Times New Roman"/>
      <family val="1"/>
    </font>
    <font>
      <sz val="13"/>
      <name val="Times New Roman"/>
      <family val="1"/>
    </font>
    <font>
      <b/>
      <sz val="13"/>
      <name val="Times New Roman"/>
      <family val="1"/>
    </font>
    <font>
      <b/>
      <vertAlign val="superscript"/>
      <sz val="13"/>
      <name val="Times New Roman"/>
      <family val="1"/>
    </font>
    <font>
      <sz val="13"/>
      <color indexed="10"/>
      <name val="Times New Roman"/>
      <family val="1"/>
    </font>
    <font>
      <b/>
      <sz val="13"/>
      <color indexed="10"/>
      <name val="Times New Roman"/>
      <family val="1"/>
    </font>
    <font>
      <sz val="10"/>
      <color indexed="10"/>
      <name val="Arial"/>
      <family val="2"/>
    </font>
    <font>
      <b/>
      <sz val="10"/>
      <color indexed="8"/>
      <name val="Verdana"/>
      <family val="2"/>
    </font>
    <font>
      <vertAlign val="subscript"/>
      <sz val="16.899999999999999"/>
      <name val="Times New Roman"/>
      <family val="1"/>
    </font>
    <font>
      <vertAlign val="subscript"/>
      <sz val="13"/>
      <color indexed="10"/>
      <name val="Times New Roman"/>
      <family val="1"/>
    </font>
    <font>
      <vertAlign val="superscript"/>
      <sz val="13"/>
      <color indexed="10"/>
      <name val="Times New Roman"/>
      <family val="1"/>
    </font>
    <font>
      <b/>
      <sz val="12"/>
      <color indexed="81"/>
      <name val="Times New Roman"/>
      <family val="1"/>
    </font>
    <font>
      <sz val="12"/>
      <color indexed="81"/>
      <name val="Times New Roman"/>
      <family val="1"/>
    </font>
    <font>
      <sz val="10"/>
      <name val="Times New Roman"/>
      <family val="1"/>
    </font>
    <font>
      <sz val="10"/>
      <color indexed="12"/>
      <name val="Times New Roman"/>
      <family val="1"/>
    </font>
    <font>
      <b/>
      <i/>
      <sz val="10"/>
      <color indexed="12"/>
      <name val="Times New Roman"/>
      <family val="1"/>
    </font>
    <font>
      <vertAlign val="superscript"/>
      <sz val="10"/>
      <name val="Times New Roman"/>
      <family val="1"/>
    </font>
    <font>
      <sz val="11"/>
      <color indexed="9"/>
      <name val="Times New Roman"/>
      <family val="1"/>
    </font>
    <font>
      <sz val="12"/>
      <color indexed="9"/>
      <name val="Times New Roman"/>
      <family val="1"/>
    </font>
    <font>
      <sz val="10"/>
      <color indexed="8"/>
      <name val="Arial"/>
      <family val="2"/>
    </font>
    <font>
      <sz val="8"/>
      <name val="Times New Roman"/>
      <family val="1"/>
    </font>
    <font>
      <sz val="11"/>
      <color indexed="22"/>
      <name val="Times New Roman"/>
      <family val="1"/>
    </font>
    <font>
      <sz val="8"/>
      <color indexed="81"/>
      <name val="Tahoma"/>
      <family val="2"/>
    </font>
    <font>
      <sz val="12"/>
      <color indexed="8"/>
      <name val="Times New Roman"/>
      <family val="1"/>
    </font>
    <font>
      <b/>
      <sz val="15"/>
      <color indexed="12"/>
      <name val="Times New Roman"/>
      <family val="1"/>
    </font>
    <font>
      <b/>
      <i/>
      <sz val="11"/>
      <name val="Times New Roman"/>
      <family val="1"/>
    </font>
    <font>
      <b/>
      <sz val="17"/>
      <name val="Times New Roman"/>
      <family val="1"/>
    </font>
    <font>
      <b/>
      <sz val="15"/>
      <name val="Times New Roman"/>
      <family val="1"/>
    </font>
    <font>
      <sz val="11"/>
      <color indexed="10"/>
      <name val="Times New Roman"/>
      <family val="1"/>
    </font>
    <font>
      <sz val="9"/>
      <color indexed="10"/>
      <name val="Times New Roman"/>
      <family val="1"/>
    </font>
    <font>
      <b/>
      <sz val="14"/>
      <color indexed="12"/>
      <name val="Times New Roman"/>
      <family val="1"/>
    </font>
    <font>
      <b/>
      <u/>
      <sz val="12"/>
      <name val="VNI-Times"/>
    </font>
    <font>
      <sz val="9"/>
      <color indexed="81"/>
      <name val="Tahoma"/>
      <family val="2"/>
    </font>
    <font>
      <b/>
      <sz val="9"/>
      <color indexed="81"/>
      <name val="Tahoma"/>
      <family val="2"/>
    </font>
    <font>
      <sz val="11"/>
      <name val="Times New Roman"/>
      <family val="1"/>
    </font>
    <font>
      <b/>
      <vertAlign val="superscript"/>
      <sz val="10"/>
      <name val="Times New Roman"/>
      <family val="1"/>
    </font>
    <font>
      <b/>
      <sz val="10"/>
      <color indexed="10"/>
      <name val="VNI-Times"/>
    </font>
    <font>
      <b/>
      <vertAlign val="subscript"/>
      <sz val="10"/>
      <color indexed="10"/>
      <name val="VNI-Times"/>
    </font>
    <font>
      <b/>
      <sz val="11"/>
      <color indexed="8"/>
      <name val="Times New Roman"/>
      <family val="1"/>
    </font>
    <font>
      <b/>
      <vertAlign val="subscript"/>
      <sz val="10"/>
      <color indexed="12"/>
      <name val="Times New Roman"/>
      <family val="1"/>
    </font>
    <font>
      <b/>
      <sz val="12"/>
      <color indexed="81"/>
      <name val="Times New Roman"/>
      <family val="1"/>
      <charset val="238"/>
    </font>
    <font>
      <b/>
      <sz val="15.5"/>
      <name val="Times New Roman"/>
      <family val="1"/>
    </font>
    <font>
      <sz val="12"/>
      <name val="Times New Roman"/>
      <family val="1"/>
    </font>
    <font>
      <i/>
      <sz val="9"/>
      <color indexed="8"/>
      <name val="Times New Roman"/>
      <family val="1"/>
    </font>
    <font>
      <i/>
      <sz val="9"/>
      <color indexed="12"/>
      <name val="Times New Roman"/>
      <family val="1"/>
    </font>
    <font>
      <i/>
      <sz val="9"/>
      <color indexed="8"/>
      <name val="VNI-Times"/>
    </font>
    <font>
      <b/>
      <sz val="12"/>
      <color indexed="8"/>
      <name val="Times New Roman"/>
      <family val="1"/>
    </font>
    <font>
      <b/>
      <sz val="13"/>
      <color indexed="8"/>
      <name val="Times New Roman"/>
      <family val="1"/>
    </font>
    <font>
      <sz val="10"/>
      <color indexed="10"/>
      <name val="Times New Roman"/>
      <family val="1"/>
    </font>
    <font>
      <b/>
      <sz val="8"/>
      <color indexed="8"/>
      <name val="Times New Roman"/>
      <family val="1"/>
    </font>
    <font>
      <i/>
      <sz val="13"/>
      <color indexed="8"/>
      <name val="Times New Roman"/>
      <family val="1"/>
    </font>
    <font>
      <b/>
      <i/>
      <sz val="13"/>
      <color indexed="10"/>
      <name val="Times New Roman"/>
      <family val="1"/>
    </font>
    <font>
      <b/>
      <sz val="10"/>
      <color indexed="10"/>
      <name val="Times New Roman"/>
      <family val="1"/>
    </font>
    <font>
      <b/>
      <vertAlign val="subscript"/>
      <sz val="13"/>
      <color indexed="8"/>
      <name val="Times New Roman"/>
      <family val="1"/>
    </font>
    <font>
      <sz val="10"/>
      <name val="Times New Roman"/>
      <family val="1"/>
    </font>
    <font>
      <sz val="10"/>
      <name val="Arial"/>
      <family val="2"/>
    </font>
    <font>
      <u/>
      <sz val="10"/>
      <color indexed="12"/>
      <name val="Arial"/>
      <family val="2"/>
    </font>
    <font>
      <u/>
      <sz val="10"/>
      <color indexed="12"/>
      <name val=".VnTimeH"/>
      <family val="2"/>
    </font>
    <font>
      <sz val="10"/>
      <name val="Arial"/>
      <family val="2"/>
    </font>
    <font>
      <sz val="10"/>
      <name val="Times New Roman"/>
      <family val="1"/>
    </font>
    <font>
      <sz val="10"/>
      <name val="Times New Roman"/>
      <family val="1"/>
    </font>
    <font>
      <sz val="10"/>
      <name val="Arial"/>
      <family val="2"/>
    </font>
    <font>
      <sz val="11"/>
      <color indexed="8"/>
      <name val="Calibri"/>
      <family val="2"/>
    </font>
    <font>
      <sz val="11"/>
      <color theme="1"/>
      <name val="Calibri"/>
      <family val="2"/>
      <scheme val="minor"/>
    </font>
    <font>
      <b/>
      <i/>
      <sz val="13"/>
      <name val="Times New Roman"/>
      <family val="1"/>
    </font>
    <font>
      <b/>
      <i/>
      <sz val="13"/>
      <color indexed="8"/>
      <name val="Times New Roman"/>
      <family val="1"/>
    </font>
    <font>
      <b/>
      <vertAlign val="subscript"/>
      <sz val="13"/>
      <color rgb="FF000000"/>
      <name val="Times New Roman"/>
      <family val="1"/>
    </font>
    <font>
      <sz val="10"/>
      <name val="Times New Roman"/>
      <family val="1"/>
    </font>
    <font>
      <sz val="11"/>
      <color theme="1"/>
      <name val="Arial"/>
      <family val="2"/>
    </font>
    <font>
      <b/>
      <u/>
      <sz val="14"/>
      <color indexed="8"/>
      <name val=".VnBook-AntiquaH"/>
      <family val="2"/>
    </font>
    <font>
      <sz val="10"/>
      <name val="±¼¸²A¼"/>
      <family val="3"/>
      <charset val="129"/>
    </font>
    <font>
      <sz val="12"/>
      <name val="바탕체"/>
      <family val="1"/>
      <charset val="129"/>
    </font>
    <font>
      <sz val="11"/>
      <color indexed="8"/>
      <name val="Calibri"/>
      <family val="2"/>
      <charset val="163"/>
    </font>
    <font>
      <sz val="12"/>
      <name val="|??¢¥¢¬¨Ï"/>
      <family val="1"/>
      <charset val="129"/>
    </font>
    <font>
      <sz val="14"/>
      <name val="??"/>
      <family val="3"/>
      <charset val="129"/>
    </font>
    <font>
      <sz val="9"/>
      <name val="Arial"/>
      <family val="2"/>
    </font>
    <font>
      <sz val="10"/>
      <name val="?? ??"/>
      <family val="1"/>
      <charset val="136"/>
    </font>
    <font>
      <sz val="10"/>
      <name val="Arial"/>
      <family val="2"/>
      <charset val="163"/>
    </font>
    <font>
      <b/>
      <u/>
      <sz val="10"/>
      <color indexed="10"/>
      <name val="VNI-Times"/>
    </font>
    <font>
      <sz val="8.25"/>
      <name val="Microsoft Sans Serif"/>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15"/>
        <bgColor indexed="64"/>
      </patternFill>
    </fill>
    <fill>
      <patternFill patternType="solid">
        <fgColor indexed="47"/>
        <bgColor indexed="64"/>
      </patternFill>
    </fill>
    <fill>
      <patternFill patternType="solid">
        <fgColor indexed="45"/>
        <bgColor indexed="64"/>
      </patternFill>
    </fill>
    <fill>
      <patternFill patternType="solid">
        <fgColor indexed="10"/>
        <bgColor indexed="64"/>
      </patternFill>
    </fill>
    <fill>
      <patternFill patternType="solid">
        <fgColor indexed="13"/>
        <bgColor indexed="64"/>
      </patternFill>
    </fill>
    <fill>
      <patternFill patternType="solid">
        <fgColor indexed="49"/>
        <bgColor indexed="64"/>
      </patternFill>
    </fill>
    <fill>
      <patternFill patternType="solid">
        <fgColor indexed="43"/>
        <bgColor indexed="64"/>
      </patternFill>
    </fill>
    <fill>
      <patternFill patternType="solid">
        <fgColor indexed="41"/>
        <bgColor indexed="64"/>
      </patternFill>
    </fill>
    <fill>
      <patternFill patternType="solid">
        <fgColor rgb="FFFFFF00"/>
        <bgColor indexed="64"/>
      </patternFill>
    </fill>
  </fills>
  <borders count="5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uble">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hair">
        <color indexed="64"/>
      </top>
      <bottom style="hair">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8"/>
      </left>
      <right style="thin">
        <color indexed="8"/>
      </right>
      <top style="hair">
        <color indexed="8"/>
      </top>
      <bottom style="hair">
        <color indexed="8"/>
      </bottom>
      <diagonal/>
    </border>
    <border>
      <left style="thin">
        <color indexed="64"/>
      </left>
      <right/>
      <top style="thin">
        <color indexed="64"/>
      </top>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bottom style="hair">
        <color indexed="64"/>
      </bottom>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bottom style="medium">
        <color indexed="64"/>
      </bottom>
      <diagonal/>
    </border>
  </borders>
  <cellStyleXfs count="1734">
    <xf numFmtId="0" fontId="0" fillId="0" borderId="0"/>
    <xf numFmtId="190" fontId="18" fillId="0" borderId="0" applyFont="0" applyFill="0" applyBorder="0" applyAlignment="0" applyProtection="0"/>
    <xf numFmtId="198" fontId="26" fillId="0" borderId="0" applyFont="0" applyFill="0" applyBorder="0" applyAlignment="0" applyProtection="0"/>
    <xf numFmtId="172" fontId="16" fillId="0" borderId="0" applyFont="0" applyFill="0" applyBorder="0" applyAlignment="0" applyProtection="0"/>
    <xf numFmtId="197" fontId="26" fillId="0" borderId="0" applyFont="0" applyFill="0" applyBorder="0" applyAlignment="0" applyProtection="0"/>
    <xf numFmtId="305"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181" fontId="104" fillId="0" borderId="0" applyFont="0" applyFill="0" applyBorder="0" applyAlignment="0" applyProtection="0"/>
    <xf numFmtId="180" fontId="104" fillId="0" borderId="0" applyFont="0" applyFill="0" applyBorder="0" applyAlignment="0" applyProtection="0"/>
    <xf numFmtId="41" fontId="44" fillId="0" borderId="0" applyFont="0" applyFill="0" applyBorder="0" applyAlignment="0" applyProtection="0"/>
    <xf numFmtId="9" fontId="17" fillId="0" borderId="0" applyFont="0" applyFill="0" applyBorder="0" applyAlignment="0" applyProtection="0"/>
    <xf numFmtId="0" fontId="105" fillId="0" borderId="0" applyFont="0" applyFill="0" applyBorder="0" applyAlignment="0" applyProtection="0"/>
    <xf numFmtId="0" fontId="26" fillId="0" borderId="0"/>
    <xf numFmtId="191" fontId="16" fillId="0" borderId="0" applyFont="0" applyFill="0" applyBorder="0" applyAlignment="0" applyProtection="0"/>
    <xf numFmtId="205" fontId="16" fillId="0" borderId="0" applyFont="0" applyFill="0" applyBorder="0" applyAlignment="0" applyProtection="0"/>
    <xf numFmtId="200" fontId="16" fillId="0" borderId="0" applyFont="0" applyFill="0" applyBorder="0" applyAlignment="0" applyProtection="0"/>
    <xf numFmtId="200" fontId="16" fillId="0" borderId="0" applyFont="0" applyFill="0" applyBorder="0" applyAlignment="0" applyProtection="0"/>
    <xf numFmtId="205" fontId="16" fillId="0" borderId="0" applyFont="0" applyFill="0" applyBorder="0" applyAlignment="0" applyProtection="0"/>
    <xf numFmtId="200" fontId="16" fillId="0" borderId="0" applyFont="0" applyFill="0" applyBorder="0" applyAlignment="0" applyProtection="0"/>
    <xf numFmtId="171" fontId="18"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200" fontId="16" fillId="0" borderId="0" applyFont="0" applyFill="0" applyBorder="0" applyAlignment="0" applyProtection="0"/>
    <xf numFmtId="175" fontId="16" fillId="0" borderId="0" applyFont="0" applyFill="0" applyBorder="0" applyAlignment="0" applyProtection="0"/>
    <xf numFmtId="215" fontId="16" fillId="0" borderId="0" applyFont="0" applyFill="0" applyBorder="0" applyAlignment="0" applyProtection="0"/>
    <xf numFmtId="215" fontId="16" fillId="0" borderId="0" applyFont="0" applyFill="0" applyBorder="0" applyAlignment="0" applyProtection="0"/>
    <xf numFmtId="191" fontId="16" fillId="0" borderId="0" applyFont="0" applyFill="0" applyBorder="0" applyAlignment="0" applyProtection="0"/>
    <xf numFmtId="205" fontId="16" fillId="0" borderId="0" applyFont="0" applyFill="0" applyBorder="0" applyAlignment="0" applyProtection="0"/>
    <xf numFmtId="215" fontId="16" fillId="0" borderId="0" applyFont="0" applyFill="0" applyBorder="0" applyAlignment="0" applyProtection="0"/>
    <xf numFmtId="205" fontId="16" fillId="0" borderId="0" applyFont="0" applyFill="0" applyBorder="0" applyAlignment="0" applyProtection="0"/>
    <xf numFmtId="200" fontId="16" fillId="0" borderId="0" applyFont="0" applyFill="0" applyBorder="0" applyAlignment="0" applyProtection="0"/>
    <xf numFmtId="165" fontId="16" fillId="0" borderId="0" applyFont="0" applyFill="0" applyBorder="0" applyAlignment="0" applyProtection="0"/>
    <xf numFmtId="205" fontId="16" fillId="0" borderId="0" applyFont="0" applyFill="0" applyBorder="0" applyAlignment="0" applyProtection="0"/>
    <xf numFmtId="171" fontId="18" fillId="0" borderId="0" applyFont="0" applyFill="0" applyBorder="0" applyAlignment="0" applyProtection="0"/>
    <xf numFmtId="205" fontId="16" fillId="0" borderId="0" applyFont="0" applyFill="0" applyBorder="0" applyAlignment="0" applyProtection="0"/>
    <xf numFmtId="205" fontId="16" fillId="0" borderId="0" applyFont="0" applyFill="0" applyBorder="0" applyAlignment="0" applyProtection="0"/>
    <xf numFmtId="191" fontId="16" fillId="0" borderId="0" applyFont="0" applyFill="0" applyBorder="0" applyAlignment="0" applyProtection="0"/>
    <xf numFmtId="205" fontId="16" fillId="0" borderId="0" applyFont="0" applyFill="0" applyBorder="0" applyAlignment="0" applyProtection="0"/>
    <xf numFmtId="205" fontId="16" fillId="0" borderId="0" applyFont="0" applyFill="0" applyBorder="0" applyAlignment="0" applyProtection="0"/>
    <xf numFmtId="165" fontId="16" fillId="0" borderId="0" applyFont="0" applyFill="0" applyBorder="0" applyAlignment="0" applyProtection="0"/>
    <xf numFmtId="226" fontId="16" fillId="0" borderId="0" applyFont="0" applyFill="0" applyBorder="0" applyAlignment="0" applyProtection="0"/>
    <xf numFmtId="200" fontId="16" fillId="0" borderId="0" applyFont="0" applyFill="0" applyBorder="0" applyAlignment="0" applyProtection="0"/>
    <xf numFmtId="205" fontId="16" fillId="0" borderId="0" applyFont="0" applyFill="0" applyBorder="0" applyAlignment="0" applyProtection="0"/>
    <xf numFmtId="230" fontId="34" fillId="0" borderId="0" applyFont="0" applyFill="0" applyBorder="0" applyAlignment="0" applyProtection="0"/>
    <xf numFmtId="230" fontId="26" fillId="0" borderId="0" applyFont="0" applyFill="0" applyBorder="0" applyAlignment="0" applyProtection="0"/>
    <xf numFmtId="230" fontId="26" fillId="0" borderId="0" applyFont="0" applyFill="0" applyBorder="0" applyAlignment="0" applyProtection="0"/>
    <xf numFmtId="226" fontId="16" fillId="0" borderId="0" applyFont="0" applyFill="0" applyBorder="0" applyAlignment="0" applyProtection="0"/>
    <xf numFmtId="205" fontId="16" fillId="0" borderId="0" applyFont="0" applyFill="0" applyBorder="0" applyAlignment="0" applyProtection="0"/>
    <xf numFmtId="200" fontId="16" fillId="0" borderId="0" applyFont="0" applyFill="0" applyBorder="0" applyAlignment="0" applyProtection="0"/>
    <xf numFmtId="165" fontId="16" fillId="0" borderId="0" applyFont="0" applyFill="0" applyBorder="0" applyAlignment="0" applyProtection="0"/>
    <xf numFmtId="200" fontId="16" fillId="0" borderId="0" applyFont="0" applyFill="0" applyBorder="0" applyAlignment="0" applyProtection="0"/>
    <xf numFmtId="231" fontId="34" fillId="0" borderId="0" applyFont="0" applyFill="0" applyBorder="0" applyAlignment="0" applyProtection="0"/>
    <xf numFmtId="231" fontId="26" fillId="0" borderId="0" applyFont="0" applyFill="0" applyBorder="0" applyAlignment="0" applyProtection="0"/>
    <xf numFmtId="231" fontId="26" fillId="0" borderId="0" applyFont="0" applyFill="0" applyBorder="0" applyAlignment="0" applyProtection="0"/>
    <xf numFmtId="3" fontId="106" fillId="0" borderId="0"/>
    <xf numFmtId="3" fontId="47" fillId="0" borderId="0"/>
    <xf numFmtId="3" fontId="47" fillId="0" borderId="0"/>
    <xf numFmtId="191" fontId="16" fillId="0" borderId="0" applyFont="0" applyFill="0" applyBorder="0" applyAlignment="0" applyProtection="0"/>
    <xf numFmtId="175" fontId="16" fillId="0" borderId="0" applyFont="0" applyFill="0" applyBorder="0" applyAlignment="0" applyProtection="0"/>
    <xf numFmtId="200" fontId="16"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90" fontId="18" fillId="0" borderId="0" applyFont="0" applyFill="0" applyBorder="0" applyAlignment="0" applyProtection="0"/>
    <xf numFmtId="43" fontId="18" fillId="0" borderId="0" applyFont="0" applyFill="0" applyBorder="0" applyAlignment="0" applyProtection="0"/>
    <xf numFmtId="174" fontId="16" fillId="0" borderId="0" applyFont="0" applyFill="0" applyBorder="0" applyAlignment="0" applyProtection="0"/>
    <xf numFmtId="201" fontId="16" fillId="0" borderId="0" applyFont="0" applyFill="0" applyBorder="0" applyAlignment="0" applyProtection="0"/>
    <xf numFmtId="181"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233" fontId="16" fillId="0" borderId="0" applyFont="0" applyFill="0" applyBorder="0" applyAlignment="0" applyProtection="0"/>
    <xf numFmtId="0"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167"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3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33" fontId="16" fillId="0" borderId="0" applyFont="0" applyFill="0" applyBorder="0" applyAlignment="0" applyProtection="0"/>
    <xf numFmtId="181" fontId="16" fillId="0" borderId="0" applyFont="0" applyFill="0" applyBorder="0" applyAlignment="0" applyProtection="0"/>
    <xf numFmtId="0" fontId="16" fillId="0" borderId="0" applyFont="0" applyFill="0" applyBorder="0" applyAlignment="0" applyProtection="0"/>
    <xf numFmtId="201" fontId="16" fillId="0" borderId="0" applyFont="0" applyFill="0" applyBorder="0" applyAlignment="0" applyProtection="0"/>
    <xf numFmtId="207" fontId="16" fillId="0" borderId="0" applyFont="0" applyFill="0" applyBorder="0" applyAlignment="0" applyProtection="0"/>
    <xf numFmtId="214"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214" fontId="16" fillId="0" borderId="0" applyFont="0" applyFill="0" applyBorder="0" applyAlignment="0" applyProtection="0"/>
    <xf numFmtId="243" fontId="16" fillId="0" borderId="0" applyFont="0" applyFill="0" applyBorder="0" applyAlignment="0" applyProtection="0"/>
    <xf numFmtId="207" fontId="16" fillId="0" borderId="0" applyFont="0" applyFill="0" applyBorder="0" applyAlignment="0" applyProtection="0"/>
    <xf numFmtId="167" fontId="16" fillId="0" borderId="0" applyFont="0" applyFill="0" applyBorder="0" applyAlignment="0" applyProtection="0"/>
    <xf numFmtId="207" fontId="16" fillId="0" borderId="0" applyFont="0" applyFill="0" applyBorder="0" applyAlignment="0" applyProtection="0"/>
    <xf numFmtId="207" fontId="16" fillId="0" borderId="0" applyFont="0" applyFill="0" applyBorder="0" applyAlignment="0" applyProtection="0"/>
    <xf numFmtId="0" fontId="16" fillId="0" borderId="0" applyFont="0" applyFill="0" applyBorder="0" applyAlignment="0" applyProtection="0"/>
    <xf numFmtId="207" fontId="16" fillId="0" borderId="0" applyFont="0" applyFill="0" applyBorder="0" applyAlignment="0" applyProtection="0"/>
    <xf numFmtId="207" fontId="16" fillId="0" borderId="0" applyFont="0" applyFill="0" applyBorder="0" applyAlignment="0" applyProtection="0"/>
    <xf numFmtId="214" fontId="16" fillId="0" borderId="0" applyFont="0" applyFill="0" applyBorder="0" applyAlignment="0" applyProtection="0"/>
    <xf numFmtId="201" fontId="16" fillId="0" borderId="0" applyFont="0" applyFill="0" applyBorder="0" applyAlignment="0" applyProtection="0"/>
    <xf numFmtId="207" fontId="16" fillId="0" borderId="0" applyFont="0" applyFill="0" applyBorder="0" applyAlignment="0" applyProtection="0"/>
    <xf numFmtId="228" fontId="16" fillId="0" borderId="0" applyFont="0" applyFill="0" applyBorder="0" applyAlignment="0" applyProtection="0"/>
    <xf numFmtId="214"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174" fontId="16" fillId="0" borderId="0" applyFont="0" applyFill="0" applyBorder="0" applyAlignment="0" applyProtection="0"/>
    <xf numFmtId="201" fontId="16" fillId="0" borderId="0" applyFont="0" applyFill="0" applyBorder="0" applyAlignment="0" applyProtection="0"/>
    <xf numFmtId="174" fontId="16" fillId="0" borderId="0" applyFont="0" applyFill="0" applyBorder="0" applyAlignment="0" applyProtection="0"/>
    <xf numFmtId="0" fontId="16" fillId="0" borderId="0" applyFont="0" applyFill="0" applyBorder="0" applyAlignment="0" applyProtection="0"/>
    <xf numFmtId="174" fontId="16" fillId="0" borderId="0" applyFont="0" applyFill="0" applyBorder="0" applyAlignment="0" applyProtection="0"/>
    <xf numFmtId="174" fontId="16" fillId="0" borderId="0" applyFont="0" applyFill="0" applyBorder="0" applyAlignment="0" applyProtection="0"/>
    <xf numFmtId="43" fontId="16" fillId="0" borderId="0" applyFont="0" applyFill="0" applyBorder="0" applyAlignment="0" applyProtection="0"/>
    <xf numFmtId="201" fontId="16" fillId="0" borderId="0" applyFont="0" applyFill="0" applyBorder="0" applyAlignment="0" applyProtection="0"/>
    <xf numFmtId="233"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181" fontId="16" fillId="0" borderId="0" applyFont="0" applyFill="0" applyBorder="0" applyAlignment="0" applyProtection="0"/>
    <xf numFmtId="43" fontId="16" fillId="0" borderId="0" applyFont="0" applyFill="0" applyBorder="0" applyAlignment="0" applyProtection="0"/>
    <xf numFmtId="189" fontId="16" fillId="0" borderId="0" applyFont="0" applyFill="0" applyBorder="0" applyAlignment="0" applyProtection="0"/>
    <xf numFmtId="201" fontId="16" fillId="0" borderId="0" applyFont="0" applyFill="0" applyBorder="0" applyAlignment="0" applyProtection="0"/>
    <xf numFmtId="207" fontId="16" fillId="0" borderId="0" applyFont="0" applyFill="0" applyBorder="0" applyAlignment="0" applyProtection="0"/>
    <xf numFmtId="43" fontId="16" fillId="0" borderId="0" applyFont="0" applyFill="0" applyBorder="0" applyAlignment="0" applyProtection="0"/>
    <xf numFmtId="201" fontId="16" fillId="0" borderId="0" applyFont="0" applyFill="0" applyBorder="0" applyAlignment="0" applyProtection="0"/>
    <xf numFmtId="167" fontId="16" fillId="0" borderId="0" applyFont="0" applyFill="0" applyBorder="0" applyAlignment="0" applyProtection="0"/>
    <xf numFmtId="181" fontId="16" fillId="0" borderId="0" applyFont="0" applyFill="0" applyBorder="0" applyAlignment="0" applyProtection="0"/>
    <xf numFmtId="201" fontId="16" fillId="0" borderId="0" applyFont="0" applyFill="0" applyBorder="0" applyAlignment="0" applyProtection="0"/>
    <xf numFmtId="41" fontId="18" fillId="0" borderId="0" applyFont="0" applyFill="0" applyBorder="0" applyAlignment="0" applyProtection="0"/>
    <xf numFmtId="175" fontId="16" fillId="0" borderId="0" applyFont="0" applyFill="0" applyBorder="0" applyAlignment="0" applyProtection="0"/>
    <xf numFmtId="200" fontId="16" fillId="0" borderId="0" applyFont="0" applyFill="0" applyBorder="0" applyAlignment="0" applyProtection="0"/>
    <xf numFmtId="191" fontId="16" fillId="0" borderId="0" applyFont="0" applyFill="0" applyBorder="0" applyAlignment="0" applyProtection="0"/>
    <xf numFmtId="205" fontId="16" fillId="0" borderId="0" applyFont="0" applyFill="0" applyBorder="0" applyAlignment="0" applyProtection="0"/>
    <xf numFmtId="200" fontId="16" fillId="0" borderId="0" applyFont="0" applyFill="0" applyBorder="0" applyAlignment="0" applyProtection="0"/>
    <xf numFmtId="205" fontId="16" fillId="0" borderId="0" applyFont="0" applyFill="0" applyBorder="0" applyAlignment="0" applyProtection="0"/>
    <xf numFmtId="200" fontId="16" fillId="0" borderId="0" applyFont="0" applyFill="0" applyBorder="0" applyAlignment="0" applyProtection="0"/>
    <xf numFmtId="175" fontId="16" fillId="0" borderId="0" applyFont="0" applyFill="0" applyBorder="0" applyAlignment="0" applyProtection="0"/>
    <xf numFmtId="215" fontId="16" fillId="0" borderId="0" applyFont="0" applyFill="0" applyBorder="0" applyAlignment="0" applyProtection="0"/>
    <xf numFmtId="191" fontId="16" fillId="0" borderId="0" applyFont="0" applyFill="0" applyBorder="0" applyAlignment="0" applyProtection="0"/>
    <xf numFmtId="205" fontId="16" fillId="0" borderId="0" applyFont="0" applyFill="0" applyBorder="0" applyAlignment="0" applyProtection="0"/>
    <xf numFmtId="215" fontId="16" fillId="0" borderId="0" applyFont="0" applyFill="0" applyBorder="0" applyAlignment="0" applyProtection="0"/>
    <xf numFmtId="165" fontId="16" fillId="0" borderId="0" applyFont="0" applyFill="0" applyBorder="0" applyAlignment="0" applyProtection="0"/>
    <xf numFmtId="200" fontId="16" fillId="0" borderId="0" applyFont="0" applyFill="0" applyBorder="0" applyAlignment="0" applyProtection="0"/>
    <xf numFmtId="205" fontId="16" fillId="0" borderId="0" applyFont="0" applyFill="0" applyBorder="0" applyAlignment="0" applyProtection="0"/>
    <xf numFmtId="205" fontId="16" fillId="0" borderId="0" applyFont="0" applyFill="0" applyBorder="0" applyAlignment="0" applyProtection="0"/>
    <xf numFmtId="205" fontId="16" fillId="0" borderId="0" applyFont="0" applyFill="0" applyBorder="0" applyAlignment="0" applyProtection="0"/>
    <xf numFmtId="191" fontId="16" fillId="0" borderId="0" applyFont="0" applyFill="0" applyBorder="0" applyAlignment="0" applyProtection="0"/>
    <xf numFmtId="205" fontId="16" fillId="0" borderId="0" applyFont="0" applyFill="0" applyBorder="0" applyAlignment="0" applyProtection="0"/>
    <xf numFmtId="205" fontId="16" fillId="0" borderId="0" applyFont="0" applyFill="0" applyBorder="0" applyAlignment="0" applyProtection="0"/>
    <xf numFmtId="165" fontId="16" fillId="0" borderId="0" applyFont="0" applyFill="0" applyBorder="0" applyAlignment="0" applyProtection="0"/>
    <xf numFmtId="226" fontId="16" fillId="0" borderId="0" applyFont="0" applyFill="0" applyBorder="0" applyAlignment="0" applyProtection="0"/>
    <xf numFmtId="200" fontId="16" fillId="0" borderId="0" applyFont="0" applyFill="0" applyBorder="0" applyAlignment="0" applyProtection="0"/>
    <xf numFmtId="205" fontId="16" fillId="0" borderId="0" applyFont="0" applyFill="0" applyBorder="0" applyAlignment="0" applyProtection="0"/>
    <xf numFmtId="171" fontId="18" fillId="0" borderId="0" applyFont="0" applyFill="0" applyBorder="0" applyAlignment="0" applyProtection="0"/>
    <xf numFmtId="226" fontId="16" fillId="0" borderId="0" applyFont="0" applyFill="0" applyBorder="0" applyAlignment="0" applyProtection="0"/>
    <xf numFmtId="205" fontId="16" fillId="0" borderId="0" applyFont="0" applyFill="0" applyBorder="0" applyAlignment="0" applyProtection="0"/>
    <xf numFmtId="200" fontId="16" fillId="0" borderId="0" applyFont="0" applyFill="0" applyBorder="0" applyAlignment="0" applyProtection="0"/>
    <xf numFmtId="165" fontId="16" fillId="0" borderId="0" applyFont="0" applyFill="0" applyBorder="0" applyAlignment="0" applyProtection="0"/>
    <xf numFmtId="200" fontId="16" fillId="0" borderId="0" applyFont="0" applyFill="0" applyBorder="0" applyAlignment="0" applyProtection="0"/>
    <xf numFmtId="191" fontId="16" fillId="0" borderId="0" applyFont="0" applyFill="0" applyBorder="0" applyAlignment="0" applyProtection="0"/>
    <xf numFmtId="17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200" fontId="16" fillId="0" borderId="0" applyFont="0" applyFill="0" applyBorder="0" applyAlignment="0" applyProtection="0"/>
    <xf numFmtId="171" fontId="16" fillId="0" borderId="0" applyFont="0" applyFill="0" applyBorder="0" applyAlignment="0" applyProtection="0"/>
    <xf numFmtId="240" fontId="16" fillId="0" borderId="0" applyFont="0" applyFill="0" applyBorder="0" applyAlignment="0" applyProtection="0"/>
    <xf numFmtId="171" fontId="16" fillId="0" borderId="0" applyFont="0" applyFill="0" applyBorder="0" applyAlignment="0" applyProtection="0"/>
    <xf numFmtId="215" fontId="16" fillId="0" borderId="0" applyFont="0" applyFill="0" applyBorder="0" applyAlignment="0" applyProtection="0"/>
    <xf numFmtId="175" fontId="16" fillId="0" borderId="0" applyFont="0" applyFill="0" applyBorder="0" applyAlignment="0" applyProtection="0"/>
    <xf numFmtId="187" fontId="16" fillId="0" borderId="0" applyFont="0" applyFill="0" applyBorder="0" applyAlignment="0" applyProtection="0"/>
    <xf numFmtId="200" fontId="16" fillId="0" borderId="0" applyFont="0" applyFill="0" applyBorder="0" applyAlignment="0" applyProtection="0"/>
    <xf numFmtId="205" fontId="16" fillId="0" borderId="0" applyFont="0" applyFill="0" applyBorder="0" applyAlignment="0" applyProtection="0"/>
    <xf numFmtId="175" fontId="16" fillId="0" borderId="0" applyFont="0" applyFill="0" applyBorder="0" applyAlignment="0" applyProtection="0"/>
    <xf numFmtId="200" fontId="16" fillId="0" borderId="0" applyFont="0" applyFill="0" applyBorder="0" applyAlignment="0" applyProtection="0"/>
    <xf numFmtId="165" fontId="16" fillId="0" borderId="0" applyFont="0" applyFill="0" applyBorder="0" applyAlignment="0" applyProtection="0"/>
    <xf numFmtId="215" fontId="16" fillId="0" borderId="0" applyFont="0" applyFill="0" applyBorder="0" applyAlignment="0" applyProtection="0"/>
    <xf numFmtId="200" fontId="16" fillId="0" borderId="0" applyFont="0" applyFill="0" applyBorder="0" applyAlignment="0" applyProtection="0"/>
    <xf numFmtId="174" fontId="16" fillId="0" borderId="0" applyFont="0" applyFill="0" applyBorder="0" applyAlignment="0" applyProtection="0"/>
    <xf numFmtId="201" fontId="16" fillId="0" borderId="0" applyFont="0" applyFill="0" applyBorder="0" applyAlignment="0" applyProtection="0"/>
    <xf numFmtId="181"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233" fontId="16" fillId="0" borderId="0" applyFont="0" applyFill="0" applyBorder="0" applyAlignment="0" applyProtection="0"/>
    <xf numFmtId="0"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167"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3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33" fontId="16" fillId="0" borderId="0" applyFont="0" applyFill="0" applyBorder="0" applyAlignment="0" applyProtection="0"/>
    <xf numFmtId="181" fontId="16" fillId="0" borderId="0" applyFont="0" applyFill="0" applyBorder="0" applyAlignment="0" applyProtection="0"/>
    <xf numFmtId="0" fontId="16" fillId="0" borderId="0" applyFont="0" applyFill="0" applyBorder="0" applyAlignment="0" applyProtection="0"/>
    <xf numFmtId="201" fontId="16" fillId="0" borderId="0" applyFont="0" applyFill="0" applyBorder="0" applyAlignment="0" applyProtection="0"/>
    <xf numFmtId="207" fontId="16" fillId="0" borderId="0" applyFont="0" applyFill="0" applyBorder="0" applyAlignment="0" applyProtection="0"/>
    <xf numFmtId="214"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214" fontId="16" fillId="0" borderId="0" applyFont="0" applyFill="0" applyBorder="0" applyAlignment="0" applyProtection="0"/>
    <xf numFmtId="243" fontId="16" fillId="0" borderId="0" applyFont="0" applyFill="0" applyBorder="0" applyAlignment="0" applyProtection="0"/>
    <xf numFmtId="207" fontId="16" fillId="0" borderId="0" applyFont="0" applyFill="0" applyBorder="0" applyAlignment="0" applyProtection="0"/>
    <xf numFmtId="167" fontId="16" fillId="0" borderId="0" applyFont="0" applyFill="0" applyBorder="0" applyAlignment="0" applyProtection="0"/>
    <xf numFmtId="207" fontId="16" fillId="0" borderId="0" applyFont="0" applyFill="0" applyBorder="0" applyAlignment="0" applyProtection="0"/>
    <xf numFmtId="207" fontId="16" fillId="0" borderId="0" applyFont="0" applyFill="0" applyBorder="0" applyAlignment="0" applyProtection="0"/>
    <xf numFmtId="0" fontId="16" fillId="0" borderId="0" applyFont="0" applyFill="0" applyBorder="0" applyAlignment="0" applyProtection="0"/>
    <xf numFmtId="207" fontId="16" fillId="0" borderId="0" applyFont="0" applyFill="0" applyBorder="0" applyAlignment="0" applyProtection="0"/>
    <xf numFmtId="207" fontId="16" fillId="0" borderId="0" applyFont="0" applyFill="0" applyBorder="0" applyAlignment="0" applyProtection="0"/>
    <xf numFmtId="214" fontId="16" fillId="0" borderId="0" applyFont="0" applyFill="0" applyBorder="0" applyAlignment="0" applyProtection="0"/>
    <xf numFmtId="201" fontId="16" fillId="0" borderId="0" applyFont="0" applyFill="0" applyBorder="0" applyAlignment="0" applyProtection="0"/>
    <xf numFmtId="207" fontId="16" fillId="0" borderId="0" applyFont="0" applyFill="0" applyBorder="0" applyAlignment="0" applyProtection="0"/>
    <xf numFmtId="228" fontId="16" fillId="0" borderId="0" applyFont="0" applyFill="0" applyBorder="0" applyAlignment="0" applyProtection="0"/>
    <xf numFmtId="214"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174" fontId="16" fillId="0" borderId="0" applyFont="0" applyFill="0" applyBorder="0" applyAlignment="0" applyProtection="0"/>
    <xf numFmtId="201" fontId="16" fillId="0" borderId="0" applyFont="0" applyFill="0" applyBorder="0" applyAlignment="0" applyProtection="0"/>
    <xf numFmtId="174" fontId="16" fillId="0" borderId="0" applyFont="0" applyFill="0" applyBorder="0" applyAlignment="0" applyProtection="0"/>
    <xf numFmtId="0" fontId="16" fillId="0" borderId="0" applyFont="0" applyFill="0" applyBorder="0" applyAlignment="0" applyProtection="0"/>
    <xf numFmtId="174" fontId="16" fillId="0" borderId="0" applyFont="0" applyFill="0" applyBorder="0" applyAlignment="0" applyProtection="0"/>
    <xf numFmtId="174" fontId="16" fillId="0" borderId="0" applyFont="0" applyFill="0" applyBorder="0" applyAlignment="0" applyProtection="0"/>
    <xf numFmtId="43" fontId="16" fillId="0" borderId="0" applyFont="0" applyFill="0" applyBorder="0" applyAlignment="0" applyProtection="0"/>
    <xf numFmtId="201" fontId="16" fillId="0" borderId="0" applyFont="0" applyFill="0" applyBorder="0" applyAlignment="0" applyProtection="0"/>
    <xf numFmtId="233"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181" fontId="16" fillId="0" borderId="0" applyFont="0" applyFill="0" applyBorder="0" applyAlignment="0" applyProtection="0"/>
    <xf numFmtId="43" fontId="16" fillId="0" borderId="0" applyFont="0" applyFill="0" applyBorder="0" applyAlignment="0" applyProtection="0"/>
    <xf numFmtId="189" fontId="16" fillId="0" borderId="0" applyFont="0" applyFill="0" applyBorder="0" applyAlignment="0" applyProtection="0"/>
    <xf numFmtId="201" fontId="16" fillId="0" borderId="0" applyFont="0" applyFill="0" applyBorder="0" applyAlignment="0" applyProtection="0"/>
    <xf numFmtId="43" fontId="18" fillId="0" borderId="0" applyFont="0" applyFill="0" applyBorder="0" applyAlignment="0" applyProtection="0"/>
    <xf numFmtId="207" fontId="16" fillId="0" borderId="0" applyFont="0" applyFill="0" applyBorder="0" applyAlignment="0" applyProtection="0"/>
    <xf numFmtId="43" fontId="16" fillId="0" borderId="0" applyFont="0" applyFill="0" applyBorder="0" applyAlignment="0" applyProtection="0"/>
    <xf numFmtId="201" fontId="16" fillId="0" borderId="0" applyFont="0" applyFill="0" applyBorder="0" applyAlignment="0" applyProtection="0"/>
    <xf numFmtId="167" fontId="16" fillId="0" borderId="0" applyFont="0" applyFill="0" applyBorder="0" applyAlignment="0" applyProtection="0"/>
    <xf numFmtId="181" fontId="16" fillId="0" borderId="0" applyFont="0" applyFill="0" applyBorder="0" applyAlignment="0" applyProtection="0"/>
    <xf numFmtId="201" fontId="16" fillId="0" borderId="0" applyFont="0" applyFill="0" applyBorder="0" applyAlignment="0" applyProtection="0"/>
    <xf numFmtId="172" fontId="16" fillId="0" borderId="0" applyFont="0" applyFill="0" applyBorder="0" applyAlignment="0" applyProtection="0"/>
    <xf numFmtId="177" fontId="16" fillId="0" borderId="0" applyFont="0" applyFill="0" applyBorder="0" applyAlignment="0" applyProtection="0"/>
    <xf numFmtId="180" fontId="16" fillId="0" borderId="0" applyFont="0" applyFill="0" applyBorder="0" applyAlignment="0" applyProtection="0"/>
    <xf numFmtId="232" fontId="16" fillId="0" borderId="0" applyFont="0" applyFill="0" applyBorder="0" applyAlignment="0" applyProtection="0"/>
    <xf numFmtId="172" fontId="16" fillId="0" borderId="0" applyFont="0" applyFill="0" applyBorder="0" applyAlignment="0" applyProtection="0"/>
    <xf numFmtId="232" fontId="16" fillId="0" borderId="0" applyFont="0" applyFill="0" applyBorder="0" applyAlignment="0" applyProtection="0"/>
    <xf numFmtId="192"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66"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234"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232" fontId="16" fillId="0" borderId="0" applyFont="0" applyFill="0" applyBorder="0" applyAlignment="0" applyProtection="0"/>
    <xf numFmtId="180" fontId="16" fillId="0" borderId="0" applyFont="0" applyFill="0" applyBorder="0" applyAlignment="0" applyProtection="0"/>
    <xf numFmtId="172" fontId="18" fillId="0" borderId="0" applyFont="0" applyFill="0" applyBorder="0" applyAlignment="0" applyProtection="0"/>
    <xf numFmtId="177" fontId="16" fillId="0" borderId="0" applyFont="0" applyFill="0" applyBorder="0" applyAlignment="0" applyProtection="0"/>
    <xf numFmtId="192" fontId="16" fillId="0" borderId="0" applyFont="0" applyFill="0" applyBorder="0" applyAlignment="0" applyProtection="0"/>
    <xf numFmtId="206" fontId="16" fillId="0" borderId="0" applyFont="0" applyFill="0" applyBorder="0" applyAlignment="0" applyProtection="0"/>
    <xf numFmtId="213"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213" fontId="16" fillId="0" borderId="0" applyFont="0" applyFill="0" applyBorder="0" applyAlignment="0" applyProtection="0"/>
    <xf numFmtId="242" fontId="16" fillId="0" borderId="0" applyFont="0" applyFill="0" applyBorder="0" applyAlignment="0" applyProtection="0"/>
    <xf numFmtId="206" fontId="16" fillId="0" borderId="0" applyFont="0" applyFill="0" applyBorder="0" applyAlignment="0" applyProtection="0"/>
    <xf numFmtId="166" fontId="16" fillId="0" borderId="0" applyFont="0" applyFill="0" applyBorder="0" applyAlignment="0" applyProtection="0"/>
    <xf numFmtId="206" fontId="16" fillId="0" borderId="0" applyFont="0" applyFill="0" applyBorder="0" applyAlignment="0" applyProtection="0"/>
    <xf numFmtId="206" fontId="16" fillId="0" borderId="0" applyFont="0" applyFill="0" applyBorder="0" applyAlignment="0" applyProtection="0"/>
    <xf numFmtId="192" fontId="16" fillId="0" borderId="0" applyFont="0" applyFill="0" applyBorder="0" applyAlignment="0" applyProtection="0"/>
    <xf numFmtId="206" fontId="16" fillId="0" borderId="0" applyFont="0" applyFill="0" applyBorder="0" applyAlignment="0" applyProtection="0"/>
    <xf numFmtId="206" fontId="16" fillId="0" borderId="0" applyFont="0" applyFill="0" applyBorder="0" applyAlignment="0" applyProtection="0"/>
    <xf numFmtId="213" fontId="16" fillId="0" borderId="0" applyFont="0" applyFill="0" applyBorder="0" applyAlignment="0" applyProtection="0"/>
    <xf numFmtId="177" fontId="16" fillId="0" borderId="0" applyFont="0" applyFill="0" applyBorder="0" applyAlignment="0" applyProtection="0"/>
    <xf numFmtId="206" fontId="16" fillId="0" borderId="0" applyFont="0" applyFill="0" applyBorder="0" applyAlignment="0" applyProtection="0"/>
    <xf numFmtId="211" fontId="16" fillId="0" borderId="0" applyFont="0" applyFill="0" applyBorder="0" applyAlignment="0" applyProtection="0"/>
    <xf numFmtId="213"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72" fontId="16" fillId="0" borderId="0" applyFont="0" applyFill="0" applyBorder="0" applyAlignment="0" applyProtection="0"/>
    <xf numFmtId="177" fontId="16" fillId="0" borderId="0" applyFont="0" applyFill="0" applyBorder="0" applyAlignment="0" applyProtection="0"/>
    <xf numFmtId="172" fontId="16" fillId="0" borderId="0" applyFont="0" applyFill="0" applyBorder="0" applyAlignment="0" applyProtection="0"/>
    <xf numFmtId="19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232" fontId="16" fillId="0" borderId="0" applyFont="0" applyFill="0" applyBorder="0" applyAlignment="0" applyProtection="0"/>
    <xf numFmtId="232" fontId="16" fillId="0" borderId="0" applyFont="0" applyFill="0" applyBorder="0" applyAlignment="0" applyProtection="0"/>
    <xf numFmtId="172" fontId="16" fillId="0" borderId="0" applyFont="0" applyFill="0" applyBorder="0" applyAlignment="0" applyProtection="0"/>
    <xf numFmtId="232" fontId="16" fillId="0" borderId="0" applyFont="0" applyFill="0" applyBorder="0" applyAlignment="0" applyProtection="0"/>
    <xf numFmtId="172" fontId="16" fillId="0" borderId="0" applyFont="0" applyFill="0" applyBorder="0" applyAlignment="0" applyProtection="0"/>
    <xf numFmtId="180" fontId="16" fillId="0" borderId="0" applyFont="0" applyFill="0" applyBorder="0" applyAlignment="0" applyProtection="0"/>
    <xf numFmtId="41" fontId="16" fillId="0" borderId="0" applyFont="0" applyFill="0" applyBorder="0" applyAlignment="0" applyProtection="0"/>
    <xf numFmtId="188" fontId="16" fillId="0" borderId="0" applyFont="0" applyFill="0" applyBorder="0" applyAlignment="0" applyProtection="0"/>
    <xf numFmtId="177" fontId="16" fillId="0" borderId="0" applyFont="0" applyFill="0" applyBorder="0" applyAlignment="0" applyProtection="0"/>
    <xf numFmtId="206"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166" fontId="16" fillId="0" borderId="0" applyFont="0" applyFill="0" applyBorder="0" applyAlignment="0" applyProtection="0"/>
    <xf numFmtId="180" fontId="16" fillId="0" borderId="0" applyFont="0" applyFill="0" applyBorder="0" applyAlignment="0" applyProtection="0"/>
    <xf numFmtId="177" fontId="16" fillId="0" borderId="0" applyFont="0" applyFill="0" applyBorder="0" applyAlignment="0" applyProtection="0"/>
    <xf numFmtId="191" fontId="16" fillId="0" borderId="0" applyFont="0" applyFill="0" applyBorder="0" applyAlignment="0" applyProtection="0"/>
    <xf numFmtId="205" fontId="16" fillId="0" borderId="0" applyFont="0" applyFill="0" applyBorder="0" applyAlignment="0" applyProtection="0"/>
    <xf numFmtId="200" fontId="16" fillId="0" borderId="0" applyFont="0" applyFill="0" applyBorder="0" applyAlignment="0" applyProtection="0"/>
    <xf numFmtId="205" fontId="16" fillId="0" borderId="0" applyFont="0" applyFill="0" applyBorder="0" applyAlignment="0" applyProtection="0"/>
    <xf numFmtId="200" fontId="16" fillId="0" borderId="0" applyFont="0" applyFill="0" applyBorder="0" applyAlignment="0" applyProtection="0"/>
    <xf numFmtId="175" fontId="16" fillId="0" borderId="0" applyFont="0" applyFill="0" applyBorder="0" applyAlignment="0" applyProtection="0"/>
    <xf numFmtId="215" fontId="16" fillId="0" borderId="0" applyFont="0" applyFill="0" applyBorder="0" applyAlignment="0" applyProtection="0"/>
    <xf numFmtId="191" fontId="16" fillId="0" borderId="0" applyFont="0" applyFill="0" applyBorder="0" applyAlignment="0" applyProtection="0"/>
    <xf numFmtId="205" fontId="16" fillId="0" borderId="0" applyFont="0" applyFill="0" applyBorder="0" applyAlignment="0" applyProtection="0"/>
    <xf numFmtId="215" fontId="16" fillId="0" borderId="0" applyFont="0" applyFill="0" applyBorder="0" applyAlignment="0" applyProtection="0"/>
    <xf numFmtId="165" fontId="16" fillId="0" borderId="0" applyFont="0" applyFill="0" applyBorder="0" applyAlignment="0" applyProtection="0"/>
    <xf numFmtId="200" fontId="16" fillId="0" borderId="0" applyFont="0" applyFill="0" applyBorder="0" applyAlignment="0" applyProtection="0"/>
    <xf numFmtId="205" fontId="16" fillId="0" borderId="0" applyFont="0" applyFill="0" applyBorder="0" applyAlignment="0" applyProtection="0"/>
    <xf numFmtId="205" fontId="16" fillId="0" borderId="0" applyFont="0" applyFill="0" applyBorder="0" applyAlignment="0" applyProtection="0"/>
    <xf numFmtId="205" fontId="16" fillId="0" borderId="0" applyFont="0" applyFill="0" applyBorder="0" applyAlignment="0" applyProtection="0"/>
    <xf numFmtId="191" fontId="16" fillId="0" borderId="0" applyFont="0" applyFill="0" applyBorder="0" applyAlignment="0" applyProtection="0"/>
    <xf numFmtId="205" fontId="16" fillId="0" borderId="0" applyFont="0" applyFill="0" applyBorder="0" applyAlignment="0" applyProtection="0"/>
    <xf numFmtId="205" fontId="16" fillId="0" borderId="0" applyFont="0" applyFill="0" applyBorder="0" applyAlignment="0" applyProtection="0"/>
    <xf numFmtId="165" fontId="16" fillId="0" borderId="0" applyFont="0" applyFill="0" applyBorder="0" applyAlignment="0" applyProtection="0"/>
    <xf numFmtId="226" fontId="16" fillId="0" borderId="0" applyFont="0" applyFill="0" applyBorder="0" applyAlignment="0" applyProtection="0"/>
    <xf numFmtId="200" fontId="16" fillId="0" borderId="0" applyFont="0" applyFill="0" applyBorder="0" applyAlignment="0" applyProtection="0"/>
    <xf numFmtId="205" fontId="16" fillId="0" borderId="0" applyFont="0" applyFill="0" applyBorder="0" applyAlignment="0" applyProtection="0"/>
    <xf numFmtId="171" fontId="18" fillId="0" borderId="0" applyFont="0" applyFill="0" applyBorder="0" applyAlignment="0" applyProtection="0"/>
    <xf numFmtId="226" fontId="16" fillId="0" borderId="0" applyFont="0" applyFill="0" applyBorder="0" applyAlignment="0" applyProtection="0"/>
    <xf numFmtId="205" fontId="16" fillId="0" borderId="0" applyFont="0" applyFill="0" applyBorder="0" applyAlignment="0" applyProtection="0"/>
    <xf numFmtId="200" fontId="16" fillId="0" borderId="0" applyFont="0" applyFill="0" applyBorder="0" applyAlignment="0" applyProtection="0"/>
    <xf numFmtId="165" fontId="16" fillId="0" borderId="0" applyFont="0" applyFill="0" applyBorder="0" applyAlignment="0" applyProtection="0"/>
    <xf numFmtId="200" fontId="16" fillId="0" borderId="0" applyFont="0" applyFill="0" applyBorder="0" applyAlignment="0" applyProtection="0"/>
    <xf numFmtId="191" fontId="16" fillId="0" borderId="0" applyFont="0" applyFill="0" applyBorder="0" applyAlignment="0" applyProtection="0"/>
    <xf numFmtId="17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200" fontId="16" fillId="0" borderId="0" applyFont="0" applyFill="0" applyBorder="0" applyAlignment="0" applyProtection="0"/>
    <xf numFmtId="171" fontId="16" fillId="0" borderId="0" applyFont="0" applyFill="0" applyBorder="0" applyAlignment="0" applyProtection="0"/>
    <xf numFmtId="240" fontId="16" fillId="0" borderId="0" applyFont="0" applyFill="0" applyBorder="0" applyAlignment="0" applyProtection="0"/>
    <xf numFmtId="171" fontId="16" fillId="0" borderId="0" applyFont="0" applyFill="0" applyBorder="0" applyAlignment="0" applyProtection="0"/>
    <xf numFmtId="215" fontId="16" fillId="0" borderId="0" applyFont="0" applyFill="0" applyBorder="0" applyAlignment="0" applyProtection="0"/>
    <xf numFmtId="175" fontId="16" fillId="0" borderId="0" applyFont="0" applyFill="0" applyBorder="0" applyAlignment="0" applyProtection="0"/>
    <xf numFmtId="187" fontId="16" fillId="0" borderId="0" applyFont="0" applyFill="0" applyBorder="0" applyAlignment="0" applyProtection="0"/>
    <xf numFmtId="200" fontId="16" fillId="0" borderId="0" applyFont="0" applyFill="0" applyBorder="0" applyAlignment="0" applyProtection="0"/>
    <xf numFmtId="41" fontId="18" fillId="0" borderId="0" applyFont="0" applyFill="0" applyBorder="0" applyAlignment="0" applyProtection="0"/>
    <xf numFmtId="205" fontId="16" fillId="0" borderId="0" applyFont="0" applyFill="0" applyBorder="0" applyAlignment="0" applyProtection="0"/>
    <xf numFmtId="175" fontId="16" fillId="0" borderId="0" applyFont="0" applyFill="0" applyBorder="0" applyAlignment="0" applyProtection="0"/>
    <xf numFmtId="200" fontId="16" fillId="0" borderId="0" applyFont="0" applyFill="0" applyBorder="0" applyAlignment="0" applyProtection="0"/>
    <xf numFmtId="165" fontId="16" fillId="0" borderId="0" applyFont="0" applyFill="0" applyBorder="0" applyAlignment="0" applyProtection="0"/>
    <xf numFmtId="215" fontId="16" fillId="0" borderId="0" applyFont="0" applyFill="0" applyBorder="0" applyAlignment="0" applyProtection="0"/>
    <xf numFmtId="200" fontId="16" fillId="0" borderId="0" applyFont="0" applyFill="0" applyBorder="0" applyAlignment="0" applyProtection="0"/>
    <xf numFmtId="43" fontId="18" fillId="0" borderId="0" applyFont="0" applyFill="0" applyBorder="0" applyAlignment="0" applyProtection="0"/>
    <xf numFmtId="172" fontId="16" fillId="0" borderId="0" applyFont="0" applyFill="0" applyBorder="0" applyAlignment="0" applyProtection="0"/>
    <xf numFmtId="177" fontId="16" fillId="0" borderId="0" applyFont="0" applyFill="0" applyBorder="0" applyAlignment="0" applyProtection="0"/>
    <xf numFmtId="180" fontId="16" fillId="0" borderId="0" applyFont="0" applyFill="0" applyBorder="0" applyAlignment="0" applyProtection="0"/>
    <xf numFmtId="232" fontId="16" fillId="0" borderId="0" applyFont="0" applyFill="0" applyBorder="0" applyAlignment="0" applyProtection="0"/>
    <xf numFmtId="172" fontId="16" fillId="0" borderId="0" applyFont="0" applyFill="0" applyBorder="0" applyAlignment="0" applyProtection="0"/>
    <xf numFmtId="232" fontId="16" fillId="0" borderId="0" applyFont="0" applyFill="0" applyBorder="0" applyAlignment="0" applyProtection="0"/>
    <xf numFmtId="192"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66"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234"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232" fontId="16" fillId="0" borderId="0" applyFont="0" applyFill="0" applyBorder="0" applyAlignment="0" applyProtection="0"/>
    <xf numFmtId="180" fontId="16" fillId="0" borderId="0" applyFont="0" applyFill="0" applyBorder="0" applyAlignment="0" applyProtection="0"/>
    <xf numFmtId="172" fontId="18" fillId="0" borderId="0" applyFont="0" applyFill="0" applyBorder="0" applyAlignment="0" applyProtection="0"/>
    <xf numFmtId="177" fontId="16" fillId="0" borderId="0" applyFont="0" applyFill="0" applyBorder="0" applyAlignment="0" applyProtection="0"/>
    <xf numFmtId="192" fontId="16" fillId="0" borderId="0" applyFont="0" applyFill="0" applyBorder="0" applyAlignment="0" applyProtection="0"/>
    <xf numFmtId="206" fontId="16" fillId="0" borderId="0" applyFont="0" applyFill="0" applyBorder="0" applyAlignment="0" applyProtection="0"/>
    <xf numFmtId="213"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213" fontId="16" fillId="0" borderId="0" applyFont="0" applyFill="0" applyBorder="0" applyAlignment="0" applyProtection="0"/>
    <xf numFmtId="242" fontId="16" fillId="0" borderId="0" applyFont="0" applyFill="0" applyBorder="0" applyAlignment="0" applyProtection="0"/>
    <xf numFmtId="206" fontId="16" fillId="0" borderId="0" applyFont="0" applyFill="0" applyBorder="0" applyAlignment="0" applyProtection="0"/>
    <xf numFmtId="166" fontId="16" fillId="0" borderId="0" applyFont="0" applyFill="0" applyBorder="0" applyAlignment="0" applyProtection="0"/>
    <xf numFmtId="206" fontId="16" fillId="0" borderId="0" applyFont="0" applyFill="0" applyBorder="0" applyAlignment="0" applyProtection="0"/>
    <xf numFmtId="206" fontId="16" fillId="0" borderId="0" applyFont="0" applyFill="0" applyBorder="0" applyAlignment="0" applyProtection="0"/>
    <xf numFmtId="192" fontId="16" fillId="0" borderId="0" applyFont="0" applyFill="0" applyBorder="0" applyAlignment="0" applyProtection="0"/>
    <xf numFmtId="206" fontId="16" fillId="0" borderId="0" applyFont="0" applyFill="0" applyBorder="0" applyAlignment="0" applyProtection="0"/>
    <xf numFmtId="206" fontId="16" fillId="0" borderId="0" applyFont="0" applyFill="0" applyBorder="0" applyAlignment="0" applyProtection="0"/>
    <xf numFmtId="213" fontId="16" fillId="0" borderId="0" applyFont="0" applyFill="0" applyBorder="0" applyAlignment="0" applyProtection="0"/>
    <xf numFmtId="177" fontId="16" fillId="0" borderId="0" applyFont="0" applyFill="0" applyBorder="0" applyAlignment="0" applyProtection="0"/>
    <xf numFmtId="206" fontId="16" fillId="0" borderId="0" applyFont="0" applyFill="0" applyBorder="0" applyAlignment="0" applyProtection="0"/>
    <xf numFmtId="211" fontId="16" fillId="0" borderId="0" applyFont="0" applyFill="0" applyBorder="0" applyAlignment="0" applyProtection="0"/>
    <xf numFmtId="213"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72" fontId="16" fillId="0" borderId="0" applyFont="0" applyFill="0" applyBorder="0" applyAlignment="0" applyProtection="0"/>
    <xf numFmtId="177" fontId="16" fillId="0" borderId="0" applyFont="0" applyFill="0" applyBorder="0" applyAlignment="0" applyProtection="0"/>
    <xf numFmtId="172" fontId="16" fillId="0" borderId="0" applyFont="0" applyFill="0" applyBorder="0" applyAlignment="0" applyProtection="0"/>
    <xf numFmtId="19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232" fontId="16" fillId="0" borderId="0" applyFont="0" applyFill="0" applyBorder="0" applyAlignment="0" applyProtection="0"/>
    <xf numFmtId="232" fontId="16" fillId="0" borderId="0" applyFont="0" applyFill="0" applyBorder="0" applyAlignment="0" applyProtection="0"/>
    <xf numFmtId="172" fontId="16" fillId="0" borderId="0" applyFont="0" applyFill="0" applyBorder="0" applyAlignment="0" applyProtection="0"/>
    <xf numFmtId="232" fontId="16" fillId="0" borderId="0" applyFont="0" applyFill="0" applyBorder="0" applyAlignment="0" applyProtection="0"/>
    <xf numFmtId="172" fontId="16" fillId="0" borderId="0" applyFont="0" applyFill="0" applyBorder="0" applyAlignment="0" applyProtection="0"/>
    <xf numFmtId="180" fontId="16" fillId="0" borderId="0" applyFont="0" applyFill="0" applyBorder="0" applyAlignment="0" applyProtection="0"/>
    <xf numFmtId="41" fontId="16" fillId="0" borderId="0" applyFont="0" applyFill="0" applyBorder="0" applyAlignment="0" applyProtection="0"/>
    <xf numFmtId="188" fontId="16" fillId="0" borderId="0" applyFont="0" applyFill="0" applyBorder="0" applyAlignment="0" applyProtection="0"/>
    <xf numFmtId="177" fontId="16" fillId="0" borderId="0" applyFont="0" applyFill="0" applyBorder="0" applyAlignment="0" applyProtection="0"/>
    <xf numFmtId="206"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166" fontId="16" fillId="0" borderId="0" applyFont="0" applyFill="0" applyBorder="0" applyAlignment="0" applyProtection="0"/>
    <xf numFmtId="180" fontId="16" fillId="0" borderId="0" applyFont="0" applyFill="0" applyBorder="0" applyAlignment="0" applyProtection="0"/>
    <xf numFmtId="177" fontId="16" fillId="0" borderId="0" applyFont="0" applyFill="0" applyBorder="0" applyAlignment="0" applyProtection="0"/>
    <xf numFmtId="174" fontId="16" fillId="0" borderId="0" applyFont="0" applyFill="0" applyBorder="0" applyAlignment="0" applyProtection="0"/>
    <xf numFmtId="201" fontId="16" fillId="0" borderId="0" applyFont="0" applyFill="0" applyBorder="0" applyAlignment="0" applyProtection="0"/>
    <xf numFmtId="181"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233" fontId="16" fillId="0" borderId="0" applyFont="0" applyFill="0" applyBorder="0" applyAlignment="0" applyProtection="0"/>
    <xf numFmtId="0"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167"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3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33" fontId="16" fillId="0" borderId="0" applyFont="0" applyFill="0" applyBorder="0" applyAlignment="0" applyProtection="0"/>
    <xf numFmtId="181" fontId="16" fillId="0" borderId="0" applyFont="0" applyFill="0" applyBorder="0" applyAlignment="0" applyProtection="0"/>
    <xf numFmtId="0" fontId="16" fillId="0" borderId="0" applyFont="0" applyFill="0" applyBorder="0" applyAlignment="0" applyProtection="0"/>
    <xf numFmtId="201" fontId="16" fillId="0" borderId="0" applyFont="0" applyFill="0" applyBorder="0" applyAlignment="0" applyProtection="0"/>
    <xf numFmtId="207" fontId="16" fillId="0" borderId="0" applyFont="0" applyFill="0" applyBorder="0" applyAlignment="0" applyProtection="0"/>
    <xf numFmtId="214"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214" fontId="16" fillId="0" borderId="0" applyFont="0" applyFill="0" applyBorder="0" applyAlignment="0" applyProtection="0"/>
    <xf numFmtId="243" fontId="16" fillId="0" borderId="0" applyFont="0" applyFill="0" applyBorder="0" applyAlignment="0" applyProtection="0"/>
    <xf numFmtId="207" fontId="16" fillId="0" borderId="0" applyFont="0" applyFill="0" applyBorder="0" applyAlignment="0" applyProtection="0"/>
    <xf numFmtId="167" fontId="16" fillId="0" borderId="0" applyFont="0" applyFill="0" applyBorder="0" applyAlignment="0" applyProtection="0"/>
    <xf numFmtId="207" fontId="16" fillId="0" borderId="0" applyFont="0" applyFill="0" applyBorder="0" applyAlignment="0" applyProtection="0"/>
    <xf numFmtId="207" fontId="16" fillId="0" borderId="0" applyFont="0" applyFill="0" applyBorder="0" applyAlignment="0" applyProtection="0"/>
    <xf numFmtId="0" fontId="16" fillId="0" borderId="0" applyFont="0" applyFill="0" applyBorder="0" applyAlignment="0" applyProtection="0"/>
    <xf numFmtId="207" fontId="16" fillId="0" borderId="0" applyFont="0" applyFill="0" applyBorder="0" applyAlignment="0" applyProtection="0"/>
    <xf numFmtId="207" fontId="16" fillId="0" borderId="0" applyFont="0" applyFill="0" applyBorder="0" applyAlignment="0" applyProtection="0"/>
    <xf numFmtId="214" fontId="16" fillId="0" borderId="0" applyFont="0" applyFill="0" applyBorder="0" applyAlignment="0" applyProtection="0"/>
    <xf numFmtId="201" fontId="16" fillId="0" borderId="0" applyFont="0" applyFill="0" applyBorder="0" applyAlignment="0" applyProtection="0"/>
    <xf numFmtId="207" fontId="16" fillId="0" borderId="0" applyFont="0" applyFill="0" applyBorder="0" applyAlignment="0" applyProtection="0"/>
    <xf numFmtId="228" fontId="16" fillId="0" borderId="0" applyFont="0" applyFill="0" applyBorder="0" applyAlignment="0" applyProtection="0"/>
    <xf numFmtId="214"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174" fontId="16" fillId="0" borderId="0" applyFont="0" applyFill="0" applyBorder="0" applyAlignment="0" applyProtection="0"/>
    <xf numFmtId="201" fontId="16" fillId="0" borderId="0" applyFont="0" applyFill="0" applyBorder="0" applyAlignment="0" applyProtection="0"/>
    <xf numFmtId="174" fontId="16" fillId="0" borderId="0" applyFont="0" applyFill="0" applyBorder="0" applyAlignment="0" applyProtection="0"/>
    <xf numFmtId="0" fontId="16" fillId="0" borderId="0" applyFont="0" applyFill="0" applyBorder="0" applyAlignment="0" applyProtection="0"/>
    <xf numFmtId="174" fontId="16" fillId="0" borderId="0" applyFont="0" applyFill="0" applyBorder="0" applyAlignment="0" applyProtection="0"/>
    <xf numFmtId="174" fontId="16" fillId="0" borderId="0" applyFont="0" applyFill="0" applyBorder="0" applyAlignment="0" applyProtection="0"/>
    <xf numFmtId="43" fontId="16" fillId="0" borderId="0" applyFont="0" applyFill="0" applyBorder="0" applyAlignment="0" applyProtection="0"/>
    <xf numFmtId="201" fontId="16" fillId="0" borderId="0" applyFont="0" applyFill="0" applyBorder="0" applyAlignment="0" applyProtection="0"/>
    <xf numFmtId="233"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181" fontId="16" fillId="0" borderId="0" applyFont="0" applyFill="0" applyBorder="0" applyAlignment="0" applyProtection="0"/>
    <xf numFmtId="43" fontId="16" fillId="0" borderId="0" applyFont="0" applyFill="0" applyBorder="0" applyAlignment="0" applyProtection="0"/>
    <xf numFmtId="189" fontId="16" fillId="0" borderId="0" applyFont="0" applyFill="0" applyBorder="0" applyAlignment="0" applyProtection="0"/>
    <xf numFmtId="201" fontId="16" fillId="0" borderId="0" applyFont="0" applyFill="0" applyBorder="0" applyAlignment="0" applyProtection="0"/>
    <xf numFmtId="207" fontId="16" fillId="0" borderId="0" applyFont="0" applyFill="0" applyBorder="0" applyAlignment="0" applyProtection="0"/>
    <xf numFmtId="43" fontId="16" fillId="0" borderId="0" applyFont="0" applyFill="0" applyBorder="0" applyAlignment="0" applyProtection="0"/>
    <xf numFmtId="201" fontId="16" fillId="0" borderId="0" applyFont="0" applyFill="0" applyBorder="0" applyAlignment="0" applyProtection="0"/>
    <xf numFmtId="167" fontId="16" fillId="0" borderId="0" applyFont="0" applyFill="0" applyBorder="0" applyAlignment="0" applyProtection="0"/>
    <xf numFmtId="181" fontId="16" fillId="0" borderId="0" applyFont="0" applyFill="0" applyBorder="0" applyAlignment="0" applyProtection="0"/>
    <xf numFmtId="201" fontId="16" fillId="0" borderId="0" applyFont="0" applyFill="0" applyBorder="0" applyAlignment="0" applyProtection="0"/>
    <xf numFmtId="41"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90" fontId="18" fillId="0" borderId="0" applyFont="0" applyFill="0" applyBorder="0" applyAlignment="0" applyProtection="0"/>
    <xf numFmtId="17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200" fontId="16" fillId="0" borderId="0" applyFont="0" applyFill="0" applyBorder="0" applyAlignment="0" applyProtection="0"/>
    <xf numFmtId="171" fontId="16" fillId="0" borderId="0" applyFont="0" applyFill="0" applyBorder="0" applyAlignment="0" applyProtection="0"/>
    <xf numFmtId="240" fontId="16" fillId="0" borderId="0" applyFont="0" applyFill="0" applyBorder="0" applyAlignment="0" applyProtection="0"/>
    <xf numFmtId="171" fontId="16" fillId="0" borderId="0" applyFont="0" applyFill="0" applyBorder="0" applyAlignment="0" applyProtection="0"/>
    <xf numFmtId="215" fontId="16" fillId="0" borderId="0" applyFont="0" applyFill="0" applyBorder="0" applyAlignment="0" applyProtection="0"/>
    <xf numFmtId="175" fontId="16" fillId="0" borderId="0" applyFont="0" applyFill="0" applyBorder="0" applyAlignment="0" applyProtection="0"/>
    <xf numFmtId="187" fontId="16" fillId="0" borderId="0" applyFont="0" applyFill="0" applyBorder="0" applyAlignment="0" applyProtection="0"/>
    <xf numFmtId="200" fontId="16" fillId="0" borderId="0" applyFont="0" applyFill="0" applyBorder="0" applyAlignment="0" applyProtection="0"/>
    <xf numFmtId="41" fontId="18" fillId="0" borderId="0" applyFont="0" applyFill="0" applyBorder="0" applyAlignment="0" applyProtection="0"/>
    <xf numFmtId="172" fontId="16" fillId="0" borderId="0" applyFont="0" applyFill="0" applyBorder="0" applyAlignment="0" applyProtection="0"/>
    <xf numFmtId="177" fontId="16" fillId="0" borderId="0" applyFont="0" applyFill="0" applyBorder="0" applyAlignment="0" applyProtection="0"/>
    <xf numFmtId="180" fontId="16" fillId="0" borderId="0" applyFont="0" applyFill="0" applyBorder="0" applyAlignment="0" applyProtection="0"/>
    <xf numFmtId="232" fontId="16" fillId="0" borderId="0" applyFont="0" applyFill="0" applyBorder="0" applyAlignment="0" applyProtection="0"/>
    <xf numFmtId="172" fontId="16" fillId="0" borderId="0" applyFont="0" applyFill="0" applyBorder="0" applyAlignment="0" applyProtection="0"/>
    <xf numFmtId="232" fontId="16" fillId="0" borderId="0" applyFont="0" applyFill="0" applyBorder="0" applyAlignment="0" applyProtection="0"/>
    <xf numFmtId="192"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66"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234"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232" fontId="16" fillId="0" borderId="0" applyFont="0" applyFill="0" applyBorder="0" applyAlignment="0" applyProtection="0"/>
    <xf numFmtId="180" fontId="16" fillId="0" borderId="0" applyFont="0" applyFill="0" applyBorder="0" applyAlignment="0" applyProtection="0"/>
    <xf numFmtId="172" fontId="18" fillId="0" borderId="0" applyFont="0" applyFill="0" applyBorder="0" applyAlignment="0" applyProtection="0"/>
    <xf numFmtId="177" fontId="16" fillId="0" borderId="0" applyFont="0" applyFill="0" applyBorder="0" applyAlignment="0" applyProtection="0"/>
    <xf numFmtId="192" fontId="16" fillId="0" borderId="0" applyFont="0" applyFill="0" applyBorder="0" applyAlignment="0" applyProtection="0"/>
    <xf numFmtId="206" fontId="16" fillId="0" borderId="0" applyFont="0" applyFill="0" applyBorder="0" applyAlignment="0" applyProtection="0"/>
    <xf numFmtId="213"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213" fontId="16" fillId="0" borderId="0" applyFont="0" applyFill="0" applyBorder="0" applyAlignment="0" applyProtection="0"/>
    <xf numFmtId="242" fontId="16" fillId="0" borderId="0" applyFont="0" applyFill="0" applyBorder="0" applyAlignment="0" applyProtection="0"/>
    <xf numFmtId="206" fontId="16" fillId="0" borderId="0" applyFont="0" applyFill="0" applyBorder="0" applyAlignment="0" applyProtection="0"/>
    <xf numFmtId="166" fontId="16" fillId="0" borderId="0" applyFont="0" applyFill="0" applyBorder="0" applyAlignment="0" applyProtection="0"/>
    <xf numFmtId="206" fontId="16" fillId="0" borderId="0" applyFont="0" applyFill="0" applyBorder="0" applyAlignment="0" applyProtection="0"/>
    <xf numFmtId="206" fontId="16" fillId="0" borderId="0" applyFont="0" applyFill="0" applyBorder="0" applyAlignment="0" applyProtection="0"/>
    <xf numFmtId="192" fontId="16" fillId="0" borderId="0" applyFont="0" applyFill="0" applyBorder="0" applyAlignment="0" applyProtection="0"/>
    <xf numFmtId="206" fontId="16" fillId="0" borderId="0" applyFont="0" applyFill="0" applyBorder="0" applyAlignment="0" applyProtection="0"/>
    <xf numFmtId="206" fontId="16" fillId="0" borderId="0" applyFont="0" applyFill="0" applyBorder="0" applyAlignment="0" applyProtection="0"/>
    <xf numFmtId="213" fontId="16" fillId="0" borderId="0" applyFont="0" applyFill="0" applyBorder="0" applyAlignment="0" applyProtection="0"/>
    <xf numFmtId="177" fontId="16" fillId="0" borderId="0" applyFont="0" applyFill="0" applyBorder="0" applyAlignment="0" applyProtection="0"/>
    <xf numFmtId="206" fontId="16" fillId="0" borderId="0" applyFont="0" applyFill="0" applyBorder="0" applyAlignment="0" applyProtection="0"/>
    <xf numFmtId="211" fontId="16" fillId="0" borderId="0" applyFont="0" applyFill="0" applyBorder="0" applyAlignment="0" applyProtection="0"/>
    <xf numFmtId="213"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72" fontId="16" fillId="0" borderId="0" applyFont="0" applyFill="0" applyBorder="0" applyAlignment="0" applyProtection="0"/>
    <xf numFmtId="177" fontId="16" fillId="0" borderId="0" applyFont="0" applyFill="0" applyBorder="0" applyAlignment="0" applyProtection="0"/>
    <xf numFmtId="172" fontId="16" fillId="0" borderId="0" applyFont="0" applyFill="0" applyBorder="0" applyAlignment="0" applyProtection="0"/>
    <xf numFmtId="19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232" fontId="16" fillId="0" borderId="0" applyFont="0" applyFill="0" applyBorder="0" applyAlignment="0" applyProtection="0"/>
    <xf numFmtId="232" fontId="16" fillId="0" borderId="0" applyFont="0" applyFill="0" applyBorder="0" applyAlignment="0" applyProtection="0"/>
    <xf numFmtId="172" fontId="16" fillId="0" borderId="0" applyFont="0" applyFill="0" applyBorder="0" applyAlignment="0" applyProtection="0"/>
    <xf numFmtId="232" fontId="16" fillId="0" borderId="0" applyFont="0" applyFill="0" applyBorder="0" applyAlignment="0" applyProtection="0"/>
    <xf numFmtId="172" fontId="16" fillId="0" borderId="0" applyFont="0" applyFill="0" applyBorder="0" applyAlignment="0" applyProtection="0"/>
    <xf numFmtId="180" fontId="16" fillId="0" borderId="0" applyFont="0" applyFill="0" applyBorder="0" applyAlignment="0" applyProtection="0"/>
    <xf numFmtId="41" fontId="16" fillId="0" borderId="0" applyFont="0" applyFill="0" applyBorder="0" applyAlignment="0" applyProtection="0"/>
    <xf numFmtId="188" fontId="16" fillId="0" borderId="0" applyFont="0" applyFill="0" applyBorder="0" applyAlignment="0" applyProtection="0"/>
    <xf numFmtId="177" fontId="16" fillId="0" borderId="0" applyFont="0" applyFill="0" applyBorder="0" applyAlignment="0" applyProtection="0"/>
    <xf numFmtId="206"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166" fontId="16" fillId="0" borderId="0" applyFont="0" applyFill="0" applyBorder="0" applyAlignment="0" applyProtection="0"/>
    <xf numFmtId="180" fontId="16" fillId="0" borderId="0" applyFont="0" applyFill="0" applyBorder="0" applyAlignment="0" applyProtection="0"/>
    <xf numFmtId="177" fontId="16" fillId="0" borderId="0" applyFont="0" applyFill="0" applyBorder="0" applyAlignment="0" applyProtection="0"/>
    <xf numFmtId="174" fontId="16" fillId="0" borderId="0" applyFont="0" applyFill="0" applyBorder="0" applyAlignment="0" applyProtection="0"/>
    <xf numFmtId="201" fontId="16" fillId="0" borderId="0" applyFont="0" applyFill="0" applyBorder="0" applyAlignment="0" applyProtection="0"/>
    <xf numFmtId="181"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233" fontId="16" fillId="0" borderId="0" applyFont="0" applyFill="0" applyBorder="0" applyAlignment="0" applyProtection="0"/>
    <xf numFmtId="0"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167"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3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33" fontId="16" fillId="0" borderId="0" applyFont="0" applyFill="0" applyBorder="0" applyAlignment="0" applyProtection="0"/>
    <xf numFmtId="181" fontId="16" fillId="0" borderId="0" applyFont="0" applyFill="0" applyBorder="0" applyAlignment="0" applyProtection="0"/>
    <xf numFmtId="0" fontId="16" fillId="0" borderId="0" applyFont="0" applyFill="0" applyBorder="0" applyAlignment="0" applyProtection="0"/>
    <xf numFmtId="201" fontId="16" fillId="0" borderId="0" applyFont="0" applyFill="0" applyBorder="0" applyAlignment="0" applyProtection="0"/>
    <xf numFmtId="207" fontId="16" fillId="0" borderId="0" applyFont="0" applyFill="0" applyBorder="0" applyAlignment="0" applyProtection="0"/>
    <xf numFmtId="214"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214" fontId="16" fillId="0" borderId="0" applyFont="0" applyFill="0" applyBorder="0" applyAlignment="0" applyProtection="0"/>
    <xf numFmtId="243" fontId="16" fillId="0" borderId="0" applyFont="0" applyFill="0" applyBorder="0" applyAlignment="0" applyProtection="0"/>
    <xf numFmtId="207" fontId="16" fillId="0" borderId="0" applyFont="0" applyFill="0" applyBorder="0" applyAlignment="0" applyProtection="0"/>
    <xf numFmtId="167" fontId="16" fillId="0" borderId="0" applyFont="0" applyFill="0" applyBorder="0" applyAlignment="0" applyProtection="0"/>
    <xf numFmtId="207" fontId="16" fillId="0" borderId="0" applyFont="0" applyFill="0" applyBorder="0" applyAlignment="0" applyProtection="0"/>
    <xf numFmtId="207" fontId="16" fillId="0" borderId="0" applyFont="0" applyFill="0" applyBorder="0" applyAlignment="0" applyProtection="0"/>
    <xf numFmtId="0" fontId="16" fillId="0" borderId="0" applyFont="0" applyFill="0" applyBorder="0" applyAlignment="0" applyProtection="0"/>
    <xf numFmtId="207" fontId="16" fillId="0" borderId="0" applyFont="0" applyFill="0" applyBorder="0" applyAlignment="0" applyProtection="0"/>
    <xf numFmtId="207" fontId="16" fillId="0" borderId="0" applyFont="0" applyFill="0" applyBorder="0" applyAlignment="0" applyProtection="0"/>
    <xf numFmtId="214" fontId="16" fillId="0" borderId="0" applyFont="0" applyFill="0" applyBorder="0" applyAlignment="0" applyProtection="0"/>
    <xf numFmtId="201" fontId="16" fillId="0" borderId="0" applyFont="0" applyFill="0" applyBorder="0" applyAlignment="0" applyProtection="0"/>
    <xf numFmtId="207" fontId="16" fillId="0" borderId="0" applyFont="0" applyFill="0" applyBorder="0" applyAlignment="0" applyProtection="0"/>
    <xf numFmtId="228" fontId="16" fillId="0" borderId="0" applyFont="0" applyFill="0" applyBorder="0" applyAlignment="0" applyProtection="0"/>
    <xf numFmtId="214" fontId="16" fillId="0" borderId="0" applyFont="0" applyFill="0" applyBorder="0" applyAlignment="0" applyProtection="0"/>
    <xf numFmtId="207" fontId="16" fillId="0" borderId="0" applyFont="0" applyFill="0" applyBorder="0" applyAlignment="0" applyProtection="0"/>
    <xf numFmtId="201" fontId="16" fillId="0" borderId="0" applyFont="0" applyFill="0" applyBorder="0" applyAlignment="0" applyProtection="0"/>
    <xf numFmtId="174" fontId="16" fillId="0" borderId="0" applyFont="0" applyFill="0" applyBorder="0" applyAlignment="0" applyProtection="0"/>
    <xf numFmtId="201" fontId="16" fillId="0" borderId="0" applyFont="0" applyFill="0" applyBorder="0" applyAlignment="0" applyProtection="0"/>
    <xf numFmtId="174" fontId="16" fillId="0" borderId="0" applyFont="0" applyFill="0" applyBorder="0" applyAlignment="0" applyProtection="0"/>
    <xf numFmtId="0" fontId="16" fillId="0" borderId="0" applyFont="0" applyFill="0" applyBorder="0" applyAlignment="0" applyProtection="0"/>
    <xf numFmtId="174" fontId="16" fillId="0" borderId="0" applyFont="0" applyFill="0" applyBorder="0" applyAlignment="0" applyProtection="0"/>
    <xf numFmtId="174" fontId="16" fillId="0" borderId="0" applyFont="0" applyFill="0" applyBorder="0" applyAlignment="0" applyProtection="0"/>
    <xf numFmtId="43" fontId="16" fillId="0" borderId="0" applyFont="0" applyFill="0" applyBorder="0" applyAlignment="0" applyProtection="0"/>
    <xf numFmtId="201" fontId="16" fillId="0" borderId="0" applyFont="0" applyFill="0" applyBorder="0" applyAlignment="0" applyProtection="0"/>
    <xf numFmtId="233"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233" fontId="16" fillId="0" borderId="0" applyFont="0" applyFill="0" applyBorder="0" applyAlignment="0" applyProtection="0"/>
    <xf numFmtId="174" fontId="16" fillId="0" borderId="0" applyFont="0" applyFill="0" applyBorder="0" applyAlignment="0" applyProtection="0"/>
    <xf numFmtId="181" fontId="16" fillId="0" borderId="0" applyFont="0" applyFill="0" applyBorder="0" applyAlignment="0" applyProtection="0"/>
    <xf numFmtId="43" fontId="16" fillId="0" borderId="0" applyFont="0" applyFill="0" applyBorder="0" applyAlignment="0" applyProtection="0"/>
    <xf numFmtId="189" fontId="16" fillId="0" borderId="0" applyFont="0" applyFill="0" applyBorder="0" applyAlignment="0" applyProtection="0"/>
    <xf numFmtId="201" fontId="16" fillId="0" borderId="0" applyFont="0" applyFill="0" applyBorder="0" applyAlignment="0" applyProtection="0"/>
    <xf numFmtId="207" fontId="16" fillId="0" borderId="0" applyFont="0" applyFill="0" applyBorder="0" applyAlignment="0" applyProtection="0"/>
    <xf numFmtId="43" fontId="16" fillId="0" borderId="0" applyFont="0" applyFill="0" applyBorder="0" applyAlignment="0" applyProtection="0"/>
    <xf numFmtId="201" fontId="16" fillId="0" borderId="0" applyFont="0" applyFill="0" applyBorder="0" applyAlignment="0" applyProtection="0"/>
    <xf numFmtId="167" fontId="16" fillId="0" borderId="0" applyFont="0" applyFill="0" applyBorder="0" applyAlignment="0" applyProtection="0"/>
    <xf numFmtId="181" fontId="16" fillId="0" borderId="0" applyFont="0" applyFill="0" applyBorder="0" applyAlignment="0" applyProtection="0"/>
    <xf numFmtId="201" fontId="16"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90" fontId="18" fillId="0" borderId="0" applyFont="0" applyFill="0" applyBorder="0" applyAlignment="0" applyProtection="0"/>
    <xf numFmtId="43" fontId="18" fillId="0" borderId="0" applyFont="0" applyFill="0" applyBorder="0" applyAlignment="0" applyProtection="0"/>
    <xf numFmtId="205" fontId="16" fillId="0" borderId="0" applyFont="0" applyFill="0" applyBorder="0" applyAlignment="0" applyProtection="0"/>
    <xf numFmtId="175" fontId="16" fillId="0" borderId="0" applyFont="0" applyFill="0" applyBorder="0" applyAlignment="0" applyProtection="0"/>
    <xf numFmtId="200" fontId="16" fillId="0" borderId="0" applyFont="0" applyFill="0" applyBorder="0" applyAlignment="0" applyProtection="0"/>
    <xf numFmtId="165" fontId="16" fillId="0" borderId="0" applyFont="0" applyFill="0" applyBorder="0" applyAlignment="0" applyProtection="0"/>
    <xf numFmtId="215" fontId="16" fillId="0" borderId="0" applyFont="0" applyFill="0" applyBorder="0" applyAlignment="0" applyProtection="0"/>
    <xf numFmtId="200" fontId="16" fillId="0" borderId="0" applyFont="0" applyFill="0" applyBorder="0" applyAlignment="0" applyProtection="0"/>
    <xf numFmtId="0" fontId="26" fillId="0" borderId="0"/>
    <xf numFmtId="9" fontId="19" fillId="0" borderId="0" applyBorder="0" applyAlignment="0" applyProtection="0"/>
    <xf numFmtId="196" fontId="20" fillId="0" borderId="0" applyFont="0" applyFill="0" applyBorder="0" applyAlignment="0" applyProtection="0"/>
    <xf numFmtId="0" fontId="21" fillId="0" borderId="0" applyFont="0" applyFill="0" applyBorder="0" applyAlignment="0" applyProtection="0"/>
    <xf numFmtId="168" fontId="22" fillId="0" borderId="0" applyFont="0" applyFill="0" applyBorder="0" applyAlignment="0" applyProtection="0"/>
    <xf numFmtId="177" fontId="20" fillId="0" borderId="0" applyFont="0" applyFill="0" applyBorder="0" applyAlignment="0" applyProtection="0"/>
    <xf numFmtId="0" fontId="21" fillId="0" borderId="0" applyFont="0" applyFill="0" applyBorder="0" applyAlignment="0" applyProtection="0"/>
    <xf numFmtId="186" fontId="18" fillId="0" borderId="0" applyFont="0" applyFill="0" applyBorder="0" applyAlignment="0" applyProtection="0"/>
    <xf numFmtId="229" fontId="34" fillId="0" borderId="0" applyFont="0" applyFill="0" applyBorder="0" applyAlignment="0" applyProtection="0"/>
    <xf numFmtId="229" fontId="26" fillId="0" borderId="0" applyFont="0" applyFill="0" applyBorder="0" applyAlignment="0" applyProtection="0"/>
    <xf numFmtId="229" fontId="26" fillId="0" borderId="0" applyFont="0" applyFill="0" applyBorder="0" applyAlignment="0" applyProtection="0"/>
    <xf numFmtId="180" fontId="23" fillId="0" borderId="0" applyFont="0" applyFill="0" applyBorder="0" applyAlignment="0" applyProtection="0"/>
    <xf numFmtId="0" fontId="21" fillId="0" borderId="0" applyFont="0" applyFill="0" applyBorder="0" applyAlignment="0" applyProtection="0"/>
    <xf numFmtId="180" fontId="23" fillId="0" borderId="0" applyFont="0" applyFill="0" applyBorder="0" applyAlignment="0" applyProtection="0"/>
    <xf numFmtId="181" fontId="23" fillId="0" borderId="0" applyFont="0" applyFill="0" applyBorder="0" applyAlignment="0" applyProtection="0"/>
    <xf numFmtId="0" fontId="21" fillId="0" borderId="0" applyFont="0" applyFill="0" applyBorder="0" applyAlignment="0" applyProtection="0"/>
    <xf numFmtId="181" fontId="23" fillId="0" borderId="0" applyFont="0" applyFill="0" applyBorder="0" applyAlignment="0" applyProtection="0"/>
    <xf numFmtId="175" fontId="18" fillId="0" borderId="0" applyFont="0" applyFill="0" applyBorder="0" applyAlignment="0" applyProtection="0"/>
    <xf numFmtId="229" fontId="34" fillId="0" borderId="0" applyFont="0" applyFill="0" applyBorder="0" applyAlignment="0" applyProtection="0"/>
    <xf numFmtId="229" fontId="26" fillId="0" borderId="0" applyFont="0" applyFill="0" applyBorder="0" applyAlignment="0" applyProtection="0"/>
    <xf numFmtId="229" fontId="26" fillId="0" borderId="0" applyFont="0" applyFill="0" applyBorder="0" applyAlignment="0" applyProtection="0"/>
    <xf numFmtId="0" fontId="21" fillId="0" borderId="0"/>
    <xf numFmtId="0" fontId="2" fillId="0" borderId="0"/>
    <xf numFmtId="0" fontId="24" fillId="0" borderId="0"/>
    <xf numFmtId="0" fontId="25" fillId="0" borderId="0"/>
    <xf numFmtId="173" fontId="16" fillId="0" borderId="0" applyFont="0" applyFill="0" applyBorder="0" applyAlignment="0" applyProtection="0"/>
    <xf numFmtId="174" fontId="2" fillId="0" borderId="0" applyFont="0" applyFill="0" applyBorder="0" applyAlignment="0" applyProtection="0"/>
    <xf numFmtId="167" fontId="194" fillId="0" borderId="0" applyFont="0" applyFill="0" applyBorder="0" applyAlignment="0" applyProtection="0"/>
    <xf numFmtId="174" fontId="186" fillId="0" borderId="0" applyFont="0" applyFill="0" applyBorder="0" applyAlignment="0" applyProtection="0"/>
    <xf numFmtId="174" fontId="10" fillId="0" borderId="0" applyFont="0" applyFill="0" applyBorder="0" applyAlignment="0" applyProtection="0"/>
    <xf numFmtId="304" fontId="26" fillId="0" borderId="0" applyFont="0" applyFill="0" applyBorder="0" applyAlignment="0" applyProtection="0"/>
    <xf numFmtId="174" fontId="10" fillId="0" borderId="0" applyFont="0" applyFill="0" applyBorder="0" applyAlignment="0" applyProtection="0"/>
    <xf numFmtId="174" fontId="186" fillId="0" borderId="0" applyFont="0" applyFill="0" applyBorder="0" applyAlignment="0" applyProtection="0"/>
    <xf numFmtId="174" fontId="10" fillId="0" borderId="0" applyFont="0" applyFill="0" applyBorder="0" applyAlignment="0" applyProtection="0"/>
    <xf numFmtId="174" fontId="191" fillId="0" borderId="0" applyFont="0" applyFill="0" applyBorder="0" applyAlignment="0" applyProtection="0"/>
    <xf numFmtId="174" fontId="192" fillId="0" borderId="0" applyFont="0" applyFill="0" applyBorder="0" applyAlignment="0" applyProtection="0"/>
    <xf numFmtId="167" fontId="187" fillId="0" borderId="0" applyFont="0" applyFill="0" applyBorder="0" applyAlignment="0" applyProtection="0"/>
    <xf numFmtId="167" fontId="26" fillId="0" borderId="0" applyFont="0" applyFill="0" applyBorder="0" applyAlignment="0" applyProtection="0"/>
    <xf numFmtId="167" fontId="190" fillId="0" borderId="0" applyFont="0" applyFill="0" applyBorder="0" applyAlignment="0" applyProtection="0"/>
    <xf numFmtId="174" fontId="192" fillId="0" borderId="0" applyFont="0" applyFill="0" applyBorder="0" applyAlignment="0" applyProtection="0"/>
    <xf numFmtId="167" fontId="193" fillId="0" borderId="0" applyFont="0" applyFill="0" applyBorder="0" applyAlignment="0" applyProtection="0"/>
    <xf numFmtId="0" fontId="22" fillId="0" borderId="0" applyFont="0" applyFill="0" applyBorder="0" applyAlignment="0" applyProtection="0"/>
    <xf numFmtId="3" fontId="26" fillId="0" borderId="0" applyFont="0" applyFill="0" applyBorder="0" applyAlignment="0" applyProtection="0"/>
    <xf numFmtId="40" fontId="79" fillId="0" borderId="0" applyFont="0" applyFill="0" applyBorder="0" applyAlignment="0" applyProtection="0"/>
    <xf numFmtId="174" fontId="27" fillId="0" borderId="0" applyFont="0" applyFill="0" applyBorder="0" applyAlignment="0" applyProtection="0"/>
    <xf numFmtId="209" fontId="34" fillId="0" borderId="0" applyFont="0" applyFill="0" applyBorder="0" applyAlignment="0" applyProtection="0"/>
    <xf numFmtId="210" fontId="34" fillId="0" borderId="0" applyFont="0" applyFill="0" applyBorder="0" applyAlignment="0" applyProtection="0"/>
    <xf numFmtId="208" fontId="34" fillId="0" borderId="0" applyFont="0" applyFill="0" applyBorder="0" applyAlignment="0" applyProtection="0"/>
    <xf numFmtId="179" fontId="26" fillId="0" borderId="0" applyFont="0" applyFill="0" applyBorder="0" applyAlignment="0" applyProtection="0"/>
    <xf numFmtId="301" fontId="36" fillId="0" borderId="0" applyFont="0" applyFill="0" applyBorder="0" applyAlignment="0" applyProtection="0"/>
    <xf numFmtId="0" fontId="26"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238" fontId="18" fillId="0" borderId="0" applyFont="0" applyFill="0" applyBorder="0" applyAlignment="0" applyProtection="0"/>
    <xf numFmtId="239" fontId="18" fillId="0" borderId="0" applyFont="0" applyFill="0" applyBorder="0" applyAlignment="0" applyProtection="0"/>
    <xf numFmtId="2" fontId="26" fillId="0" borderId="0" applyFont="0" applyFill="0" applyBorder="0" applyAlignment="0" applyProtection="0"/>
    <xf numFmtId="38" fontId="28" fillId="2" borderId="0" applyNumberFormat="0" applyBorder="0" applyAlignment="0" applyProtection="0"/>
    <xf numFmtId="0" fontId="29" fillId="0" borderId="0">
      <alignment horizontal="left"/>
    </xf>
    <xf numFmtId="0" fontId="30" fillId="0" borderId="1" applyNumberFormat="0" applyAlignment="0" applyProtection="0">
      <alignment horizontal="left" vertical="center"/>
    </xf>
    <xf numFmtId="0" fontId="30" fillId="0" borderId="2">
      <alignment horizontal="left" vertical="center"/>
    </xf>
    <xf numFmtId="0" fontId="31"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241" fontId="18" fillId="0" borderId="0">
      <protection locked="0"/>
    </xf>
    <xf numFmtId="241" fontId="18" fillId="0" borderId="0">
      <protection locked="0"/>
    </xf>
    <xf numFmtId="0" fontId="189"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177" fontId="16" fillId="0" borderId="0" applyFont="0" applyFill="0" applyBorder="0" applyAlignment="0" applyProtection="0"/>
    <xf numFmtId="10" fontId="28" fillId="2" borderId="3" applyNumberFormat="0" applyBorder="0" applyAlignment="0" applyProtection="0"/>
    <xf numFmtId="0" fontId="46" fillId="0" borderId="0"/>
    <xf numFmtId="0" fontId="47" fillId="0" borderId="0"/>
    <xf numFmtId="38" fontId="47" fillId="0" borderId="0" applyFont="0" applyFill="0" applyBorder="0" applyAlignment="0" applyProtection="0"/>
    <xf numFmtId="40" fontId="47" fillId="0" borderId="0" applyFont="0" applyFill="0" applyBorder="0" applyAlignment="0" applyProtection="0"/>
    <xf numFmtId="0" fontId="32" fillId="0" borderId="4"/>
    <xf numFmtId="236" fontId="47" fillId="0" borderId="0" applyFont="0" applyFill="0" applyBorder="0" applyAlignment="0" applyProtection="0"/>
    <xf numFmtId="237" fontId="47" fillId="0" borderId="0" applyFont="0" applyFill="0" applyBorder="0" applyAlignment="0" applyProtection="0"/>
    <xf numFmtId="0" fontId="107" fillId="0" borderId="0" applyNumberFormat="0" applyFont="0" applyFill="0" applyAlignment="0"/>
    <xf numFmtId="178" fontId="33" fillId="0" borderId="0"/>
    <xf numFmtId="0" fontId="186" fillId="0" borderId="0"/>
    <xf numFmtId="0" fontId="10" fillId="0" borderId="0"/>
    <xf numFmtId="0" fontId="191" fillId="0" borderId="0"/>
    <xf numFmtId="0" fontId="1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5" fillId="0" borderId="0"/>
    <xf numFmtId="0" fontId="195"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26"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26" fillId="0" borderId="0"/>
    <xf numFmtId="0" fontId="10" fillId="0" borderId="0"/>
    <xf numFmtId="0" fontId="10" fillId="0" borderId="0"/>
    <xf numFmtId="0" fontId="10"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26"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86" fillId="0" borderId="0"/>
    <xf numFmtId="0" fontId="10" fillId="0" borderId="0"/>
    <xf numFmtId="0" fontId="191" fillId="0" borderId="0"/>
    <xf numFmtId="0" fontId="192" fillId="0" borderId="0"/>
    <xf numFmtId="0" fontId="10" fillId="0" borderId="0"/>
    <xf numFmtId="0" fontId="10" fillId="0" borderId="0"/>
    <xf numFmtId="0" fontId="187" fillId="0" borderId="0"/>
    <xf numFmtId="0" fontId="192" fillId="0" borderId="0"/>
    <xf numFmtId="0" fontId="10" fillId="0" borderId="0"/>
    <xf numFmtId="0" fontId="26" fillId="0" borderId="0"/>
    <xf numFmtId="0" fontId="187" fillId="0" borderId="0"/>
    <xf numFmtId="0" fontId="18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6" fillId="0" borderId="0"/>
    <xf numFmtId="0" fontId="10" fillId="0" borderId="0"/>
    <xf numFmtId="0" fontId="191" fillId="0" borderId="0"/>
    <xf numFmtId="0" fontId="192" fillId="0" borderId="0"/>
    <xf numFmtId="0" fontId="26" fillId="0" borderId="0"/>
    <xf numFmtId="0" fontId="26" fillId="0" borderId="0"/>
    <xf numFmtId="0" fontId="26" fillId="0" borderId="0"/>
    <xf numFmtId="0" fontId="26" fillId="0" borderId="0"/>
    <xf numFmtId="0" fontId="26" fillId="0" borderId="0"/>
    <xf numFmtId="0" fontId="190" fillId="0" borderId="0"/>
    <xf numFmtId="0" fontId="190" fillId="0" borderId="0"/>
    <xf numFmtId="0" fontId="190" fillId="0" borderId="0"/>
    <xf numFmtId="0" fontId="190" fillId="0" borderId="0"/>
    <xf numFmtId="0" fontId="190" fillId="0" borderId="0"/>
    <xf numFmtId="0" fontId="186" fillId="0" borderId="0"/>
    <xf numFmtId="0" fontId="10" fillId="0" borderId="0"/>
    <xf numFmtId="0" fontId="191" fillId="0" borderId="0"/>
    <xf numFmtId="0" fontId="192"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86" fillId="0" borderId="0"/>
    <xf numFmtId="0" fontId="10" fillId="0" borderId="0"/>
    <xf numFmtId="0" fontId="191" fillId="0" borderId="0"/>
    <xf numFmtId="0" fontId="192"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86" fillId="0" borderId="0"/>
    <xf numFmtId="0" fontId="10" fillId="0" borderId="0"/>
    <xf numFmtId="0" fontId="191" fillId="0" borderId="0"/>
    <xf numFmtId="0" fontId="192" fillId="0" borderId="0"/>
    <xf numFmtId="0" fontId="190" fillId="0" borderId="0"/>
    <xf numFmtId="0" fontId="190" fillId="0" borderId="0"/>
    <xf numFmtId="0" fontId="190" fillId="0" borderId="0"/>
    <xf numFmtId="0" fontId="193" fillId="0" borderId="0"/>
    <xf numFmtId="0" fontId="193" fillId="0" borderId="0"/>
    <xf numFmtId="0" fontId="193" fillId="0" borderId="0"/>
    <xf numFmtId="0" fontId="26" fillId="0" borderId="0"/>
    <xf numFmtId="0" fontId="26" fillId="0" borderId="0"/>
    <xf numFmtId="0" fontId="26" fillId="0" borderId="0"/>
    <xf numFmtId="0" fontId="26" fillId="0" borderId="0"/>
    <xf numFmtId="0" fontId="26" fillId="0" borderId="0"/>
    <xf numFmtId="0" fontId="10" fillId="0" borderId="0"/>
    <xf numFmtId="0" fontId="64" fillId="0" borderId="0"/>
    <xf numFmtId="0" fontId="10" fillId="0" borderId="0"/>
    <xf numFmtId="0" fontId="22" fillId="0" borderId="0"/>
    <xf numFmtId="0" fontId="47" fillId="0" borderId="0"/>
    <xf numFmtId="0" fontId="26" fillId="0" borderId="0" applyFont="0" applyFill="0" applyBorder="0" applyAlignment="0" applyProtection="0"/>
    <xf numFmtId="0" fontId="10" fillId="0" borderId="0"/>
    <xf numFmtId="9" fontId="2" fillId="0" borderId="0" applyFont="0" applyFill="0" applyBorder="0" applyAlignment="0" applyProtection="0"/>
    <xf numFmtId="10" fontId="34"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87"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87"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87"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0"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7" fontId="16" fillId="0" borderId="0" applyFont="0" applyFill="0" applyBorder="0" applyAlignment="0" applyProtection="0"/>
    <xf numFmtId="0" fontId="34" fillId="0" borderId="0"/>
    <xf numFmtId="175" fontId="16" fillId="0" borderId="0" applyFont="0" applyFill="0" applyBorder="0" applyAlignment="0" applyProtection="0"/>
    <xf numFmtId="200" fontId="16" fillId="0" borderId="0" applyFont="0" applyFill="0" applyBorder="0" applyAlignment="0" applyProtection="0"/>
    <xf numFmtId="177" fontId="16" fillId="0" borderId="0" applyFont="0" applyFill="0" applyBorder="0" applyAlignment="0" applyProtection="0"/>
    <xf numFmtId="188" fontId="16" fillId="0" borderId="0" applyFont="0" applyFill="0" applyBorder="0" applyAlignment="0" applyProtection="0"/>
    <xf numFmtId="177" fontId="16" fillId="0" borderId="0" applyFont="0" applyFill="0" applyBorder="0" applyAlignment="0" applyProtection="0"/>
    <xf numFmtId="206"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166" fontId="16" fillId="0" borderId="0" applyFont="0" applyFill="0" applyBorder="0" applyAlignment="0" applyProtection="0"/>
    <xf numFmtId="180" fontId="16" fillId="0" borderId="0" applyFont="0" applyFill="0" applyBorder="0" applyAlignment="0" applyProtection="0"/>
    <xf numFmtId="177" fontId="16" fillId="0" borderId="0" applyFont="0" applyFill="0" applyBorder="0" applyAlignment="0" applyProtection="0"/>
    <xf numFmtId="175" fontId="16" fillId="0" borderId="0" applyFont="0" applyFill="0" applyBorder="0" applyAlignment="0" applyProtection="0"/>
    <xf numFmtId="191" fontId="16" fillId="0" borderId="0" applyFont="0" applyFill="0" applyBorder="0" applyAlignment="0" applyProtection="0"/>
    <xf numFmtId="234" fontId="16" fillId="0" borderId="0" applyFont="0" applyFill="0" applyBorder="0" applyAlignment="0" applyProtection="0"/>
    <xf numFmtId="206" fontId="16" fillId="0" borderId="0" applyFont="0" applyFill="0" applyBorder="0" applyAlignment="0" applyProtection="0"/>
    <xf numFmtId="200" fontId="16" fillId="0" borderId="0" applyFont="0" applyFill="0" applyBorder="0" applyAlignment="0" applyProtection="0"/>
    <xf numFmtId="175" fontId="16" fillId="0" borderId="0" applyFont="0" applyFill="0" applyBorder="0" applyAlignment="0" applyProtection="0"/>
    <xf numFmtId="215" fontId="16" fillId="0" borderId="0" applyFont="0" applyFill="0" applyBorder="0" applyAlignment="0" applyProtection="0"/>
    <xf numFmtId="191" fontId="16" fillId="0" borderId="0" applyFont="0" applyFill="0" applyBorder="0" applyAlignment="0" applyProtection="0"/>
    <xf numFmtId="205" fontId="16" fillId="0" borderId="0" applyFont="0" applyFill="0" applyBorder="0" applyAlignment="0" applyProtection="0"/>
    <xf numFmtId="165" fontId="16" fillId="0" borderId="0" applyFont="0" applyFill="0" applyBorder="0" applyAlignment="0" applyProtection="0"/>
    <xf numFmtId="205" fontId="16" fillId="0" borderId="0" applyFont="0" applyFill="0" applyBorder="0" applyAlignment="0" applyProtection="0"/>
    <xf numFmtId="205" fontId="16" fillId="0" borderId="0" applyFont="0" applyFill="0" applyBorder="0" applyAlignment="0" applyProtection="0"/>
    <xf numFmtId="205" fontId="16" fillId="0" borderId="0" applyFont="0" applyFill="0" applyBorder="0" applyAlignment="0" applyProtection="0"/>
    <xf numFmtId="165" fontId="16" fillId="0" borderId="0" applyFont="0" applyFill="0" applyBorder="0" applyAlignment="0" applyProtection="0"/>
    <xf numFmtId="41" fontId="16" fillId="0" borderId="0" applyFont="0" applyFill="0" applyBorder="0" applyAlignment="0" applyProtection="0"/>
    <xf numFmtId="206" fontId="16" fillId="0" borderId="0" applyFont="0" applyFill="0" applyBorder="0" applyAlignment="0" applyProtection="0"/>
    <xf numFmtId="226" fontId="16" fillId="0" borderId="0" applyFont="0" applyFill="0" applyBorder="0" applyAlignment="0" applyProtection="0"/>
    <xf numFmtId="200" fontId="16" fillId="0" borderId="0" applyFont="0" applyFill="0" applyBorder="0" applyAlignment="0" applyProtection="0"/>
    <xf numFmtId="205" fontId="16" fillId="0" borderId="0" applyFont="0" applyFill="0" applyBorder="0" applyAlignment="0" applyProtection="0"/>
    <xf numFmtId="171" fontId="18" fillId="0" borderId="0" applyFont="0" applyFill="0" applyBorder="0" applyAlignment="0" applyProtection="0"/>
    <xf numFmtId="226" fontId="16" fillId="0" borderId="0" applyFont="0" applyFill="0" applyBorder="0" applyAlignment="0" applyProtection="0"/>
    <xf numFmtId="205" fontId="16" fillId="0" borderId="0" applyFont="0" applyFill="0" applyBorder="0" applyAlignment="0" applyProtection="0"/>
    <xf numFmtId="165" fontId="16" fillId="0" borderId="0" applyFont="0" applyFill="0" applyBorder="0" applyAlignment="0" applyProtection="0"/>
    <xf numFmtId="200" fontId="16" fillId="0" borderId="0" applyFont="0" applyFill="0" applyBorder="0" applyAlignment="0" applyProtection="0"/>
    <xf numFmtId="191" fontId="16" fillId="0" borderId="0" applyFont="0" applyFill="0" applyBorder="0" applyAlignment="0" applyProtection="0"/>
    <xf numFmtId="175" fontId="16" fillId="0" borderId="0" applyFont="0" applyFill="0" applyBorder="0" applyAlignment="0" applyProtection="0"/>
    <xf numFmtId="41" fontId="16" fillId="0" borderId="0" applyFont="0" applyFill="0" applyBorder="0" applyAlignment="0" applyProtection="0"/>
    <xf numFmtId="20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5" fontId="16" fillId="0" borderId="0" applyFont="0" applyFill="0" applyBorder="0" applyAlignment="0" applyProtection="0"/>
    <xf numFmtId="200" fontId="16" fillId="0" borderId="0" applyFont="0" applyFill="0" applyBorder="0" applyAlignment="0" applyProtection="0"/>
    <xf numFmtId="171" fontId="16" fillId="0" borderId="0" applyFont="0" applyFill="0" applyBorder="0" applyAlignment="0" applyProtection="0"/>
    <xf numFmtId="240" fontId="16" fillId="0" borderId="0" applyFont="0" applyFill="0" applyBorder="0" applyAlignment="0" applyProtection="0"/>
    <xf numFmtId="171" fontId="16" fillId="0" borderId="0" applyFont="0" applyFill="0" applyBorder="0" applyAlignment="0" applyProtection="0"/>
    <xf numFmtId="215" fontId="16" fillId="0" borderId="0" applyFont="0" applyFill="0" applyBorder="0" applyAlignment="0" applyProtection="0"/>
    <xf numFmtId="175" fontId="16" fillId="0" borderId="0" applyFont="0" applyFill="0" applyBorder="0" applyAlignment="0" applyProtection="0"/>
    <xf numFmtId="187" fontId="16" fillId="0" borderId="0" applyFont="0" applyFill="0" applyBorder="0" applyAlignment="0" applyProtection="0"/>
    <xf numFmtId="232" fontId="16" fillId="0" borderId="0" applyFont="0" applyFill="0" applyBorder="0" applyAlignment="0" applyProtection="0"/>
    <xf numFmtId="192" fontId="16" fillId="0" borderId="0" applyFont="0" applyFill="0" applyBorder="0" applyAlignment="0" applyProtection="0"/>
    <xf numFmtId="200" fontId="16" fillId="0" borderId="0" applyFont="0" applyFill="0" applyBorder="0" applyAlignment="0" applyProtection="0"/>
    <xf numFmtId="205" fontId="16" fillId="0" borderId="0" applyFont="0" applyFill="0" applyBorder="0" applyAlignment="0" applyProtection="0"/>
    <xf numFmtId="175" fontId="16" fillId="0" borderId="0" applyFont="0" applyFill="0" applyBorder="0" applyAlignment="0" applyProtection="0"/>
    <xf numFmtId="200" fontId="16" fillId="0" borderId="0" applyFont="0" applyFill="0" applyBorder="0" applyAlignment="0" applyProtection="0"/>
    <xf numFmtId="165" fontId="16" fillId="0" borderId="0" applyFont="0" applyFill="0" applyBorder="0" applyAlignment="0" applyProtection="0"/>
    <xf numFmtId="215" fontId="16" fillId="0" borderId="0" applyFont="0" applyFill="0" applyBorder="0" applyAlignment="0" applyProtection="0"/>
    <xf numFmtId="200" fontId="16" fillId="0" borderId="0" applyFont="0" applyFill="0" applyBorder="0" applyAlignment="0" applyProtection="0"/>
    <xf numFmtId="180" fontId="16" fillId="0" borderId="0" applyFont="0" applyFill="0" applyBorder="0" applyAlignment="0" applyProtection="0"/>
    <xf numFmtId="206" fontId="16" fillId="0" borderId="0" applyFont="0" applyFill="0" applyBorder="0" applyAlignment="0" applyProtection="0"/>
    <xf numFmtId="172" fontId="18" fillId="0" borderId="0" applyFont="0" applyFill="0" applyBorder="0" applyAlignment="0" applyProtection="0"/>
    <xf numFmtId="213" fontId="16" fillId="0" borderId="0" applyFont="0" applyFill="0" applyBorder="0" applyAlignment="0" applyProtection="0"/>
    <xf numFmtId="177" fontId="16" fillId="0" borderId="0" applyFont="0" applyFill="0" applyBorder="0" applyAlignment="0" applyProtection="0"/>
    <xf numFmtId="192" fontId="16" fillId="0" borderId="0" applyFont="0" applyFill="0" applyBorder="0" applyAlignment="0" applyProtection="0"/>
    <xf numFmtId="206"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72" fontId="16" fillId="0" borderId="0" applyFont="0" applyFill="0" applyBorder="0" applyAlignment="0" applyProtection="0"/>
    <xf numFmtId="177" fontId="16" fillId="0" borderId="0" applyFont="0" applyFill="0" applyBorder="0" applyAlignment="0" applyProtection="0"/>
    <xf numFmtId="206" fontId="16" fillId="0" borderId="0" applyFont="0" applyFill="0" applyBorder="0" applyAlignment="0" applyProtection="0"/>
    <xf numFmtId="172" fontId="16" fillId="0" borderId="0" applyFont="0" applyFill="0" applyBorder="0" applyAlignment="0" applyProtection="0"/>
    <xf numFmtId="213" fontId="16" fillId="0" borderId="0" applyFont="0" applyFill="0" applyBorder="0" applyAlignment="0" applyProtection="0"/>
    <xf numFmtId="177" fontId="16" fillId="0" borderId="0" applyFont="0" applyFill="0" applyBorder="0" applyAlignment="0" applyProtection="0"/>
    <xf numFmtId="242" fontId="16" fillId="0" borderId="0" applyFont="0" applyFill="0" applyBorder="0" applyAlignment="0" applyProtection="0"/>
    <xf numFmtId="192" fontId="16" fillId="0" borderId="0" applyFont="0" applyFill="0" applyBorder="0" applyAlignment="0" applyProtection="0"/>
    <xf numFmtId="166" fontId="16" fillId="0" borderId="0" applyFont="0" applyFill="0" applyBorder="0" applyAlignment="0" applyProtection="0"/>
    <xf numFmtId="172" fontId="16" fillId="0" borderId="0" applyFont="0" applyFill="0" applyBorder="0" applyAlignment="0" applyProtection="0"/>
    <xf numFmtId="206" fontId="16" fillId="0" borderId="0" applyFont="0" applyFill="0" applyBorder="0" applyAlignment="0" applyProtection="0"/>
    <xf numFmtId="172" fontId="16" fillId="0" borderId="0" applyFont="0" applyFill="0" applyBorder="0" applyAlignment="0" applyProtection="0"/>
    <xf numFmtId="206" fontId="16" fillId="0" borderId="0" applyFont="0" applyFill="0" applyBorder="0" applyAlignment="0" applyProtection="0"/>
    <xf numFmtId="41" fontId="16" fillId="0" borderId="0" applyFont="0" applyFill="0" applyBorder="0" applyAlignment="0" applyProtection="0"/>
    <xf numFmtId="206" fontId="16" fillId="0" borderId="0" applyFont="0" applyFill="0" applyBorder="0" applyAlignment="0" applyProtection="0"/>
    <xf numFmtId="180" fontId="16" fillId="0" borderId="0" applyFont="0" applyFill="0" applyBorder="0" applyAlignment="0" applyProtection="0"/>
    <xf numFmtId="213"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188"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80" fontId="16" fillId="0" borderId="0" applyFont="0" applyFill="0" applyBorder="0" applyAlignment="0" applyProtection="0"/>
    <xf numFmtId="206" fontId="16" fillId="0" borderId="0" applyFont="0" applyFill="0" applyBorder="0" applyAlignment="0" applyProtection="0"/>
    <xf numFmtId="211" fontId="16" fillId="0" borderId="0" applyFont="0" applyFill="0" applyBorder="0" applyAlignment="0" applyProtection="0"/>
    <xf numFmtId="206" fontId="16" fillId="0" borderId="0" applyFont="0" applyFill="0" applyBorder="0" applyAlignment="0" applyProtection="0"/>
    <xf numFmtId="213" fontId="16" fillId="0" borderId="0" applyFont="0" applyFill="0" applyBorder="0" applyAlignment="0" applyProtection="0"/>
    <xf numFmtId="41" fontId="16" fillId="0" borderId="0" applyFont="0" applyFill="0" applyBorder="0" applyAlignment="0" applyProtection="0"/>
    <xf numFmtId="206" fontId="16" fillId="0" borderId="0" applyFont="0" applyFill="0" applyBorder="0" applyAlignment="0" applyProtection="0"/>
    <xf numFmtId="177" fontId="16" fillId="0" borderId="0" applyFont="0" applyFill="0" applyBorder="0" applyAlignment="0" applyProtection="0"/>
    <xf numFmtId="172"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206" fontId="16" fillId="0" borderId="0" applyFont="0" applyFill="0" applyBorder="0" applyAlignment="0" applyProtection="0"/>
    <xf numFmtId="172" fontId="16" fillId="0" borderId="0" applyFont="0" applyFill="0" applyBorder="0" applyAlignment="0" applyProtection="0"/>
    <xf numFmtId="177" fontId="16" fillId="0" borderId="0" applyFont="0" applyFill="0" applyBorder="0" applyAlignment="0" applyProtection="0"/>
    <xf numFmtId="192" fontId="16" fillId="0" borderId="0" applyFont="0" applyFill="0" applyBorder="0" applyAlignment="0" applyProtection="0"/>
    <xf numFmtId="206" fontId="16" fillId="0" borderId="0" applyFont="0" applyFill="0" applyBorder="0" applyAlignment="0" applyProtection="0"/>
    <xf numFmtId="172" fontId="16" fillId="0" borderId="0" applyFont="0" applyFill="0" applyBorder="0" applyAlignment="0" applyProtection="0"/>
    <xf numFmtId="177"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180" fontId="16" fillId="0" borderId="0" applyFont="0" applyFill="0" applyBorder="0" applyAlignment="0" applyProtection="0"/>
    <xf numFmtId="232" fontId="16" fillId="0" borderId="0" applyFont="0" applyFill="0" applyBorder="0" applyAlignment="0" applyProtection="0"/>
    <xf numFmtId="177" fontId="16" fillId="0" borderId="0" applyFont="0" applyFill="0" applyBorder="0" applyAlignment="0" applyProtection="0"/>
    <xf numFmtId="232" fontId="16" fillId="0" borderId="0" applyFont="0" applyFill="0" applyBorder="0" applyAlignment="0" applyProtection="0"/>
    <xf numFmtId="213" fontId="16" fillId="0" borderId="0" applyFont="0" applyFill="0" applyBorder="0" applyAlignment="0" applyProtection="0"/>
    <xf numFmtId="232" fontId="16" fillId="0" borderId="0" applyFont="0" applyFill="0" applyBorder="0" applyAlignment="0" applyProtection="0"/>
    <xf numFmtId="177" fontId="16" fillId="0" borderId="0" applyFont="0" applyFill="0" applyBorder="0" applyAlignment="0" applyProtection="0"/>
    <xf numFmtId="172" fontId="16" fillId="0" borderId="0" applyFont="0" applyFill="0" applyBorder="0" applyAlignment="0" applyProtection="0"/>
    <xf numFmtId="206" fontId="16" fillId="0" borderId="0" applyFont="0" applyFill="0" applyBorder="0" applyAlignment="0" applyProtection="0"/>
    <xf numFmtId="232" fontId="16" fillId="0" borderId="0" applyFont="0" applyFill="0" applyBorder="0" applyAlignment="0" applyProtection="0"/>
    <xf numFmtId="206" fontId="16" fillId="0" borderId="0" applyFont="0" applyFill="0" applyBorder="0" applyAlignment="0" applyProtection="0"/>
    <xf numFmtId="172" fontId="16" fillId="0" borderId="0" applyFont="0" applyFill="0" applyBorder="0" applyAlignment="0" applyProtection="0"/>
    <xf numFmtId="206" fontId="16" fillId="0" borderId="0" applyFont="0" applyFill="0" applyBorder="0" applyAlignment="0" applyProtection="0"/>
    <xf numFmtId="180" fontId="16" fillId="0" borderId="0" applyFont="0" applyFill="0" applyBorder="0" applyAlignment="0" applyProtection="0"/>
    <xf numFmtId="192" fontId="16" fillId="0" borderId="0" applyFont="0" applyFill="0" applyBorder="0" applyAlignment="0" applyProtection="0"/>
    <xf numFmtId="41" fontId="16" fillId="0" borderId="0" applyFont="0" applyFill="0" applyBorder="0" applyAlignment="0" applyProtection="0"/>
    <xf numFmtId="206" fontId="16" fillId="0" borderId="0" applyFont="0" applyFill="0" applyBorder="0" applyAlignment="0" applyProtection="0"/>
    <xf numFmtId="188" fontId="16" fillId="0" borderId="0" applyFont="0" applyFill="0" applyBorder="0" applyAlignment="0" applyProtection="0"/>
    <xf numFmtId="213" fontId="16" fillId="0" borderId="0" applyFont="0" applyFill="0" applyBorder="0" applyAlignment="0" applyProtection="0"/>
    <xf numFmtId="177" fontId="16" fillId="0" borderId="0" applyFont="0" applyFill="0" applyBorder="0" applyAlignment="0" applyProtection="0"/>
    <xf numFmtId="206" fontId="16" fillId="0" borderId="0" applyFont="0" applyFill="0" applyBorder="0" applyAlignment="0" applyProtection="0"/>
    <xf numFmtId="172" fontId="16" fillId="0" borderId="0" applyFont="0" applyFill="0" applyBorder="0" applyAlignment="0" applyProtection="0"/>
    <xf numFmtId="206"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172" fontId="16" fillId="0" borderId="0" applyFont="0" applyFill="0" applyBorder="0" applyAlignment="0" applyProtection="0"/>
    <xf numFmtId="166" fontId="16" fillId="0" borderId="0" applyFont="0" applyFill="0" applyBorder="0" applyAlignment="0" applyProtection="0"/>
    <xf numFmtId="177" fontId="16" fillId="0" borderId="0" applyFont="0" applyFill="0" applyBorder="0" applyAlignment="0" applyProtection="0"/>
    <xf numFmtId="180" fontId="16" fillId="0" borderId="0" applyFont="0" applyFill="0" applyBorder="0" applyAlignment="0" applyProtection="0"/>
    <xf numFmtId="192" fontId="16" fillId="0" borderId="0" applyFont="0" applyFill="0" applyBorder="0" applyAlignment="0" applyProtection="0"/>
    <xf numFmtId="177"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80" fontId="16" fillId="0" borderId="0" applyFont="0" applyFill="0" applyBorder="0" applyAlignment="0" applyProtection="0"/>
    <xf numFmtId="41" fontId="16" fillId="0" borderId="0" applyFont="0" applyFill="0" applyBorder="0" applyAlignment="0" applyProtection="0"/>
    <xf numFmtId="232" fontId="16" fillId="0" borderId="0" applyFont="0" applyFill="0" applyBorder="0" applyAlignment="0" applyProtection="0"/>
    <xf numFmtId="180" fontId="16" fillId="0" borderId="0" applyFont="0" applyFill="0" applyBorder="0" applyAlignment="0" applyProtection="0"/>
    <xf numFmtId="172" fontId="16" fillId="0" borderId="0" applyFont="0" applyFill="0" applyBorder="0" applyAlignment="0" applyProtection="0"/>
    <xf numFmtId="41" fontId="16" fillId="0" borderId="0" applyFont="0" applyFill="0" applyBorder="0" applyAlignment="0" applyProtection="0"/>
    <xf numFmtId="232" fontId="16" fillId="0" borderId="0" applyFont="0" applyFill="0" applyBorder="0" applyAlignment="0" applyProtection="0"/>
    <xf numFmtId="188" fontId="16" fillId="0" borderId="0" applyFont="0" applyFill="0" applyBorder="0" applyAlignment="0" applyProtection="0"/>
    <xf numFmtId="232" fontId="16" fillId="0" borderId="0" applyFont="0" applyFill="0" applyBorder="0" applyAlignment="0" applyProtection="0"/>
    <xf numFmtId="177" fontId="16" fillId="0" borderId="0" applyFont="0" applyFill="0" applyBorder="0" applyAlignment="0" applyProtection="0"/>
    <xf numFmtId="192" fontId="16" fillId="0" borderId="0" applyFont="0" applyFill="0" applyBorder="0" applyAlignment="0" applyProtection="0"/>
    <xf numFmtId="177" fontId="16" fillId="0" borderId="0" applyFont="0" applyFill="0" applyBorder="0" applyAlignment="0" applyProtection="0"/>
    <xf numFmtId="177" fontId="16" fillId="0" borderId="0" applyFont="0" applyFill="0" applyBorder="0" applyAlignment="0" applyProtection="0"/>
    <xf numFmtId="206" fontId="16" fillId="0" borderId="0" applyFont="0" applyFill="0" applyBorder="0" applyAlignment="0" applyProtection="0"/>
    <xf numFmtId="166"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234" fontId="16" fillId="0" borderId="0" applyFont="0" applyFill="0" applyBorder="0" applyAlignment="0" applyProtection="0"/>
    <xf numFmtId="200" fontId="16" fillId="0" borderId="0" applyFont="0" applyFill="0" applyBorder="0" applyAlignment="0" applyProtection="0"/>
    <xf numFmtId="41" fontId="16" fillId="0" borderId="0" applyFont="0" applyFill="0" applyBorder="0" applyAlignment="0" applyProtection="0"/>
    <xf numFmtId="205" fontId="16" fillId="0" borderId="0" applyFont="0" applyFill="0" applyBorder="0" applyAlignment="0" applyProtection="0"/>
    <xf numFmtId="41" fontId="16" fillId="0" borderId="0" applyFont="0" applyFill="0" applyBorder="0" applyAlignment="0" applyProtection="0"/>
    <xf numFmtId="200" fontId="16" fillId="0" borderId="0" applyFont="0" applyFill="0" applyBorder="0" applyAlignment="0" applyProtection="0"/>
    <xf numFmtId="232" fontId="16" fillId="0" borderId="0" applyFont="0" applyFill="0" applyBorder="0" applyAlignment="0" applyProtection="0"/>
    <xf numFmtId="205" fontId="16" fillId="0" borderId="0" applyFont="0" applyFill="0" applyBorder="0" applyAlignment="0" applyProtection="0"/>
    <xf numFmtId="180" fontId="16" fillId="0" borderId="0" applyFont="0" applyFill="0" applyBorder="0" applyAlignment="0" applyProtection="0"/>
    <xf numFmtId="200" fontId="16" fillId="0" borderId="0" applyFont="0" applyFill="0" applyBorder="0" applyAlignment="0" applyProtection="0"/>
    <xf numFmtId="172" fontId="18" fillId="0" borderId="0" applyFont="0" applyFill="0" applyBorder="0" applyAlignment="0" applyProtection="0"/>
    <xf numFmtId="175" fontId="16" fillId="0" borderId="0" applyFont="0" applyFill="0" applyBorder="0" applyAlignment="0" applyProtection="0"/>
    <xf numFmtId="192" fontId="16" fillId="0" borderId="0" applyFont="0" applyFill="0" applyBorder="0" applyAlignment="0" applyProtection="0"/>
    <xf numFmtId="41" fontId="16" fillId="0" borderId="0" applyFont="0" applyFill="0" applyBorder="0" applyAlignment="0" applyProtection="0"/>
    <xf numFmtId="177" fontId="16" fillId="0" borderId="0" applyFont="0" applyFill="0" applyBorder="0" applyAlignment="0" applyProtection="0"/>
    <xf numFmtId="215" fontId="16" fillId="0" borderId="0" applyFont="0" applyFill="0" applyBorder="0" applyAlignment="0" applyProtection="0"/>
    <xf numFmtId="192" fontId="16" fillId="0" borderId="0" applyFont="0" applyFill="0" applyBorder="0" applyAlignment="0" applyProtection="0"/>
    <xf numFmtId="215" fontId="16" fillId="0" borderId="0" applyFont="0" applyFill="0" applyBorder="0" applyAlignment="0" applyProtection="0"/>
    <xf numFmtId="206" fontId="16" fillId="0" borderId="0" applyFont="0" applyFill="0" applyBorder="0" applyAlignment="0" applyProtection="0"/>
    <xf numFmtId="200" fontId="16" fillId="0" borderId="0" applyFont="0" applyFill="0" applyBorder="0" applyAlignment="0" applyProtection="0"/>
    <xf numFmtId="206" fontId="16" fillId="0" borderId="0" applyFont="0" applyFill="0" applyBorder="0" applyAlignment="0" applyProtection="0"/>
    <xf numFmtId="205" fontId="16" fillId="0" borderId="0" applyFont="0" applyFill="0" applyBorder="0" applyAlignment="0" applyProtection="0"/>
    <xf numFmtId="213" fontId="16" fillId="0" borderId="0" applyFont="0" applyFill="0" applyBorder="0" applyAlignment="0" applyProtection="0"/>
    <xf numFmtId="205" fontId="16" fillId="0" borderId="0" applyFont="0" applyFill="0" applyBorder="0" applyAlignment="0" applyProtection="0"/>
    <xf numFmtId="242" fontId="16" fillId="0" borderId="0" applyFont="0" applyFill="0" applyBorder="0" applyAlignment="0" applyProtection="0"/>
    <xf numFmtId="205" fontId="16" fillId="0" borderId="0" applyFont="0" applyFill="0" applyBorder="0" applyAlignment="0" applyProtection="0"/>
    <xf numFmtId="166" fontId="16" fillId="0" borderId="0" applyFont="0" applyFill="0" applyBorder="0" applyAlignment="0" applyProtection="0"/>
    <xf numFmtId="191" fontId="16" fillId="0" borderId="0" applyFont="0" applyFill="0" applyBorder="0" applyAlignment="0" applyProtection="0"/>
    <xf numFmtId="206" fontId="16" fillId="0" borderId="0" applyFont="0" applyFill="0" applyBorder="0" applyAlignment="0" applyProtection="0"/>
    <xf numFmtId="205" fontId="16" fillId="0" borderId="0" applyFont="0" applyFill="0" applyBorder="0" applyAlignment="0" applyProtection="0"/>
    <xf numFmtId="206" fontId="16" fillId="0" borderId="0" applyFont="0" applyFill="0" applyBorder="0" applyAlignment="0" applyProtection="0"/>
    <xf numFmtId="165" fontId="16" fillId="0" borderId="0" applyFont="0" applyFill="0" applyBorder="0" applyAlignment="0" applyProtection="0"/>
    <xf numFmtId="206" fontId="16" fillId="0" borderId="0" applyFont="0" applyFill="0" applyBorder="0" applyAlignment="0" applyProtection="0"/>
    <xf numFmtId="200" fontId="16" fillId="0" borderId="0" applyFont="0" applyFill="0" applyBorder="0" applyAlignment="0" applyProtection="0"/>
    <xf numFmtId="177" fontId="16" fillId="0" borderId="0" applyFont="0" applyFill="0" applyBorder="0" applyAlignment="0" applyProtection="0"/>
    <xf numFmtId="180" fontId="16" fillId="0" borderId="0" applyFont="0" applyFill="0" applyBorder="0" applyAlignment="0" applyProtection="0"/>
    <xf numFmtId="213" fontId="16" fillId="0" borderId="0" applyFont="0" applyFill="0" applyBorder="0" applyAlignment="0" applyProtection="0"/>
    <xf numFmtId="205" fontId="16" fillId="0" borderId="0" applyFont="0" applyFill="0" applyBorder="0" applyAlignment="0" applyProtection="0"/>
    <xf numFmtId="177" fontId="16" fillId="0" borderId="0" applyFont="0" applyFill="0" applyBorder="0" applyAlignment="0" applyProtection="0"/>
    <xf numFmtId="200" fontId="16" fillId="0" borderId="0" applyFont="0" applyFill="0" applyBorder="0" applyAlignment="0" applyProtection="0"/>
    <xf numFmtId="206" fontId="16" fillId="0" borderId="0" applyFont="0" applyFill="0" applyBorder="0" applyAlignment="0" applyProtection="0"/>
    <xf numFmtId="165" fontId="16" fillId="0" borderId="0" applyFont="0" applyFill="0" applyBorder="0" applyAlignment="0" applyProtection="0"/>
    <xf numFmtId="211" fontId="16" fillId="0" borderId="0" applyFont="0" applyFill="0" applyBorder="0" applyAlignment="0" applyProtection="0"/>
    <xf numFmtId="200" fontId="16" fillId="0" borderId="0" applyFont="0" applyFill="0" applyBorder="0" applyAlignment="0" applyProtection="0"/>
    <xf numFmtId="213" fontId="16" fillId="0" borderId="0" applyFont="0" applyFill="0" applyBorder="0" applyAlignment="0" applyProtection="0"/>
    <xf numFmtId="191" fontId="16" fillId="0" borderId="0" applyFont="0" applyFill="0" applyBorder="0" applyAlignment="0" applyProtection="0"/>
    <xf numFmtId="206" fontId="16" fillId="0" borderId="0" applyFont="0" applyFill="0" applyBorder="0" applyAlignment="0" applyProtection="0"/>
    <xf numFmtId="175" fontId="16" fillId="0" borderId="0" applyFont="0" applyFill="0" applyBorder="0" applyAlignment="0" applyProtection="0"/>
    <xf numFmtId="172" fontId="16" fillId="0" borderId="0" applyFont="0" applyFill="0" applyBorder="0" applyAlignment="0" applyProtection="0"/>
    <xf numFmtId="165" fontId="16" fillId="0" borderId="0" applyFont="0" applyFill="0" applyBorder="0" applyAlignment="0" applyProtection="0"/>
    <xf numFmtId="177" fontId="16" fillId="0" borderId="0" applyFont="0" applyFill="0" applyBorder="0" applyAlignment="0" applyProtection="0"/>
    <xf numFmtId="175" fontId="16" fillId="0" borderId="0" applyFont="0" applyFill="0" applyBorder="0" applyAlignment="0" applyProtection="0"/>
    <xf numFmtId="172" fontId="16" fillId="0" borderId="0" applyFont="0" applyFill="0" applyBorder="0" applyAlignment="0" applyProtection="0"/>
    <xf numFmtId="175" fontId="16" fillId="0" borderId="0" applyFont="0" applyFill="0" applyBorder="0" applyAlignment="0" applyProtection="0"/>
    <xf numFmtId="192" fontId="16" fillId="0" borderId="0" applyFont="0" applyFill="0" applyBorder="0" applyAlignment="0" applyProtection="0"/>
    <xf numFmtId="215" fontId="16" fillId="0" borderId="0" applyFont="0" applyFill="0" applyBorder="0" applyAlignment="0" applyProtection="0"/>
    <xf numFmtId="166" fontId="16" fillId="0" borderId="0" applyFont="0" applyFill="0" applyBorder="0" applyAlignment="0" applyProtection="0"/>
    <xf numFmtId="213" fontId="16" fillId="0" borderId="0" applyFont="0" applyFill="0" applyBorder="0" applyAlignment="0" applyProtection="0"/>
    <xf numFmtId="172" fontId="16" fillId="0" borderId="0" applyFont="0" applyFill="0" applyBorder="0" applyAlignment="0" applyProtection="0"/>
    <xf numFmtId="175" fontId="16" fillId="0" borderId="0" applyFont="0" applyFill="0" applyBorder="0" applyAlignment="0" applyProtection="0"/>
    <xf numFmtId="41" fontId="16" fillId="0" borderId="0" applyFont="0" applyFill="0" applyBorder="0" applyAlignment="0" applyProtection="0"/>
    <xf numFmtId="187" fontId="16" fillId="0" borderId="0" applyFont="0" applyFill="0" applyBorder="0" applyAlignment="0" applyProtection="0"/>
    <xf numFmtId="177" fontId="16" fillId="0" borderId="0" applyFont="0" applyFill="0" applyBorder="0" applyAlignment="0" applyProtection="0"/>
    <xf numFmtId="200" fontId="16" fillId="0" borderId="0" applyFont="0" applyFill="0" applyBorder="0" applyAlignment="0" applyProtection="0"/>
    <xf numFmtId="232" fontId="16" fillId="0" borderId="0" applyFont="0" applyFill="0" applyBorder="0" applyAlignment="0" applyProtection="0"/>
    <xf numFmtId="205" fontId="16" fillId="0" borderId="0" applyFont="0" applyFill="0" applyBorder="0" applyAlignment="0" applyProtection="0"/>
    <xf numFmtId="232" fontId="16" fillId="0" borderId="0" applyFont="0" applyFill="0" applyBorder="0" applyAlignment="0" applyProtection="0"/>
    <xf numFmtId="175" fontId="16" fillId="0" borderId="0" applyFont="0" applyFill="0" applyBorder="0" applyAlignment="0" applyProtection="0"/>
    <xf numFmtId="172" fontId="16" fillId="0" borderId="0" applyFont="0" applyFill="0" applyBorder="0" applyAlignment="0" applyProtection="0"/>
    <xf numFmtId="200" fontId="16" fillId="0" borderId="0" applyFont="0" applyFill="0" applyBorder="0" applyAlignment="0" applyProtection="0"/>
    <xf numFmtId="232" fontId="16" fillId="0" borderId="0" applyFont="0" applyFill="0" applyBorder="0" applyAlignment="0" applyProtection="0"/>
    <xf numFmtId="172" fontId="16" fillId="0" borderId="0" applyFont="0" applyFill="0" applyBorder="0" applyAlignment="0" applyProtection="0"/>
    <xf numFmtId="180" fontId="16" fillId="0" borderId="0" applyFont="0" applyFill="0" applyBorder="0" applyAlignment="0" applyProtection="0"/>
    <xf numFmtId="41" fontId="16" fillId="0" borderId="0" applyFont="0" applyFill="0" applyBorder="0" applyAlignment="0" applyProtection="0"/>
    <xf numFmtId="0" fontId="32" fillId="0" borderId="0"/>
    <xf numFmtId="0" fontId="81" fillId="0" borderId="0"/>
    <xf numFmtId="194" fontId="16" fillId="0" borderId="5">
      <alignment horizontal="right" vertical="center"/>
    </xf>
    <xf numFmtId="211" fontId="26" fillId="0" borderId="5">
      <alignment horizontal="right" vertical="center"/>
    </xf>
    <xf numFmtId="170" fontId="35" fillId="0" borderId="5">
      <alignment horizontal="right" vertical="center"/>
    </xf>
    <xf numFmtId="212" fontId="26" fillId="0" borderId="5">
      <alignment horizontal="right" vertical="center"/>
    </xf>
    <xf numFmtId="212" fontId="34" fillId="0" borderId="5">
      <alignment horizontal="right" vertical="center"/>
    </xf>
    <xf numFmtId="212" fontId="26" fillId="0" borderId="5">
      <alignment horizontal="right" vertical="center"/>
    </xf>
    <xf numFmtId="212" fontId="26" fillId="0" borderId="5">
      <alignment horizontal="right" vertical="center"/>
    </xf>
    <xf numFmtId="211" fontId="34" fillId="0" borderId="5">
      <alignment horizontal="right" vertical="center"/>
    </xf>
    <xf numFmtId="211" fontId="26" fillId="0" borderId="5">
      <alignment horizontal="right" vertical="center"/>
    </xf>
    <xf numFmtId="211" fontId="26" fillId="0" borderId="5">
      <alignment horizontal="right" vertical="center"/>
    </xf>
    <xf numFmtId="194" fontId="16" fillId="0" borderId="5">
      <alignment horizontal="right" vertical="center"/>
    </xf>
    <xf numFmtId="194" fontId="16" fillId="0" borderId="5">
      <alignment horizontal="right" vertical="center"/>
    </xf>
    <xf numFmtId="212" fontId="34" fillId="0" borderId="5">
      <alignment horizontal="right" vertical="center"/>
    </xf>
    <xf numFmtId="212" fontId="26" fillId="0" borderId="5">
      <alignment horizontal="right" vertical="center"/>
    </xf>
    <xf numFmtId="212" fontId="26" fillId="0" borderId="5">
      <alignment horizontal="right" vertical="center"/>
    </xf>
    <xf numFmtId="211" fontId="34" fillId="0" borderId="5">
      <alignment horizontal="right" vertical="center"/>
    </xf>
    <xf numFmtId="211" fontId="26" fillId="0" borderId="5">
      <alignment horizontal="right" vertical="center"/>
    </xf>
    <xf numFmtId="211" fontId="26" fillId="0" borderId="5">
      <alignment horizontal="right" vertical="center"/>
    </xf>
    <xf numFmtId="212" fontId="34" fillId="0" borderId="5">
      <alignment horizontal="right" vertical="center"/>
    </xf>
    <xf numFmtId="212" fontId="26" fillId="0" borderId="5">
      <alignment horizontal="right" vertical="center"/>
    </xf>
    <xf numFmtId="212" fontId="26" fillId="0" borderId="5">
      <alignment horizontal="right" vertical="center"/>
    </xf>
    <xf numFmtId="211" fontId="34" fillId="0" borderId="5">
      <alignment horizontal="right" vertical="center"/>
    </xf>
    <xf numFmtId="211" fontId="26" fillId="0" borderId="5">
      <alignment horizontal="right" vertical="center"/>
    </xf>
    <xf numFmtId="211" fontId="26" fillId="0" borderId="5">
      <alignment horizontal="right" vertical="center"/>
    </xf>
    <xf numFmtId="170" fontId="35" fillId="0" borderId="5">
      <alignment horizontal="right" vertical="center"/>
    </xf>
    <xf numFmtId="211" fontId="34" fillId="0" borderId="5">
      <alignment horizontal="right" vertical="center"/>
    </xf>
    <xf numFmtId="211" fontId="26" fillId="0" borderId="5">
      <alignment horizontal="right" vertical="center"/>
    </xf>
    <xf numFmtId="211" fontId="26" fillId="0" borderId="5">
      <alignment horizontal="right" vertical="center"/>
    </xf>
    <xf numFmtId="212" fontId="34" fillId="0" borderId="5">
      <alignment horizontal="right" vertical="center"/>
    </xf>
    <xf numFmtId="212" fontId="26" fillId="0" borderId="5">
      <alignment horizontal="right" vertical="center"/>
    </xf>
    <xf numFmtId="212" fontId="26" fillId="0" borderId="5">
      <alignment horizontal="right" vertical="center"/>
    </xf>
    <xf numFmtId="212" fontId="34" fillId="0" borderId="5">
      <alignment horizontal="right" vertical="center"/>
    </xf>
    <xf numFmtId="212" fontId="26" fillId="0" borderId="5">
      <alignment horizontal="right" vertical="center"/>
    </xf>
    <xf numFmtId="212" fontId="26" fillId="0" borderId="5">
      <alignment horizontal="right" vertical="center"/>
    </xf>
    <xf numFmtId="199" fontId="34" fillId="0" borderId="5">
      <alignment horizontal="right" vertical="center"/>
    </xf>
    <xf numFmtId="199" fontId="26" fillId="0" borderId="5">
      <alignment horizontal="right" vertical="center"/>
    </xf>
    <xf numFmtId="199" fontId="26" fillId="0" borderId="5">
      <alignment horizontal="right" vertical="center"/>
    </xf>
    <xf numFmtId="211" fontId="34" fillId="0" borderId="5">
      <alignment horizontal="right" vertical="center"/>
    </xf>
    <xf numFmtId="211" fontId="26" fillId="0" borderId="5">
      <alignment horizontal="right" vertical="center"/>
    </xf>
    <xf numFmtId="211" fontId="26" fillId="0" borderId="5">
      <alignment horizontal="right" vertical="center"/>
    </xf>
    <xf numFmtId="194" fontId="16" fillId="0" borderId="5">
      <alignment horizontal="right" vertical="center"/>
    </xf>
    <xf numFmtId="212" fontId="34" fillId="0" borderId="5">
      <alignment horizontal="right" vertical="center"/>
    </xf>
    <xf numFmtId="212" fontId="26" fillId="0" borderId="5">
      <alignment horizontal="right" vertical="center"/>
    </xf>
    <xf numFmtId="212" fontId="26" fillId="0" borderId="5">
      <alignment horizontal="right" vertical="center"/>
    </xf>
    <xf numFmtId="211" fontId="34" fillId="0" borderId="5">
      <alignment horizontal="right" vertical="center"/>
    </xf>
    <xf numFmtId="211" fontId="26" fillId="0" borderId="5">
      <alignment horizontal="right" vertical="center"/>
    </xf>
    <xf numFmtId="211" fontId="26" fillId="0" borderId="5">
      <alignment horizontal="right" vertical="center"/>
    </xf>
    <xf numFmtId="194" fontId="16" fillId="0" borderId="5">
      <alignment horizontal="right" vertical="center"/>
    </xf>
    <xf numFmtId="169" fontId="36" fillId="0" borderId="5">
      <alignment horizontal="right" vertical="center"/>
    </xf>
    <xf numFmtId="194" fontId="16" fillId="0" borderId="5">
      <alignment horizontal="right" vertical="center"/>
    </xf>
    <xf numFmtId="194" fontId="16" fillId="0" borderId="5">
      <alignment horizontal="right" vertical="center"/>
    </xf>
    <xf numFmtId="211" fontId="34" fillId="0" borderId="5">
      <alignment horizontal="right" vertical="center"/>
    </xf>
    <xf numFmtId="211" fontId="26" fillId="0" borderId="5">
      <alignment horizontal="right" vertical="center"/>
    </xf>
    <xf numFmtId="211" fontId="26" fillId="0" borderId="5">
      <alignment horizontal="right" vertical="center"/>
    </xf>
    <xf numFmtId="211" fontId="34" fillId="0" borderId="5">
      <alignment horizontal="right" vertical="center"/>
    </xf>
    <xf numFmtId="211" fontId="26" fillId="0" borderId="5">
      <alignment horizontal="right" vertical="center"/>
    </xf>
    <xf numFmtId="211" fontId="26" fillId="0" borderId="5">
      <alignment horizontal="right" vertical="center"/>
    </xf>
    <xf numFmtId="204" fontId="82" fillId="3" borderId="6" applyFont="0" applyFill="0" applyBorder="0"/>
    <xf numFmtId="170" fontId="35" fillId="0" borderId="5">
      <alignment horizontal="right" vertical="center"/>
    </xf>
    <xf numFmtId="211" fontId="34" fillId="0" borderId="5">
      <alignment horizontal="right" vertical="center"/>
    </xf>
    <xf numFmtId="211" fontId="26" fillId="0" borderId="5">
      <alignment horizontal="right" vertical="center"/>
    </xf>
    <xf numFmtId="211" fontId="26" fillId="0" borderId="5">
      <alignment horizontal="right" vertical="center"/>
    </xf>
    <xf numFmtId="195" fontId="37" fillId="0" borderId="5">
      <alignment horizontal="center"/>
    </xf>
    <xf numFmtId="308" fontId="16" fillId="0" borderId="3">
      <alignment horizontal="left"/>
    </xf>
    <xf numFmtId="0" fontId="108" fillId="0" borderId="0" applyFont="0">
      <alignment horizontal="centerContinuous"/>
    </xf>
    <xf numFmtId="0" fontId="26" fillId="0" borderId="7" applyNumberFormat="0" applyFont="0" applyFill="0" applyAlignment="0" applyProtection="0"/>
    <xf numFmtId="0" fontId="26" fillId="0" borderId="7" applyNumberFormat="0" applyFont="0" applyFill="0" applyAlignment="0" applyProtection="0"/>
    <xf numFmtId="183" fontId="38" fillId="0" borderId="0"/>
    <xf numFmtId="193" fontId="38" fillId="0" borderId="3"/>
    <xf numFmtId="307" fontId="26" fillId="0" borderId="3"/>
    <xf numFmtId="227" fontId="18" fillId="0" borderId="0" applyFont="0" applyFill="0" applyBorder="0" applyAlignment="0" applyProtection="0"/>
    <xf numFmtId="182" fontId="18" fillId="0" borderId="0" applyFont="0" applyFill="0" applyBorder="0" applyAlignment="0" applyProtection="0"/>
    <xf numFmtId="0" fontId="110" fillId="0" borderId="0" applyFont="0" applyFill="0" applyBorder="0" applyAlignment="0" applyProtection="0"/>
    <xf numFmtId="0" fontId="110" fillId="0" borderId="0" applyFont="0" applyFill="0" applyBorder="0" applyAlignment="0" applyProtection="0"/>
    <xf numFmtId="0" fontId="14" fillId="0" borderId="0">
      <alignment vertical="center"/>
    </xf>
    <xf numFmtId="40" fontId="39" fillId="0" borderId="0" applyFont="0" applyFill="0" applyBorder="0" applyAlignment="0" applyProtection="0"/>
    <xf numFmtId="38"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9" fontId="40" fillId="0" borderId="0" applyFont="0" applyFill="0" applyBorder="0" applyAlignment="0" applyProtection="0"/>
    <xf numFmtId="0" fontId="41" fillId="0" borderId="0"/>
    <xf numFmtId="185" fontId="36" fillId="0" borderId="0" applyFont="0" applyFill="0" applyBorder="0" applyAlignment="0" applyProtection="0"/>
    <xf numFmtId="184" fontId="36" fillId="0" borderId="0" applyFont="0" applyFill="0" applyBorder="0" applyAlignment="0" applyProtection="0"/>
    <xf numFmtId="0" fontId="43" fillId="0" borderId="0"/>
    <xf numFmtId="0" fontId="109" fillId="0" borderId="0" applyProtection="0"/>
    <xf numFmtId="41" fontId="42" fillId="0" borderId="0" applyFont="0" applyFill="0" applyBorder="0" applyAlignment="0" applyProtection="0"/>
    <xf numFmtId="40" fontId="48" fillId="0" borderId="0" applyFont="0" applyFill="0" applyBorder="0" applyAlignment="0" applyProtection="0"/>
    <xf numFmtId="175" fontId="42" fillId="0" borderId="0" applyFont="0" applyFill="0" applyBorder="0" applyAlignment="0" applyProtection="0"/>
    <xf numFmtId="164" fontId="48" fillId="0" borderId="0" applyFont="0" applyFill="0" applyBorder="0" applyAlignment="0" applyProtection="0"/>
    <xf numFmtId="176" fontId="42" fillId="0" borderId="0" applyFont="0" applyFill="0" applyBorder="0" applyAlignment="0" applyProtection="0"/>
    <xf numFmtId="9" fontId="199" fillId="0" borderId="0" applyFont="0" applyFill="0" applyBorder="0" applyAlignment="0" applyProtection="0"/>
    <xf numFmtId="174" fontId="199" fillId="0" borderId="0" applyFont="0" applyFill="0" applyBorder="0" applyAlignment="0" applyProtection="0"/>
    <xf numFmtId="167" fontId="26" fillId="0" borderId="0" applyFont="0" applyFill="0" applyBorder="0" applyAlignment="0" applyProtection="0"/>
    <xf numFmtId="0" fontId="26" fillId="0" borderId="0"/>
    <xf numFmtId="0" fontId="18" fillId="0" borderId="0"/>
    <xf numFmtId="0" fontId="26" fillId="0" borderId="0"/>
    <xf numFmtId="0" fontId="200" fillId="0" borderId="0"/>
    <xf numFmtId="0" fontId="14" fillId="0" borderId="0"/>
    <xf numFmtId="0" fontId="1" fillId="0" borderId="0"/>
    <xf numFmtId="0" fontId="38" fillId="0" borderId="0"/>
    <xf numFmtId="0" fontId="14" fillId="0" borderId="0"/>
    <xf numFmtId="0" fontId="26" fillId="0" borderId="0"/>
    <xf numFmtId="0" fontId="26" fillId="0" borderId="0"/>
    <xf numFmtId="0" fontId="26" fillId="0" borderId="0"/>
    <xf numFmtId="0" fontId="26" fillId="0" borderId="0"/>
    <xf numFmtId="0" fontId="26" fillId="0" borderId="0"/>
    <xf numFmtId="9" fontId="199" fillId="0" borderId="0" applyFont="0" applyFill="0" applyBorder="0" applyAlignment="0" applyProtection="0"/>
    <xf numFmtId="313" fontId="16" fillId="0" borderId="0" applyFont="0" applyFill="0" applyBorder="0" applyAlignment="0" applyProtection="0"/>
    <xf numFmtId="311"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4" fontId="16" fillId="0" borderId="0" applyFont="0" applyFill="0" applyBorder="0" applyAlignment="0" applyProtection="0"/>
    <xf numFmtId="310" fontId="16" fillId="0" borderId="0" applyFont="0" applyFill="0" applyBorder="0" applyAlignment="0" applyProtection="0"/>
    <xf numFmtId="314" fontId="16" fillId="0" borderId="0" applyFont="0" applyFill="0" applyBorder="0" applyAlignment="0" applyProtection="0"/>
    <xf numFmtId="311" fontId="16" fillId="0" borderId="0" applyFont="0" applyFill="0" applyBorder="0" applyAlignment="0" applyProtection="0"/>
    <xf numFmtId="314"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1"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5"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230" fontId="26" fillId="0" borderId="0" applyFont="0" applyFill="0" applyBorder="0" applyAlignment="0" applyProtection="0"/>
    <xf numFmtId="315"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231" fontId="26" fillId="0" borderId="0" applyFont="0" applyFill="0" applyBorder="0" applyAlignment="0" applyProtection="0"/>
    <xf numFmtId="3" fontId="47" fillId="0" borderId="0"/>
    <xf numFmtId="311"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0" fontId="18" fillId="0" borderId="0" applyFont="0" applyFill="0" applyBorder="0" applyAlignment="0" applyProtection="0"/>
    <xf numFmtId="310"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3" fontId="16" fillId="0" borderId="0" applyFont="0" applyFill="0" applyBorder="0" applyAlignment="0" applyProtection="0"/>
    <xf numFmtId="311"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4" fontId="16" fillId="0" borderId="0" applyFont="0" applyFill="0" applyBorder="0" applyAlignment="0" applyProtection="0"/>
    <xf numFmtId="311" fontId="16" fillId="0" borderId="0" applyFont="0" applyFill="0" applyBorder="0" applyAlignment="0" applyProtection="0"/>
    <xf numFmtId="314"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1"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5"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5"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1"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6" fontId="16" fillId="0" borderId="0" applyFont="0" applyFill="0" applyBorder="0" applyAlignment="0" applyProtection="0"/>
    <xf numFmtId="314"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4" fontId="16" fillId="0" borderId="0" applyFont="0" applyFill="0" applyBorder="0" applyAlignment="0" applyProtection="0"/>
    <xf numFmtId="312"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313" fontId="16" fillId="0" borderId="0" applyFont="0" applyFill="0" applyBorder="0" applyAlignment="0" applyProtection="0"/>
    <xf numFmtId="311"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4" fontId="16" fillId="0" borderId="0" applyFont="0" applyFill="0" applyBorder="0" applyAlignment="0" applyProtection="0"/>
    <xf numFmtId="311" fontId="16" fillId="0" borderId="0" applyFont="0" applyFill="0" applyBorder="0" applyAlignment="0" applyProtection="0"/>
    <xf numFmtId="314"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1"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5"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5"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1"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6" fontId="16" fillId="0" borderId="0" applyFont="0" applyFill="0" applyBorder="0" applyAlignment="0" applyProtection="0"/>
    <xf numFmtId="314"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4" fontId="16" fillId="0" borderId="0" applyFont="0" applyFill="0" applyBorder="0" applyAlignment="0" applyProtection="0"/>
    <xf numFmtId="312"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 fillId="0" borderId="0"/>
    <xf numFmtId="43" fontId="16" fillId="0" borderId="0" applyFont="0" applyFill="0" applyBorder="0" applyAlignment="0" applyProtection="0"/>
    <xf numFmtId="310" fontId="18" fillId="0" borderId="0" applyFont="0" applyFill="0" applyBorder="0" applyAlignment="0" applyProtection="0"/>
    <xf numFmtId="310" fontId="18"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6" fontId="16" fillId="0" borderId="0" applyFont="0" applyFill="0" applyBorder="0" applyAlignment="0" applyProtection="0"/>
    <xf numFmtId="314"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10" fontId="18" fillId="0" borderId="0" applyFont="0" applyFill="0" applyBorder="0" applyAlignment="0" applyProtection="0"/>
    <xf numFmtId="310" fontId="18"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4" fontId="16" fillId="0" borderId="0" applyFont="0" applyFill="0" applyBorder="0" applyAlignment="0" applyProtection="0"/>
    <xf numFmtId="312" fontId="16" fillId="0" borderId="0" applyFont="0" applyFill="0" applyBorder="0" applyAlignment="0" applyProtection="0"/>
    <xf numFmtId="229" fontId="26" fillId="0" borderId="0" applyFont="0" applyFill="0" applyBorder="0" applyAlignment="0" applyProtection="0"/>
    <xf numFmtId="310" fontId="18" fillId="0" borderId="0" applyFont="0" applyFill="0" applyBorder="0" applyAlignment="0" applyProtection="0"/>
    <xf numFmtId="229" fontId="26" fillId="0" borderId="0" applyFont="0" applyFill="0" applyBorder="0" applyAlignment="0" applyProtection="0"/>
    <xf numFmtId="174" fontId="199" fillId="0" borderId="0" applyFont="0" applyFill="0" applyBorder="0" applyAlignment="0" applyProtection="0"/>
    <xf numFmtId="304" fontId="26"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38" fillId="0" borderId="0"/>
    <xf numFmtId="0" fontId="18" fillId="0" borderId="0"/>
    <xf numFmtId="0" fontId="38" fillId="0" borderId="0"/>
    <xf numFmtId="0" fontId="38" fillId="0" borderId="0"/>
    <xf numFmtId="0" fontId="26" fillId="0" borderId="0"/>
    <xf numFmtId="10" fontId="2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41" fontId="16" fillId="0" borderId="0" applyFont="0" applyFill="0" applyBorder="0" applyAlignment="0" applyProtection="0"/>
    <xf numFmtId="310" fontId="16" fillId="0" borderId="0" applyFont="0" applyFill="0" applyBorder="0" applyAlignment="0" applyProtection="0"/>
    <xf numFmtId="311"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4" fontId="16" fillId="0" borderId="0" applyFont="0" applyFill="0" applyBorder="0" applyAlignment="0" applyProtection="0"/>
    <xf numFmtId="311"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5"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5"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1"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6" fontId="16" fillId="0" borderId="0" applyFont="0" applyFill="0" applyBorder="0" applyAlignment="0" applyProtection="0"/>
    <xf numFmtId="314"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4" fontId="16" fillId="0" borderId="0" applyFont="0" applyFill="0" applyBorder="0" applyAlignment="0" applyProtection="0"/>
    <xf numFmtId="312"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4" fontId="16" fillId="0" borderId="0" applyFont="0" applyFill="0" applyBorder="0" applyAlignment="0" applyProtection="0"/>
    <xf numFmtId="314"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3" fontId="16" fillId="0" borderId="0" applyFont="0" applyFill="0" applyBorder="0" applyAlignment="0" applyProtection="0"/>
    <xf numFmtId="311" fontId="16" fillId="0" borderId="0" applyFont="0" applyFill="0" applyBorder="0" applyAlignment="0" applyProtection="0"/>
    <xf numFmtId="41"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2"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1"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0" fontId="16" fillId="0" borderId="0" applyFont="0" applyFill="0" applyBorder="0" applyAlignment="0" applyProtection="0"/>
    <xf numFmtId="314" fontId="16" fillId="0" borderId="0" applyFont="0" applyFill="0" applyBorder="0" applyAlignment="0" applyProtection="0"/>
    <xf numFmtId="41"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313" fontId="16" fillId="0" borderId="0" applyFont="0" applyFill="0" applyBorder="0" applyAlignment="0" applyProtection="0"/>
    <xf numFmtId="310" fontId="16" fillId="0" borderId="0" applyFont="0" applyFill="0" applyBorder="0" applyAlignment="0" applyProtection="0"/>
    <xf numFmtId="312" fontId="16" fillId="0" borderId="0" applyFont="0" applyFill="0" applyBorder="0" applyAlignment="0" applyProtection="0"/>
    <xf numFmtId="212" fontId="26" fillId="0" borderId="5">
      <alignment horizontal="right" vertical="center"/>
    </xf>
    <xf numFmtId="211" fontId="26" fillId="0" borderId="5">
      <alignment horizontal="right" vertical="center"/>
    </xf>
    <xf numFmtId="212" fontId="26" fillId="0" borderId="5">
      <alignment horizontal="right" vertical="center"/>
    </xf>
    <xf numFmtId="211" fontId="26" fillId="0" borderId="5">
      <alignment horizontal="right" vertical="center"/>
    </xf>
    <xf numFmtId="212" fontId="26" fillId="0" borderId="5">
      <alignment horizontal="right" vertical="center"/>
    </xf>
    <xf numFmtId="211" fontId="26" fillId="0" borderId="5">
      <alignment horizontal="right" vertical="center"/>
    </xf>
    <xf numFmtId="211" fontId="26" fillId="0" borderId="5">
      <alignment horizontal="right" vertical="center"/>
    </xf>
    <xf numFmtId="212" fontId="26" fillId="0" borderId="5">
      <alignment horizontal="right" vertical="center"/>
    </xf>
    <xf numFmtId="212" fontId="26" fillId="0" borderId="5">
      <alignment horizontal="right" vertical="center"/>
    </xf>
    <xf numFmtId="199" fontId="26" fillId="0" borderId="5">
      <alignment horizontal="right" vertical="center"/>
    </xf>
    <xf numFmtId="211" fontId="26" fillId="0" borderId="5">
      <alignment horizontal="right" vertical="center"/>
    </xf>
    <xf numFmtId="212" fontId="26" fillId="0" borderId="5">
      <alignment horizontal="right" vertical="center"/>
    </xf>
    <xf numFmtId="211" fontId="26" fillId="0" borderId="5">
      <alignment horizontal="right" vertical="center"/>
    </xf>
    <xf numFmtId="211" fontId="26" fillId="0" borderId="5">
      <alignment horizontal="right" vertical="center"/>
    </xf>
    <xf numFmtId="211" fontId="26" fillId="0" borderId="5">
      <alignment horizontal="right" vertical="center"/>
    </xf>
    <xf numFmtId="211" fontId="26" fillId="0" borderId="5">
      <alignment horizontal="right" vertical="center"/>
    </xf>
    <xf numFmtId="0" fontId="16" fillId="0" borderId="0"/>
    <xf numFmtId="0" fontId="36" fillId="0" borderId="0" applyNumberForma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05" fillId="0" borderId="0"/>
    <xf numFmtId="40" fontId="206" fillId="0" borderId="0" applyFont="0" applyFill="0" applyBorder="0" applyAlignment="0" applyProtection="0"/>
    <xf numFmtId="233" fontId="16" fillId="0" borderId="0" applyFont="0" applyFill="0" applyBorder="0" applyAlignment="0" applyProtection="0"/>
    <xf numFmtId="175" fontId="207" fillId="0" borderId="0" applyFont="0" applyFill="0" applyBorder="0" applyAlignment="0" applyProtection="0"/>
    <xf numFmtId="175" fontId="207" fillId="0" borderId="0" applyFont="0" applyFill="0" applyBorder="0" applyAlignment="0" applyProtection="0"/>
    <xf numFmtId="323" fontId="203" fillId="0" borderId="0" applyFont="0" applyFill="0" applyBorder="0" applyAlignment="0" applyProtection="0"/>
    <xf numFmtId="0" fontId="201" fillId="3" borderId="0"/>
    <xf numFmtId="0" fontId="206" fillId="0" borderId="0" applyFont="0" applyFill="0" applyBorder="0" applyAlignment="0" applyProtection="0"/>
    <xf numFmtId="0" fontId="202" fillId="0" borderId="0"/>
    <xf numFmtId="317" fontId="16" fillId="0" borderId="0" applyFont="0" applyFill="0" applyBorder="0" applyAlignment="0" applyProtection="0"/>
    <xf numFmtId="164" fontId="18" fillId="0" borderId="0" applyFont="0" applyFill="0" applyBorder="0" applyAlignment="0" applyProtection="0"/>
    <xf numFmtId="43" fontId="209" fillId="0" borderId="0" applyFont="0" applyFill="0" applyBorder="0" applyAlignment="0" applyProtection="0"/>
    <xf numFmtId="167" fontId="26" fillId="0" borderId="0" applyFont="0" applyFill="0" applyBorder="0" applyAlignment="0" applyProtection="0"/>
    <xf numFmtId="164" fontId="38" fillId="0" borderId="0" applyFont="0" applyFill="0" applyBorder="0" applyAlignment="0" applyProtection="0"/>
    <xf numFmtId="322" fontId="18" fillId="0" borderId="0" applyFont="0" applyFill="0" applyBorder="0" applyAlignment="0" applyProtection="0"/>
    <xf numFmtId="0" fontId="18" fillId="0" borderId="0" applyFont="0" applyFill="0" applyBorder="0" applyAlignment="0" applyProtection="0"/>
    <xf numFmtId="197" fontId="26" fillId="0" borderId="0" applyFont="0" applyFill="0" applyBorder="0" applyAlignment="0" applyProtection="0"/>
    <xf numFmtId="0" fontId="210" fillId="0" borderId="0" applyNumberFormat="0" applyFill="0" applyBorder="0" applyAlignment="0" applyProtection="0">
      <alignment vertical="top"/>
      <protection locked="0"/>
    </xf>
    <xf numFmtId="0" fontId="208" fillId="0" borderId="0" applyFont="0" applyFill="0" applyBorder="0" applyAlignment="0" applyProtection="0"/>
    <xf numFmtId="41" fontId="26" fillId="0" borderId="0" applyFont="0" applyFill="0" applyBorder="0" applyAlignment="0" applyProtection="0"/>
    <xf numFmtId="43" fontId="26" fillId="0" borderId="0" applyFont="0" applyFill="0" applyBorder="0" applyAlignment="0" applyProtection="0"/>
    <xf numFmtId="318" fontId="26" fillId="0" borderId="0" applyFont="0" applyFill="0" applyBorder="0" applyAlignment="0" applyProtection="0"/>
    <xf numFmtId="319" fontId="26" fillId="0" borderId="0" applyFont="0" applyFill="0" applyBorder="0" applyAlignment="0" applyProtection="0"/>
    <xf numFmtId="0" fontId="16" fillId="0" borderId="0"/>
    <xf numFmtId="0" fontId="204" fillId="0" borderId="0"/>
    <xf numFmtId="0" fontId="16" fillId="0" borderId="0"/>
    <xf numFmtId="0" fontId="211" fillId="0" borderId="0">
      <protection locked="0"/>
    </xf>
    <xf numFmtId="0" fontId="211" fillId="0" borderId="0">
      <protection locked="0"/>
    </xf>
    <xf numFmtId="0" fontId="18" fillId="0" borderId="0"/>
    <xf numFmtId="9" fontId="16" fillId="0" borderId="0" applyFont="0" applyFill="0" applyBorder="0" applyAlignment="0" applyProtection="0"/>
    <xf numFmtId="9" fontId="38" fillId="0" borderId="0" applyFont="0" applyFill="0" applyBorder="0" applyAlignment="0" applyProtection="0"/>
    <xf numFmtId="0" fontId="16" fillId="0" borderId="0" applyFont="0" applyFill="0" applyBorder="0" applyAlignment="0" applyProtection="0"/>
    <xf numFmtId="199" fontId="26" fillId="0" borderId="5">
      <alignment horizontal="right" vertical="center"/>
    </xf>
    <xf numFmtId="199" fontId="26" fillId="0" borderId="5">
      <alignment horizontal="right" vertical="center"/>
    </xf>
    <xf numFmtId="170" fontId="35" fillId="0" borderId="5">
      <alignment horizontal="right" vertical="center"/>
    </xf>
    <xf numFmtId="170" fontId="35" fillId="0" borderId="5">
      <alignment horizontal="right" vertical="center"/>
    </xf>
    <xf numFmtId="170" fontId="35" fillId="0" borderId="5">
      <alignment horizontal="right" vertical="center"/>
    </xf>
    <xf numFmtId="170" fontId="35" fillId="0" borderId="5">
      <alignment horizontal="right" vertical="center"/>
    </xf>
    <xf numFmtId="170" fontId="35" fillId="0" borderId="5">
      <alignment horizontal="right" vertical="center"/>
    </xf>
    <xf numFmtId="170" fontId="35" fillId="0" borderId="5">
      <alignment horizontal="right" vertical="center"/>
    </xf>
    <xf numFmtId="0" fontId="203" fillId="0" borderId="0" applyFont="0" applyFill="0" applyBorder="0" applyAlignment="0" applyProtection="0"/>
    <xf numFmtId="0" fontId="203" fillId="0" borderId="0" applyFont="0" applyFill="0" applyBorder="0" applyAlignment="0" applyProtection="0"/>
    <xf numFmtId="181" fontId="26" fillId="0" borderId="0" applyFont="0" applyFill="0" applyBorder="0" applyAlignment="0" applyProtection="0"/>
    <xf numFmtId="180" fontId="26" fillId="0" borderId="0" applyFont="0" applyFill="0" applyBorder="0" applyAlignment="0" applyProtection="0"/>
    <xf numFmtId="321" fontId="26" fillId="0" borderId="0" applyFont="0" applyFill="0" applyBorder="0" applyAlignment="0" applyProtection="0"/>
    <xf numFmtId="320" fontId="2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cellStyleXfs>
  <cellXfs count="2307">
    <xf numFmtId="0" fontId="0" fillId="0" borderId="0" xfId="0"/>
    <xf numFmtId="0" fontId="133" fillId="3" borderId="8" xfId="0" applyFont="1" applyFill="1" applyBorder="1" applyAlignment="1" applyProtection="1">
      <alignment horizontal="center" vertical="center"/>
      <protection hidden="1"/>
    </xf>
    <xf numFmtId="0" fontId="121" fillId="3" borderId="5" xfId="0" applyFont="1" applyFill="1" applyBorder="1" applyAlignment="1" applyProtection="1">
      <alignment horizontal="center" vertical="center"/>
      <protection hidden="1"/>
    </xf>
    <xf numFmtId="0" fontId="133" fillId="0" borderId="8" xfId="0" applyFont="1" applyBorder="1" applyAlignment="1" applyProtection="1">
      <alignment horizontal="right" vertical="center"/>
      <protection hidden="1"/>
    </xf>
    <xf numFmtId="0" fontId="133" fillId="3" borderId="3" xfId="0" applyFont="1" applyFill="1" applyBorder="1" applyAlignment="1" applyProtection="1">
      <alignment horizontal="center" vertical="center"/>
      <protection hidden="1"/>
    </xf>
    <xf numFmtId="0" fontId="121" fillId="3" borderId="9" xfId="0" applyFont="1" applyFill="1" applyBorder="1" applyAlignment="1" applyProtection="1">
      <alignment horizontal="center" vertical="center"/>
      <protection hidden="1"/>
    </xf>
    <xf numFmtId="0" fontId="121" fillId="2" borderId="8" xfId="0" applyFont="1" applyFill="1" applyBorder="1" applyAlignment="1" applyProtection="1">
      <alignment horizontal="right" vertical="center"/>
      <protection hidden="1"/>
    </xf>
    <xf numFmtId="0" fontId="7" fillId="0" borderId="3"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8" fillId="0" borderId="0" xfId="0" applyFont="1" applyAlignment="1" applyProtection="1">
      <alignment horizontal="center" vertical="center" wrapText="1"/>
      <protection hidden="1"/>
    </xf>
    <xf numFmtId="0" fontId="5" fillId="0" borderId="0" xfId="0" applyFont="1"/>
    <xf numFmtId="182" fontId="66" fillId="0" borderId="3" xfId="667" applyNumberFormat="1" applyFont="1" applyBorder="1" applyAlignment="1">
      <alignment horizontal="centerContinuous" vertical="center" wrapText="1"/>
    </xf>
    <xf numFmtId="182" fontId="66" fillId="0" borderId="3" xfId="667" applyNumberFormat="1" applyFont="1" applyBorder="1" applyAlignment="1">
      <alignment horizontal="center" vertical="center" wrapText="1"/>
    </xf>
    <xf numFmtId="0" fontId="5" fillId="0" borderId="0" xfId="0" applyFont="1" applyAlignment="1">
      <alignment horizontal="center"/>
    </xf>
    <xf numFmtId="0" fontId="10" fillId="0" borderId="10" xfId="0" applyFont="1" applyBorder="1" applyAlignment="1">
      <alignment vertical="center" wrapText="1"/>
    </xf>
    <xf numFmtId="0" fontId="5" fillId="0" borderId="0" xfId="0" applyFont="1" applyAlignment="1">
      <alignment vertical="center"/>
    </xf>
    <xf numFmtId="0" fontId="10" fillId="0" borderId="11" xfId="0" applyFont="1" applyBorder="1" applyAlignment="1">
      <alignment horizontal="center" vertical="center" wrapText="1"/>
    </xf>
    <xf numFmtId="0" fontId="16" fillId="0" borderId="10" xfId="0" applyFont="1" applyBorder="1" applyAlignment="1">
      <alignment horizontal="center" vertical="center"/>
    </xf>
    <xf numFmtId="0" fontId="10" fillId="0" borderId="10" xfId="0" applyFont="1" applyBorder="1" applyAlignment="1">
      <alignment horizontal="center" vertical="center" wrapText="1"/>
    </xf>
    <xf numFmtId="3" fontId="10" fillId="0" borderId="10" xfId="0" applyNumberFormat="1" applyFont="1" applyBorder="1" applyAlignment="1">
      <alignment horizontal="center" vertical="center" wrapText="1"/>
    </xf>
    <xf numFmtId="0" fontId="52" fillId="0" borderId="10" xfId="0" applyFont="1" applyBorder="1" applyAlignment="1">
      <alignment vertical="center" wrapText="1"/>
    </xf>
    <xf numFmtId="3" fontId="10" fillId="0" borderId="10" xfId="945" applyNumberFormat="1" applyFont="1" applyBorder="1" applyAlignment="1" applyProtection="1">
      <alignment horizontal="right" vertical="center"/>
      <protection hidden="1"/>
    </xf>
    <xf numFmtId="3" fontId="10" fillId="0" borderId="12" xfId="0" applyNumberFormat="1" applyFont="1" applyBorder="1" applyAlignment="1">
      <alignment horizontal="center" vertical="center" wrapText="1"/>
    </xf>
    <xf numFmtId="3" fontId="10" fillId="0" borderId="10" xfId="0" applyNumberFormat="1" applyFont="1" applyBorder="1" applyAlignment="1">
      <alignment horizontal="right" vertical="center" wrapText="1"/>
    </xf>
    <xf numFmtId="0" fontId="11" fillId="0" borderId="10" xfId="0" applyFont="1" applyBorder="1" applyAlignment="1">
      <alignment horizontal="center" vertical="center" wrapText="1"/>
    </xf>
    <xf numFmtId="3" fontId="10" fillId="4" borderId="10" xfId="0" applyNumberFormat="1" applyFont="1" applyFill="1" applyBorder="1" applyAlignment="1">
      <alignment horizontal="right" vertical="center" wrapText="1"/>
    </xf>
    <xf numFmtId="3" fontId="56" fillId="0" borderId="10" xfId="0" applyNumberFormat="1" applyFont="1" applyBorder="1" applyAlignment="1">
      <alignment horizontal="center" vertical="center" wrapText="1"/>
    </xf>
    <xf numFmtId="3" fontId="50" fillId="0" borderId="10" xfId="0" applyNumberFormat="1" applyFont="1" applyBorder="1" applyAlignment="1">
      <alignment horizontal="center" vertical="center" wrapText="1"/>
    </xf>
    <xf numFmtId="0" fontId="10" fillId="0" borderId="10" xfId="0" applyFont="1" applyBorder="1" applyAlignment="1">
      <alignment horizontal="center"/>
    </xf>
    <xf numFmtId="3" fontId="10" fillId="0" borderId="10" xfId="0" applyNumberFormat="1" applyFont="1" applyBorder="1" applyAlignment="1">
      <alignment horizontal="center"/>
    </xf>
    <xf numFmtId="0" fontId="10" fillId="0" borderId="0" xfId="0" applyFont="1" applyAlignment="1">
      <alignment horizontal="left" vertical="center"/>
    </xf>
    <xf numFmtId="3" fontId="77" fillId="0" borderId="10" xfId="945" applyNumberFormat="1" applyFont="1" applyBorder="1" applyAlignment="1" applyProtection="1">
      <alignment horizontal="right" vertical="center"/>
      <protection hidden="1"/>
    </xf>
    <xf numFmtId="3" fontId="13" fillId="0" borderId="11" xfId="945" applyNumberFormat="1" applyFont="1" applyBorder="1" applyAlignment="1" applyProtection="1">
      <alignment horizontal="right" vertical="center"/>
      <protection hidden="1"/>
    </xf>
    <xf numFmtId="3" fontId="13" fillId="0" borderId="10" xfId="945" applyNumberFormat="1" applyFont="1" applyBorder="1" applyAlignment="1" applyProtection="1">
      <alignment horizontal="right" vertical="center"/>
      <protection hidden="1"/>
    </xf>
    <xf numFmtId="3" fontId="5" fillId="0" borderId="0" xfId="0" applyNumberFormat="1" applyFont="1"/>
    <xf numFmtId="0" fontId="6" fillId="0" borderId="0" xfId="0" applyFont="1" applyAlignment="1">
      <alignment horizontal="center"/>
    </xf>
    <xf numFmtId="0" fontId="3" fillId="0" borderId="0" xfId="0" applyFont="1" applyAlignment="1">
      <alignment horizontal="centerContinuous"/>
    </xf>
    <xf numFmtId="0" fontId="3" fillId="0" borderId="0" xfId="0" applyFont="1"/>
    <xf numFmtId="0" fontId="10" fillId="0" borderId="0" xfId="0" applyFont="1"/>
    <xf numFmtId="0" fontId="6" fillId="0" borderId="0" xfId="0" applyFont="1" applyAlignment="1">
      <alignment horizontal="centerContinuous"/>
    </xf>
    <xf numFmtId="0" fontId="13" fillId="0" borderId="0" xfId="0" applyFont="1"/>
    <xf numFmtId="0" fontId="13" fillId="0" borderId="0" xfId="0" applyFont="1" applyAlignment="1">
      <alignment horizontal="right"/>
    </xf>
    <xf numFmtId="3" fontId="10" fillId="4" borderId="0" xfId="0" applyNumberFormat="1" applyFont="1" applyFill="1" applyAlignment="1">
      <alignment horizontal="right"/>
    </xf>
    <xf numFmtId="3" fontId="10" fillId="0" borderId="0" xfId="0" applyNumberFormat="1" applyFont="1" applyAlignment="1">
      <alignment horizontal="left"/>
    </xf>
    <xf numFmtId="3" fontId="10" fillId="0" borderId="0" xfId="0" applyNumberFormat="1" applyFont="1" applyAlignment="1">
      <alignment horizontal="centerContinuous"/>
    </xf>
    <xf numFmtId="3" fontId="6" fillId="0" borderId="3" xfId="0" applyNumberFormat="1" applyFont="1" applyBorder="1" applyAlignment="1">
      <alignment horizontal="center" vertical="center"/>
    </xf>
    <xf numFmtId="0" fontId="5" fillId="0" borderId="13" xfId="0" applyFont="1" applyBorder="1" applyAlignment="1">
      <alignment horizontal="center"/>
    </xf>
    <xf numFmtId="3" fontId="5" fillId="0" borderId="13" xfId="0" applyNumberFormat="1" applyFont="1" applyBorder="1" applyAlignment="1">
      <alignment horizontal="center"/>
    </xf>
    <xf numFmtId="3" fontId="5" fillId="0" borderId="13" xfId="0" applyNumberFormat="1" applyFont="1" applyBorder="1" applyAlignment="1">
      <alignment horizontal="right"/>
    </xf>
    <xf numFmtId="0" fontId="5" fillId="0" borderId="3" xfId="0" applyFont="1" applyBorder="1" applyAlignment="1">
      <alignment horizontal="center"/>
    </xf>
    <xf numFmtId="3" fontId="6" fillId="0" borderId="3" xfId="0" applyNumberFormat="1" applyFont="1" applyBorder="1"/>
    <xf numFmtId="0" fontId="13" fillId="0" borderId="3" xfId="0" applyFont="1" applyBorder="1" applyAlignment="1">
      <alignment horizontal="center" vertical="center" textRotation="90"/>
    </xf>
    <xf numFmtId="0" fontId="13" fillId="0" borderId="0" xfId="0" applyFont="1" applyAlignment="1">
      <alignment horizontal="center"/>
    </xf>
    <xf numFmtId="0" fontId="10" fillId="0" borderId="0" xfId="0" applyFont="1" applyAlignment="1">
      <alignment horizontal="center"/>
    </xf>
    <xf numFmtId="3" fontId="13" fillId="0" borderId="0" xfId="0" applyNumberFormat="1" applyFont="1"/>
    <xf numFmtId="3" fontId="10" fillId="4" borderId="0" xfId="0" applyNumberFormat="1" applyFont="1" applyFill="1" applyAlignment="1">
      <alignment horizontal="centerContinuous"/>
    </xf>
    <xf numFmtId="0" fontId="13" fillId="0" borderId="3" xfId="0" applyFont="1" applyBorder="1" applyAlignment="1">
      <alignment horizontal="centerContinuous" vertical="center"/>
    </xf>
    <xf numFmtId="0" fontId="13" fillId="4" borderId="3" xfId="0" applyFont="1" applyFill="1" applyBorder="1" applyAlignment="1">
      <alignment horizontal="centerContinuous" vertical="center"/>
    </xf>
    <xf numFmtId="166" fontId="13" fillId="0" borderId="3" xfId="0" applyNumberFormat="1" applyFont="1" applyBorder="1" applyAlignment="1">
      <alignment horizontal="centerContinuous" vertical="center"/>
    </xf>
    <xf numFmtId="0" fontId="13" fillId="0" borderId="3" xfId="0" applyFont="1" applyBorder="1" applyAlignment="1">
      <alignment vertical="center" textRotation="90"/>
    </xf>
    <xf numFmtId="49" fontId="85" fillId="0" borderId="14" xfId="0" applyNumberFormat="1" applyFont="1" applyBorder="1" applyAlignment="1">
      <alignment horizontal="center" vertical="center"/>
    </xf>
    <xf numFmtId="0" fontId="13" fillId="0" borderId="14" xfId="0" applyFont="1" applyBorder="1" applyAlignment="1">
      <alignment horizontal="center" vertical="center" wrapText="1"/>
    </xf>
    <xf numFmtId="0" fontId="13" fillId="0" borderId="15" xfId="0" applyFont="1" applyBorder="1" applyAlignment="1">
      <alignment horizontal="center" vertical="center"/>
    </xf>
    <xf numFmtId="0" fontId="13" fillId="4" borderId="11" xfId="0" applyFont="1" applyFill="1" applyBorder="1" applyAlignment="1">
      <alignment horizontal="center" vertical="center" textRotation="90" wrapText="1"/>
    </xf>
    <xf numFmtId="0" fontId="13" fillId="0" borderId="11" xfId="0" applyFont="1" applyBorder="1" applyAlignment="1">
      <alignment horizontal="center" vertical="center" textRotation="90" wrapText="1"/>
    </xf>
    <xf numFmtId="0" fontId="13" fillId="0" borderId="11" xfId="0" applyFont="1" applyBorder="1" applyAlignment="1">
      <alignment horizontal="center" vertical="center" textRotation="90"/>
    </xf>
    <xf numFmtId="0" fontId="13" fillId="4" borderId="11" xfId="0" applyFont="1" applyFill="1" applyBorder="1" applyAlignment="1">
      <alignment horizontal="center" vertical="center" textRotation="90"/>
    </xf>
    <xf numFmtId="3" fontId="13" fillId="0" borderId="11" xfId="0" applyNumberFormat="1" applyFont="1" applyBorder="1" applyAlignment="1">
      <alignment horizontal="center" vertical="center"/>
    </xf>
    <xf numFmtId="166" fontId="13" fillId="0" borderId="10" xfId="0" applyNumberFormat="1" applyFont="1" applyBorder="1" applyAlignment="1">
      <alignment horizontal="center" vertical="center"/>
    </xf>
    <xf numFmtId="0" fontId="13" fillId="0" borderId="10" xfId="0" applyFont="1" applyBorder="1" applyAlignment="1">
      <alignment horizontal="center" vertical="center"/>
    </xf>
    <xf numFmtId="3" fontId="13" fillId="0" borderId="15" xfId="0" applyNumberFormat="1" applyFont="1" applyBorder="1" applyAlignment="1">
      <alignment horizontal="center" vertical="center"/>
    </xf>
    <xf numFmtId="3" fontId="13" fillId="4" borderId="10" xfId="0" applyNumberFormat="1" applyFont="1" applyFill="1" applyBorder="1" applyAlignment="1">
      <alignment horizontal="center" vertical="center"/>
    </xf>
    <xf numFmtId="3" fontId="13" fillId="0" borderId="10" xfId="0" applyNumberFormat="1" applyFont="1" applyBorder="1" applyAlignment="1">
      <alignment horizontal="center" vertical="center"/>
    </xf>
    <xf numFmtId="202" fontId="13" fillId="4" borderId="10" xfId="0" applyNumberFormat="1" applyFont="1" applyFill="1" applyBorder="1" applyAlignment="1">
      <alignment horizontal="center" vertical="center"/>
    </xf>
    <xf numFmtId="3" fontId="67" fillId="4" borderId="9" xfId="0" applyNumberFormat="1" applyFont="1" applyFill="1" applyBorder="1" applyAlignment="1">
      <alignment horizontal="center" vertical="top" textRotation="90"/>
    </xf>
    <xf numFmtId="0" fontId="13" fillId="4" borderId="3" xfId="0" applyFont="1" applyFill="1" applyBorder="1" applyAlignment="1">
      <alignment horizontal="center" vertical="center" textRotation="90"/>
    </xf>
    <xf numFmtId="202" fontId="13" fillId="0" borderId="10" xfId="0" applyNumberFormat="1" applyFont="1" applyBorder="1" applyAlignment="1">
      <alignment horizontal="center" vertical="center"/>
    </xf>
    <xf numFmtId="0" fontId="67" fillId="0" borderId="16" xfId="0" applyFont="1" applyBorder="1" applyAlignment="1">
      <alignment horizontal="center" vertical="center" wrapText="1"/>
    </xf>
    <xf numFmtId="3" fontId="10" fillId="0" borderId="0" xfId="0" applyNumberFormat="1" applyFont="1"/>
    <xf numFmtId="0" fontId="6" fillId="0" borderId="0" xfId="0" applyFont="1" applyAlignment="1">
      <alignment horizontal="centerContinuous" vertical="center"/>
    </xf>
    <xf numFmtId="0" fontId="6" fillId="0" borderId="3" xfId="0" applyFont="1" applyBorder="1" applyAlignment="1">
      <alignment horizontal="center" vertical="center"/>
    </xf>
    <xf numFmtId="0" fontId="5" fillId="0" borderId="17" xfId="0" applyFont="1" applyBorder="1" applyAlignment="1">
      <alignment horizontal="right"/>
    </xf>
    <xf numFmtId="216" fontId="5" fillId="4" borderId="17" xfId="0" applyNumberFormat="1" applyFont="1" applyFill="1" applyBorder="1" applyAlignment="1">
      <alignment horizontal="right"/>
    </xf>
    <xf numFmtId="217" fontId="5" fillId="4" borderId="18" xfId="0" applyNumberFormat="1" applyFont="1" applyFill="1" applyBorder="1" applyAlignment="1">
      <alignment horizontal="left"/>
    </xf>
    <xf numFmtId="0" fontId="5" fillId="0" borderId="18" xfId="0" applyFont="1" applyBorder="1" applyAlignment="1">
      <alignment horizontal="left"/>
    </xf>
    <xf numFmtId="0" fontId="5" fillId="0" borderId="0" xfId="0" applyFont="1" applyProtection="1">
      <protection hidden="1"/>
    </xf>
    <xf numFmtId="0" fontId="22" fillId="0" borderId="0" xfId="0" applyFont="1" applyProtection="1">
      <protection hidden="1"/>
    </xf>
    <xf numFmtId="0" fontId="5" fillId="0" borderId="0" xfId="0" applyFont="1" applyAlignment="1" applyProtection="1">
      <alignment horizontal="center"/>
      <protection hidden="1"/>
    </xf>
    <xf numFmtId="0" fontId="5" fillId="0" borderId="3" xfId="0" applyFont="1" applyBorder="1" applyProtection="1">
      <protection hidden="1"/>
    </xf>
    <xf numFmtId="0" fontId="5" fillId="4" borderId="0" xfId="0" applyFont="1" applyFill="1" applyProtection="1">
      <protection hidden="1"/>
    </xf>
    <xf numFmtId="0" fontId="72" fillId="0" borderId="0" xfId="0" applyFont="1" applyProtection="1">
      <protection hidden="1"/>
    </xf>
    <xf numFmtId="0" fontId="14" fillId="0" borderId="0" xfId="0" applyFont="1" applyAlignment="1" applyProtection="1">
      <alignment horizontal="center"/>
      <protection hidden="1"/>
    </xf>
    <xf numFmtId="3" fontId="3" fillId="0" borderId="0" xfId="0" applyNumberFormat="1" applyFont="1" applyAlignment="1" applyProtection="1">
      <alignment horizontal="right"/>
      <protection hidden="1"/>
    </xf>
    <xf numFmtId="0" fontId="69" fillId="0" borderId="0" xfId="0" applyFont="1" applyProtection="1">
      <protection hidden="1"/>
    </xf>
    <xf numFmtId="0" fontId="3" fillId="0" borderId="0" xfId="0" applyFont="1" applyAlignment="1" applyProtection="1">
      <alignment horizontal="center"/>
      <protection hidden="1"/>
    </xf>
    <xf numFmtId="0" fontId="3" fillId="0" borderId="0" xfId="0" applyFont="1" applyAlignment="1" applyProtection="1">
      <alignment horizontal="right"/>
      <protection hidden="1"/>
    </xf>
    <xf numFmtId="0" fontId="15" fillId="0" borderId="0" xfId="0" applyFont="1" applyProtection="1">
      <protection hidden="1"/>
    </xf>
    <xf numFmtId="0" fontId="6" fillId="0" borderId="0" xfId="0" applyFont="1" applyAlignment="1" applyProtection="1">
      <alignment horizontal="right"/>
      <protection hidden="1"/>
    </xf>
    <xf numFmtId="0" fontId="70" fillId="0" borderId="0" xfId="0" applyFont="1" applyProtection="1">
      <protection hidden="1"/>
    </xf>
    <xf numFmtId="3" fontId="93" fillId="0" borderId="0" xfId="0" applyNumberFormat="1" applyFont="1" applyProtection="1">
      <protection hidden="1"/>
    </xf>
    <xf numFmtId="0" fontId="93" fillId="0" borderId="0" xfId="0" applyFont="1" applyProtection="1">
      <protection hidden="1"/>
    </xf>
    <xf numFmtId="0" fontId="93" fillId="0" borderId="0" xfId="0" quotePrefix="1" applyFont="1" applyProtection="1">
      <protection hidden="1"/>
    </xf>
    <xf numFmtId="0" fontId="14" fillId="0" borderId="0" xfId="0" applyFont="1" applyProtection="1">
      <protection hidden="1"/>
    </xf>
    <xf numFmtId="0" fontId="66" fillId="0" borderId="10" xfId="0" applyFont="1" applyBorder="1" applyAlignment="1">
      <alignment horizontal="left" vertical="center" wrapText="1"/>
    </xf>
    <xf numFmtId="0" fontId="67" fillId="0" borderId="10" xfId="0" applyFont="1" applyBorder="1" applyAlignment="1">
      <alignment horizontal="center" vertical="center"/>
    </xf>
    <xf numFmtId="0" fontId="4" fillId="0" borderId="0" xfId="0" applyFont="1" applyAlignment="1" applyProtection="1">
      <alignment horizontal="center"/>
      <protection hidden="1"/>
    </xf>
    <xf numFmtId="0" fontId="4" fillId="0" borderId="0" xfId="0" applyFont="1" applyAlignment="1" applyProtection="1">
      <alignment horizontal="left"/>
      <protection hidden="1"/>
    </xf>
    <xf numFmtId="0" fontId="14" fillId="0" borderId="0" xfId="0" applyFont="1" applyAlignment="1" applyProtection="1">
      <alignment horizontal="left"/>
      <protection hidden="1"/>
    </xf>
    <xf numFmtId="0" fontId="14" fillId="0" borderId="0" xfId="0" quotePrefix="1" applyFont="1" applyAlignment="1" applyProtection="1">
      <alignment horizontal="left"/>
      <protection hidden="1"/>
    </xf>
    <xf numFmtId="0" fontId="14" fillId="0" borderId="0" xfId="0" quotePrefix="1" applyFont="1" applyProtection="1">
      <protection hidden="1"/>
    </xf>
    <xf numFmtId="218" fontId="14" fillId="0" borderId="0" xfId="0" applyNumberFormat="1" applyFont="1" applyProtection="1">
      <protection hidden="1"/>
    </xf>
    <xf numFmtId="3" fontId="14" fillId="0" borderId="0" xfId="0" applyNumberFormat="1" applyFont="1" applyAlignment="1" applyProtection="1">
      <alignment horizontal="right"/>
      <protection hidden="1"/>
    </xf>
    <xf numFmtId="3" fontId="6" fillId="4" borderId="3" xfId="0" quotePrefix="1" applyNumberFormat="1" applyFont="1" applyFill="1" applyBorder="1" applyAlignment="1" applyProtection="1">
      <alignment horizontal="right"/>
      <protection hidden="1"/>
    </xf>
    <xf numFmtId="219" fontId="14" fillId="0" borderId="0" xfId="0" applyNumberFormat="1" applyFont="1" applyProtection="1">
      <protection hidden="1"/>
    </xf>
    <xf numFmtId="220" fontId="14" fillId="0" borderId="0" xfId="0" applyNumberFormat="1" applyFont="1" applyProtection="1">
      <protection hidden="1"/>
    </xf>
    <xf numFmtId="3" fontId="14" fillId="0" borderId="0" xfId="0" applyNumberFormat="1" applyFont="1" applyProtection="1">
      <protection hidden="1"/>
    </xf>
    <xf numFmtId="221" fontId="14" fillId="0" borderId="0" xfId="0" applyNumberFormat="1" applyFont="1" applyProtection="1">
      <protection hidden="1"/>
    </xf>
    <xf numFmtId="221" fontId="14" fillId="0" borderId="0" xfId="0" applyNumberFormat="1" applyFont="1" applyAlignment="1" applyProtection="1">
      <alignment horizontal="right"/>
      <protection hidden="1"/>
    </xf>
    <xf numFmtId="3" fontId="6" fillId="0" borderId="3" xfId="0" quotePrefix="1" applyNumberFormat="1" applyFont="1" applyBorder="1" applyAlignment="1" applyProtection="1">
      <alignment horizontal="right"/>
      <protection hidden="1"/>
    </xf>
    <xf numFmtId="0" fontId="4" fillId="0" borderId="0" xfId="0" applyFont="1" applyProtection="1">
      <protection hidden="1"/>
    </xf>
    <xf numFmtId="0" fontId="5" fillId="0" borderId="0" xfId="0" quotePrefix="1" applyFont="1" applyAlignment="1" applyProtection="1">
      <alignment horizontal="left"/>
      <protection hidden="1"/>
    </xf>
    <xf numFmtId="0" fontId="6" fillId="0" borderId="0" xfId="0" applyFont="1" applyAlignment="1" applyProtection="1">
      <alignment horizontal="left"/>
      <protection hidden="1"/>
    </xf>
    <xf numFmtId="3" fontId="6" fillId="0" borderId="0" xfId="0" quotePrefix="1" applyNumberFormat="1" applyFont="1" applyAlignment="1" applyProtection="1">
      <alignment horizontal="right"/>
      <protection hidden="1"/>
    </xf>
    <xf numFmtId="0" fontId="4" fillId="0" borderId="0" xfId="0" quotePrefix="1" applyFont="1" applyProtection="1">
      <protection hidden="1"/>
    </xf>
    <xf numFmtId="3" fontId="92" fillId="0" borderId="0" xfId="0" applyNumberFormat="1" applyFont="1" applyProtection="1">
      <protection hidden="1"/>
    </xf>
    <xf numFmtId="3" fontId="4" fillId="0" borderId="0" xfId="0" applyNumberFormat="1" applyFont="1" applyProtection="1">
      <protection hidden="1"/>
    </xf>
    <xf numFmtId="222" fontId="14" fillId="0" borderId="0" xfId="0" applyNumberFormat="1" applyFont="1" applyProtection="1">
      <protection hidden="1"/>
    </xf>
    <xf numFmtId="223" fontId="14" fillId="0" borderId="0" xfId="0" applyNumberFormat="1" applyFont="1" applyProtection="1">
      <protection hidden="1"/>
    </xf>
    <xf numFmtId="49" fontId="14" fillId="0" borderId="0" xfId="0" applyNumberFormat="1" applyFont="1" applyAlignment="1" applyProtection="1">
      <alignment horizontal="right"/>
      <protection hidden="1"/>
    </xf>
    <xf numFmtId="0" fontId="14" fillId="0" borderId="0" xfId="0" applyFont="1" applyAlignment="1" applyProtection="1">
      <alignment horizontal="right"/>
      <protection hidden="1"/>
    </xf>
    <xf numFmtId="0" fontId="5" fillId="0" borderId="5" xfId="0" quotePrefix="1" applyFont="1" applyBorder="1" applyProtection="1">
      <protection hidden="1"/>
    </xf>
    <xf numFmtId="0" fontId="6" fillId="0" borderId="2" xfId="0" applyFont="1" applyBorder="1" applyProtection="1">
      <protection hidden="1"/>
    </xf>
    <xf numFmtId="224" fontId="14" fillId="0" borderId="0" xfId="0" applyNumberFormat="1" applyFont="1" applyProtection="1">
      <protection hidden="1"/>
    </xf>
    <xf numFmtId="0" fontId="5" fillId="0" borderId="0" xfId="0" quotePrefix="1" applyFont="1" applyProtection="1">
      <protection hidden="1"/>
    </xf>
    <xf numFmtId="0" fontId="6" fillId="0" borderId="0" xfId="0" applyFont="1" applyProtection="1">
      <protection hidden="1"/>
    </xf>
    <xf numFmtId="0" fontId="10" fillId="0" borderId="0" xfId="0" applyFont="1" applyProtection="1">
      <protection hidden="1"/>
    </xf>
    <xf numFmtId="0" fontId="9" fillId="0" borderId="0" xfId="0" applyFont="1" applyAlignment="1" applyProtection="1">
      <alignment horizontal="center"/>
      <protection hidden="1"/>
    </xf>
    <xf numFmtId="0" fontId="5" fillId="0" borderId="0" xfId="0" applyFont="1" applyAlignment="1" applyProtection="1">
      <alignment horizontal="left"/>
      <protection hidden="1"/>
    </xf>
    <xf numFmtId="0" fontId="94" fillId="0" borderId="0" xfId="0" applyFont="1" applyAlignment="1" applyProtection="1">
      <alignment horizontal="left"/>
      <protection hidden="1"/>
    </xf>
    <xf numFmtId="0" fontId="5" fillId="4" borderId="0" xfId="0" applyFont="1" applyFill="1" applyAlignment="1" applyProtection="1">
      <alignment horizontal="justify"/>
      <protection hidden="1"/>
    </xf>
    <xf numFmtId="0" fontId="5" fillId="3" borderId="0" xfId="0" applyFont="1" applyFill="1" applyAlignment="1" applyProtection="1">
      <alignment horizontal="justify"/>
      <protection hidden="1"/>
    </xf>
    <xf numFmtId="0" fontId="5" fillId="3" borderId="0" xfId="0" applyFont="1" applyFill="1" applyProtection="1">
      <protection hidden="1"/>
    </xf>
    <xf numFmtId="0" fontId="5" fillId="5" borderId="0" xfId="0" applyFont="1" applyFill="1" applyProtection="1">
      <protection hidden="1"/>
    </xf>
    <xf numFmtId="0" fontId="5" fillId="6" borderId="0" xfId="0" applyFont="1" applyFill="1" applyAlignment="1" applyProtection="1">
      <alignment horizontal="justify"/>
      <protection hidden="1"/>
    </xf>
    <xf numFmtId="0" fontId="5" fillId="6" borderId="0" xfId="0" applyFont="1" applyFill="1" applyProtection="1">
      <protection hidden="1"/>
    </xf>
    <xf numFmtId="0" fontId="95" fillId="0" borderId="0" xfId="0" applyFont="1" applyAlignment="1" applyProtection="1">
      <alignment horizontal="justify"/>
      <protection hidden="1"/>
    </xf>
    <xf numFmtId="0" fontId="5" fillId="0" borderId="0" xfId="0" applyFont="1" applyAlignment="1" applyProtection="1">
      <alignment horizontal="right"/>
      <protection hidden="1"/>
    </xf>
    <xf numFmtId="0" fontId="7" fillId="0" borderId="0" xfId="0" applyFont="1" applyAlignment="1" applyProtection="1">
      <alignment horizontal="justify"/>
      <protection hidden="1"/>
    </xf>
    <xf numFmtId="0" fontId="7" fillId="0" borderId="0" xfId="0" applyFont="1" applyAlignment="1" applyProtection="1">
      <alignment horizontal="left"/>
      <protection hidden="1"/>
    </xf>
    <xf numFmtId="0" fontId="72" fillId="0" borderId="0" xfId="0" applyFont="1" applyAlignment="1" applyProtection="1">
      <alignment horizontal="left"/>
      <protection hidden="1"/>
    </xf>
    <xf numFmtId="0" fontId="10" fillId="0" borderId="0" xfId="0" applyFont="1" applyAlignment="1" applyProtection="1">
      <alignment horizontal="center"/>
      <protection hidden="1"/>
    </xf>
    <xf numFmtId="0" fontId="10" fillId="0" borderId="0" xfId="0" applyFont="1" applyAlignment="1" applyProtection="1">
      <alignment horizontal="left"/>
      <protection hidden="1"/>
    </xf>
    <xf numFmtId="0" fontId="10" fillId="0" borderId="0" xfId="0" applyFont="1" applyAlignment="1" applyProtection="1">
      <alignment horizontal="right"/>
      <protection hidden="1"/>
    </xf>
    <xf numFmtId="0" fontId="11" fillId="0" borderId="0" xfId="0" applyFont="1" applyAlignment="1" applyProtection="1">
      <alignment horizontal="left"/>
      <protection hidden="1"/>
    </xf>
    <xf numFmtId="0" fontId="88" fillId="0" borderId="0" xfId="0" applyFont="1" applyProtection="1">
      <protection hidden="1"/>
    </xf>
    <xf numFmtId="0" fontId="89" fillId="0" borderId="0" xfId="0" applyFont="1" applyProtection="1">
      <protection hidden="1"/>
    </xf>
    <xf numFmtId="0" fontId="90" fillId="0" borderId="0" xfId="0" applyFont="1" applyProtection="1">
      <protection hidden="1"/>
    </xf>
    <xf numFmtId="38" fontId="18" fillId="0" borderId="0" xfId="948" applyNumberFormat="1" applyFont="1" applyAlignment="1" applyProtection="1">
      <alignment horizontal="centerContinuous" vertical="center"/>
      <protection hidden="1"/>
    </xf>
    <xf numFmtId="38" fontId="51" fillId="0" borderId="3" xfId="948" applyNumberFormat="1" applyFont="1" applyBorder="1" applyAlignment="1" applyProtection="1">
      <alignment horizontal="center" vertical="center" wrapText="1"/>
      <protection hidden="1"/>
    </xf>
    <xf numFmtId="3" fontId="61" fillId="0" borderId="0" xfId="947" applyNumberFormat="1" applyFont="1" applyProtection="1">
      <protection hidden="1"/>
    </xf>
    <xf numFmtId="3" fontId="14" fillId="0" borderId="0" xfId="947" applyNumberFormat="1" applyFont="1" applyProtection="1">
      <protection hidden="1"/>
    </xf>
    <xf numFmtId="3" fontId="14" fillId="0" borderId="0" xfId="947" applyNumberFormat="1" applyFont="1" applyAlignment="1" applyProtection="1">
      <alignment horizontal="center"/>
      <protection hidden="1"/>
    </xf>
    <xf numFmtId="3" fontId="14" fillId="0" borderId="0" xfId="682" applyNumberFormat="1" applyFont="1" applyProtection="1">
      <protection hidden="1"/>
    </xf>
    <xf numFmtId="3" fontId="11" fillId="0" borderId="19" xfId="682" applyNumberFormat="1" applyFont="1" applyBorder="1" applyAlignment="1" applyProtection="1">
      <alignment horizontal="center" vertical="center" wrapText="1"/>
      <protection hidden="1"/>
    </xf>
    <xf numFmtId="49" fontId="65" fillId="0" borderId="3" xfId="0" applyNumberFormat="1" applyFont="1" applyBorder="1" applyAlignment="1" applyProtection="1">
      <alignment horizontal="center" vertical="top"/>
      <protection hidden="1"/>
    </xf>
    <xf numFmtId="3" fontId="11" fillId="0" borderId="14" xfId="947" applyNumberFormat="1" applyFont="1" applyBorder="1" applyAlignment="1" applyProtection="1">
      <alignment horizontal="center" vertical="center" wrapText="1"/>
      <protection hidden="1"/>
    </xf>
    <xf numFmtId="3" fontId="11" fillId="0" borderId="14" xfId="947" applyNumberFormat="1" applyFont="1" applyBorder="1" applyAlignment="1" applyProtection="1">
      <alignment horizontal="left"/>
      <protection hidden="1"/>
    </xf>
    <xf numFmtId="3" fontId="11" fillId="0" borderId="11" xfId="947" applyNumberFormat="1" applyFont="1" applyBorder="1" applyAlignment="1" applyProtection="1">
      <alignment horizontal="center"/>
      <protection hidden="1"/>
    </xf>
    <xf numFmtId="3" fontId="10" fillId="0" borderId="11" xfId="947" applyNumberFormat="1" applyFont="1" applyBorder="1" applyAlignment="1" applyProtection="1">
      <alignment horizontal="center"/>
      <protection hidden="1"/>
    </xf>
    <xf numFmtId="3" fontId="10" fillId="0" borderId="10" xfId="947" applyNumberFormat="1" applyFont="1" applyBorder="1" applyAlignment="1" applyProtection="1">
      <alignment horizontal="center"/>
      <protection hidden="1"/>
    </xf>
    <xf numFmtId="3" fontId="11" fillId="0" borderId="10" xfId="947" applyNumberFormat="1" applyFont="1" applyBorder="1" applyAlignment="1" applyProtection="1">
      <alignment horizontal="center"/>
      <protection hidden="1"/>
    </xf>
    <xf numFmtId="3" fontId="11" fillId="0" borderId="10" xfId="947" applyNumberFormat="1" applyFont="1" applyBorder="1" applyProtection="1">
      <protection hidden="1"/>
    </xf>
    <xf numFmtId="3" fontId="11" fillId="0" borderId="20" xfId="947" applyNumberFormat="1" applyFont="1" applyBorder="1" applyAlignment="1" applyProtection="1">
      <alignment horizontal="center"/>
      <protection hidden="1"/>
    </xf>
    <xf numFmtId="3" fontId="63" fillId="0" borderId="10" xfId="947" applyNumberFormat="1" applyFont="1" applyBorder="1" applyAlignment="1" applyProtection="1">
      <alignment horizontal="center"/>
      <protection hidden="1"/>
    </xf>
    <xf numFmtId="3" fontId="52" fillId="0" borderId="10" xfId="947" applyNumberFormat="1" applyFont="1" applyBorder="1" applyProtection="1">
      <protection hidden="1"/>
    </xf>
    <xf numFmtId="3" fontId="52" fillId="0" borderId="10" xfId="947" applyNumberFormat="1" applyFont="1" applyBorder="1" applyAlignment="1" applyProtection="1">
      <alignment horizontal="center"/>
      <protection hidden="1"/>
    </xf>
    <xf numFmtId="3" fontId="50" fillId="0" borderId="10" xfId="947" applyNumberFormat="1" applyFont="1" applyBorder="1" applyAlignment="1" applyProtection="1">
      <alignment horizontal="center"/>
      <protection hidden="1"/>
    </xf>
    <xf numFmtId="3" fontId="52" fillId="0" borderId="20" xfId="947" applyNumberFormat="1" applyFont="1" applyBorder="1" applyAlignment="1" applyProtection="1">
      <alignment horizontal="center"/>
      <protection hidden="1"/>
    </xf>
    <xf numFmtId="3" fontId="16" fillId="0" borderId="16" xfId="947" applyNumberFormat="1" applyFont="1" applyBorder="1" applyAlignment="1" applyProtection="1">
      <alignment horizontal="center"/>
      <protection hidden="1"/>
    </xf>
    <xf numFmtId="3" fontId="10" fillId="0" borderId="16" xfId="947" applyNumberFormat="1" applyFont="1" applyBorder="1" applyAlignment="1" applyProtection="1">
      <alignment vertical="center" wrapText="1"/>
      <protection hidden="1"/>
    </xf>
    <xf numFmtId="3" fontId="52" fillId="0" borderId="16" xfId="947" applyNumberFormat="1" applyFont="1" applyBorder="1" applyAlignment="1" applyProtection="1">
      <alignment horizontal="center" vertical="center"/>
      <protection hidden="1"/>
    </xf>
    <xf numFmtId="3" fontId="10" fillId="0" borderId="16" xfId="947" applyNumberFormat="1" applyFont="1" applyBorder="1" applyAlignment="1" applyProtection="1">
      <alignment horizontal="center" vertical="center"/>
      <protection hidden="1"/>
    </xf>
    <xf numFmtId="3" fontId="16" fillId="0" borderId="16" xfId="682" applyNumberFormat="1" applyFont="1" applyBorder="1" applyAlignment="1" applyProtection="1">
      <alignment vertical="center"/>
      <protection hidden="1"/>
    </xf>
    <xf numFmtId="0" fontId="0" fillId="0" borderId="0" xfId="0" applyProtection="1">
      <protection hidden="1"/>
    </xf>
    <xf numFmtId="3" fontId="10" fillId="0" borderId="14" xfId="947" applyNumberFormat="1" applyFont="1" applyBorder="1" applyAlignment="1" applyProtection="1">
      <alignment horizontal="centerContinuous" vertical="center"/>
      <protection hidden="1"/>
    </xf>
    <xf numFmtId="0" fontId="5" fillId="0" borderId="0" xfId="0" applyFont="1" applyAlignment="1" applyProtection="1">
      <alignment vertical="center"/>
      <protection hidden="1"/>
    </xf>
    <xf numFmtId="0" fontId="5" fillId="0" borderId="21" xfId="0" applyFont="1" applyBorder="1" applyAlignment="1" applyProtection="1">
      <alignment vertical="center"/>
      <protection hidden="1"/>
    </xf>
    <xf numFmtId="3" fontId="5" fillId="0" borderId="21" xfId="0" applyNumberFormat="1" applyFont="1" applyBorder="1" applyAlignment="1" applyProtection="1">
      <alignment vertical="center"/>
      <protection hidden="1"/>
    </xf>
    <xf numFmtId="3" fontId="52" fillId="0" borderId="5" xfId="667" applyNumberFormat="1" applyFont="1" applyBorder="1" applyAlignment="1" applyProtection="1">
      <alignment horizontal="centerContinuous" vertical="center"/>
      <protection hidden="1"/>
    </xf>
    <xf numFmtId="3" fontId="52" fillId="0" borderId="2" xfId="667" applyNumberFormat="1" applyFont="1" applyBorder="1" applyAlignment="1" applyProtection="1">
      <alignment horizontal="centerContinuous" vertical="center"/>
      <protection hidden="1"/>
    </xf>
    <xf numFmtId="3" fontId="62" fillId="0" borderId="2" xfId="667" applyNumberFormat="1" applyFont="1" applyBorder="1" applyAlignment="1" applyProtection="1">
      <alignment horizontal="centerContinuous" vertical="center"/>
      <protection hidden="1"/>
    </xf>
    <xf numFmtId="3" fontId="62" fillId="0" borderId="8" xfId="667" applyNumberFormat="1" applyFont="1" applyBorder="1" applyAlignment="1" applyProtection="1">
      <alignment horizontal="centerContinuous" vertical="center"/>
      <protection hidden="1"/>
    </xf>
    <xf numFmtId="3" fontId="52" fillId="0" borderId="3" xfId="667" applyNumberFormat="1" applyFont="1" applyBorder="1" applyAlignment="1" applyProtection="1">
      <alignment horizontal="center" vertical="center" wrapText="1"/>
      <protection hidden="1"/>
    </xf>
    <xf numFmtId="3" fontId="52" fillId="0" borderId="3" xfId="667" applyNumberFormat="1" applyFont="1" applyBorder="1" applyAlignment="1" applyProtection="1">
      <alignment horizontal="centerContinuous" vertical="center" wrapText="1"/>
      <protection hidden="1"/>
    </xf>
    <xf numFmtId="49" fontId="65" fillId="0" borderId="3" xfId="0" applyNumberFormat="1" applyFont="1" applyBorder="1" applyAlignment="1" applyProtection="1">
      <alignment horizontal="center" vertical="center"/>
      <protection hidden="1"/>
    </xf>
    <xf numFmtId="3" fontId="65" fillId="0" borderId="3" xfId="0" applyNumberFormat="1" applyFont="1" applyBorder="1" applyAlignment="1" applyProtection="1">
      <alignment horizontal="center" vertical="center"/>
      <protection hidden="1"/>
    </xf>
    <xf numFmtId="3" fontId="10" fillId="0" borderId="10" xfId="0" applyNumberFormat="1" applyFont="1" applyBorder="1" applyAlignment="1" applyProtection="1">
      <alignment horizontal="center" vertical="center" wrapText="1"/>
      <protection hidden="1"/>
    </xf>
    <xf numFmtId="3" fontId="5" fillId="0" borderId="0" xfId="0" applyNumberFormat="1" applyFont="1" applyAlignment="1" applyProtection="1">
      <alignment vertical="center"/>
      <protection hidden="1"/>
    </xf>
    <xf numFmtId="0" fontId="10" fillId="0" borderId="0" xfId="0" applyFont="1" applyAlignment="1" applyProtection="1">
      <alignment horizontal="left" vertical="center"/>
      <protection hidden="1"/>
    </xf>
    <xf numFmtId="0" fontId="16" fillId="0" borderId="11" xfId="0" applyFont="1" applyBorder="1" applyAlignment="1" applyProtection="1">
      <alignment horizontal="center" vertical="center"/>
      <protection hidden="1"/>
    </xf>
    <xf numFmtId="0" fontId="52" fillId="0" borderId="11" xfId="0" applyFont="1" applyBorder="1" applyAlignment="1" applyProtection="1">
      <alignment vertical="center" wrapText="1"/>
      <protection hidden="1"/>
    </xf>
    <xf numFmtId="0" fontId="10" fillId="0" borderId="11" xfId="0" applyFont="1" applyBorder="1" applyAlignment="1" applyProtection="1">
      <alignment horizontal="center" vertical="center" wrapText="1"/>
      <protection hidden="1"/>
    </xf>
    <xf numFmtId="3" fontId="50" fillId="0" borderId="11" xfId="0" applyNumberFormat="1" applyFont="1" applyBorder="1" applyAlignment="1" applyProtection="1">
      <alignment horizontal="center" vertical="center" wrapText="1"/>
      <protection hidden="1"/>
    </xf>
    <xf numFmtId="3" fontId="16" fillId="0" borderId="11" xfId="667" applyNumberFormat="1" applyFont="1" applyBorder="1" applyAlignment="1" applyProtection="1">
      <alignment horizontal="centerContinuous" vertical="center" wrapText="1"/>
      <protection hidden="1"/>
    </xf>
    <xf numFmtId="3" fontId="16" fillId="0" borderId="11" xfId="667" applyNumberFormat="1" applyFont="1" applyBorder="1" applyAlignment="1" applyProtection="1">
      <alignment horizontal="center" vertical="center" wrapText="1"/>
      <protection hidden="1"/>
    </xf>
    <xf numFmtId="3" fontId="76" fillId="0" borderId="11" xfId="0" applyNumberFormat="1" applyFont="1" applyBorder="1" applyAlignment="1" applyProtection="1">
      <alignment vertical="center" wrapText="1"/>
      <protection hidden="1"/>
    </xf>
    <xf numFmtId="0" fontId="52" fillId="0" borderId="10" xfId="0" applyFont="1" applyBorder="1" applyAlignment="1" applyProtection="1">
      <alignment vertical="center" wrapText="1"/>
      <protection hidden="1"/>
    </xf>
    <xf numFmtId="0" fontId="10" fillId="0" borderId="10" xfId="0" applyFont="1" applyBorder="1" applyAlignment="1" applyProtection="1">
      <alignment horizontal="center" vertical="center" wrapText="1"/>
      <protection hidden="1"/>
    </xf>
    <xf numFmtId="3" fontId="50" fillId="0" borderId="10" xfId="0" applyNumberFormat="1" applyFont="1" applyBorder="1" applyAlignment="1" applyProtection="1">
      <alignment horizontal="center" vertical="center"/>
      <protection hidden="1"/>
    </xf>
    <xf numFmtId="3" fontId="11" fillId="0" borderId="3" xfId="682" applyNumberFormat="1" applyFont="1" applyBorder="1" applyAlignment="1" applyProtection="1">
      <alignment horizontal="center" vertical="center" wrapText="1"/>
      <protection hidden="1"/>
    </xf>
    <xf numFmtId="182" fontId="52" fillId="0" borderId="5" xfId="667" applyNumberFormat="1" applyFont="1" applyBorder="1" applyAlignment="1" applyProtection="1">
      <alignment horizontal="centerContinuous" vertical="center"/>
      <protection hidden="1"/>
    </xf>
    <xf numFmtId="182" fontId="52" fillId="0" borderId="2" xfId="667" applyNumberFormat="1" applyFont="1" applyBorder="1" applyAlignment="1" applyProtection="1">
      <alignment horizontal="centerContinuous" vertical="center"/>
      <protection hidden="1"/>
    </xf>
    <xf numFmtId="182" fontId="62" fillId="0" borderId="2" xfId="667" applyNumberFormat="1" applyFont="1" applyBorder="1" applyAlignment="1" applyProtection="1">
      <alignment horizontal="centerContinuous" vertical="center"/>
      <protection hidden="1"/>
    </xf>
    <xf numFmtId="182" fontId="62" fillId="0" borderId="8" xfId="667" applyNumberFormat="1" applyFont="1" applyBorder="1" applyAlignment="1" applyProtection="1">
      <alignment horizontal="centerContinuous" vertical="center"/>
      <protection hidden="1"/>
    </xf>
    <xf numFmtId="182" fontId="52" fillId="0" borderId="3" xfId="667" applyNumberFormat="1" applyFont="1" applyBorder="1" applyAlignment="1" applyProtection="1">
      <alignment horizontal="centerContinuous" vertical="center" wrapText="1"/>
      <protection hidden="1"/>
    </xf>
    <xf numFmtId="182" fontId="52" fillId="0" borderId="3" xfId="667" applyNumberFormat="1" applyFont="1" applyBorder="1" applyAlignment="1" applyProtection="1">
      <alignment horizontal="center" vertical="center" wrapText="1"/>
      <protection hidden="1"/>
    </xf>
    <xf numFmtId="3" fontId="66" fillId="0" borderId="3" xfId="667" applyNumberFormat="1" applyFont="1" applyBorder="1" applyAlignment="1" applyProtection="1">
      <alignment horizontal="center" vertical="center" wrapText="1"/>
      <protection hidden="1"/>
    </xf>
    <xf numFmtId="3" fontId="66" fillId="0" borderId="3" xfId="667" applyNumberFormat="1" applyFont="1" applyBorder="1" applyAlignment="1" applyProtection="1">
      <alignment horizontal="centerContinuous" vertical="center" wrapText="1"/>
      <protection hidden="1"/>
    </xf>
    <xf numFmtId="3" fontId="11" fillId="0" borderId="14" xfId="0" applyNumberFormat="1" applyFont="1" applyBorder="1" applyAlignment="1" applyProtection="1">
      <alignment horizontal="center" vertical="center"/>
      <protection hidden="1"/>
    </xf>
    <xf numFmtId="3" fontId="52" fillId="0" borderId="14" xfId="0" applyNumberFormat="1" applyFont="1" applyBorder="1" applyAlignment="1" applyProtection="1">
      <alignment horizontal="left" vertical="center" wrapText="1"/>
      <protection hidden="1"/>
    </xf>
    <xf numFmtId="3" fontId="10" fillId="0" borderId="14" xfId="667" applyNumberFormat="1" applyFont="1" applyBorder="1" applyAlignment="1" applyProtection="1">
      <alignment horizontal="center" vertical="center" wrapText="1"/>
      <protection hidden="1"/>
    </xf>
    <xf numFmtId="3" fontId="10" fillId="0" borderId="14" xfId="667" applyNumberFormat="1" applyFont="1" applyBorder="1" applyAlignment="1" applyProtection="1">
      <alignment horizontal="right" vertical="center" wrapText="1"/>
      <protection hidden="1"/>
    </xf>
    <xf numFmtId="3" fontId="10" fillId="0" borderId="10" xfId="0" applyNumberFormat="1" applyFont="1" applyBorder="1" applyAlignment="1" applyProtection="1">
      <alignment horizontal="left" vertical="center" wrapText="1"/>
      <protection hidden="1"/>
    </xf>
    <xf numFmtId="3" fontId="10" fillId="0" borderId="10" xfId="667" applyNumberFormat="1" applyFont="1" applyBorder="1" applyAlignment="1" applyProtection="1">
      <alignment horizontal="center" vertical="center" wrapText="1"/>
      <protection hidden="1"/>
    </xf>
    <xf numFmtId="3" fontId="10" fillId="0" borderId="10" xfId="667" applyNumberFormat="1" applyFont="1" applyBorder="1" applyAlignment="1" applyProtection="1">
      <alignment horizontal="right" vertical="center" wrapText="1"/>
      <protection hidden="1"/>
    </xf>
    <xf numFmtId="3" fontId="67" fillId="0" borderId="10" xfId="0" applyNumberFormat="1" applyFont="1" applyBorder="1" applyAlignment="1" applyProtection="1">
      <alignment horizontal="center" vertical="center" wrapText="1"/>
      <protection hidden="1"/>
    </xf>
    <xf numFmtId="3" fontId="52" fillId="0" borderId="10" xfId="0" applyNumberFormat="1" applyFont="1" applyBorder="1" applyAlignment="1" applyProtection="1">
      <alignment horizontal="left" vertical="center" wrapText="1"/>
      <protection hidden="1"/>
    </xf>
    <xf numFmtId="3" fontId="10" fillId="0" borderId="10" xfId="667" applyNumberFormat="1" applyFont="1" applyFill="1" applyBorder="1" applyAlignment="1" applyProtection="1">
      <alignment horizontal="right" vertical="center" wrapText="1"/>
      <protection hidden="1"/>
    </xf>
    <xf numFmtId="49" fontId="65" fillId="0" borderId="14" xfId="0" applyNumberFormat="1" applyFont="1" applyBorder="1" applyAlignment="1" applyProtection="1">
      <alignment horizontal="center" vertical="center"/>
      <protection hidden="1"/>
    </xf>
    <xf numFmtId="3" fontId="65" fillId="0" borderId="14" xfId="0" applyNumberFormat="1" applyFont="1" applyBorder="1" applyAlignment="1" applyProtection="1">
      <alignment horizontal="center" vertical="center"/>
      <protection hidden="1"/>
    </xf>
    <xf numFmtId="0" fontId="11" fillId="0" borderId="11" xfId="0" applyFont="1" applyBorder="1" applyAlignment="1">
      <alignment horizontal="center" vertical="center"/>
    </xf>
    <xf numFmtId="0" fontId="10" fillId="0" borderId="11" xfId="0" applyFont="1" applyBorder="1" applyAlignment="1">
      <alignment horizontal="center" vertical="center"/>
    </xf>
    <xf numFmtId="0" fontId="52" fillId="0" borderId="11" xfId="0" applyFont="1" applyBorder="1" applyAlignment="1">
      <alignment horizontal="left" vertical="center" wrapText="1"/>
    </xf>
    <xf numFmtId="3" fontId="56" fillId="0" borderId="11" xfId="0" applyNumberFormat="1" applyFont="1" applyBorder="1" applyAlignment="1">
      <alignment horizontal="center" vertical="center" wrapText="1"/>
    </xf>
    <xf numFmtId="182" fontId="10" fillId="0" borderId="11" xfId="667" applyNumberFormat="1" applyFont="1" applyBorder="1" applyAlignment="1">
      <alignment horizontal="centerContinuous" vertical="center" wrapText="1"/>
    </xf>
    <xf numFmtId="182" fontId="10" fillId="0" borderId="11" xfId="667" applyNumberFormat="1" applyFont="1" applyBorder="1" applyAlignment="1">
      <alignment horizontal="center" vertical="center" wrapText="1"/>
    </xf>
    <xf numFmtId="3" fontId="52" fillId="0" borderId="5" xfId="667" applyNumberFormat="1" applyFont="1" applyFill="1" applyBorder="1" applyAlignment="1" applyProtection="1">
      <alignment horizontal="centerContinuous" vertical="center"/>
      <protection hidden="1"/>
    </xf>
    <xf numFmtId="3" fontId="52" fillId="0" borderId="2" xfId="667" applyNumberFormat="1" applyFont="1" applyFill="1" applyBorder="1" applyAlignment="1" applyProtection="1">
      <alignment horizontal="centerContinuous" vertical="center"/>
      <protection hidden="1"/>
    </xf>
    <xf numFmtId="3" fontId="11" fillId="0" borderId="2" xfId="667" applyNumberFormat="1" applyFont="1" applyFill="1" applyBorder="1" applyAlignment="1" applyProtection="1">
      <alignment horizontal="centerContinuous" vertical="center"/>
      <protection hidden="1"/>
    </xf>
    <xf numFmtId="3" fontId="11" fillId="0" borderId="8" xfId="667" applyNumberFormat="1" applyFont="1" applyFill="1" applyBorder="1" applyAlignment="1" applyProtection="1">
      <alignment horizontal="centerContinuous" vertical="center"/>
      <protection hidden="1"/>
    </xf>
    <xf numFmtId="3" fontId="52" fillId="0" borderId="3" xfId="667" applyNumberFormat="1" applyFont="1" applyFill="1" applyBorder="1" applyAlignment="1" applyProtection="1">
      <alignment horizontal="center" vertical="center" wrapText="1"/>
      <protection hidden="1"/>
    </xf>
    <xf numFmtId="3" fontId="52" fillId="0" borderId="3" xfId="667" applyNumberFormat="1" applyFont="1" applyFill="1" applyBorder="1" applyAlignment="1" applyProtection="1">
      <alignment horizontal="centerContinuous" vertical="center" wrapText="1"/>
      <protection hidden="1"/>
    </xf>
    <xf numFmtId="49" fontId="13" fillId="0" borderId="3" xfId="0" applyNumberFormat="1" applyFont="1" applyBorder="1" applyAlignment="1" applyProtection="1">
      <alignment horizontal="center" vertical="center"/>
      <protection hidden="1"/>
    </xf>
    <xf numFmtId="3" fontId="13" fillId="0" borderId="3" xfId="0" applyNumberFormat="1"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14" xfId="0" applyFont="1" applyBorder="1" applyAlignment="1" applyProtection="1">
      <alignment vertical="center" wrapText="1"/>
      <protection hidden="1"/>
    </xf>
    <xf numFmtId="0" fontId="51" fillId="0" borderId="14" xfId="0" applyFont="1" applyBorder="1" applyAlignment="1" applyProtection="1">
      <alignment horizontal="center" vertical="center" wrapText="1"/>
      <protection hidden="1"/>
    </xf>
    <xf numFmtId="0" fontId="10" fillId="0" borderId="10" xfId="0" applyFont="1" applyBorder="1" applyAlignment="1" applyProtection="1">
      <alignment horizontal="left" vertical="center" wrapText="1"/>
      <protection hidden="1"/>
    </xf>
    <xf numFmtId="3" fontId="10" fillId="0" borderId="10" xfId="667" applyNumberFormat="1" applyFont="1" applyFill="1" applyBorder="1" applyAlignment="1" applyProtection="1">
      <alignment horizontal="center" vertical="center" wrapText="1"/>
      <protection hidden="1"/>
    </xf>
    <xf numFmtId="0" fontId="11" fillId="0" borderId="11" xfId="0" applyFont="1" applyBorder="1" applyAlignment="1" applyProtection="1">
      <alignment horizontal="center" vertical="center"/>
      <protection hidden="1"/>
    </xf>
    <xf numFmtId="0" fontId="11" fillId="0" borderId="11" xfId="0" applyFont="1" applyBorder="1" applyAlignment="1" applyProtection="1">
      <alignment vertical="center" wrapText="1"/>
      <protection hidden="1"/>
    </xf>
    <xf numFmtId="3" fontId="51" fillId="0" borderId="10" xfId="0" applyNumberFormat="1" applyFont="1" applyBorder="1" applyAlignment="1">
      <alignment horizontal="center" vertical="center" wrapText="1"/>
    </xf>
    <xf numFmtId="0" fontId="10" fillId="4" borderId="0" xfId="0" applyFont="1" applyFill="1" applyAlignment="1">
      <alignment horizontal="right" vertical="center"/>
    </xf>
    <xf numFmtId="0" fontId="3" fillId="0" borderId="0" xfId="0" applyFont="1" applyProtection="1">
      <protection hidden="1"/>
    </xf>
    <xf numFmtId="3" fontId="10" fillId="0" borderId="14" xfId="667" applyNumberFormat="1" applyFont="1" applyFill="1" applyBorder="1" applyAlignment="1" applyProtection="1">
      <alignment horizontal="right" vertical="center" wrapText="1"/>
      <protection hidden="1"/>
    </xf>
    <xf numFmtId="0" fontId="11" fillId="0" borderId="10" xfId="0" applyFont="1" applyBorder="1" applyAlignment="1" applyProtection="1">
      <alignment vertical="center" wrapText="1"/>
      <protection hidden="1"/>
    </xf>
    <xf numFmtId="3" fontId="10" fillId="0" borderId="16" xfId="667" applyNumberFormat="1" applyFont="1" applyFill="1" applyBorder="1" applyAlignment="1" applyProtection="1">
      <alignment horizontal="right" vertical="center" wrapText="1"/>
      <protection hidden="1"/>
    </xf>
    <xf numFmtId="3" fontId="50" fillId="0" borderId="12" xfId="0" applyNumberFormat="1" applyFont="1" applyBorder="1" applyAlignment="1">
      <alignment horizontal="center" vertical="center" wrapText="1"/>
    </xf>
    <xf numFmtId="3" fontId="6" fillId="0" borderId="0" xfId="0" applyNumberFormat="1" applyFont="1"/>
    <xf numFmtId="0" fontId="6" fillId="0" borderId="0" xfId="0" applyFont="1" applyAlignment="1">
      <alignment horizontal="centerContinuous" vertical="center" wrapText="1"/>
    </xf>
    <xf numFmtId="0" fontId="5" fillId="2" borderId="0" xfId="0" applyFont="1" applyFill="1" applyProtection="1">
      <protection hidden="1"/>
    </xf>
    <xf numFmtId="38" fontId="18" fillId="2" borderId="0" xfId="948" applyNumberFormat="1" applyFont="1" applyFill="1" applyAlignment="1" applyProtection="1">
      <alignment horizontal="centerContinuous" vertical="center"/>
      <protection hidden="1"/>
    </xf>
    <xf numFmtId="38" fontId="18" fillId="2" borderId="0" xfId="948" applyNumberFormat="1" applyFont="1" applyFill="1" applyAlignment="1" applyProtection="1">
      <alignment horizontal="center" vertical="center"/>
      <protection hidden="1"/>
    </xf>
    <xf numFmtId="38" fontId="49" fillId="2" borderId="0" xfId="948" applyNumberFormat="1" applyFont="1" applyFill="1" applyAlignment="1" applyProtection="1">
      <alignment horizontal="centerContinuous" vertical="center"/>
      <protection hidden="1"/>
    </xf>
    <xf numFmtId="0" fontId="10" fillId="2" borderId="0" xfId="0" applyFont="1" applyFill="1" applyProtection="1">
      <protection hidden="1"/>
    </xf>
    <xf numFmtId="0" fontId="5" fillId="2" borderId="0" xfId="0" applyFont="1" applyFill="1" applyAlignment="1" applyProtection="1">
      <alignment horizontal="center"/>
      <protection hidden="1"/>
    </xf>
    <xf numFmtId="3" fontId="14" fillId="0" borderId="14" xfId="0" applyNumberFormat="1" applyFont="1" applyBorder="1" applyAlignment="1" applyProtection="1">
      <alignment horizontal="right"/>
      <protection hidden="1"/>
    </xf>
    <xf numFmtId="3" fontId="14" fillId="0" borderId="10" xfId="0" applyNumberFormat="1" applyFont="1" applyBorder="1" applyAlignment="1" applyProtection="1">
      <alignment horizontal="right"/>
      <protection hidden="1"/>
    </xf>
    <xf numFmtId="3" fontId="14" fillId="0" borderId="16" xfId="0" applyNumberFormat="1" applyFont="1" applyBorder="1" applyAlignment="1" applyProtection="1">
      <alignment horizontal="right"/>
      <protection hidden="1"/>
    </xf>
    <xf numFmtId="0" fontId="4" fillId="0" borderId="0" xfId="0" applyFont="1" applyAlignment="1" applyProtection="1">
      <alignment horizontal="centerContinuous"/>
      <protection hidden="1"/>
    </xf>
    <xf numFmtId="0" fontId="14" fillId="0" borderId="0" xfId="0" applyFont="1" applyAlignment="1" applyProtection="1">
      <alignment horizontal="centerContinuous"/>
      <protection hidden="1"/>
    </xf>
    <xf numFmtId="0" fontId="4" fillId="0" borderId="3" xfId="0" applyFont="1" applyBorder="1" applyAlignment="1" applyProtection="1">
      <alignment horizontal="center"/>
      <protection hidden="1"/>
    </xf>
    <xf numFmtId="38" fontId="100" fillId="0" borderId="14" xfId="948" applyNumberFormat="1" applyFont="1" applyBorder="1" applyAlignment="1" applyProtection="1">
      <alignment horizontal="center"/>
      <protection hidden="1"/>
    </xf>
    <xf numFmtId="38" fontId="100" fillId="0" borderId="14" xfId="948" applyNumberFormat="1" applyFont="1" applyBorder="1" applyAlignment="1" applyProtection="1">
      <alignment horizontal="left" wrapText="1"/>
      <protection hidden="1"/>
    </xf>
    <xf numFmtId="38" fontId="100" fillId="0" borderId="14" xfId="948" applyNumberFormat="1" applyFont="1" applyBorder="1" applyAlignment="1" applyProtection="1">
      <alignment horizontal="centerContinuous" wrapText="1"/>
      <protection hidden="1"/>
    </xf>
    <xf numFmtId="38" fontId="100" fillId="0" borderId="10" xfId="948" applyNumberFormat="1" applyFont="1" applyBorder="1" applyAlignment="1" applyProtection="1">
      <alignment horizontal="center"/>
      <protection hidden="1"/>
    </xf>
    <xf numFmtId="38" fontId="100" fillId="0" borderId="10" xfId="948" applyNumberFormat="1" applyFont="1" applyBorder="1" applyAlignment="1" applyProtection="1">
      <alignment horizontal="left" wrapText="1"/>
      <protection hidden="1"/>
    </xf>
    <xf numFmtId="38" fontId="100" fillId="0" borderId="10" xfId="948" applyNumberFormat="1" applyFont="1" applyBorder="1" applyAlignment="1" applyProtection="1">
      <alignment horizontal="centerContinuous" wrapText="1"/>
      <protection hidden="1"/>
    </xf>
    <xf numFmtId="38" fontId="100" fillId="0" borderId="16" xfId="948" applyNumberFormat="1" applyFont="1" applyBorder="1" applyAlignment="1" applyProtection="1">
      <alignment horizontal="center"/>
      <protection hidden="1"/>
    </xf>
    <xf numFmtId="38" fontId="100" fillId="0" borderId="16" xfId="948" applyNumberFormat="1" applyFont="1" applyBorder="1" applyAlignment="1" applyProtection="1">
      <alignment horizontal="left" wrapText="1"/>
      <protection hidden="1"/>
    </xf>
    <xf numFmtId="38" fontId="100" fillId="0" borderId="16" xfId="948" applyNumberFormat="1" applyFont="1" applyBorder="1" applyAlignment="1" applyProtection="1">
      <alignment horizontal="centerContinuous" wrapText="1"/>
      <protection hidden="1"/>
    </xf>
    <xf numFmtId="3" fontId="4" fillId="0" borderId="9" xfId="0" applyNumberFormat="1" applyFont="1" applyBorder="1" applyAlignment="1" applyProtection="1">
      <alignment horizontal="right"/>
      <protection hidden="1"/>
    </xf>
    <xf numFmtId="3" fontId="71" fillId="0" borderId="0" xfId="0" applyNumberFormat="1" applyFont="1" applyProtection="1">
      <protection hidden="1"/>
    </xf>
    <xf numFmtId="0" fontId="26" fillId="0" borderId="0" xfId="15"/>
    <xf numFmtId="0" fontId="26" fillId="0" borderId="22" xfId="15" applyBorder="1"/>
    <xf numFmtId="0" fontId="103" fillId="0" borderId="23" xfId="15" applyFont="1" applyBorder="1"/>
    <xf numFmtId="0" fontId="103" fillId="0" borderId="24" xfId="15" applyFont="1" applyBorder="1"/>
    <xf numFmtId="0" fontId="26" fillId="0" borderId="24" xfId="15" applyBorder="1"/>
    <xf numFmtId="0" fontId="26" fillId="0" borderId="25" xfId="15" applyBorder="1"/>
    <xf numFmtId="0" fontId="0" fillId="0" borderId="0" xfId="0" applyProtection="1">
      <protection locked="0"/>
    </xf>
    <xf numFmtId="49" fontId="14" fillId="4" borderId="3" xfId="0" applyNumberFormat="1" applyFont="1" applyFill="1" applyBorder="1" applyAlignment="1" applyProtection="1">
      <alignment horizontal="centerContinuous"/>
      <protection locked="0"/>
    </xf>
    <xf numFmtId="49" fontId="14" fillId="3" borderId="3" xfId="0" applyNumberFormat="1" applyFont="1" applyFill="1" applyBorder="1" applyAlignment="1" applyProtection="1">
      <alignment horizontal="centerContinuous"/>
      <protection locked="0"/>
    </xf>
    <xf numFmtId="49" fontId="14" fillId="4" borderId="9" xfId="0" applyNumberFormat="1" applyFont="1" applyFill="1" applyBorder="1" applyAlignment="1" applyProtection="1">
      <alignment horizontal="center"/>
      <protection locked="0"/>
    </xf>
    <xf numFmtId="0" fontId="14" fillId="4" borderId="9" xfId="0" applyFont="1" applyFill="1" applyBorder="1" applyAlignment="1" applyProtection="1">
      <alignment horizontal="center"/>
      <protection locked="0"/>
    </xf>
    <xf numFmtId="1" fontId="14" fillId="0" borderId="14" xfId="0" applyNumberFormat="1" applyFont="1" applyBorder="1" applyAlignment="1" applyProtection="1">
      <alignment horizontal="center"/>
      <protection locked="0"/>
    </xf>
    <xf numFmtId="0" fontId="14" fillId="0" borderId="14" xfId="0" applyFont="1" applyBorder="1" applyProtection="1">
      <protection locked="0"/>
    </xf>
    <xf numFmtId="1" fontId="14" fillId="0" borderId="10" xfId="0" applyNumberFormat="1" applyFont="1" applyBorder="1" applyAlignment="1" applyProtection="1">
      <alignment horizontal="center"/>
      <protection locked="0"/>
    </xf>
    <xf numFmtId="1" fontId="14" fillId="0" borderId="10" xfId="0" quotePrefix="1" applyNumberFormat="1" applyFont="1" applyBorder="1" applyAlignment="1" applyProtection="1">
      <alignment horizontal="center"/>
      <protection locked="0"/>
    </xf>
    <xf numFmtId="0" fontId="14" fillId="0" borderId="10" xfId="0" applyFont="1" applyBorder="1" applyProtection="1">
      <protection locked="0"/>
    </xf>
    <xf numFmtId="0" fontId="14" fillId="0" borderId="10" xfId="0" quotePrefix="1" applyFont="1" applyBorder="1" applyProtection="1">
      <protection locked="0"/>
    </xf>
    <xf numFmtId="1" fontId="14" fillId="0" borderId="16" xfId="0" applyNumberFormat="1" applyFont="1" applyBorder="1" applyAlignment="1" applyProtection="1">
      <alignment horizontal="center"/>
      <protection locked="0"/>
    </xf>
    <xf numFmtId="14" fontId="5" fillId="4" borderId="3" xfId="0" applyNumberFormat="1" applyFont="1" applyFill="1" applyBorder="1" applyProtection="1">
      <protection locked="0"/>
    </xf>
    <xf numFmtId="0" fontId="61" fillId="0" borderId="0" xfId="0" applyFont="1" applyAlignment="1" applyProtection="1">
      <alignment horizontal="left"/>
      <protection hidden="1"/>
    </xf>
    <xf numFmtId="0" fontId="5" fillId="0" borderId="5" xfId="0" applyFont="1" applyBorder="1" applyProtection="1">
      <protection hidden="1"/>
    </xf>
    <xf numFmtId="3" fontId="6" fillId="0" borderId="8" xfId="0" applyNumberFormat="1" applyFont="1" applyBorder="1" applyProtection="1">
      <protection hidden="1"/>
    </xf>
    <xf numFmtId="0" fontId="5" fillId="0" borderId="2" xfId="0" applyFont="1" applyBorder="1" applyProtection="1">
      <protection hidden="1"/>
    </xf>
    <xf numFmtId="3" fontId="4" fillId="0" borderId="0" xfId="0" quotePrefix="1" applyNumberFormat="1" applyFont="1" applyProtection="1">
      <protection hidden="1"/>
    </xf>
    <xf numFmtId="4" fontId="6" fillId="4" borderId="0" xfId="0" applyNumberFormat="1" applyFont="1" applyFill="1" applyAlignment="1" applyProtection="1">
      <alignment horizontal="right"/>
      <protection hidden="1"/>
    </xf>
    <xf numFmtId="0" fontId="74" fillId="0" borderId="0" xfId="0" applyFont="1" applyAlignment="1" applyProtection="1">
      <alignment horizontal="center"/>
      <protection hidden="1"/>
    </xf>
    <xf numFmtId="0" fontId="15" fillId="0" borderId="0" xfId="0" applyFont="1" applyAlignment="1" applyProtection="1">
      <alignment horizontal="left"/>
      <protection hidden="1"/>
    </xf>
    <xf numFmtId="0" fontId="8" fillId="0" borderId="0" xfId="0" applyFont="1" applyAlignment="1" applyProtection="1">
      <alignment horizontal="center"/>
      <protection hidden="1"/>
    </xf>
    <xf numFmtId="0" fontId="14" fillId="0" borderId="0" xfId="0" applyFont="1" applyAlignment="1" applyProtection="1">
      <alignment vertical="center"/>
      <protection hidden="1"/>
    </xf>
    <xf numFmtId="1" fontId="5" fillId="0" borderId="0" xfId="0" applyNumberFormat="1" applyFont="1" applyAlignment="1" applyProtection="1">
      <alignment vertical="center"/>
      <protection hidden="1"/>
    </xf>
    <xf numFmtId="0" fontId="93" fillId="0" borderId="0" xfId="0" applyFont="1" applyAlignment="1" applyProtection="1">
      <alignment vertical="center"/>
      <protection hidden="1"/>
    </xf>
    <xf numFmtId="0" fontId="7" fillId="0" borderId="0" xfId="0" applyFont="1" applyAlignment="1">
      <alignment vertical="center"/>
    </xf>
    <xf numFmtId="0" fontId="7" fillId="0" borderId="0" xfId="0" quotePrefix="1" applyFont="1" applyAlignment="1">
      <alignment vertical="center"/>
    </xf>
    <xf numFmtId="0" fontId="7" fillId="0" borderId="0" xfId="0" applyFont="1"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center"/>
    </xf>
    <xf numFmtId="0" fontId="7" fillId="0" borderId="0" xfId="0" quotePrefix="1" applyFont="1" applyAlignment="1">
      <alignment horizontal="right" vertical="center"/>
    </xf>
    <xf numFmtId="2" fontId="7" fillId="0" borderId="0" xfId="0" applyNumberFormat="1" applyFont="1" applyAlignment="1">
      <alignment vertical="center"/>
    </xf>
    <xf numFmtId="0" fontId="8" fillId="0" borderId="0" xfId="0" quotePrefix="1" applyFont="1" applyAlignment="1">
      <alignment vertical="center"/>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left" vertical="center"/>
    </xf>
    <xf numFmtId="244" fontId="7" fillId="0" borderId="0" xfId="0" applyNumberFormat="1" applyFont="1" applyAlignment="1">
      <alignment horizontal="left" vertical="center"/>
    </xf>
    <xf numFmtId="0" fontId="7" fillId="0" borderId="0" xfId="0" quotePrefix="1" applyFont="1" applyAlignment="1">
      <alignment horizontal="center" vertical="center"/>
    </xf>
    <xf numFmtId="0" fontId="8" fillId="0" borderId="0" xfId="0" applyFont="1" applyAlignment="1">
      <alignment horizontal="right" vertical="center" wrapText="1"/>
    </xf>
    <xf numFmtId="245" fontId="8" fillId="0" borderId="0" xfId="0" applyNumberFormat="1" applyFont="1" applyAlignment="1">
      <alignment horizontal="left" vertical="center" wrapText="1"/>
    </xf>
    <xf numFmtId="0" fontId="10" fillId="0" borderId="0" xfId="0" applyFont="1" applyAlignment="1">
      <alignment vertical="center"/>
    </xf>
    <xf numFmtId="246" fontId="4" fillId="0" borderId="0" xfId="0" applyNumberFormat="1" applyFont="1" applyAlignment="1">
      <alignment horizontal="center" vertical="center"/>
    </xf>
    <xf numFmtId="248" fontId="10" fillId="0" borderId="0" xfId="0" applyNumberFormat="1" applyFont="1" applyAlignment="1">
      <alignment vertical="center"/>
    </xf>
    <xf numFmtId="0" fontId="8" fillId="0" borderId="26" xfId="0" applyFont="1" applyBorder="1" applyAlignment="1">
      <alignment horizontal="right" vertical="center"/>
    </xf>
    <xf numFmtId="0" fontId="7" fillId="0" borderId="26" xfId="0" applyFont="1" applyBorder="1" applyAlignment="1">
      <alignment vertical="center"/>
    </xf>
    <xf numFmtId="0" fontId="8" fillId="0" borderId="26" xfId="0" applyFont="1" applyBorder="1" applyAlignment="1">
      <alignment horizontal="left" vertical="center"/>
    </xf>
    <xf numFmtId="0" fontId="7" fillId="0" borderId="0" xfId="0" applyFont="1" applyAlignment="1">
      <alignment vertical="center" wrapText="1"/>
    </xf>
    <xf numFmtId="244" fontId="7" fillId="0" borderId="0" xfId="0" applyNumberFormat="1" applyFont="1" applyAlignment="1">
      <alignment vertical="center"/>
    </xf>
    <xf numFmtId="0" fontId="8" fillId="0" borderId="0" xfId="0" quotePrefix="1" applyFont="1" applyAlignment="1">
      <alignment horizontal="center" vertical="center"/>
    </xf>
    <xf numFmtId="0" fontId="8" fillId="0" borderId="0" xfId="0" applyFont="1" applyAlignment="1">
      <alignment horizontal="left" vertical="center" wrapText="1"/>
    </xf>
    <xf numFmtId="0" fontId="7" fillId="0" borderId="26" xfId="0" applyFont="1" applyBorder="1" applyAlignment="1">
      <alignment horizontal="left" vertical="center"/>
    </xf>
    <xf numFmtId="0" fontId="7" fillId="0" borderId="0" xfId="0" applyFont="1" applyAlignment="1">
      <alignment horizontal="left" vertical="center" wrapText="1"/>
    </xf>
    <xf numFmtId="2" fontId="7" fillId="0" borderId="0" xfId="0" applyNumberFormat="1" applyFont="1" applyAlignment="1">
      <alignment horizontal="left" vertical="center"/>
    </xf>
    <xf numFmtId="0" fontId="116" fillId="0" borderId="0" xfId="0" applyFont="1" applyAlignment="1">
      <alignment horizontal="right" vertical="center"/>
    </xf>
    <xf numFmtId="251" fontId="7" fillId="0" borderId="0" xfId="0" applyNumberFormat="1" applyFont="1" applyAlignment="1">
      <alignment vertical="center"/>
    </xf>
    <xf numFmtId="0" fontId="7" fillId="0" borderId="0" xfId="0" applyFont="1" applyAlignment="1">
      <alignment vertical="top"/>
    </xf>
    <xf numFmtId="255" fontId="7" fillId="0" borderId="0" xfId="0" applyNumberFormat="1" applyFont="1" applyAlignment="1">
      <alignment horizontal="left" vertical="center"/>
    </xf>
    <xf numFmtId="0" fontId="8" fillId="0" borderId="26" xfId="0" applyFont="1" applyBorder="1" applyAlignment="1">
      <alignment horizontal="right" vertical="center" wrapText="1"/>
    </xf>
    <xf numFmtId="0" fontId="8" fillId="0" borderId="26" xfId="0" applyFont="1" applyBorder="1" applyAlignment="1">
      <alignment horizontal="left" vertical="center" wrapText="1"/>
    </xf>
    <xf numFmtId="245" fontId="8" fillId="0" borderId="26" xfId="0" applyNumberFormat="1" applyFont="1" applyBorder="1" applyAlignment="1">
      <alignment horizontal="left" vertical="center" wrapText="1"/>
    </xf>
    <xf numFmtId="0" fontId="7" fillId="0" borderId="0" xfId="0" applyFont="1"/>
    <xf numFmtId="0" fontId="7" fillId="0" borderId="0" xfId="0" quotePrefix="1" applyFont="1"/>
    <xf numFmtId="0" fontId="8" fillId="0" borderId="0" xfId="0" applyFont="1"/>
    <xf numFmtId="0" fontId="126" fillId="0" borderId="0" xfId="0" applyFont="1" applyAlignment="1">
      <alignment vertical="center"/>
    </xf>
    <xf numFmtId="0" fontId="127" fillId="0" borderId="0" xfId="0" applyFont="1" applyAlignment="1">
      <alignment vertical="center"/>
    </xf>
    <xf numFmtId="2" fontId="7" fillId="0" borderId="0" xfId="0" quotePrefix="1" applyNumberFormat="1" applyFont="1" applyAlignment="1">
      <alignment horizontal="left" vertical="center"/>
    </xf>
    <xf numFmtId="0" fontId="7" fillId="0" borderId="0" xfId="0" applyFont="1" applyAlignment="1">
      <alignment horizontal="center" vertical="top"/>
    </xf>
    <xf numFmtId="0" fontId="7" fillId="0" borderId="21" xfId="0" applyFont="1" applyBorder="1" applyAlignment="1">
      <alignment horizontal="center"/>
    </xf>
    <xf numFmtId="2" fontId="7" fillId="0" borderId="0" xfId="0" quotePrefix="1" applyNumberFormat="1" applyFont="1" applyAlignment="1">
      <alignment horizontal="centerContinuous" vertical="center"/>
    </xf>
    <xf numFmtId="2" fontId="7" fillId="0" borderId="0" xfId="0" applyNumberFormat="1" applyFont="1" applyAlignment="1">
      <alignment horizontal="centerContinuous" vertical="center"/>
    </xf>
    <xf numFmtId="0" fontId="7" fillId="0" borderId="0" xfId="0" applyFont="1" applyAlignment="1">
      <alignment horizontal="centerContinuous" vertical="center"/>
    </xf>
    <xf numFmtId="0" fontId="116" fillId="0" borderId="0" xfId="0" applyFont="1" applyAlignment="1">
      <alignment horizontal="left"/>
    </xf>
    <xf numFmtId="259" fontId="7" fillId="0" borderId="0" xfId="0" applyNumberFormat="1" applyFont="1" applyAlignment="1">
      <alignment vertical="center"/>
    </xf>
    <xf numFmtId="49" fontId="7" fillId="0" borderId="0" xfId="0" applyNumberFormat="1" applyFont="1" applyAlignment="1">
      <alignment horizontal="center" vertical="center"/>
    </xf>
    <xf numFmtId="1" fontId="7" fillId="0" borderId="0" xfId="0" applyNumberFormat="1" applyFont="1" applyAlignment="1">
      <alignment vertical="center"/>
    </xf>
    <xf numFmtId="247" fontId="7" fillId="0" borderId="0" xfId="0" applyNumberFormat="1" applyFont="1" applyAlignment="1">
      <alignment vertical="center"/>
    </xf>
    <xf numFmtId="262" fontId="7" fillId="0" borderId="0" xfId="0" quotePrefix="1" applyNumberFormat="1" applyFont="1" applyAlignment="1">
      <alignment horizontal="left" vertical="center"/>
    </xf>
    <xf numFmtId="262" fontId="7" fillId="0" borderId="0" xfId="0" applyNumberFormat="1" applyFont="1" applyAlignment="1">
      <alignment horizontal="left" vertical="center"/>
    </xf>
    <xf numFmtId="49" fontId="7" fillId="0" borderId="0" xfId="0" applyNumberFormat="1" applyFont="1" applyAlignment="1">
      <alignment vertical="center"/>
    </xf>
    <xf numFmtId="256" fontId="7" fillId="0" borderId="0" xfId="0" applyNumberFormat="1" applyFont="1" applyAlignment="1">
      <alignment horizontal="center" vertical="center"/>
    </xf>
    <xf numFmtId="49" fontId="7" fillId="0" borderId="21" xfId="0" applyNumberFormat="1" applyFont="1" applyBorder="1"/>
    <xf numFmtId="0" fontId="7" fillId="0" borderId="21" xfId="0" applyFont="1" applyBorder="1" applyAlignment="1">
      <alignment vertical="center"/>
    </xf>
    <xf numFmtId="2" fontId="7" fillId="0" borderId="0" xfId="0" applyNumberFormat="1" applyFont="1"/>
    <xf numFmtId="0" fontId="7" fillId="0" borderId="0" xfId="0" applyFont="1" applyAlignment="1">
      <alignment horizontal="center"/>
    </xf>
    <xf numFmtId="2" fontId="7" fillId="0" borderId="0" xfId="0" quotePrefix="1" applyNumberFormat="1" applyFont="1" applyAlignment="1">
      <alignment vertical="center"/>
    </xf>
    <xf numFmtId="271" fontId="7" fillId="0" borderId="0" xfId="0" applyNumberFormat="1" applyFont="1" applyAlignment="1">
      <alignment horizontal="center" vertical="center"/>
    </xf>
    <xf numFmtId="254" fontId="7" fillId="0" borderId="0" xfId="0" applyNumberFormat="1" applyFont="1" applyAlignment="1">
      <alignment vertical="center"/>
    </xf>
    <xf numFmtId="272" fontId="7" fillId="0" borderId="0" xfId="0" applyNumberFormat="1" applyFont="1" applyAlignment="1">
      <alignment vertical="center"/>
    </xf>
    <xf numFmtId="0" fontId="7" fillId="0" borderId="21" xfId="0" quotePrefix="1" applyFont="1" applyBorder="1" applyAlignment="1">
      <alignment vertical="center"/>
    </xf>
    <xf numFmtId="269" fontId="7" fillId="0" borderId="0" xfId="0" quotePrefix="1" applyNumberFormat="1" applyFont="1" applyAlignment="1">
      <alignment horizontal="left" vertical="center"/>
    </xf>
    <xf numFmtId="3" fontId="7" fillId="0" borderId="0" xfId="0" applyNumberFormat="1" applyFont="1" applyAlignment="1">
      <alignment horizontal="center"/>
    </xf>
    <xf numFmtId="274" fontId="7" fillId="0" borderId="0" xfId="0" applyNumberFormat="1" applyFont="1" applyAlignment="1">
      <alignment vertical="center"/>
    </xf>
    <xf numFmtId="0" fontId="7" fillId="0" borderId="21" xfId="0" applyFont="1" applyBorder="1" applyAlignment="1">
      <alignment horizontal="center" vertical="center"/>
    </xf>
    <xf numFmtId="265" fontId="7" fillId="0" borderId="0" xfId="0" applyNumberFormat="1" applyFont="1" applyAlignment="1">
      <alignment vertical="center"/>
    </xf>
    <xf numFmtId="0" fontId="59" fillId="0" borderId="0" xfId="0" applyFont="1" applyAlignment="1">
      <alignment horizontal="left"/>
    </xf>
    <xf numFmtId="0" fontId="7" fillId="0" borderId="21" xfId="0" applyFont="1" applyBorder="1" applyAlignment="1">
      <alignment horizontal="left" vertical="center"/>
    </xf>
    <xf numFmtId="49" fontId="7" fillId="0" borderId="21" xfId="0" applyNumberFormat="1" applyFont="1" applyBorder="1" applyAlignment="1">
      <alignment vertical="center"/>
    </xf>
    <xf numFmtId="4" fontId="7" fillId="0" borderId="0" xfId="0" applyNumberFormat="1" applyFont="1" applyAlignment="1">
      <alignment vertical="center"/>
    </xf>
    <xf numFmtId="4" fontId="7" fillId="0" borderId="0" xfId="0" applyNumberFormat="1" applyFont="1" applyAlignment="1">
      <alignment horizontal="left" vertical="center"/>
    </xf>
    <xf numFmtId="4" fontId="7" fillId="0" borderId="0" xfId="0" applyNumberFormat="1" applyFont="1" applyAlignment="1">
      <alignment horizontal="center" vertical="center"/>
    </xf>
    <xf numFmtId="202" fontId="7" fillId="0" borderId="0" xfId="0" applyNumberFormat="1" applyFont="1" applyAlignment="1">
      <alignment vertical="center"/>
    </xf>
    <xf numFmtId="202" fontId="7" fillId="0" borderId="0" xfId="0" applyNumberFormat="1" applyFont="1" applyAlignment="1">
      <alignment horizontal="right" vertical="center"/>
    </xf>
    <xf numFmtId="4" fontId="7" fillId="0" borderId="0" xfId="0" applyNumberFormat="1" applyFont="1" applyAlignment="1">
      <alignment horizontal="right" vertical="center"/>
    </xf>
    <xf numFmtId="257" fontId="7" fillId="0" borderId="0" xfId="0" applyNumberFormat="1" applyFont="1" applyAlignment="1">
      <alignment vertical="center"/>
    </xf>
    <xf numFmtId="3" fontId="7" fillId="0" borderId="0" xfId="0" applyNumberFormat="1" applyFont="1" applyAlignment="1">
      <alignment horizontal="left" vertical="center"/>
    </xf>
    <xf numFmtId="4" fontId="7" fillId="0" borderId="27" xfId="0" applyNumberFormat="1" applyFont="1" applyBorder="1" applyAlignment="1">
      <alignment vertical="center"/>
    </xf>
    <xf numFmtId="4" fontId="7" fillId="0" borderId="0" xfId="0" quotePrefix="1" applyNumberFormat="1" applyFont="1" applyAlignment="1">
      <alignment horizontal="right" vertical="center"/>
    </xf>
    <xf numFmtId="277" fontId="7" fillId="0" borderId="0" xfId="0" applyNumberFormat="1" applyFont="1" applyAlignment="1">
      <alignment horizontal="left" vertical="center"/>
    </xf>
    <xf numFmtId="274" fontId="7" fillId="0" borderId="0" xfId="0" applyNumberFormat="1" applyFont="1" applyAlignment="1">
      <alignment horizontal="left" vertical="center"/>
    </xf>
    <xf numFmtId="257" fontId="7" fillId="0" borderId="0" xfId="0" applyNumberFormat="1" applyFont="1" applyAlignment="1">
      <alignment horizontal="left" vertical="center"/>
    </xf>
    <xf numFmtId="0" fontId="7" fillId="0" borderId="0" xfId="0" applyFont="1" applyAlignment="1">
      <alignment horizontal="right" vertical="top"/>
    </xf>
    <xf numFmtId="277" fontId="7" fillId="0" borderId="0" xfId="0" applyNumberFormat="1" applyFont="1" applyAlignment="1">
      <alignment vertical="center"/>
    </xf>
    <xf numFmtId="244" fontId="7" fillId="0" borderId="0" xfId="667" applyNumberFormat="1" applyFont="1" applyFill="1" applyAlignment="1">
      <alignment horizontal="right" vertical="center"/>
    </xf>
    <xf numFmtId="244" fontId="7" fillId="0" borderId="0" xfId="667" applyNumberFormat="1" applyFont="1" applyFill="1" applyAlignment="1">
      <alignment vertical="center"/>
    </xf>
    <xf numFmtId="273" fontId="7" fillId="0" borderId="0" xfId="0" quotePrefix="1" applyNumberFormat="1" applyFont="1" applyAlignment="1">
      <alignment vertical="center"/>
    </xf>
    <xf numFmtId="281" fontId="7" fillId="0" borderId="0" xfId="0" applyNumberFormat="1" applyFont="1" applyAlignment="1">
      <alignment vertical="center"/>
    </xf>
    <xf numFmtId="0" fontId="136" fillId="0" borderId="0" xfId="0" applyFont="1" applyAlignment="1">
      <alignment vertical="center"/>
    </xf>
    <xf numFmtId="0" fontId="137" fillId="0" borderId="0" xfId="0" applyFont="1" applyAlignment="1">
      <alignment vertical="center"/>
    </xf>
    <xf numFmtId="0" fontId="136" fillId="0" borderId="0" xfId="0" applyFont="1" applyAlignment="1">
      <alignment horizontal="center" vertical="center"/>
    </xf>
    <xf numFmtId="0" fontId="136" fillId="0" borderId="0" xfId="0" applyFont="1" applyAlignment="1">
      <alignment horizontal="left" vertical="center"/>
    </xf>
    <xf numFmtId="0" fontId="136" fillId="0" borderId="0" xfId="0" quotePrefix="1" applyFont="1" applyAlignment="1">
      <alignment vertical="center"/>
    </xf>
    <xf numFmtId="0" fontId="121" fillId="0" borderId="0" xfId="0" applyFont="1" applyAlignment="1" applyProtection="1">
      <alignment horizontal="center" vertical="center"/>
      <protection hidden="1"/>
    </xf>
    <xf numFmtId="0" fontId="5" fillId="0" borderId="28" xfId="0" applyFont="1" applyBorder="1" applyProtection="1">
      <protection hidden="1"/>
    </xf>
    <xf numFmtId="0" fontId="5" fillId="0" borderId="20" xfId="0" applyFont="1" applyBorder="1" applyProtection="1">
      <protection hidden="1"/>
    </xf>
    <xf numFmtId="0" fontId="5" fillId="0" borderId="29" xfId="0" applyFont="1" applyBorder="1" applyProtection="1">
      <protection hidden="1"/>
    </xf>
    <xf numFmtId="0" fontId="121" fillId="0" borderId="0" xfId="0" applyFont="1" applyAlignment="1" applyProtection="1">
      <alignment vertical="center"/>
      <protection hidden="1"/>
    </xf>
    <xf numFmtId="49" fontId="121" fillId="0" borderId="0" xfId="0" applyNumberFormat="1" applyFont="1" applyAlignment="1" applyProtection="1">
      <alignment vertical="center"/>
      <protection hidden="1"/>
    </xf>
    <xf numFmtId="0" fontId="133" fillId="0" borderId="0" xfId="0" applyFont="1" applyAlignment="1" applyProtection="1">
      <alignment vertical="center"/>
      <protection hidden="1"/>
    </xf>
    <xf numFmtId="0" fontId="4" fillId="3" borderId="3" xfId="0" applyFont="1" applyFill="1" applyBorder="1" applyProtection="1">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centerContinuous" vertical="center"/>
      <protection hidden="1"/>
    </xf>
    <xf numFmtId="0" fontId="14" fillId="0" borderId="14" xfId="0" applyFont="1" applyBorder="1" applyAlignment="1" applyProtection="1">
      <alignment horizontal="center"/>
      <protection hidden="1"/>
    </xf>
    <xf numFmtId="244" fontId="121" fillId="0" borderId="0" xfId="0" applyNumberFormat="1" applyFont="1" applyAlignment="1" applyProtection="1">
      <alignment vertical="center"/>
      <protection hidden="1"/>
    </xf>
    <xf numFmtId="0" fontId="133" fillId="0" borderId="0" xfId="0" applyFont="1" applyAlignment="1" applyProtection="1">
      <alignment horizontal="center" vertical="center"/>
      <protection hidden="1"/>
    </xf>
    <xf numFmtId="0" fontId="14" fillId="0" borderId="10" xfId="0" applyFont="1" applyBorder="1" applyAlignment="1" applyProtection="1">
      <alignment horizontal="center"/>
      <protection hidden="1"/>
    </xf>
    <xf numFmtId="259" fontId="133" fillId="0" borderId="0" xfId="0" applyNumberFormat="1" applyFont="1" applyAlignment="1" applyProtection="1">
      <alignment vertical="center"/>
      <protection hidden="1"/>
    </xf>
    <xf numFmtId="0" fontId="14" fillId="0" borderId="16" xfId="0" applyFont="1" applyBorder="1" applyAlignment="1" applyProtection="1">
      <alignment horizontal="center"/>
      <protection hidden="1"/>
    </xf>
    <xf numFmtId="1" fontId="14" fillId="0" borderId="0" xfId="0" applyNumberFormat="1" applyFont="1" applyAlignment="1" applyProtection="1">
      <alignment vertical="center"/>
      <protection hidden="1"/>
    </xf>
    <xf numFmtId="0" fontId="121" fillId="7" borderId="0" xfId="0" applyFont="1" applyFill="1" applyAlignment="1" applyProtection="1">
      <alignment vertical="center"/>
      <protection hidden="1"/>
    </xf>
    <xf numFmtId="2" fontId="121" fillId="0" borderId="0" xfId="0" applyNumberFormat="1" applyFont="1" applyAlignment="1" applyProtection="1">
      <alignment vertical="center"/>
      <protection hidden="1"/>
    </xf>
    <xf numFmtId="254" fontId="133" fillId="0" borderId="0" xfId="0" applyNumberFormat="1" applyFont="1" applyAlignment="1" applyProtection="1">
      <alignment vertical="center"/>
      <protection hidden="1"/>
    </xf>
    <xf numFmtId="1" fontId="121" fillId="0" borderId="0" xfId="0" applyNumberFormat="1" applyFont="1" applyAlignment="1" applyProtection="1">
      <alignment vertical="center"/>
      <protection hidden="1"/>
    </xf>
    <xf numFmtId="0" fontId="121" fillId="0" borderId="0" xfId="0" applyFont="1" applyAlignment="1" applyProtection="1">
      <alignment horizontal="centerContinuous" vertical="center"/>
      <protection hidden="1"/>
    </xf>
    <xf numFmtId="0" fontId="119" fillId="0" borderId="0" xfId="0" applyFont="1" applyAlignment="1" applyProtection="1">
      <alignment vertical="center"/>
      <protection hidden="1"/>
    </xf>
    <xf numFmtId="0" fontId="121" fillId="0" borderId="0" xfId="0" applyFont="1" applyAlignment="1" applyProtection="1">
      <alignment horizontal="left" vertical="center"/>
      <protection hidden="1"/>
    </xf>
    <xf numFmtId="0" fontId="133" fillId="0" borderId="0" xfId="0" applyFont="1" applyAlignment="1" applyProtection="1">
      <alignment horizontal="left" vertical="center"/>
      <protection hidden="1"/>
    </xf>
    <xf numFmtId="0" fontId="121" fillId="3" borderId="5" xfId="0" applyFont="1" applyFill="1" applyBorder="1" applyAlignment="1" applyProtection="1">
      <alignment horizontal="centerContinuous" vertical="center" wrapText="1"/>
      <protection hidden="1"/>
    </xf>
    <xf numFmtId="0" fontId="121" fillId="3" borderId="2" xfId="0" applyFont="1" applyFill="1" applyBorder="1" applyAlignment="1" applyProtection="1">
      <alignment horizontal="centerContinuous" vertical="center" wrapText="1"/>
      <protection hidden="1"/>
    </xf>
    <xf numFmtId="0" fontId="121" fillId="3" borderId="8" xfId="0" applyFont="1" applyFill="1" applyBorder="1" applyAlignment="1" applyProtection="1">
      <alignment horizontal="centerContinuous" vertical="center" wrapText="1"/>
      <protection hidden="1"/>
    </xf>
    <xf numFmtId="0" fontId="121" fillId="3" borderId="5" xfId="0" applyFont="1" applyFill="1" applyBorder="1" applyAlignment="1" applyProtection="1">
      <alignment horizontal="centerContinuous" vertical="center"/>
      <protection hidden="1"/>
    </xf>
    <xf numFmtId="0" fontId="121" fillId="3" borderId="2" xfId="0" applyFont="1" applyFill="1" applyBorder="1" applyAlignment="1" applyProtection="1">
      <alignment horizontal="centerContinuous" vertical="center"/>
      <protection hidden="1"/>
    </xf>
    <xf numFmtId="0" fontId="133" fillId="3" borderId="8" xfId="0" applyFont="1" applyFill="1" applyBorder="1" applyAlignment="1" applyProtection="1">
      <alignment horizontal="centerContinuous" vertical="center"/>
      <protection hidden="1"/>
    </xf>
    <xf numFmtId="0" fontId="133" fillId="3" borderId="2" xfId="0" applyFont="1" applyFill="1" applyBorder="1" applyAlignment="1" applyProtection="1">
      <alignment horizontal="centerContinuous" vertical="center"/>
      <protection hidden="1"/>
    </xf>
    <xf numFmtId="0" fontId="133" fillId="3" borderId="0" xfId="0" applyFont="1" applyFill="1" applyAlignment="1" applyProtection="1">
      <alignment horizontal="center" vertical="center"/>
      <protection hidden="1"/>
    </xf>
    <xf numFmtId="0" fontId="121" fillId="3" borderId="13" xfId="0" applyFont="1" applyFill="1" applyBorder="1" applyAlignment="1" applyProtection="1">
      <alignment horizontal="center" vertical="center" wrapText="1"/>
      <protection hidden="1"/>
    </xf>
    <xf numFmtId="49" fontId="121" fillId="3" borderId="3" xfId="0" applyNumberFormat="1" applyFont="1" applyFill="1" applyBorder="1" applyAlignment="1" applyProtection="1">
      <alignment horizontal="center" vertical="center"/>
      <protection hidden="1"/>
    </xf>
    <xf numFmtId="0" fontId="121" fillId="3" borderId="3" xfId="0" applyFont="1" applyFill="1" applyBorder="1" applyAlignment="1" applyProtection="1">
      <alignment horizontal="center" vertical="center"/>
      <protection hidden="1"/>
    </xf>
    <xf numFmtId="49" fontId="133" fillId="3" borderId="3" xfId="0" applyNumberFormat="1" applyFont="1" applyFill="1" applyBorder="1" applyAlignment="1" applyProtection="1">
      <alignment horizontal="center" vertical="center"/>
      <protection hidden="1"/>
    </xf>
    <xf numFmtId="249" fontId="121" fillId="2" borderId="3" xfId="0" applyNumberFormat="1" applyFont="1" applyFill="1" applyBorder="1" applyAlignment="1" applyProtection="1">
      <alignment horizontal="center" vertical="center"/>
      <protection hidden="1"/>
    </xf>
    <xf numFmtId="0" fontId="121" fillId="2" borderId="5" xfId="0" applyFont="1" applyFill="1" applyBorder="1" applyAlignment="1" applyProtection="1">
      <alignment horizontal="center" vertical="center"/>
      <protection hidden="1"/>
    </xf>
    <xf numFmtId="0" fontId="133" fillId="2" borderId="3" xfId="0" applyFont="1" applyFill="1" applyBorder="1" applyAlignment="1" applyProtection="1">
      <alignment horizontal="center" vertical="center"/>
      <protection hidden="1"/>
    </xf>
    <xf numFmtId="49" fontId="133" fillId="0" borderId="3" xfId="0" applyNumberFormat="1" applyFont="1" applyBorder="1" applyAlignment="1" applyProtection="1">
      <alignment horizontal="right" vertical="center"/>
      <protection hidden="1"/>
    </xf>
    <xf numFmtId="0" fontId="133" fillId="0" borderId="3" xfId="0" applyFont="1" applyBorder="1" applyAlignment="1" applyProtection="1">
      <alignment horizontal="center" vertical="center"/>
      <protection hidden="1"/>
    </xf>
    <xf numFmtId="0" fontId="133" fillId="0" borderId="8" xfId="0" applyFont="1" applyBorder="1" applyAlignment="1" applyProtection="1">
      <alignment vertical="center"/>
      <protection hidden="1"/>
    </xf>
    <xf numFmtId="0" fontId="133" fillId="0" borderId="2" xfId="0" applyFont="1" applyBorder="1" applyAlignment="1" applyProtection="1">
      <alignment vertical="center"/>
      <protection hidden="1"/>
    </xf>
    <xf numFmtId="0" fontId="133" fillId="0" borderId="3" xfId="0" applyFont="1" applyBorder="1" applyAlignment="1" applyProtection="1">
      <alignment horizontal="right" vertical="center"/>
      <protection hidden="1"/>
    </xf>
    <xf numFmtId="0" fontId="125" fillId="0" borderId="0" xfId="0" applyFont="1" applyAlignment="1" applyProtection="1">
      <alignment vertical="center"/>
      <protection hidden="1"/>
    </xf>
    <xf numFmtId="0" fontId="133" fillId="8" borderId="3" xfId="0" applyFont="1" applyFill="1" applyBorder="1" applyAlignment="1" applyProtection="1">
      <alignment horizontal="center" vertical="center"/>
      <protection hidden="1"/>
    </xf>
    <xf numFmtId="0" fontId="4" fillId="0" borderId="0" xfId="0" applyFont="1" applyAlignment="1" applyProtection="1">
      <alignment vertical="center"/>
      <protection hidden="1"/>
    </xf>
    <xf numFmtId="0" fontId="8" fillId="0" borderId="21" xfId="0" applyFont="1" applyBorder="1" applyAlignment="1" applyProtection="1">
      <alignment vertical="center"/>
      <protection hidden="1"/>
    </xf>
    <xf numFmtId="49" fontId="8" fillId="0" borderId="21" xfId="0" applyNumberFormat="1" applyFont="1" applyBorder="1" applyAlignment="1" applyProtection="1">
      <alignment vertical="center"/>
      <protection hidden="1"/>
    </xf>
    <xf numFmtId="0" fontId="134" fillId="0" borderId="0" xfId="0" applyFont="1" applyAlignment="1" applyProtection="1">
      <alignment vertical="center"/>
      <protection hidden="1"/>
    </xf>
    <xf numFmtId="0" fontId="133" fillId="0" borderId="0" xfId="0" quotePrefix="1" applyFont="1" applyAlignment="1" applyProtection="1">
      <alignment horizontal="center" vertical="center"/>
      <protection hidden="1"/>
    </xf>
    <xf numFmtId="0" fontId="121" fillId="0" borderId="30" xfId="0" applyFont="1" applyBorder="1" applyAlignment="1" applyProtection="1">
      <alignment vertical="center"/>
      <protection hidden="1"/>
    </xf>
    <xf numFmtId="0" fontId="121" fillId="0" borderId="31" xfId="0" applyFont="1" applyBorder="1" applyAlignment="1" applyProtection="1">
      <alignment vertical="center"/>
      <protection hidden="1"/>
    </xf>
    <xf numFmtId="0" fontId="121" fillId="0" borderId="32" xfId="0" applyFont="1" applyBorder="1" applyAlignment="1" applyProtection="1">
      <alignment vertical="center"/>
      <protection hidden="1"/>
    </xf>
    <xf numFmtId="0" fontId="121" fillId="0" borderId="15" xfId="0" applyFont="1" applyBorder="1" applyAlignment="1" applyProtection="1">
      <alignment vertical="center"/>
      <protection hidden="1"/>
    </xf>
    <xf numFmtId="0" fontId="7" fillId="0" borderId="3" xfId="0" applyFont="1" applyBorder="1" applyAlignment="1" applyProtection="1">
      <alignment vertical="center"/>
      <protection hidden="1"/>
    </xf>
    <xf numFmtId="49" fontId="7" fillId="0" borderId="3" xfId="0" applyNumberFormat="1" applyFont="1" applyBorder="1" applyAlignment="1" applyProtection="1">
      <alignment vertical="center"/>
      <protection hidden="1"/>
    </xf>
    <xf numFmtId="0" fontId="121" fillId="0" borderId="33" xfId="0" applyFont="1" applyBorder="1" applyAlignment="1" applyProtection="1">
      <alignment vertical="center"/>
      <protection hidden="1"/>
    </xf>
    <xf numFmtId="0" fontId="10" fillId="0" borderId="0" xfId="0" applyFont="1" applyAlignment="1" applyProtection="1">
      <alignment vertical="center"/>
      <protection hidden="1"/>
    </xf>
    <xf numFmtId="49" fontId="10" fillId="0" borderId="0" xfId="0" applyNumberFormat="1" applyFont="1" applyAlignment="1" applyProtection="1">
      <alignment vertical="center"/>
      <protection hidden="1"/>
    </xf>
    <xf numFmtId="0" fontId="7" fillId="0" borderId="21" xfId="0" applyFont="1" applyBorder="1" applyAlignment="1" applyProtection="1">
      <alignment vertical="center"/>
      <protection hidden="1"/>
    </xf>
    <xf numFmtId="16" fontId="7" fillId="0" borderId="3" xfId="0" quotePrefix="1" applyNumberFormat="1" applyFont="1" applyBorder="1" applyAlignment="1" applyProtection="1">
      <alignment vertical="center"/>
      <protection hidden="1"/>
    </xf>
    <xf numFmtId="0" fontId="7" fillId="0" borderId="0" xfId="0" applyFont="1" applyAlignment="1" applyProtection="1">
      <alignment vertical="center"/>
      <protection hidden="1"/>
    </xf>
    <xf numFmtId="0" fontId="132" fillId="0" borderId="0" xfId="0" applyFont="1" applyAlignment="1" applyProtection="1">
      <alignment vertical="center"/>
      <protection hidden="1"/>
    </xf>
    <xf numFmtId="0" fontId="0" fillId="0" borderId="0" xfId="0" applyAlignment="1">
      <alignment horizontal="center"/>
    </xf>
    <xf numFmtId="0" fontId="138" fillId="0" borderId="0" xfId="0" applyFont="1"/>
    <xf numFmtId="0" fontId="81" fillId="0" borderId="0" xfId="0" applyFont="1"/>
    <xf numFmtId="0" fontId="0" fillId="9" borderId="0" xfId="0" applyFill="1"/>
    <xf numFmtId="286" fontId="0" fillId="0" borderId="0" xfId="0" applyNumberFormat="1"/>
    <xf numFmtId="0" fontId="139" fillId="0" borderId="0" xfId="0" applyFont="1"/>
    <xf numFmtId="2" fontId="0" fillId="0" borderId="0" xfId="0" applyNumberFormat="1"/>
    <xf numFmtId="202" fontId="7" fillId="0" borderId="21" xfId="0" applyNumberFormat="1" applyFont="1" applyBorder="1" applyAlignment="1">
      <alignment horizontal="center"/>
    </xf>
    <xf numFmtId="4" fontId="7" fillId="0" borderId="21" xfId="0" applyNumberFormat="1" applyFont="1" applyBorder="1" applyAlignment="1">
      <alignment vertical="center"/>
    </xf>
    <xf numFmtId="257" fontId="7" fillId="0" borderId="0" xfId="0" quotePrefix="1" applyNumberFormat="1" applyFont="1" applyAlignment="1">
      <alignment vertical="center"/>
    </xf>
    <xf numFmtId="3" fontId="7" fillId="0" borderId="0" xfId="0" applyNumberFormat="1" applyFont="1" applyAlignment="1">
      <alignment vertical="center"/>
    </xf>
    <xf numFmtId="0" fontId="10" fillId="9" borderId="0" xfId="0" applyFont="1" applyFill="1"/>
    <xf numFmtId="2" fontId="10" fillId="0" borderId="0" xfId="0" applyNumberFormat="1" applyFont="1"/>
    <xf numFmtId="227" fontId="10" fillId="0" borderId="0" xfId="0" applyNumberFormat="1" applyFont="1"/>
    <xf numFmtId="256" fontId="7" fillId="0" borderId="0" xfId="0" applyNumberFormat="1" applyFont="1" applyAlignment="1">
      <alignment vertical="center"/>
    </xf>
    <xf numFmtId="275" fontId="7" fillId="0" borderId="0" xfId="0" applyNumberFormat="1" applyFont="1" applyAlignment="1">
      <alignment vertical="center"/>
    </xf>
    <xf numFmtId="0" fontId="8" fillId="0" borderId="0" xfId="0" quotePrefix="1" applyFont="1"/>
    <xf numFmtId="227" fontId="7" fillId="0" borderId="0" xfId="0" applyNumberFormat="1" applyFont="1" applyAlignment="1">
      <alignment vertical="center"/>
    </xf>
    <xf numFmtId="256" fontId="7" fillId="0" borderId="0" xfId="0" applyNumberFormat="1" applyFont="1" applyAlignment="1">
      <alignment horizontal="left" vertical="center"/>
    </xf>
    <xf numFmtId="49" fontId="136" fillId="0" borderId="21" xfId="0" applyNumberFormat="1" applyFont="1" applyBorder="1" applyAlignment="1">
      <alignment vertical="center"/>
    </xf>
    <xf numFmtId="0" fontId="136" fillId="0" borderId="21" xfId="0" applyFont="1" applyBorder="1" applyAlignment="1">
      <alignment vertical="center"/>
    </xf>
    <xf numFmtId="0" fontId="55" fillId="0" borderId="0" xfId="0" applyFont="1" applyAlignment="1">
      <alignment horizontal="left"/>
    </xf>
    <xf numFmtId="0" fontId="141" fillId="0" borderId="0" xfId="0" applyFont="1" applyAlignment="1">
      <alignment horizontal="left"/>
    </xf>
    <xf numFmtId="254" fontId="136" fillId="0" borderId="0" xfId="0" applyNumberFormat="1" applyFont="1" applyAlignment="1">
      <alignment vertical="center"/>
    </xf>
    <xf numFmtId="272" fontId="136" fillId="0" borderId="0" xfId="0" applyNumberFormat="1" applyFont="1" applyAlignment="1">
      <alignment vertical="center"/>
    </xf>
    <xf numFmtId="227" fontId="136" fillId="0" borderId="0" xfId="0" quotePrefix="1" applyNumberFormat="1" applyFont="1" applyAlignment="1">
      <alignment vertical="center"/>
    </xf>
    <xf numFmtId="274" fontId="136" fillId="0" borderId="0" xfId="0" applyNumberFormat="1" applyFont="1" applyAlignment="1">
      <alignment horizontal="left" vertical="center"/>
    </xf>
    <xf numFmtId="244" fontId="136" fillId="0" borderId="0" xfId="0" applyNumberFormat="1" applyFont="1" applyAlignment="1">
      <alignment vertical="center"/>
    </xf>
    <xf numFmtId="0" fontId="7" fillId="0" borderId="0" xfId="0" quotePrefix="1" applyFont="1" applyAlignment="1">
      <alignment horizontal="left" vertical="center"/>
    </xf>
    <xf numFmtId="227" fontId="7" fillId="0" borderId="0" xfId="0" applyNumberFormat="1" applyFont="1" applyAlignment="1">
      <alignment horizontal="right" vertical="center"/>
    </xf>
    <xf numFmtId="259" fontId="7" fillId="0" borderId="0" xfId="0" applyNumberFormat="1" applyFont="1" applyAlignment="1">
      <alignment horizontal="right" vertical="center"/>
    </xf>
    <xf numFmtId="244" fontId="7" fillId="0" borderId="0" xfId="0" applyNumberFormat="1" applyFont="1" applyAlignment="1">
      <alignment horizontal="right" vertical="center"/>
    </xf>
    <xf numFmtId="259" fontId="7" fillId="0" borderId="0" xfId="0" applyNumberFormat="1" applyFont="1" applyAlignment="1">
      <alignment horizontal="left" vertical="center"/>
    </xf>
    <xf numFmtId="263" fontId="7" fillId="0" borderId="0" xfId="0" applyNumberFormat="1" applyFont="1" applyAlignment="1">
      <alignment vertical="center"/>
    </xf>
    <xf numFmtId="9" fontId="7" fillId="0" borderId="0" xfId="0" applyNumberFormat="1" applyFont="1" applyAlignment="1">
      <alignment horizontal="center" vertical="center"/>
    </xf>
    <xf numFmtId="9" fontId="7" fillId="0" borderId="0" xfId="0" applyNumberFormat="1" applyFont="1" applyAlignment="1">
      <alignment horizontal="left" vertical="center"/>
    </xf>
    <xf numFmtId="1" fontId="7" fillId="0" borderId="0" xfId="0" quotePrefix="1" applyNumberFormat="1" applyFont="1" applyAlignment="1">
      <alignment vertical="center"/>
    </xf>
    <xf numFmtId="49" fontId="6" fillId="3" borderId="3" xfId="0" applyNumberFormat="1" applyFont="1" applyFill="1" applyBorder="1" applyAlignment="1" applyProtection="1">
      <alignment horizontal="centerContinuous"/>
      <protection hidden="1"/>
    </xf>
    <xf numFmtId="0" fontId="121" fillId="3" borderId="8" xfId="0" applyFont="1" applyFill="1" applyBorder="1" applyAlignment="1" applyProtection="1">
      <alignment horizontal="centerContinuous" vertical="center"/>
      <protection hidden="1"/>
    </xf>
    <xf numFmtId="0" fontId="121" fillId="5" borderId="0" xfId="0" applyFont="1" applyFill="1" applyAlignment="1" applyProtection="1">
      <alignment vertical="center"/>
      <protection hidden="1"/>
    </xf>
    <xf numFmtId="3" fontId="50" fillId="0" borderId="11" xfId="0" applyNumberFormat="1" applyFont="1" applyBorder="1" applyAlignment="1">
      <alignment horizontal="center" vertical="center" wrapText="1"/>
    </xf>
    <xf numFmtId="0" fontId="4" fillId="0" borderId="0" xfId="0" quotePrefix="1" applyFont="1" applyAlignment="1" applyProtection="1">
      <alignment horizontal="center"/>
      <protection hidden="1"/>
    </xf>
    <xf numFmtId="0" fontId="3" fillId="0" borderId="0" xfId="0" applyFont="1" applyAlignment="1" applyProtection="1">
      <alignment horizontal="left"/>
      <protection hidden="1"/>
    </xf>
    <xf numFmtId="38" fontId="51" fillId="0" borderId="3" xfId="948" applyNumberFormat="1" applyFont="1" applyBorder="1" applyAlignment="1" applyProtection="1">
      <alignment horizontal="center" vertical="center"/>
      <protection hidden="1"/>
    </xf>
    <xf numFmtId="38" fontId="51" fillId="0" borderId="3" xfId="948" applyNumberFormat="1" applyFont="1" applyBorder="1" applyAlignment="1" applyProtection="1">
      <alignment horizontal="centerContinuous" vertical="center" wrapText="1"/>
      <protection hidden="1"/>
    </xf>
    <xf numFmtId="38" fontId="51" fillId="0" borderId="5" xfId="948" applyNumberFormat="1" applyFont="1" applyBorder="1" applyAlignment="1" applyProtection="1">
      <alignment horizontal="center" vertical="center" wrapText="1"/>
      <protection hidden="1"/>
    </xf>
    <xf numFmtId="38" fontId="52" fillId="0" borderId="10" xfId="948" applyNumberFormat="1" applyFont="1" applyBorder="1" applyAlignment="1" applyProtection="1">
      <alignment horizontal="center"/>
      <protection hidden="1"/>
    </xf>
    <xf numFmtId="38" fontId="52" fillId="0" borderId="10" xfId="948" applyNumberFormat="1" applyFont="1" applyBorder="1" applyAlignment="1" applyProtection="1">
      <alignment horizontal="left" wrapText="1"/>
      <protection hidden="1"/>
    </xf>
    <xf numFmtId="38" fontId="52" fillId="0" borderId="34" xfId="948" applyNumberFormat="1" applyFont="1" applyBorder="1" applyAlignment="1" applyProtection="1">
      <alignment horizontal="centerContinuous" wrapText="1"/>
      <protection hidden="1"/>
    </xf>
    <xf numFmtId="1" fontId="50" fillId="0" borderId="10" xfId="0" applyNumberFormat="1" applyFont="1" applyBorder="1" applyAlignment="1" applyProtection="1">
      <alignment horizontal="center" vertical="center"/>
      <protection hidden="1"/>
    </xf>
    <xf numFmtId="38" fontId="50" fillId="0" borderId="20" xfId="948" applyNumberFormat="1" applyFont="1" applyBorder="1" applyAlignment="1" applyProtection="1">
      <alignment horizontal="centerContinuous" vertical="center"/>
      <protection hidden="1"/>
    </xf>
    <xf numFmtId="38" fontId="10" fillId="0" borderId="20" xfId="948" applyNumberFormat="1" applyFont="1" applyBorder="1" applyAlignment="1" applyProtection="1">
      <alignment horizontal="centerContinuous"/>
      <protection hidden="1"/>
    </xf>
    <xf numFmtId="38" fontId="10" fillId="0" borderId="10" xfId="948" applyNumberFormat="1" applyFont="1" applyBorder="1" applyAlignment="1" applyProtection="1">
      <alignment horizontal="left" vertical="center" wrapText="1"/>
      <protection hidden="1"/>
    </xf>
    <xf numFmtId="38" fontId="10" fillId="0" borderId="34" xfId="948" applyNumberFormat="1" applyFont="1" applyBorder="1" applyAlignment="1" applyProtection="1">
      <alignment horizontal="center" vertical="center" wrapText="1"/>
      <protection hidden="1"/>
    </xf>
    <xf numFmtId="38" fontId="50" fillId="0" borderId="10" xfId="948" quotePrefix="1" applyNumberFormat="1" applyFont="1" applyBorder="1" applyAlignment="1" applyProtection="1">
      <alignment horizontal="left" vertical="center" wrapText="1"/>
      <protection hidden="1"/>
    </xf>
    <xf numFmtId="38" fontId="10" fillId="0" borderId="12" xfId="948" applyNumberFormat="1" applyFont="1" applyBorder="1" applyAlignment="1" applyProtection="1">
      <alignment horizontal="left" vertical="center" wrapText="1"/>
      <protection hidden="1"/>
    </xf>
    <xf numFmtId="38" fontId="52" fillId="0" borderId="16" xfId="948" applyNumberFormat="1" applyFont="1" applyBorder="1" applyAlignment="1" applyProtection="1">
      <alignment horizontal="center"/>
      <protection hidden="1"/>
    </xf>
    <xf numFmtId="38" fontId="52" fillId="0" borderId="16" xfId="948" applyNumberFormat="1" applyFont="1" applyBorder="1" applyAlignment="1" applyProtection="1">
      <alignment horizontal="left" wrapText="1"/>
      <protection hidden="1"/>
    </xf>
    <xf numFmtId="38" fontId="52" fillId="0" borderId="16" xfId="948" applyNumberFormat="1" applyFont="1" applyBorder="1" applyAlignment="1" applyProtection="1">
      <alignment horizontal="centerContinuous" wrapText="1"/>
      <protection hidden="1"/>
    </xf>
    <xf numFmtId="38" fontId="11" fillId="0" borderId="16" xfId="948" applyNumberFormat="1" applyFont="1" applyBorder="1" applyAlignment="1" applyProtection="1">
      <alignment horizontal="centerContinuous"/>
      <protection hidden="1"/>
    </xf>
    <xf numFmtId="38" fontId="52" fillId="0" borderId="34" xfId="948" applyNumberFormat="1" applyFont="1" applyBorder="1" applyAlignment="1" applyProtection="1">
      <alignment horizontal="center" wrapText="1"/>
      <protection hidden="1"/>
    </xf>
    <xf numFmtId="38" fontId="11" fillId="0" borderId="10" xfId="948" applyNumberFormat="1" applyFont="1" applyBorder="1" applyAlignment="1" applyProtection="1">
      <alignment horizontal="left" vertical="center" wrapText="1"/>
      <protection hidden="1"/>
    </xf>
    <xf numFmtId="38" fontId="52" fillId="0" borderId="20" xfId="948" applyNumberFormat="1" applyFont="1" applyBorder="1" applyAlignment="1" applyProtection="1">
      <alignment horizontal="center" vertical="center" wrapText="1"/>
      <protection hidden="1"/>
    </xf>
    <xf numFmtId="38" fontId="51" fillId="0" borderId="20" xfId="948" applyNumberFormat="1" applyFont="1" applyBorder="1" applyAlignment="1" applyProtection="1">
      <alignment horizontal="center" vertical="center" wrapText="1"/>
      <protection hidden="1"/>
    </xf>
    <xf numFmtId="1" fontId="56" fillId="0" borderId="10" xfId="0" applyNumberFormat="1" applyFont="1" applyBorder="1" applyAlignment="1" applyProtection="1">
      <alignment horizontal="center" vertical="center"/>
      <protection hidden="1"/>
    </xf>
    <xf numFmtId="38" fontId="45" fillId="0" borderId="20" xfId="948" applyNumberFormat="1" applyFont="1" applyBorder="1" applyAlignment="1" applyProtection="1">
      <alignment horizontal="center" vertical="center" wrapText="1"/>
      <protection hidden="1"/>
    </xf>
    <xf numFmtId="38" fontId="52" fillId="0" borderId="10" xfId="948" applyNumberFormat="1" applyFont="1" applyBorder="1" applyAlignment="1" applyProtection="1">
      <alignment wrapText="1"/>
      <protection hidden="1"/>
    </xf>
    <xf numFmtId="38" fontId="58" fillId="0" borderId="20" xfId="948" applyNumberFormat="1" applyFont="1" applyBorder="1" applyAlignment="1" applyProtection="1">
      <alignment horizontal="centerContinuous"/>
      <protection hidden="1"/>
    </xf>
    <xf numFmtId="38" fontId="52" fillId="0" borderId="16" xfId="948" applyNumberFormat="1" applyFont="1" applyBorder="1" applyAlignment="1" applyProtection="1">
      <alignment wrapText="1"/>
      <protection hidden="1"/>
    </xf>
    <xf numFmtId="38" fontId="52" fillId="0" borderId="16" xfId="948" applyNumberFormat="1" applyFont="1" applyBorder="1" applyAlignment="1" applyProtection="1">
      <alignment horizontal="center" wrapText="1"/>
      <protection hidden="1"/>
    </xf>
    <xf numFmtId="3" fontId="14" fillId="0" borderId="0" xfId="682" applyNumberFormat="1" applyFont="1" applyFill="1" applyProtection="1">
      <protection hidden="1"/>
    </xf>
    <xf numFmtId="3" fontId="11" fillId="0" borderId="14" xfId="947" applyNumberFormat="1" applyFont="1" applyBorder="1" applyAlignment="1" applyProtection="1">
      <alignment horizontal="centerContinuous" vertical="center"/>
      <protection hidden="1"/>
    </xf>
    <xf numFmtId="3" fontId="13" fillId="0" borderId="10" xfId="947" applyNumberFormat="1" applyFont="1" applyBorder="1" applyAlignment="1" applyProtection="1">
      <alignment horizontal="center"/>
      <protection hidden="1"/>
    </xf>
    <xf numFmtId="3" fontId="16" fillId="0" borderId="16" xfId="682" applyNumberFormat="1" applyFont="1" applyFill="1" applyBorder="1" applyAlignment="1" applyProtection="1">
      <alignment vertical="center"/>
      <protection hidden="1"/>
    </xf>
    <xf numFmtId="38" fontId="18" fillId="0" borderId="0" xfId="948" applyNumberFormat="1" applyFont="1" applyAlignment="1" applyProtection="1">
      <alignment horizontal="center" vertical="center"/>
      <protection hidden="1"/>
    </xf>
    <xf numFmtId="38" fontId="49" fillId="0" borderId="0" xfId="948" applyNumberFormat="1" applyFont="1" applyAlignment="1" applyProtection="1">
      <alignment horizontal="centerContinuous" vertical="center"/>
      <protection hidden="1"/>
    </xf>
    <xf numFmtId="3" fontId="67" fillId="0" borderId="19" xfId="682" applyNumberFormat="1" applyFont="1" applyFill="1" applyBorder="1" applyAlignment="1" applyProtection="1">
      <alignment horizontal="center" vertical="center" wrapText="1"/>
      <protection hidden="1"/>
    </xf>
    <xf numFmtId="3" fontId="10" fillId="0" borderId="20" xfId="947" applyNumberFormat="1" applyFont="1" applyBorder="1" applyAlignment="1" applyProtection="1">
      <alignment horizontal="center"/>
      <protection hidden="1"/>
    </xf>
    <xf numFmtId="3" fontId="51" fillId="0" borderId="20" xfId="947" applyNumberFormat="1" applyFont="1" applyBorder="1" applyAlignment="1" applyProtection="1">
      <alignment horizontal="center"/>
      <protection hidden="1"/>
    </xf>
    <xf numFmtId="3" fontId="5" fillId="0" borderId="0" xfId="0" applyNumberFormat="1" applyFont="1" applyProtection="1">
      <protection hidden="1"/>
    </xf>
    <xf numFmtId="3" fontId="68" fillId="0" borderId="0" xfId="0" applyNumberFormat="1" applyFont="1" applyProtection="1">
      <protection hidden="1"/>
    </xf>
    <xf numFmtId="3" fontId="6" fillId="0" borderId="0" xfId="0" applyNumberFormat="1" applyFont="1" applyProtection="1">
      <protection hidden="1"/>
    </xf>
    <xf numFmtId="2" fontId="14" fillId="0" borderId="0" xfId="0" applyNumberFormat="1" applyFont="1" applyProtection="1">
      <protection hidden="1"/>
    </xf>
    <xf numFmtId="0" fontId="10" fillId="4" borderId="0" xfId="0" applyFont="1" applyFill="1" applyAlignment="1">
      <alignment vertical="center"/>
    </xf>
    <xf numFmtId="2" fontId="10" fillId="0" borderId="10" xfId="0" applyNumberFormat="1" applyFont="1" applyBorder="1" applyAlignment="1">
      <alignment horizontal="left" vertical="center"/>
    </xf>
    <xf numFmtId="3" fontId="50" fillId="0" borderId="10" xfId="667" applyNumberFormat="1" applyFont="1" applyBorder="1" applyAlignment="1">
      <alignment horizontal="right" vertical="center"/>
    </xf>
    <xf numFmtId="3" fontId="10" fillId="0" borderId="10" xfId="667" applyNumberFormat="1" applyFont="1" applyBorder="1" applyAlignment="1">
      <alignment horizontal="right" vertical="center"/>
    </xf>
    <xf numFmtId="2" fontId="10" fillId="0" borderId="10" xfId="0" applyNumberFormat="1" applyFont="1" applyBorder="1" applyAlignment="1">
      <alignment horizontal="center" vertical="center"/>
    </xf>
    <xf numFmtId="2" fontId="11" fillId="0" borderId="10" xfId="0" applyNumberFormat="1" applyFont="1" applyBorder="1" applyAlignment="1">
      <alignment horizontal="left" vertical="center"/>
    </xf>
    <xf numFmtId="49" fontId="10" fillId="0" borderId="10" xfId="0" applyNumberFormat="1" applyFont="1" applyBorder="1" applyAlignment="1">
      <alignment horizontal="center" vertical="center"/>
    </xf>
    <xf numFmtId="0" fontId="50" fillId="0" borderId="10" xfId="0" quotePrefix="1" applyFont="1" applyBorder="1" applyAlignment="1">
      <alignment horizontal="center" vertical="center"/>
    </xf>
    <xf numFmtId="3" fontId="50" fillId="0" borderId="10" xfId="667" applyNumberFormat="1" applyFont="1" applyBorder="1" applyAlignment="1">
      <alignment horizontal="center" vertical="center"/>
    </xf>
    <xf numFmtId="49" fontId="50" fillId="0" borderId="10" xfId="0" applyNumberFormat="1" applyFont="1" applyBorder="1" applyAlignment="1">
      <alignment horizontal="left" vertical="center"/>
    </xf>
    <xf numFmtId="49" fontId="50" fillId="0" borderId="10" xfId="0" applyNumberFormat="1" applyFont="1" applyBorder="1" applyAlignment="1">
      <alignment horizontal="center" vertical="center"/>
    </xf>
    <xf numFmtId="49" fontId="56" fillId="0" borderId="10" xfId="0" applyNumberFormat="1" applyFont="1" applyBorder="1" applyAlignment="1">
      <alignment horizontal="left" vertical="center"/>
    </xf>
    <xf numFmtId="288" fontId="50" fillId="0" borderId="10" xfId="0" quotePrefix="1" applyNumberFormat="1" applyFont="1" applyBorder="1" applyAlignment="1">
      <alignment horizontal="center" vertical="center"/>
    </xf>
    <xf numFmtId="0" fontId="10" fillId="0" borderId="10" xfId="0" applyFont="1" applyBorder="1" applyAlignment="1">
      <alignment horizontal="center" vertical="center"/>
    </xf>
    <xf numFmtId="288" fontId="56" fillId="0" borderId="10" xfId="0" quotePrefix="1" applyNumberFormat="1" applyFont="1" applyBorder="1" applyAlignment="1">
      <alignment horizontal="center" vertical="center"/>
    </xf>
    <xf numFmtId="0" fontId="11" fillId="0" borderId="10" xfId="0" applyFont="1" applyBorder="1" applyAlignment="1">
      <alignment horizontal="center" vertical="center"/>
    </xf>
    <xf numFmtId="3" fontId="11" fillId="0" borderId="10" xfId="667" applyNumberFormat="1" applyFont="1" applyBorder="1" applyAlignment="1">
      <alignment horizontal="right" vertical="center"/>
    </xf>
    <xf numFmtId="0" fontId="10" fillId="0" borderId="10" xfId="0" applyFont="1" applyBorder="1" applyAlignment="1">
      <alignment horizontal="left" vertical="center"/>
    </xf>
    <xf numFmtId="0" fontId="11" fillId="0" borderId="10" xfId="0" applyFont="1" applyBorder="1" applyAlignment="1">
      <alignment horizontal="left" vertical="center"/>
    </xf>
    <xf numFmtId="3" fontId="11" fillId="0" borderId="10" xfId="0" quotePrefix="1" applyNumberFormat="1" applyFont="1" applyBorder="1" applyAlignment="1">
      <alignment horizontal="center" vertical="center"/>
    </xf>
    <xf numFmtId="0" fontId="11" fillId="0" borderId="10" xfId="0" quotePrefix="1" applyFont="1" applyBorder="1" applyAlignment="1">
      <alignment horizontal="center" vertical="center"/>
    </xf>
    <xf numFmtId="0" fontId="11" fillId="0" borderId="0" xfId="0" applyFont="1" applyAlignment="1">
      <alignment vertical="center"/>
    </xf>
    <xf numFmtId="182" fontId="11" fillId="0" borderId="0" xfId="667" applyNumberFormat="1" applyFont="1" applyAlignment="1">
      <alignment vertical="center"/>
    </xf>
    <xf numFmtId="182" fontId="10" fillId="0" borderId="0" xfId="667" applyNumberFormat="1" applyFont="1" applyAlignment="1">
      <alignment vertical="center"/>
    </xf>
    <xf numFmtId="289" fontId="50" fillId="0" borderId="10" xfId="0" quotePrefix="1" applyNumberFormat="1" applyFont="1" applyBorder="1" applyAlignment="1">
      <alignment horizontal="center" vertical="center"/>
    </xf>
    <xf numFmtId="4" fontId="0" fillId="0" borderId="0" xfId="0" applyNumberFormat="1"/>
    <xf numFmtId="182" fontId="11" fillId="0" borderId="0" xfId="667" applyNumberFormat="1" applyFont="1" applyAlignment="1">
      <alignment horizontal="left" vertical="center"/>
    </xf>
    <xf numFmtId="182" fontId="10" fillId="0" borderId="0" xfId="667" applyNumberFormat="1" applyFont="1" applyAlignment="1">
      <alignment horizontal="left" vertical="center"/>
    </xf>
    <xf numFmtId="0" fontId="12" fillId="0" borderId="0" xfId="0" applyFont="1" applyAlignment="1">
      <alignment vertical="center"/>
    </xf>
    <xf numFmtId="0" fontId="12"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center" vertical="center"/>
    </xf>
    <xf numFmtId="3" fontId="52" fillId="0" borderId="0" xfId="0" quotePrefix="1" applyNumberFormat="1" applyFont="1" applyAlignment="1">
      <alignment horizontal="center" vertical="center"/>
    </xf>
    <xf numFmtId="3" fontId="52" fillId="0" borderId="0" xfId="0" quotePrefix="1" applyNumberFormat="1" applyFont="1" applyAlignment="1">
      <alignment horizontal="left" vertical="center"/>
    </xf>
    <xf numFmtId="3" fontId="10" fillId="0" borderId="0" xfId="0" quotePrefix="1" applyNumberFormat="1" applyFont="1" applyAlignment="1">
      <alignment horizontal="center" vertical="center"/>
    </xf>
    <xf numFmtId="3" fontId="10" fillId="0" borderId="0" xfId="0" applyNumberFormat="1" applyFont="1" applyAlignment="1">
      <alignment horizontal="right" vertical="center"/>
    </xf>
    <xf numFmtId="49" fontId="10" fillId="0" borderId="0" xfId="0" applyNumberFormat="1" applyFont="1" applyAlignment="1">
      <alignment horizontal="center" vertical="center"/>
    </xf>
    <xf numFmtId="3" fontId="10" fillId="0" borderId="0" xfId="0" applyNumberFormat="1" applyFont="1" applyAlignment="1">
      <alignment horizontal="center" vertical="center"/>
    </xf>
    <xf numFmtId="0" fontId="11" fillId="6" borderId="0" xfId="0" applyFont="1" applyFill="1" applyAlignment="1">
      <alignment vertical="center"/>
    </xf>
    <xf numFmtId="0" fontId="11" fillId="6" borderId="35" xfId="0" applyFont="1" applyFill="1" applyBorder="1" applyAlignment="1">
      <alignment horizontal="center" vertical="center"/>
    </xf>
    <xf numFmtId="0" fontId="11" fillId="6" borderId="19" xfId="0" applyFont="1" applyFill="1" applyBorder="1" applyAlignment="1">
      <alignment horizontal="center" vertical="center"/>
    </xf>
    <xf numFmtId="14" fontId="11" fillId="0" borderId="19" xfId="0" applyNumberFormat="1" applyFont="1" applyBorder="1" applyAlignment="1">
      <alignment horizontal="center" vertical="center"/>
    </xf>
    <xf numFmtId="0" fontId="11" fillId="6" borderId="19" xfId="0" applyFont="1" applyFill="1" applyBorder="1" applyAlignment="1">
      <alignment horizontal="left" vertical="center"/>
    </xf>
    <xf numFmtId="3" fontId="11" fillId="6" borderId="19" xfId="0" applyNumberFormat="1" applyFont="1" applyFill="1" applyBorder="1" applyAlignment="1">
      <alignment horizontal="right" vertical="center"/>
    </xf>
    <xf numFmtId="0" fontId="11" fillId="10" borderId="35" xfId="0" applyFont="1" applyFill="1" applyBorder="1" applyAlignment="1">
      <alignment horizontal="center" vertical="center"/>
    </xf>
    <xf numFmtId="3" fontId="11" fillId="10" borderId="19" xfId="0" applyNumberFormat="1" applyFont="1" applyFill="1" applyBorder="1" applyAlignment="1">
      <alignment vertical="center"/>
    </xf>
    <xf numFmtId="3" fontId="11" fillId="10" borderId="19" xfId="0" applyNumberFormat="1" applyFont="1" applyFill="1" applyBorder="1" applyAlignment="1">
      <alignment horizontal="right" vertical="center"/>
    </xf>
    <xf numFmtId="3" fontId="11" fillId="10" borderId="3" xfId="0" applyNumberFormat="1" applyFont="1" applyFill="1" applyBorder="1" applyAlignment="1">
      <alignment horizontal="center" vertical="center"/>
    </xf>
    <xf numFmtId="3" fontId="11" fillId="10" borderId="8" xfId="0" applyNumberFormat="1" applyFont="1" applyFill="1" applyBorder="1" applyAlignment="1">
      <alignment horizontal="center" vertical="center"/>
    </xf>
    <xf numFmtId="3" fontId="11" fillId="0" borderId="0" xfId="0" applyNumberFormat="1" applyFont="1" applyAlignment="1">
      <alignment horizontal="center" vertical="center"/>
    </xf>
    <xf numFmtId="0" fontId="11" fillId="0" borderId="36" xfId="0" applyFont="1" applyBorder="1" applyAlignment="1">
      <alignment horizontal="center" vertical="center"/>
    </xf>
    <xf numFmtId="0" fontId="11" fillId="0" borderId="22" xfId="0" applyFont="1" applyBorder="1" applyAlignment="1">
      <alignment horizontal="center" vertical="center"/>
    </xf>
    <xf numFmtId="0" fontId="52" fillId="4" borderId="0" xfId="0" applyFont="1" applyFill="1" applyAlignment="1">
      <alignment vertical="center"/>
    </xf>
    <xf numFmtId="0" fontId="10" fillId="4" borderId="15" xfId="0" applyFont="1" applyFill="1" applyBorder="1" applyAlignment="1">
      <alignment horizontal="centerContinuous" vertical="center"/>
    </xf>
    <xf numFmtId="0" fontId="10" fillId="4" borderId="10" xfId="0" applyFont="1" applyFill="1" applyBorder="1" applyAlignment="1">
      <alignment horizontal="centerContinuous" vertical="center"/>
    </xf>
    <xf numFmtId="0" fontId="10" fillId="4" borderId="10" xfId="0" applyFont="1" applyFill="1" applyBorder="1" applyAlignment="1">
      <alignment horizontal="center" vertical="center"/>
    </xf>
    <xf numFmtId="0" fontId="10" fillId="0" borderId="10" xfId="0" applyFont="1" applyBorder="1" applyAlignment="1">
      <alignment horizontal="centerContinuous" vertical="center"/>
    </xf>
    <xf numFmtId="3" fontId="10" fillId="4" borderId="10" xfId="0" applyNumberFormat="1" applyFont="1" applyFill="1" applyBorder="1" applyAlignment="1">
      <alignment horizontal="centerContinuous" vertical="center"/>
    </xf>
    <xf numFmtId="3" fontId="10" fillId="4" borderId="10" xfId="0" applyNumberFormat="1" applyFont="1" applyFill="1" applyBorder="1" applyAlignment="1">
      <alignment horizontal="left" vertical="center"/>
    </xf>
    <xf numFmtId="3" fontId="10" fillId="0" borderId="10" xfId="0" applyNumberFormat="1" applyFont="1" applyBorder="1" applyAlignment="1">
      <alignment vertical="center"/>
    </xf>
    <xf numFmtId="3" fontId="10" fillId="0" borderId="15" xfId="0" applyNumberFormat="1" applyFont="1" applyBorder="1" applyAlignment="1">
      <alignment vertical="center"/>
    </xf>
    <xf numFmtId="3" fontId="10" fillId="0" borderId="10" xfId="0" applyNumberFormat="1" applyFont="1" applyBorder="1" applyAlignment="1">
      <alignment horizontal="right" vertical="center"/>
    </xf>
    <xf numFmtId="3" fontId="10" fillId="0" borderId="10" xfId="667" applyNumberFormat="1" applyFont="1" applyBorder="1" applyAlignment="1" applyProtection="1">
      <alignment horizontal="right" vertical="center"/>
    </xf>
    <xf numFmtId="3" fontId="11" fillId="0" borderId="10" xfId="667" applyNumberFormat="1" applyFont="1" applyBorder="1" applyAlignment="1" applyProtection="1">
      <alignment horizontal="right" vertical="center"/>
    </xf>
    <xf numFmtId="3" fontId="11" fillId="0" borderId="0" xfId="0" applyNumberFormat="1" applyFont="1" applyAlignment="1">
      <alignment horizontal="right" vertical="center"/>
    </xf>
    <xf numFmtId="182" fontId="10" fillId="0" borderId="37" xfId="667" applyNumberFormat="1" applyFont="1" applyBorder="1" applyAlignment="1" applyProtection="1">
      <alignment horizontal="right" vertical="center"/>
    </xf>
    <xf numFmtId="3" fontId="10" fillId="0" borderId="38" xfId="667" applyNumberFormat="1" applyFont="1" applyBorder="1" applyAlignment="1" applyProtection="1">
      <alignment horizontal="right" vertical="center"/>
    </xf>
    <xf numFmtId="3" fontId="10" fillId="0" borderId="37" xfId="667" applyNumberFormat="1" applyFont="1" applyBorder="1" applyAlignment="1" applyProtection="1">
      <alignment vertical="center"/>
    </xf>
    <xf numFmtId="0" fontId="10" fillId="0" borderId="15" xfId="0" applyFont="1" applyBorder="1" applyAlignment="1">
      <alignment horizontal="center" vertical="center"/>
    </xf>
    <xf numFmtId="0" fontId="10" fillId="0" borderId="10" xfId="0" applyFont="1" applyBorder="1" applyAlignment="1">
      <alignment vertical="center"/>
    </xf>
    <xf numFmtId="0" fontId="146" fillId="0" borderId="10" xfId="0" applyFont="1" applyBorder="1" applyAlignment="1">
      <alignment vertical="center"/>
    </xf>
    <xf numFmtId="0" fontId="146" fillId="0" borderId="10" xfId="0" applyFont="1" applyBorder="1" applyAlignment="1">
      <alignment horizontal="center" vertical="center"/>
    </xf>
    <xf numFmtId="0" fontId="146" fillId="0" borderId="0" xfId="0" applyFont="1" applyAlignment="1">
      <alignment horizontal="center" vertical="center"/>
    </xf>
    <xf numFmtId="0" fontId="51" fillId="0" borderId="0" xfId="0" applyFont="1" applyAlignment="1">
      <alignment horizontal="center" vertical="center"/>
    </xf>
    <xf numFmtId="3" fontId="10" fillId="4" borderId="0" xfId="667" applyNumberFormat="1" applyFont="1" applyFill="1" applyAlignment="1" applyProtection="1">
      <alignment vertical="center"/>
    </xf>
    <xf numFmtId="3" fontId="10" fillId="0" borderId="0" xfId="667" applyNumberFormat="1" applyFont="1" applyFill="1" applyAlignment="1" applyProtection="1">
      <alignment vertical="center"/>
    </xf>
    <xf numFmtId="3" fontId="10" fillId="4" borderId="10" xfId="667" applyNumberFormat="1" applyFont="1" applyFill="1" applyBorder="1" applyAlignment="1" applyProtection="1">
      <alignment horizontal="left" vertical="center"/>
    </xf>
    <xf numFmtId="3" fontId="10" fillId="0" borderId="10" xfId="0" applyNumberFormat="1" applyFont="1" applyBorder="1" applyAlignment="1">
      <alignment horizontal="center" vertical="center"/>
    </xf>
    <xf numFmtId="3" fontId="10" fillId="0" borderId="10" xfId="667" applyNumberFormat="1" applyFont="1" applyFill="1" applyBorder="1" applyAlignment="1" applyProtection="1">
      <alignment horizontal="center" vertical="center"/>
    </xf>
    <xf numFmtId="3" fontId="10" fillId="0" borderId="10" xfId="667" applyNumberFormat="1" applyFont="1" applyFill="1" applyBorder="1" applyAlignment="1" applyProtection="1">
      <alignment horizontal="left" vertical="center"/>
    </xf>
    <xf numFmtId="0" fontId="146" fillId="0" borderId="10" xfId="0" applyFont="1" applyBorder="1" applyAlignment="1">
      <alignment horizontal="left" vertical="center"/>
    </xf>
    <xf numFmtId="0" fontId="51" fillId="0" borderId="10" xfId="0" applyFont="1" applyBorder="1" applyAlignment="1">
      <alignment horizontal="center" vertical="center"/>
    </xf>
    <xf numFmtId="0" fontId="51" fillId="0" borderId="10" xfId="0" applyFont="1" applyBorder="1" applyAlignment="1">
      <alignment horizontal="centerContinuous" vertical="center"/>
    </xf>
    <xf numFmtId="3" fontId="51" fillId="0" borderId="0" xfId="667" applyNumberFormat="1" applyFont="1" applyFill="1" applyAlignment="1" applyProtection="1">
      <alignment vertical="center"/>
    </xf>
    <xf numFmtId="14" fontId="10" fillId="0" borderId="0" xfId="0" applyNumberFormat="1" applyFont="1" applyAlignment="1">
      <alignment horizontal="center" vertical="center"/>
    </xf>
    <xf numFmtId="0" fontId="10" fillId="0" borderId="13" xfId="0" applyFont="1" applyBorder="1" applyAlignment="1">
      <alignment horizontal="left" vertical="center"/>
    </xf>
    <xf numFmtId="0" fontId="10" fillId="0" borderId="13" xfId="0" applyFont="1" applyBorder="1" applyAlignment="1">
      <alignment horizontal="center" vertical="center"/>
    </xf>
    <xf numFmtId="3" fontId="10" fillId="4" borderId="12" xfId="0" applyNumberFormat="1" applyFont="1" applyFill="1" applyBorder="1" applyAlignment="1">
      <alignment horizontal="right" vertical="center"/>
    </xf>
    <xf numFmtId="3" fontId="10" fillId="0" borderId="12" xfId="0" applyNumberFormat="1" applyFont="1" applyBorder="1" applyAlignment="1">
      <alignment horizontal="right" vertical="center"/>
    </xf>
    <xf numFmtId="0" fontId="10" fillId="0" borderId="11" xfId="0" applyFont="1" applyBorder="1" applyAlignment="1">
      <alignment vertical="center"/>
    </xf>
    <xf numFmtId="0" fontId="10" fillId="4" borderId="18" xfId="0" applyFont="1" applyFill="1" applyBorder="1" applyAlignment="1">
      <alignment horizontal="center" vertical="center"/>
    </xf>
    <xf numFmtId="49" fontId="10" fillId="4" borderId="18" xfId="0" applyNumberFormat="1" applyFont="1" applyFill="1" applyBorder="1" applyAlignment="1">
      <alignment horizontal="center" vertical="center"/>
    </xf>
    <xf numFmtId="0" fontId="10" fillId="0" borderId="11" xfId="0" applyFont="1" applyBorder="1" applyAlignment="1">
      <alignment horizontal="left" vertical="center"/>
    </xf>
    <xf numFmtId="0" fontId="11" fillId="0" borderId="15" xfId="0" applyFont="1" applyBorder="1" applyAlignment="1">
      <alignment horizontal="center" vertical="center"/>
    </xf>
    <xf numFmtId="0" fontId="11" fillId="0" borderId="18" xfId="0" applyFont="1" applyBorder="1" applyAlignment="1">
      <alignment horizontal="center" vertical="center"/>
    </xf>
    <xf numFmtId="0" fontId="10" fillId="0" borderId="12" xfId="0" quotePrefix="1" applyFont="1" applyBorder="1" applyAlignment="1">
      <alignment horizontal="center" vertical="center"/>
    </xf>
    <xf numFmtId="0" fontId="10" fillId="0" borderId="18" xfId="0" applyFont="1" applyBorder="1" applyAlignment="1">
      <alignment horizontal="center" vertical="center"/>
    </xf>
    <xf numFmtId="0" fontId="10" fillId="0" borderId="12" xfId="0" applyFont="1" applyBorder="1" applyAlignment="1">
      <alignment horizontal="left" vertical="center"/>
    </xf>
    <xf numFmtId="0" fontId="10" fillId="0" borderId="12" xfId="0" applyFont="1" applyBorder="1" applyAlignment="1">
      <alignment horizontal="center" vertical="center"/>
    </xf>
    <xf numFmtId="0" fontId="10" fillId="0" borderId="10" xfId="0" applyFont="1" applyBorder="1" applyAlignment="1">
      <alignment horizontal="right" vertical="center"/>
    </xf>
    <xf numFmtId="0" fontId="10" fillId="0" borderId="12" xfId="0" applyFont="1" applyBorder="1" applyAlignment="1">
      <alignment horizontal="right" vertical="center"/>
    </xf>
    <xf numFmtId="0" fontId="10" fillId="4" borderId="15" xfId="0" applyFont="1" applyFill="1" applyBorder="1" applyAlignment="1">
      <alignment horizontal="center" vertical="center"/>
    </xf>
    <xf numFmtId="0" fontId="10" fillId="0" borderId="12" xfId="0" applyFont="1" applyBorder="1" applyAlignment="1">
      <alignment vertical="center"/>
    </xf>
    <xf numFmtId="0" fontId="10" fillId="0" borderId="13" xfId="0" applyFont="1" applyBorder="1" applyAlignment="1">
      <alignment vertical="center"/>
    </xf>
    <xf numFmtId="0" fontId="10" fillId="4" borderId="39" xfId="0" applyFont="1" applyFill="1" applyBorder="1" applyAlignment="1">
      <alignment horizontal="center" vertical="center"/>
    </xf>
    <xf numFmtId="0" fontId="146" fillId="0" borderId="15" xfId="0" applyFont="1" applyBorder="1" applyAlignment="1">
      <alignment horizontal="center" vertical="center"/>
    </xf>
    <xf numFmtId="0" fontId="10" fillId="0" borderId="18" xfId="0" applyFont="1" applyBorder="1" applyAlignment="1">
      <alignment horizontal="left" vertical="center"/>
    </xf>
    <xf numFmtId="0" fontId="52" fillId="0" borderId="0" xfId="0" applyFont="1" applyAlignment="1">
      <alignment horizontal="left" vertical="center"/>
    </xf>
    <xf numFmtId="0" fontId="10" fillId="8" borderId="12" xfId="0" applyFont="1" applyFill="1" applyBorder="1" applyAlignment="1">
      <alignment horizontal="left" vertical="center"/>
    </xf>
    <xf numFmtId="0" fontId="10" fillId="4" borderId="12" xfId="0" applyFont="1" applyFill="1" applyBorder="1" applyAlignment="1">
      <alignment horizontal="left" vertical="center"/>
    </xf>
    <xf numFmtId="0" fontId="10" fillId="4" borderId="15" xfId="0" applyFont="1" applyFill="1" applyBorder="1" applyAlignment="1">
      <alignment horizontal="left" vertical="center"/>
    </xf>
    <xf numFmtId="3" fontId="12" fillId="0" borderId="12" xfId="0" applyNumberFormat="1" applyFont="1" applyBorder="1" applyAlignment="1">
      <alignment horizontal="right" vertical="center"/>
    </xf>
    <xf numFmtId="3" fontId="10" fillId="0" borderId="12" xfId="0" applyNumberFormat="1" applyFont="1" applyBorder="1" applyAlignment="1">
      <alignment horizontal="center" vertical="center"/>
    </xf>
    <xf numFmtId="0" fontId="146" fillId="0" borderId="12" xfId="0" applyFont="1" applyBorder="1" applyAlignment="1">
      <alignment horizontal="left" vertical="center"/>
    </xf>
    <xf numFmtId="0" fontId="146" fillId="0" borderId="12" xfId="0" applyFont="1" applyBorder="1" applyAlignment="1">
      <alignment horizontal="center" vertical="center"/>
    </xf>
    <xf numFmtId="0" fontId="146" fillId="0" borderId="18" xfId="0" applyFont="1" applyBorder="1" applyAlignment="1">
      <alignment horizontal="center" vertical="center"/>
    </xf>
    <xf numFmtId="0" fontId="10" fillId="0" borderId="40" xfId="0" applyFont="1" applyBorder="1" applyAlignment="1">
      <alignment horizontal="center" vertical="center"/>
    </xf>
    <xf numFmtId="0" fontId="52" fillId="4" borderId="0" xfId="0" applyFont="1" applyFill="1" applyAlignment="1">
      <alignment horizontal="left" vertical="center"/>
    </xf>
    <xf numFmtId="3" fontId="10" fillId="0" borderId="10" xfId="667" applyNumberFormat="1" applyFont="1" applyFill="1" applyBorder="1" applyAlignment="1" applyProtection="1">
      <alignment horizontal="right" vertical="center"/>
    </xf>
    <xf numFmtId="0" fontId="10" fillId="0" borderId="10" xfId="0" quotePrefix="1" applyFont="1" applyBorder="1" applyAlignment="1">
      <alignment horizontal="left" vertical="center"/>
    </xf>
    <xf numFmtId="0" fontId="146" fillId="0" borderId="10" xfId="0" quotePrefix="1" applyFont="1" applyBorder="1" applyAlignment="1">
      <alignment horizontal="center" vertical="center"/>
    </xf>
    <xf numFmtId="0" fontId="52" fillId="0" borderId="0" xfId="0" applyFont="1" applyAlignment="1">
      <alignment vertical="center"/>
    </xf>
    <xf numFmtId="0" fontId="10" fillId="4" borderId="10" xfId="0" applyFont="1" applyFill="1" applyBorder="1" applyAlignment="1">
      <alignment horizontal="left" vertical="center"/>
    </xf>
    <xf numFmtId="0" fontId="10" fillId="0" borderId="10" xfId="0" quotePrefix="1" applyFont="1" applyBorder="1" applyAlignment="1">
      <alignment horizontal="center" vertical="center"/>
    </xf>
    <xf numFmtId="3" fontId="10" fillId="0" borderId="11" xfId="0" applyNumberFormat="1" applyFont="1" applyBorder="1" applyAlignment="1">
      <alignment horizontal="right" vertical="center"/>
    </xf>
    <xf numFmtId="3" fontId="10" fillId="0" borderId="41" xfId="0" applyNumberFormat="1" applyFont="1" applyBorder="1" applyAlignment="1">
      <alignment horizontal="right" vertical="center"/>
    </xf>
    <xf numFmtId="0" fontId="10" fillId="0" borderId="39" xfId="0" applyFont="1" applyBorder="1" applyAlignment="1">
      <alignment horizontal="center" vertical="center"/>
    </xf>
    <xf numFmtId="3" fontId="10" fillId="0" borderId="0" xfId="0" applyNumberFormat="1" applyFont="1" applyAlignment="1">
      <alignment vertical="center"/>
    </xf>
    <xf numFmtId="0" fontId="10" fillId="0" borderId="19" xfId="0" applyFont="1" applyBorder="1" applyAlignment="1">
      <alignment horizontal="center" vertical="center"/>
    </xf>
    <xf numFmtId="0" fontId="11" fillId="0" borderId="5" xfId="0" applyFont="1" applyBorder="1" applyAlignment="1">
      <alignment horizontal="centerContinuous" vertical="center"/>
    </xf>
    <xf numFmtId="0" fontId="11" fillId="0" borderId="2" xfId="0" applyFont="1" applyBorder="1" applyAlignment="1">
      <alignment horizontal="centerContinuous" vertical="center"/>
    </xf>
    <xf numFmtId="0" fontId="11" fillId="0" borderId="8" xfId="0" applyFont="1" applyBorder="1" applyAlignment="1">
      <alignment horizontal="centerContinuous" vertical="center"/>
    </xf>
    <xf numFmtId="0" fontId="11" fillId="0" borderId="3" xfId="0" applyFont="1" applyBorder="1" applyAlignment="1">
      <alignment horizontal="center" vertical="center"/>
    </xf>
    <xf numFmtId="0" fontId="88" fillId="0" borderId="3" xfId="0" applyFont="1" applyBorder="1" applyAlignment="1">
      <alignment horizontal="center" vertical="center"/>
    </xf>
    <xf numFmtId="0" fontId="11" fillId="0" borderId="13" xfId="0" applyFont="1" applyBorder="1" applyAlignment="1">
      <alignment horizontal="center" vertical="center"/>
    </xf>
    <xf numFmtId="0" fontId="88" fillId="0" borderId="13" xfId="0" applyFont="1" applyBorder="1" applyAlignment="1">
      <alignment horizontal="center" vertical="center"/>
    </xf>
    <xf numFmtId="49" fontId="147" fillId="0" borderId="10" xfId="0" applyNumberFormat="1" applyFont="1" applyBorder="1" applyAlignment="1">
      <alignment horizontal="left" vertical="center"/>
    </xf>
    <xf numFmtId="49" fontId="10" fillId="9" borderId="10" xfId="0" applyNumberFormat="1" applyFont="1" applyFill="1" applyBorder="1" applyAlignment="1">
      <alignment horizontal="center" vertical="center"/>
    </xf>
    <xf numFmtId="3" fontId="50" fillId="0" borderId="10" xfId="667" applyNumberFormat="1" applyFont="1" applyBorder="1" applyAlignment="1">
      <alignment vertical="center"/>
    </xf>
    <xf numFmtId="3" fontId="10" fillId="0" borderId="0" xfId="0" applyNumberFormat="1" applyFont="1" applyAlignment="1">
      <alignment horizontal="left" vertical="center"/>
    </xf>
    <xf numFmtId="2" fontId="10" fillId="9" borderId="10" xfId="0" quotePrefix="1" applyNumberFormat="1" applyFont="1" applyFill="1" applyBorder="1" applyAlignment="1">
      <alignment horizontal="center" vertical="center"/>
    </xf>
    <xf numFmtId="49" fontId="51" fillId="0" borderId="13" xfId="0" applyNumberFormat="1" applyFont="1" applyBorder="1" applyAlignment="1">
      <alignment horizontal="center" vertical="center"/>
    </xf>
    <xf numFmtId="2" fontId="10" fillId="9" borderId="10" xfId="0" applyNumberFormat="1" applyFont="1" applyFill="1" applyBorder="1" applyAlignment="1">
      <alignment horizontal="center" vertical="center"/>
    </xf>
    <xf numFmtId="49" fontId="51" fillId="0" borderId="0" xfId="0" applyNumberFormat="1" applyFont="1" applyAlignment="1">
      <alignment horizontal="center" vertical="center"/>
    </xf>
    <xf numFmtId="2" fontId="10" fillId="0" borderId="10" xfId="0" quotePrefix="1" applyNumberFormat="1" applyFont="1" applyBorder="1" applyAlignment="1">
      <alignment horizontal="center" vertical="center"/>
    </xf>
    <xf numFmtId="3" fontId="10" fillId="0" borderId="10" xfId="0" quotePrefix="1" applyNumberFormat="1" applyFont="1" applyBorder="1" applyAlignment="1">
      <alignment horizontal="right" vertical="center"/>
    </xf>
    <xf numFmtId="3" fontId="0" fillId="0" borderId="10" xfId="667" applyNumberFormat="1" applyFont="1" applyBorder="1" applyAlignment="1">
      <alignment vertical="center"/>
    </xf>
    <xf numFmtId="2" fontId="11" fillId="0" borderId="10" xfId="0" quotePrefix="1" applyNumberFormat="1" applyFont="1" applyBorder="1" applyAlignment="1">
      <alignment horizontal="center" vertical="center"/>
    </xf>
    <xf numFmtId="49" fontId="147" fillId="0" borderId="14" xfId="0" applyNumberFormat="1" applyFont="1" applyBorder="1" applyAlignment="1">
      <alignment horizontal="left" vertical="center"/>
    </xf>
    <xf numFmtId="0" fontId="10" fillId="0" borderId="14" xfId="0" quotePrefix="1" applyFont="1" applyBorder="1" applyAlignment="1">
      <alignment horizontal="left" vertical="center"/>
    </xf>
    <xf numFmtId="0" fontId="10" fillId="0" borderId="14" xfId="0" applyFont="1" applyBorder="1" applyAlignment="1">
      <alignment horizontal="center" vertical="center"/>
    </xf>
    <xf numFmtId="3" fontId="10" fillId="0" borderId="14" xfId="667" quotePrefix="1" applyNumberFormat="1" applyFont="1" applyBorder="1" applyAlignment="1" applyProtection="1">
      <alignment horizontal="right" vertical="center"/>
    </xf>
    <xf numFmtId="4" fontId="10" fillId="0" borderId="14" xfId="667" quotePrefix="1" applyNumberFormat="1" applyFont="1" applyBorder="1" applyAlignment="1" applyProtection="1">
      <alignment horizontal="right" vertical="center"/>
    </xf>
    <xf numFmtId="49" fontId="10" fillId="0" borderId="14" xfId="0" applyNumberFormat="1" applyFont="1" applyBorder="1" applyAlignment="1">
      <alignment horizontal="center" vertical="center"/>
    </xf>
    <xf numFmtId="4" fontId="10" fillId="0" borderId="11" xfId="667" quotePrefix="1" applyNumberFormat="1" applyFont="1" applyBorder="1" applyAlignment="1" applyProtection="1">
      <alignment horizontal="right" vertical="center"/>
    </xf>
    <xf numFmtId="49" fontId="10" fillId="0" borderId="11" xfId="0" applyNumberFormat="1" applyFont="1" applyBorder="1" applyAlignment="1">
      <alignment horizontal="center" vertical="center"/>
    </xf>
    <xf numFmtId="4" fontId="10" fillId="0" borderId="10" xfId="667" quotePrefix="1" applyNumberFormat="1" applyFont="1" applyBorder="1" applyAlignment="1" applyProtection="1">
      <alignment horizontal="right" vertical="center"/>
    </xf>
    <xf numFmtId="3" fontId="10" fillId="0" borderId="10" xfId="667" quotePrefix="1" applyNumberFormat="1" applyFont="1" applyBorder="1" applyAlignment="1" applyProtection="1">
      <alignment horizontal="right" vertical="center"/>
    </xf>
    <xf numFmtId="49" fontId="50" fillId="0" borderId="10" xfId="0" applyNumberFormat="1" applyFont="1" applyBorder="1" applyAlignment="1">
      <alignment horizontal="left" vertical="center" wrapText="1"/>
    </xf>
    <xf numFmtId="0" fontId="4" fillId="2" borderId="0" xfId="0" applyFont="1" applyFill="1" applyProtection="1">
      <protection hidden="1"/>
    </xf>
    <xf numFmtId="0" fontId="8" fillId="0" borderId="0" xfId="0" applyFont="1" applyProtection="1">
      <protection hidden="1"/>
    </xf>
    <xf numFmtId="0" fontId="6" fillId="0" borderId="0" xfId="0" applyFont="1" applyProtection="1">
      <protection locked="0"/>
    </xf>
    <xf numFmtId="0" fontId="10" fillId="3" borderId="0" xfId="0" applyFont="1" applyFill="1" applyProtection="1">
      <protection hidden="1"/>
    </xf>
    <xf numFmtId="0" fontId="14" fillId="3" borderId="0" xfId="0" applyFont="1" applyFill="1" applyProtection="1">
      <protection hidden="1"/>
    </xf>
    <xf numFmtId="0" fontId="150" fillId="3" borderId="0" xfId="0" applyFont="1" applyFill="1" applyProtection="1">
      <protection hidden="1"/>
    </xf>
    <xf numFmtId="1" fontId="149" fillId="3" borderId="0" xfId="0" applyNumberFormat="1" applyFont="1" applyFill="1" applyProtection="1">
      <protection hidden="1"/>
    </xf>
    <xf numFmtId="0" fontId="93" fillId="3" borderId="0" xfId="0" applyFont="1" applyFill="1" applyProtection="1">
      <protection hidden="1"/>
    </xf>
    <xf numFmtId="0" fontId="22" fillId="3" borderId="0" xfId="0" applyFont="1" applyFill="1" applyProtection="1">
      <protection hidden="1"/>
    </xf>
    <xf numFmtId="1" fontId="71" fillId="2" borderId="0" xfId="0" applyNumberFormat="1" applyFont="1" applyFill="1" applyProtection="1">
      <protection locked="0"/>
    </xf>
    <xf numFmtId="0" fontId="5" fillId="0" borderId="3" xfId="0" applyFont="1" applyBorder="1" applyProtection="1">
      <protection locked="0"/>
    </xf>
    <xf numFmtId="0" fontId="14" fillId="3" borderId="0" xfId="0" applyFont="1" applyFill="1"/>
    <xf numFmtId="0" fontId="14" fillId="0" borderId="0" xfId="0" applyFont="1"/>
    <xf numFmtId="0" fontId="11" fillId="0" borderId="0" xfId="0" applyFont="1" applyAlignment="1">
      <alignment horizontal="center"/>
    </xf>
    <xf numFmtId="0" fontId="3" fillId="0" borderId="0" xfId="0" applyFont="1" applyAlignment="1">
      <alignment horizontal="center"/>
    </xf>
    <xf numFmtId="0" fontId="70" fillId="0" borderId="0" xfId="0" applyFont="1" applyAlignment="1">
      <alignment horizontal="center"/>
    </xf>
    <xf numFmtId="0" fontId="4" fillId="0" borderId="0" xfId="0" quotePrefix="1" applyFont="1" applyAlignment="1">
      <alignment horizontal="left"/>
    </xf>
    <xf numFmtId="0" fontId="6" fillId="0" borderId="0" xfId="0" applyFont="1"/>
    <xf numFmtId="0" fontId="61" fillId="0" borderId="0" xfId="0" applyFont="1" applyAlignment="1">
      <alignment vertical="top"/>
    </xf>
    <xf numFmtId="0" fontId="4" fillId="0" borderId="0" xfId="0" applyFont="1" applyAlignment="1">
      <alignment wrapText="1"/>
    </xf>
    <xf numFmtId="0" fontId="61" fillId="0" borderId="0" xfId="0" applyFont="1" applyAlignment="1">
      <alignment horizontal="right" vertical="top"/>
    </xf>
    <xf numFmtId="0" fontId="4" fillId="0" borderId="0" xfId="0" applyFont="1"/>
    <xf numFmtId="0" fontId="5" fillId="0" borderId="2" xfId="0" applyFont="1" applyBorder="1" applyAlignment="1">
      <alignment horizontal="center"/>
    </xf>
    <xf numFmtId="203" fontId="5" fillId="0" borderId="0" xfId="0" applyNumberFormat="1" applyFont="1"/>
    <xf numFmtId="0" fontId="14" fillId="0" borderId="3" xfId="0" applyFont="1" applyBorder="1" applyAlignment="1">
      <alignment horizontal="center" vertical="center"/>
    </xf>
    <xf numFmtId="0" fontId="14" fillId="0" borderId="2" xfId="0" applyFont="1" applyBorder="1" applyAlignment="1">
      <alignment horizontal="center"/>
    </xf>
    <xf numFmtId="203" fontId="14" fillId="0" borderId="0" xfId="0" applyNumberFormat="1" applyFont="1"/>
    <xf numFmtId="203" fontId="4" fillId="0" borderId="0" xfId="0" applyNumberFormat="1" applyFont="1"/>
    <xf numFmtId="0" fontId="14" fillId="0" borderId="10" xfId="0" applyFont="1" applyBorder="1" applyAlignment="1">
      <alignment vertical="center"/>
    </xf>
    <xf numFmtId="0" fontId="14" fillId="0" borderId="20" xfId="0" applyFont="1" applyBorder="1"/>
    <xf numFmtId="0" fontId="14" fillId="0" borderId="32" xfId="0" applyFont="1" applyBorder="1"/>
    <xf numFmtId="0" fontId="14" fillId="0" borderId="0" xfId="0" applyFont="1" applyAlignment="1">
      <alignment vertical="center"/>
    </xf>
    <xf numFmtId="0" fontId="4" fillId="0" borderId="27" xfId="0" applyFont="1" applyBorder="1" applyAlignment="1">
      <alignment vertical="center"/>
    </xf>
    <xf numFmtId="203" fontId="4" fillId="0" borderId="27" xfId="0" applyNumberFormat="1" applyFont="1" applyBorder="1"/>
    <xf numFmtId="0" fontId="14" fillId="0" borderId="10" xfId="0" applyFont="1" applyBorder="1"/>
    <xf numFmtId="0" fontId="121" fillId="0" borderId="0" xfId="0" applyFont="1"/>
    <xf numFmtId="0" fontId="121" fillId="0" borderId="0" xfId="0" applyFont="1" applyAlignment="1">
      <alignment vertical="center"/>
    </xf>
    <xf numFmtId="0" fontId="4" fillId="0" borderId="0" xfId="0" applyFont="1" applyAlignment="1">
      <alignment vertical="center"/>
    </xf>
    <xf numFmtId="225" fontId="4" fillId="0" borderId="0" xfId="0" applyNumberFormat="1" applyFont="1" applyAlignment="1">
      <alignment horizontal="right"/>
    </xf>
    <xf numFmtId="225" fontId="4" fillId="0" borderId="0" xfId="0" applyNumberFormat="1" applyFont="1"/>
    <xf numFmtId="0" fontId="93" fillId="0" borderId="0" xfId="0" applyFont="1"/>
    <xf numFmtId="0" fontId="93" fillId="0" borderId="0" xfId="0" quotePrefix="1" applyFont="1"/>
    <xf numFmtId="0" fontId="14" fillId="0" borderId="0" xfId="0" applyFont="1" applyAlignment="1">
      <alignment horizontal="center"/>
    </xf>
    <xf numFmtId="14" fontId="14" fillId="0" borderId="0" xfId="0" quotePrefix="1" applyNumberFormat="1" applyFont="1" applyAlignment="1">
      <alignment horizontal="center"/>
    </xf>
    <xf numFmtId="14" fontId="14" fillId="0" borderId="0" xfId="0" applyNumberFormat="1" applyFont="1" applyAlignment="1">
      <alignment horizontal="center"/>
    </xf>
    <xf numFmtId="49" fontId="14" fillId="0" borderId="0" xfId="0" applyNumberFormat="1" applyFont="1"/>
    <xf numFmtId="1" fontId="71" fillId="0" borderId="0" xfId="0" applyNumberFormat="1" applyFont="1"/>
    <xf numFmtId="49" fontId="14" fillId="0" borderId="0" xfId="0" applyNumberFormat="1" applyFont="1" applyAlignment="1">
      <alignment horizontal="center"/>
    </xf>
    <xf numFmtId="0" fontId="153" fillId="3" borderId="0" xfId="0" applyFont="1" applyFill="1" applyProtection="1">
      <protection hidden="1"/>
    </xf>
    <xf numFmtId="0" fontId="121" fillId="3" borderId="0" xfId="0" applyFont="1" applyFill="1" applyAlignment="1" applyProtection="1">
      <alignment vertical="center"/>
      <protection hidden="1"/>
    </xf>
    <xf numFmtId="0" fontId="7" fillId="3" borderId="0" xfId="0" applyFont="1" applyFill="1" applyAlignment="1">
      <alignment vertical="center"/>
    </xf>
    <xf numFmtId="0" fontId="136" fillId="3" borderId="0" xfId="0" applyFont="1" applyFill="1" applyAlignment="1">
      <alignment vertical="center"/>
    </xf>
    <xf numFmtId="4" fontId="7" fillId="3" borderId="0" xfId="0" applyNumberFormat="1" applyFont="1" applyFill="1" applyAlignment="1">
      <alignment vertical="center"/>
    </xf>
    <xf numFmtId="0" fontId="7" fillId="3" borderId="0" xfId="0" applyFont="1" applyFill="1"/>
    <xf numFmtId="0" fontId="7" fillId="3" borderId="0" xfId="0" applyFont="1" applyFill="1" applyAlignment="1">
      <alignment horizontal="left" vertical="center"/>
    </xf>
    <xf numFmtId="291" fontId="5" fillId="0" borderId="0" xfId="0" applyNumberFormat="1" applyFont="1" applyAlignment="1" applyProtection="1">
      <alignment horizontal="left"/>
      <protection hidden="1"/>
    </xf>
    <xf numFmtId="292" fontId="5" fillId="0" borderId="0" xfId="0" applyNumberFormat="1" applyFont="1" applyAlignment="1" applyProtection="1">
      <alignment horizontal="left"/>
      <protection hidden="1"/>
    </xf>
    <xf numFmtId="14" fontId="11" fillId="0" borderId="19" xfId="0" quotePrefix="1" applyNumberFormat="1" applyFont="1" applyBorder="1" applyAlignment="1">
      <alignment horizontal="center" vertical="center"/>
    </xf>
    <xf numFmtId="3" fontId="10" fillId="4" borderId="10" xfId="667" applyNumberFormat="1" applyFont="1" applyFill="1" applyBorder="1" applyAlignment="1" applyProtection="1">
      <alignment horizontal="center" vertical="center"/>
    </xf>
    <xf numFmtId="3" fontId="10" fillId="4" borderId="10" xfId="0" applyNumberFormat="1" applyFont="1" applyFill="1" applyBorder="1" applyAlignment="1">
      <alignment horizontal="right" vertical="center"/>
    </xf>
    <xf numFmtId="3" fontId="51" fillId="4" borderId="0" xfId="667" applyNumberFormat="1" applyFont="1" applyFill="1" applyAlignment="1" applyProtection="1">
      <alignment vertical="center"/>
    </xf>
    <xf numFmtId="0" fontId="51" fillId="0" borderId="10" xfId="0" applyFont="1" applyBorder="1" applyAlignment="1">
      <alignment horizontal="left" vertical="center"/>
    </xf>
    <xf numFmtId="0" fontId="50" fillId="0" borderId="10" xfId="0" applyFont="1" applyBorder="1" applyAlignment="1">
      <alignment horizontal="center" vertical="center"/>
    </xf>
    <xf numFmtId="0" fontId="10" fillId="2" borderId="12" xfId="0" applyFont="1" applyFill="1" applyBorder="1" applyAlignment="1">
      <alignment horizontal="left" vertical="center"/>
    </xf>
    <xf numFmtId="0" fontId="5" fillId="0" borderId="0" xfId="0" applyFont="1" applyAlignment="1">
      <alignment horizontal="centerContinuous" vertical="center"/>
    </xf>
    <xf numFmtId="0" fontId="5" fillId="0" borderId="0" xfId="0" applyFont="1" applyAlignment="1">
      <alignment horizontal="centerContinuous"/>
    </xf>
    <xf numFmtId="0" fontId="5" fillId="0" borderId="17" xfId="0" applyFont="1" applyBorder="1" applyAlignment="1">
      <alignment horizontal="center"/>
    </xf>
    <xf numFmtId="0" fontId="6" fillId="0" borderId="8" xfId="0" applyFont="1" applyBorder="1" applyAlignment="1">
      <alignment vertical="center"/>
    </xf>
    <xf numFmtId="0" fontId="6" fillId="0" borderId="2" xfId="0" applyFont="1" applyBorder="1" applyAlignment="1">
      <alignment horizontal="center" vertical="center"/>
    </xf>
    <xf numFmtId="296" fontId="5" fillId="4" borderId="8" xfId="0" applyNumberFormat="1" applyFont="1" applyFill="1" applyBorder="1" applyAlignment="1">
      <alignment horizontal="center" vertical="center"/>
    </xf>
    <xf numFmtId="3" fontId="5" fillId="0" borderId="8" xfId="0" applyNumberFormat="1" applyFont="1" applyBorder="1" applyAlignment="1">
      <alignment horizontal="center" vertical="center"/>
    </xf>
    <xf numFmtId="0" fontId="5" fillId="0" borderId="5" xfId="0" applyFont="1" applyBorder="1" applyAlignment="1">
      <alignment horizontal="center" vertical="center" wrapText="1"/>
    </xf>
    <xf numFmtId="0" fontId="5" fillId="0" borderId="3" xfId="0" applyFont="1" applyBorder="1" applyAlignment="1">
      <alignment horizontal="center" vertical="center"/>
    </xf>
    <xf numFmtId="0" fontId="5" fillId="0" borderId="5" xfId="0" applyFont="1" applyBorder="1" applyAlignment="1">
      <alignment horizontal="center"/>
    </xf>
    <xf numFmtId="3" fontId="6" fillId="0" borderId="8" xfId="0" applyNumberFormat="1" applyFont="1" applyBorder="1"/>
    <xf numFmtId="0" fontId="5" fillId="0" borderId="27" xfId="0" applyFont="1" applyBorder="1" applyAlignment="1">
      <alignment horizontal="center" vertical="center" wrapText="1"/>
    </xf>
    <xf numFmtId="296" fontId="5" fillId="4" borderId="35" xfId="0" applyNumberFormat="1" applyFont="1" applyFill="1" applyBorder="1" applyAlignment="1">
      <alignment horizontal="center" vertical="center"/>
    </xf>
    <xf numFmtId="0" fontId="6" fillId="0" borderId="2" xfId="0" applyFont="1" applyBorder="1" applyAlignment="1">
      <alignment horizontal="center"/>
    </xf>
    <xf numFmtId="0" fontId="6" fillId="0" borderId="8" xfId="0" applyFont="1" applyBorder="1"/>
    <xf numFmtId="0" fontId="5" fillId="0" borderId="0" xfId="0" applyFont="1" applyAlignment="1">
      <alignment horizontal="right"/>
    </xf>
    <xf numFmtId="0" fontId="5" fillId="0" borderId="0" xfId="0" applyFont="1" applyAlignment="1">
      <alignment horizontal="left"/>
    </xf>
    <xf numFmtId="0" fontId="6" fillId="0" borderId="0" xfId="0" applyFont="1" applyAlignment="1">
      <alignment horizontal="left"/>
    </xf>
    <xf numFmtId="3" fontId="6" fillId="0" borderId="8" xfId="0" applyNumberFormat="1" applyFont="1" applyBorder="1" applyAlignment="1">
      <alignment horizontal="center" vertical="center"/>
    </xf>
    <xf numFmtId="0" fontId="5" fillId="0" borderId="9" xfId="0" applyFont="1" applyBorder="1" applyAlignment="1">
      <alignment horizontal="center"/>
    </xf>
    <xf numFmtId="0" fontId="6" fillId="0" borderId="42" xfId="0" applyFont="1" applyBorder="1" applyAlignment="1">
      <alignment vertical="center"/>
    </xf>
    <xf numFmtId="3" fontId="5" fillId="0" borderId="0" xfId="0" applyNumberFormat="1" applyFont="1" applyAlignment="1">
      <alignment horizontal="centerContinuous" vertical="center"/>
    </xf>
    <xf numFmtId="0" fontId="0" fillId="0" borderId="3" xfId="0" applyBorder="1" applyAlignment="1">
      <alignment horizontal="center" vertical="center"/>
    </xf>
    <xf numFmtId="0" fontId="0" fillId="0" borderId="0" xfId="0" applyAlignment="1">
      <alignment horizontal="centerContinuous" vertical="center"/>
    </xf>
    <xf numFmtId="0" fontId="11" fillId="0" borderId="0" xfId="0" applyFont="1" applyAlignment="1">
      <alignment horizontal="centerContinuous" vertical="center"/>
    </xf>
    <xf numFmtId="0" fontId="11" fillId="0" borderId="0" xfId="0" applyFont="1"/>
    <xf numFmtId="3" fontId="10" fillId="4" borderId="10" xfId="0" applyNumberFormat="1" applyFont="1" applyFill="1" applyBorder="1" applyAlignment="1">
      <alignment vertical="center" wrapText="1"/>
    </xf>
    <xf numFmtId="3" fontId="10" fillId="2" borderId="10" xfId="0" applyNumberFormat="1" applyFont="1" applyFill="1" applyBorder="1" applyAlignment="1">
      <alignment vertical="center" wrapText="1"/>
    </xf>
    <xf numFmtId="3" fontId="10" fillId="2" borderId="16" xfId="0" applyNumberFormat="1" applyFont="1" applyFill="1" applyBorder="1" applyAlignment="1">
      <alignment vertical="center" wrapText="1"/>
    </xf>
    <xf numFmtId="3" fontId="10" fillId="4" borderId="16" xfId="0" applyNumberFormat="1" applyFont="1" applyFill="1" applyBorder="1" applyAlignment="1">
      <alignment vertical="center" wrapText="1"/>
    </xf>
    <xf numFmtId="3" fontId="10" fillId="2" borderId="10" xfId="0" applyNumberFormat="1" applyFont="1" applyFill="1" applyBorder="1" applyAlignment="1">
      <alignment horizontal="center" vertical="center" wrapText="1"/>
    </xf>
    <xf numFmtId="3" fontId="10" fillId="2" borderId="16" xfId="0" applyNumberFormat="1" applyFont="1" applyFill="1" applyBorder="1" applyAlignment="1">
      <alignment horizontal="center" vertical="center" wrapText="1"/>
    </xf>
    <xf numFmtId="0" fontId="5" fillId="2" borderId="0" xfId="0" applyFont="1" applyFill="1" applyAlignment="1">
      <alignment horizontal="right"/>
    </xf>
    <xf numFmtId="296" fontId="5" fillId="4" borderId="0" xfId="0" applyNumberFormat="1" applyFont="1" applyFill="1" applyAlignment="1">
      <alignment horizontal="left"/>
    </xf>
    <xf numFmtId="297" fontId="5" fillId="4" borderId="5" xfId="0" applyNumberFormat="1" applyFont="1" applyFill="1" applyBorder="1" applyAlignment="1">
      <alignment horizontal="center" vertical="center"/>
    </xf>
    <xf numFmtId="297" fontId="5" fillId="4" borderId="42" xfId="0" applyNumberFormat="1" applyFont="1" applyFill="1" applyBorder="1" applyAlignment="1">
      <alignment horizontal="center" vertical="center"/>
    </xf>
    <xf numFmtId="298" fontId="5" fillId="0" borderId="0" xfId="0" applyNumberFormat="1" applyFont="1" applyAlignment="1">
      <alignment horizontal="center" vertical="center"/>
    </xf>
    <xf numFmtId="298" fontId="5" fillId="0" borderId="2" xfId="0" applyNumberFormat="1" applyFont="1" applyBorder="1" applyAlignment="1">
      <alignment horizontal="center" vertical="center"/>
    </xf>
    <xf numFmtId="0" fontId="6" fillId="0" borderId="5" xfId="0" applyFont="1" applyBorder="1" applyAlignment="1">
      <alignment vertical="center"/>
    </xf>
    <xf numFmtId="3" fontId="6" fillId="0" borderId="9" xfId="0" applyNumberFormat="1" applyFont="1" applyBorder="1" applyAlignment="1">
      <alignment horizontal="center"/>
    </xf>
    <xf numFmtId="0" fontId="5" fillId="4" borderId="0" xfId="0" applyFont="1" applyFill="1" applyAlignment="1" applyProtection="1">
      <alignment horizontal="right"/>
      <protection hidden="1"/>
    </xf>
    <xf numFmtId="0" fontId="10" fillId="2" borderId="0" xfId="0" applyFont="1" applyFill="1" applyAlignment="1" applyProtection="1">
      <alignment horizontal="centerContinuous"/>
      <protection hidden="1"/>
    </xf>
    <xf numFmtId="0" fontId="11" fillId="2" borderId="0" xfId="0" applyFont="1" applyFill="1" applyAlignment="1" applyProtection="1">
      <alignment horizontal="left"/>
      <protection hidden="1"/>
    </xf>
    <xf numFmtId="0" fontId="11" fillId="2" borderId="0" xfId="0" applyFont="1" applyFill="1" applyProtection="1">
      <protection hidden="1"/>
    </xf>
    <xf numFmtId="0" fontId="7" fillId="4" borderId="0" xfId="0" applyFont="1" applyFill="1" applyAlignment="1">
      <alignment vertical="center"/>
    </xf>
    <xf numFmtId="0" fontId="7" fillId="2" borderId="0" xfId="0" applyFont="1" applyFill="1" applyAlignment="1">
      <alignment vertical="center"/>
    </xf>
    <xf numFmtId="0" fontId="10" fillId="2" borderId="0" xfId="0" applyFont="1" applyFill="1" applyAlignment="1" applyProtection="1">
      <alignment horizontal="left"/>
      <protection hidden="1"/>
    </xf>
    <xf numFmtId="0" fontId="7" fillId="2" borderId="0" xfId="0" applyFont="1" applyFill="1" applyAlignment="1">
      <alignment horizontal="centerContinuous" vertical="center"/>
    </xf>
    <xf numFmtId="0" fontId="121" fillId="0" borderId="5" xfId="0" applyFont="1" applyBorder="1" applyAlignment="1" applyProtection="1">
      <alignment vertical="center"/>
      <protection hidden="1"/>
    </xf>
    <xf numFmtId="0" fontId="121" fillId="0" borderId="2" xfId="0" applyFont="1" applyBorder="1" applyAlignment="1" applyProtection="1">
      <alignment vertical="center"/>
      <protection hidden="1"/>
    </xf>
    <xf numFmtId="0" fontId="121" fillId="0" borderId="8" xfId="0" applyFont="1" applyBorder="1" applyAlignment="1" applyProtection="1">
      <alignment vertical="center"/>
      <protection hidden="1"/>
    </xf>
    <xf numFmtId="0" fontId="4" fillId="0" borderId="5" xfId="0" applyFont="1" applyBorder="1" applyAlignment="1" applyProtection="1">
      <alignment vertical="center"/>
      <protection hidden="1"/>
    </xf>
    <xf numFmtId="0" fontId="13" fillId="2" borderId="0" xfId="0" applyFont="1" applyFill="1" applyAlignment="1" applyProtection="1">
      <alignment horizontal="left"/>
      <protection hidden="1"/>
    </xf>
    <xf numFmtId="0" fontId="155" fillId="0" borderId="0" xfId="0" applyFont="1" applyAlignment="1" applyProtection="1">
      <alignment vertical="center"/>
      <protection hidden="1"/>
    </xf>
    <xf numFmtId="0" fontId="14" fillId="0" borderId="10" xfId="0" applyFont="1" applyBorder="1" applyAlignment="1">
      <alignment horizontal="left" vertical="center"/>
    </xf>
    <xf numFmtId="0" fontId="155" fillId="0" borderId="10" xfId="0" applyFont="1" applyBorder="1" applyAlignment="1">
      <alignment horizontal="left" vertical="center"/>
    </xf>
    <xf numFmtId="0" fontId="155" fillId="0" borderId="10" xfId="0" applyFont="1" applyBorder="1" applyAlignment="1">
      <alignment vertical="center"/>
    </xf>
    <xf numFmtId="0" fontId="121" fillId="0" borderId="17" xfId="0" applyFont="1" applyBorder="1" applyAlignment="1" applyProtection="1">
      <alignment vertical="center"/>
      <protection hidden="1"/>
    </xf>
    <xf numFmtId="0" fontId="121" fillId="0" borderId="27" xfId="0" applyFont="1" applyBorder="1" applyAlignment="1" applyProtection="1">
      <alignment vertical="center"/>
      <protection hidden="1"/>
    </xf>
    <xf numFmtId="0" fontId="121" fillId="0" borderId="42" xfId="0" applyFont="1" applyBorder="1" applyAlignment="1" applyProtection="1">
      <alignment vertical="center"/>
      <protection hidden="1"/>
    </xf>
    <xf numFmtId="0" fontId="155" fillId="0" borderId="43" xfId="0" applyFont="1" applyBorder="1" applyAlignment="1" applyProtection="1">
      <alignment vertical="center"/>
      <protection hidden="1"/>
    </xf>
    <xf numFmtId="0" fontId="155" fillId="0" borderId="34" xfId="0" applyFont="1" applyBorder="1" applyAlignment="1" applyProtection="1">
      <alignment vertical="center"/>
      <protection hidden="1"/>
    </xf>
    <xf numFmtId="0" fontId="8" fillId="0" borderId="2" xfId="0" applyFont="1" applyBorder="1" applyAlignment="1" applyProtection="1">
      <alignment horizontal="center" vertical="center"/>
      <protection hidden="1"/>
    </xf>
    <xf numFmtId="0" fontId="7" fillId="0" borderId="2" xfId="0" applyFont="1" applyBorder="1" applyAlignment="1" applyProtection="1">
      <alignment horizontal="center" vertical="center"/>
      <protection hidden="1"/>
    </xf>
    <xf numFmtId="0" fontId="7" fillId="0" borderId="8" xfId="0" applyFont="1" applyBorder="1" applyAlignment="1" applyProtection="1">
      <alignment vertical="center"/>
      <protection hidden="1"/>
    </xf>
    <xf numFmtId="0" fontId="121" fillId="0" borderId="0" xfId="0" quotePrefix="1" applyFont="1" applyAlignment="1" applyProtection="1">
      <alignment vertical="center"/>
      <protection hidden="1"/>
    </xf>
    <xf numFmtId="0" fontId="14" fillId="0" borderId="11" xfId="0" applyFont="1" applyBorder="1" applyAlignment="1">
      <alignment vertical="center"/>
    </xf>
    <xf numFmtId="0" fontId="8" fillId="0" borderId="5" xfId="0" applyFont="1" applyBorder="1" applyAlignment="1" applyProtection="1">
      <alignment vertical="center"/>
      <protection hidden="1"/>
    </xf>
    <xf numFmtId="0" fontId="7" fillId="0" borderId="2" xfId="0" applyFont="1" applyBorder="1" applyAlignment="1" applyProtection="1">
      <alignment vertical="center"/>
      <protection hidden="1"/>
    </xf>
    <xf numFmtId="0" fontId="14" fillId="0" borderId="42" xfId="0" applyFont="1" applyBorder="1"/>
    <xf numFmtId="0" fontId="14" fillId="0" borderId="17" xfId="0" applyFont="1" applyBorder="1"/>
    <xf numFmtId="0" fontId="14" fillId="0" borderId="12" xfId="0" applyFont="1" applyBorder="1" applyAlignment="1">
      <alignment vertical="center"/>
    </xf>
    <xf numFmtId="0" fontId="8" fillId="0" borderId="5" xfId="0" applyFont="1" applyBorder="1" applyAlignment="1" applyProtection="1">
      <alignment horizontal="center" vertical="center"/>
      <protection hidden="1"/>
    </xf>
    <xf numFmtId="0" fontId="155" fillId="0" borderId="12" xfId="0" applyFont="1" applyBorder="1" applyAlignment="1">
      <alignment vertical="center"/>
    </xf>
    <xf numFmtId="0" fontId="14" fillId="0" borderId="12" xfId="0" applyFont="1" applyBorder="1" applyAlignment="1">
      <alignment horizontal="left" vertical="center"/>
    </xf>
    <xf numFmtId="0" fontId="14" fillId="0" borderId="11" xfId="0" applyFont="1" applyBorder="1" applyAlignment="1">
      <alignment horizontal="left" vertical="center"/>
    </xf>
    <xf numFmtId="0" fontId="10" fillId="2" borderId="0" xfId="0" quotePrefix="1" applyFont="1" applyFill="1" applyProtection="1">
      <protection hidden="1"/>
    </xf>
    <xf numFmtId="0" fontId="11" fillId="2" borderId="0" xfId="0" applyFont="1" applyFill="1" applyAlignment="1" applyProtection="1">
      <alignment horizontal="centerContinuous"/>
      <protection hidden="1"/>
    </xf>
    <xf numFmtId="0" fontId="10" fillId="2" borderId="0" xfId="0" applyFont="1" applyFill="1" applyAlignment="1" applyProtection="1">
      <alignment horizontal="center"/>
      <protection hidden="1"/>
    </xf>
    <xf numFmtId="0" fontId="10" fillId="2" borderId="0" xfId="0" applyFont="1" applyFill="1" applyAlignment="1">
      <alignment horizontal="left" vertical="center"/>
    </xf>
    <xf numFmtId="0" fontId="157" fillId="0" borderId="0" xfId="0" applyFont="1" applyAlignment="1" applyProtection="1">
      <alignment horizontal="left"/>
      <protection hidden="1"/>
    </xf>
    <xf numFmtId="38" fontId="52" fillId="2" borderId="10" xfId="948" applyNumberFormat="1" applyFont="1" applyFill="1" applyBorder="1" applyAlignment="1" applyProtection="1">
      <alignment horizontal="center"/>
      <protection hidden="1"/>
    </xf>
    <xf numFmtId="38" fontId="52" fillId="2" borderId="10" xfId="948" applyNumberFormat="1" applyFont="1" applyFill="1" applyBorder="1" applyAlignment="1" applyProtection="1">
      <alignment horizontal="left" wrapText="1"/>
      <protection hidden="1"/>
    </xf>
    <xf numFmtId="38" fontId="10" fillId="2" borderId="10" xfId="948" applyNumberFormat="1" applyFont="1" applyFill="1" applyBorder="1" applyAlignment="1" applyProtection="1">
      <alignment horizontal="left" vertical="center" wrapText="1"/>
      <protection hidden="1"/>
    </xf>
    <xf numFmtId="3" fontId="50" fillId="2" borderId="10" xfId="948" applyNumberFormat="1" applyFont="1" applyFill="1" applyBorder="1" applyAlignment="1" applyProtection="1">
      <alignment horizontal="right" vertical="center"/>
      <protection hidden="1"/>
    </xf>
    <xf numFmtId="0" fontId="121" fillId="0" borderId="28" xfId="0" applyFont="1" applyBorder="1" applyAlignment="1" applyProtection="1">
      <alignment vertical="center"/>
      <protection hidden="1"/>
    </xf>
    <xf numFmtId="0" fontId="121" fillId="0" borderId="20" xfId="0" applyFont="1" applyBorder="1" applyAlignment="1" applyProtection="1">
      <alignment vertical="center"/>
      <protection hidden="1"/>
    </xf>
    <xf numFmtId="0" fontId="121" fillId="5" borderId="5" xfId="0" applyFont="1" applyFill="1" applyBorder="1" applyAlignment="1" applyProtection="1">
      <alignment vertical="center"/>
      <protection hidden="1"/>
    </xf>
    <xf numFmtId="0" fontId="121" fillId="5" borderId="2" xfId="0" applyFont="1" applyFill="1" applyBorder="1" applyAlignment="1" applyProtection="1">
      <alignment vertical="center"/>
      <protection hidden="1"/>
    </xf>
    <xf numFmtId="0" fontId="121" fillId="0" borderId="30" xfId="0" applyFont="1" applyBorder="1" applyAlignment="1" applyProtection="1">
      <alignment horizontal="centerContinuous" vertical="center"/>
      <protection hidden="1"/>
    </xf>
    <xf numFmtId="0" fontId="121" fillId="0" borderId="31" xfId="0" applyFont="1" applyBorder="1" applyAlignment="1" applyProtection="1">
      <alignment horizontal="centerContinuous" vertical="center"/>
      <protection hidden="1"/>
    </xf>
    <xf numFmtId="0" fontId="121" fillId="0" borderId="32" xfId="0" applyFont="1" applyBorder="1" applyAlignment="1" applyProtection="1">
      <alignment horizontal="centerContinuous" vertical="center"/>
      <protection hidden="1"/>
    </xf>
    <xf numFmtId="0" fontId="121" fillId="0" borderId="15" xfId="0" applyFont="1" applyBorder="1" applyAlignment="1" applyProtection="1">
      <alignment horizontal="centerContinuous" vertical="center"/>
      <protection hidden="1"/>
    </xf>
    <xf numFmtId="259" fontId="121" fillId="2" borderId="5" xfId="0" applyNumberFormat="1" applyFont="1" applyFill="1" applyBorder="1" applyAlignment="1" applyProtection="1">
      <alignment horizontal="centerContinuous" vertical="center"/>
      <protection hidden="1"/>
    </xf>
    <xf numFmtId="4" fontId="121" fillId="2" borderId="5" xfId="0" applyNumberFormat="1" applyFont="1" applyFill="1" applyBorder="1" applyAlignment="1" applyProtection="1">
      <alignment horizontal="centerContinuous" vertical="center"/>
      <protection hidden="1"/>
    </xf>
    <xf numFmtId="259" fontId="121" fillId="2" borderId="2" xfId="0" applyNumberFormat="1" applyFont="1" applyFill="1" applyBorder="1" applyAlignment="1" applyProtection="1">
      <alignment horizontal="centerContinuous" vertical="center"/>
      <protection hidden="1"/>
    </xf>
    <xf numFmtId="291" fontId="5" fillId="2" borderId="0" xfId="0" applyNumberFormat="1" applyFont="1" applyFill="1" applyAlignment="1" applyProtection="1">
      <alignment horizontal="left"/>
      <protection hidden="1"/>
    </xf>
    <xf numFmtId="4" fontId="5" fillId="4" borderId="0" xfId="0" applyNumberFormat="1" applyFont="1" applyFill="1" applyProtection="1">
      <protection hidden="1"/>
    </xf>
    <xf numFmtId="3" fontId="5" fillId="4" borderId="0" xfId="0" applyNumberFormat="1" applyFont="1" applyFill="1" applyProtection="1">
      <protection hidden="1"/>
    </xf>
    <xf numFmtId="0" fontId="121" fillId="5" borderId="2" xfId="0" applyFont="1" applyFill="1" applyBorder="1" applyAlignment="1" applyProtection="1">
      <alignment vertical="center"/>
      <protection locked="0"/>
    </xf>
    <xf numFmtId="0" fontId="121" fillId="5" borderId="8" xfId="0" applyFont="1" applyFill="1" applyBorder="1" applyAlignment="1" applyProtection="1">
      <alignment vertical="center"/>
      <protection locked="0"/>
    </xf>
    <xf numFmtId="1" fontId="14" fillId="0" borderId="16" xfId="0" quotePrefix="1" applyNumberFormat="1" applyFont="1" applyBorder="1" applyAlignment="1" applyProtection="1">
      <alignment horizontal="center"/>
      <protection locked="0"/>
    </xf>
    <xf numFmtId="0" fontId="14" fillId="0" borderId="16" xfId="0" applyFont="1" applyBorder="1" applyProtection="1">
      <protection locked="0"/>
    </xf>
    <xf numFmtId="0" fontId="14" fillId="0" borderId="16" xfId="0" quotePrefix="1" applyFont="1" applyBorder="1" applyProtection="1">
      <protection locked="0"/>
    </xf>
    <xf numFmtId="1" fontId="5" fillId="0" borderId="20" xfId="0" applyNumberFormat="1" applyFont="1" applyBorder="1" applyProtection="1">
      <protection locked="0"/>
    </xf>
    <xf numFmtId="1" fontId="5" fillId="0" borderId="32" xfId="0" applyNumberFormat="1" applyFont="1" applyBorder="1" applyProtection="1">
      <protection locked="0"/>
    </xf>
    <xf numFmtId="1" fontId="5" fillId="0" borderId="15" xfId="0" applyNumberFormat="1" applyFont="1" applyBorder="1" applyProtection="1">
      <protection locked="0"/>
    </xf>
    <xf numFmtId="1" fontId="5" fillId="0" borderId="29" xfId="0" applyNumberFormat="1" applyFont="1" applyBorder="1" applyProtection="1">
      <protection locked="0"/>
    </xf>
    <xf numFmtId="1" fontId="5" fillId="0" borderId="33" xfId="0" applyNumberFormat="1" applyFont="1" applyBorder="1" applyProtection="1">
      <protection locked="0"/>
    </xf>
    <xf numFmtId="1" fontId="5" fillId="0" borderId="44" xfId="0" applyNumberFormat="1" applyFont="1" applyBorder="1" applyProtection="1">
      <protection locked="0"/>
    </xf>
    <xf numFmtId="1" fontId="14" fillId="0" borderId="30" xfId="0" applyNumberFormat="1" applyFont="1" applyBorder="1" applyProtection="1">
      <protection locked="0"/>
    </xf>
    <xf numFmtId="1" fontId="14" fillId="0" borderId="31" xfId="0" applyNumberFormat="1" applyFont="1" applyBorder="1" applyProtection="1">
      <protection locked="0"/>
    </xf>
    <xf numFmtId="0" fontId="0" fillId="0" borderId="32" xfId="0" applyBorder="1"/>
    <xf numFmtId="0" fontId="0" fillId="0" borderId="15" xfId="0" applyBorder="1"/>
    <xf numFmtId="1" fontId="5" fillId="0" borderId="20" xfId="0" applyNumberFormat="1" applyFont="1" applyBorder="1" applyAlignment="1" applyProtection="1">
      <alignment horizontal="center"/>
      <protection locked="0"/>
    </xf>
    <xf numFmtId="1" fontId="5" fillId="0" borderId="29" xfId="0" applyNumberFormat="1" applyFont="1" applyBorder="1" applyAlignment="1" applyProtection="1">
      <alignment horizontal="center"/>
      <protection locked="0"/>
    </xf>
    <xf numFmtId="1" fontId="14" fillId="0" borderId="14" xfId="0" applyNumberFormat="1" applyFont="1" applyBorder="1" applyProtection="1">
      <protection locked="0"/>
    </xf>
    <xf numFmtId="1" fontId="5" fillId="0" borderId="10" xfId="0" applyNumberFormat="1" applyFont="1" applyBorder="1" applyAlignment="1" applyProtection="1">
      <alignment horizontal="center"/>
      <protection locked="0"/>
    </xf>
    <xf numFmtId="0" fontId="11" fillId="0" borderId="0" xfId="0" applyFont="1" applyProtection="1">
      <protection hidden="1"/>
    </xf>
    <xf numFmtId="0" fontId="145" fillId="0" borderId="0" xfId="0" applyFont="1" applyProtection="1">
      <protection hidden="1"/>
    </xf>
    <xf numFmtId="0" fontId="11" fillId="0" borderId="0" xfId="0" applyFont="1" applyAlignment="1" applyProtection="1">
      <alignment vertical="justify"/>
      <protection hidden="1"/>
    </xf>
    <xf numFmtId="0" fontId="7" fillId="0" borderId="0" xfId="0" applyFont="1" applyAlignment="1" applyProtection="1">
      <alignment horizontal="left" vertical="center"/>
      <protection hidden="1"/>
    </xf>
    <xf numFmtId="0" fontId="8" fillId="0" borderId="0" xfId="0" applyFont="1" applyAlignment="1" applyProtection="1">
      <alignment horizontal="left" vertical="center"/>
      <protection hidden="1"/>
    </xf>
    <xf numFmtId="0" fontId="137" fillId="0" borderId="0" xfId="0" applyFont="1" applyAlignment="1" applyProtection="1">
      <alignment horizontal="left" vertical="center"/>
      <protection hidden="1"/>
    </xf>
    <xf numFmtId="0" fontId="7" fillId="0" borderId="0" xfId="0" applyFont="1" applyAlignment="1" applyProtection="1">
      <alignment horizontal="right" vertical="center"/>
      <protection hidden="1"/>
    </xf>
    <xf numFmtId="0" fontId="8" fillId="0" borderId="0" xfId="0" applyFont="1" applyAlignment="1" applyProtection="1">
      <alignment vertical="center"/>
      <protection hidden="1"/>
    </xf>
    <xf numFmtId="244" fontId="7" fillId="0" borderId="0" xfId="0" applyNumberFormat="1" applyFont="1" applyAlignment="1" applyProtection="1">
      <alignment horizontal="left" vertical="center"/>
      <protection hidden="1"/>
    </xf>
    <xf numFmtId="0" fontId="121" fillId="0" borderId="35" xfId="0" applyFont="1" applyBorder="1" applyAlignment="1" applyProtection="1">
      <alignment vertical="center"/>
      <protection hidden="1"/>
    </xf>
    <xf numFmtId="0" fontId="121" fillId="0" borderId="18" xfId="0" applyFont="1" applyBorder="1" applyAlignment="1" applyProtection="1">
      <alignment vertical="center"/>
      <protection hidden="1"/>
    </xf>
    <xf numFmtId="0" fontId="121" fillId="0" borderId="45" xfId="0" applyFont="1" applyBorder="1" applyAlignment="1" applyProtection="1">
      <alignment vertical="center"/>
      <protection hidden="1"/>
    </xf>
    <xf numFmtId="0" fontId="121" fillId="0" borderId="21" xfId="0" applyFont="1" applyBorder="1" applyAlignment="1" applyProtection="1">
      <alignment vertical="center"/>
      <protection hidden="1"/>
    </xf>
    <xf numFmtId="0" fontId="121" fillId="0" borderId="46" xfId="0" applyFont="1" applyBorder="1" applyAlignment="1" applyProtection="1">
      <alignment vertical="center"/>
      <protection hidden="1"/>
    </xf>
    <xf numFmtId="0" fontId="121" fillId="5" borderId="46" xfId="0" applyFont="1" applyFill="1" applyBorder="1" applyAlignment="1" applyProtection="1">
      <alignment vertical="center"/>
      <protection hidden="1"/>
    </xf>
    <xf numFmtId="0" fontId="4" fillId="0" borderId="45" xfId="0" applyFont="1" applyBorder="1" applyAlignment="1" applyProtection="1">
      <alignment vertical="center"/>
      <protection hidden="1"/>
    </xf>
    <xf numFmtId="0" fontId="5" fillId="11" borderId="0" xfId="0" applyFont="1" applyFill="1" applyAlignment="1" applyProtection="1">
      <alignment horizontal="justify"/>
      <protection hidden="1"/>
    </xf>
    <xf numFmtId="0" fontId="5" fillId="11" borderId="0" xfId="0" applyFont="1" applyFill="1" applyProtection="1">
      <protection hidden="1"/>
    </xf>
    <xf numFmtId="292" fontId="5" fillId="2" borderId="0" xfId="0" applyNumberFormat="1" applyFont="1" applyFill="1" applyAlignment="1" applyProtection="1">
      <alignment horizontal="left"/>
      <protection hidden="1"/>
    </xf>
    <xf numFmtId="0" fontId="13" fillId="4" borderId="3" xfId="0" applyFont="1" applyFill="1" applyBorder="1" applyAlignment="1">
      <alignment vertical="center" textRotation="90"/>
    </xf>
    <xf numFmtId="0" fontId="13" fillId="2" borderId="3" xfId="0" applyFont="1" applyFill="1" applyBorder="1" applyAlignment="1">
      <alignment vertical="center" textRotation="90"/>
    </xf>
    <xf numFmtId="0" fontId="121" fillId="5" borderId="5" xfId="0" applyFont="1" applyFill="1" applyBorder="1" applyAlignment="1" applyProtection="1">
      <alignment horizontal="fill" vertical="center"/>
      <protection hidden="1"/>
    </xf>
    <xf numFmtId="0" fontId="121" fillId="5" borderId="2" xfId="0" applyFont="1" applyFill="1" applyBorder="1" applyAlignment="1" applyProtection="1">
      <alignment horizontal="fill" vertical="center"/>
      <protection hidden="1"/>
    </xf>
    <xf numFmtId="2" fontId="5" fillId="4" borderId="0" xfId="0" applyNumberFormat="1" applyFont="1" applyFill="1" applyProtection="1">
      <protection hidden="1"/>
    </xf>
    <xf numFmtId="38" fontId="52" fillId="0" borderId="0" xfId="948" applyNumberFormat="1" applyFont="1" applyAlignment="1" applyProtection="1">
      <alignment horizontal="center"/>
      <protection hidden="1"/>
    </xf>
    <xf numFmtId="38" fontId="52" fillId="0" borderId="0" xfId="948" applyNumberFormat="1" applyFont="1" applyAlignment="1" applyProtection="1">
      <alignment wrapText="1"/>
      <protection hidden="1"/>
    </xf>
    <xf numFmtId="38" fontId="52" fillId="0" borderId="0" xfId="948" applyNumberFormat="1" applyFont="1" applyAlignment="1" applyProtection="1">
      <alignment horizontal="center" wrapText="1"/>
      <protection hidden="1"/>
    </xf>
    <xf numFmtId="3" fontId="83" fillId="0" borderId="0" xfId="948" applyNumberFormat="1" applyFont="1" applyAlignment="1" applyProtection="1">
      <alignment horizontal="right" vertical="center"/>
      <protection hidden="1"/>
    </xf>
    <xf numFmtId="0" fontId="13" fillId="0" borderId="3" xfId="0" applyFont="1" applyBorder="1" applyAlignment="1">
      <alignment horizontal="center" vertical="center" textRotation="90" wrapText="1"/>
    </xf>
    <xf numFmtId="3" fontId="13" fillId="0" borderId="10" xfId="0" applyNumberFormat="1" applyFont="1" applyBorder="1" applyAlignment="1">
      <alignment horizontal="left" vertical="center"/>
    </xf>
    <xf numFmtId="3" fontId="13" fillId="4" borderId="10" xfId="0" applyNumberFormat="1" applyFont="1" applyFill="1" applyBorder="1" applyAlignment="1">
      <alignment horizontal="left" vertical="center"/>
    </xf>
    <xf numFmtId="3" fontId="13" fillId="11" borderId="10" xfId="0" applyNumberFormat="1" applyFont="1" applyFill="1" applyBorder="1" applyAlignment="1">
      <alignment horizontal="left" vertical="center"/>
    </xf>
    <xf numFmtId="3" fontId="66" fillId="0" borderId="10" xfId="0" applyNumberFormat="1" applyFont="1" applyBorder="1" applyAlignment="1">
      <alignment horizontal="left" vertical="center"/>
    </xf>
    <xf numFmtId="0" fontId="85" fillId="0" borderId="19" xfId="0" applyFont="1" applyBorder="1" applyAlignment="1">
      <alignment horizontal="center" vertical="center"/>
    </xf>
    <xf numFmtId="0" fontId="13" fillId="0" borderId="19" xfId="0" applyFont="1" applyBorder="1" applyAlignment="1">
      <alignment horizontal="center" vertical="center" wrapText="1"/>
    </xf>
    <xf numFmtId="0" fontId="13" fillId="0" borderId="40" xfId="0" applyFont="1" applyBorder="1" applyAlignment="1">
      <alignment horizontal="center" vertical="center"/>
    </xf>
    <xf numFmtId="0" fontId="13" fillId="0" borderId="13" xfId="0" applyFont="1" applyBorder="1" applyAlignment="1">
      <alignment horizontal="center" vertical="center" textRotation="90" wrapText="1"/>
    </xf>
    <xf numFmtId="0" fontId="13" fillId="0" borderId="13" xfId="0" applyFont="1" applyBorder="1" applyAlignment="1">
      <alignment horizontal="center" vertical="center" textRotation="90"/>
    </xf>
    <xf numFmtId="0" fontId="13" fillId="4" borderId="13" xfId="0" applyFont="1" applyFill="1" applyBorder="1" applyAlignment="1">
      <alignment horizontal="center" vertical="center" textRotation="90"/>
    </xf>
    <xf numFmtId="3" fontId="13" fillId="0" borderId="13" xfId="0" applyNumberFormat="1" applyFont="1" applyBorder="1" applyAlignment="1">
      <alignment horizontal="center" vertical="center"/>
    </xf>
    <xf numFmtId="166" fontId="13" fillId="0" borderId="12" xfId="0" applyNumberFormat="1" applyFont="1" applyBorder="1" applyAlignment="1">
      <alignment horizontal="center" vertical="center"/>
    </xf>
    <xf numFmtId="3" fontId="66" fillId="0" borderId="16" xfId="0" applyNumberFormat="1" applyFont="1" applyBorder="1" applyAlignment="1">
      <alignment horizontal="left" vertical="center"/>
    </xf>
    <xf numFmtId="3" fontId="13" fillId="4" borderId="16" xfId="0" applyNumberFormat="1" applyFont="1" applyFill="1" applyBorder="1" applyAlignment="1">
      <alignment horizontal="center" vertical="center"/>
    </xf>
    <xf numFmtId="3" fontId="13" fillId="4" borderId="16" xfId="0" applyNumberFormat="1" applyFont="1" applyFill="1" applyBorder="1" applyAlignment="1">
      <alignment horizontal="left" vertical="center"/>
    </xf>
    <xf numFmtId="3" fontId="13" fillId="11" borderId="10" xfId="0" applyNumberFormat="1" applyFont="1" applyFill="1" applyBorder="1" applyAlignment="1">
      <alignment horizontal="center" vertical="center"/>
    </xf>
    <xf numFmtId="3" fontId="161" fillId="0" borderId="10" xfId="0" applyNumberFormat="1" applyFont="1" applyBorder="1" applyAlignment="1">
      <alignment horizontal="center" vertical="center"/>
    </xf>
    <xf numFmtId="0" fontId="13" fillId="4" borderId="19" xfId="0" applyFont="1" applyFill="1" applyBorder="1" applyAlignment="1">
      <alignment horizontal="center" vertical="center"/>
    </xf>
    <xf numFmtId="0" fontId="13" fillId="4" borderId="19" xfId="0" applyFont="1" applyFill="1" applyBorder="1" applyAlignment="1">
      <alignment horizontal="center" vertical="center" textRotation="90" wrapText="1"/>
    </xf>
    <xf numFmtId="0" fontId="13" fillId="4" borderId="19" xfId="0" applyFont="1" applyFill="1" applyBorder="1" applyAlignment="1">
      <alignment horizontal="center" vertical="center" textRotation="90"/>
    </xf>
    <xf numFmtId="166" fontId="13" fillId="4" borderId="19" xfId="0" applyNumberFormat="1" applyFont="1" applyFill="1" applyBorder="1" applyAlignment="1">
      <alignment horizontal="center" vertical="center"/>
    </xf>
    <xf numFmtId="3" fontId="13" fillId="4" borderId="19" xfId="0" applyNumberFormat="1" applyFont="1" applyFill="1" applyBorder="1" applyAlignment="1">
      <alignment horizontal="center" vertical="center"/>
    </xf>
    <xf numFmtId="3" fontId="66" fillId="2" borderId="11" xfId="0" applyNumberFormat="1" applyFont="1" applyFill="1" applyBorder="1" applyAlignment="1">
      <alignment horizontal="left" vertical="center"/>
    </xf>
    <xf numFmtId="3" fontId="13" fillId="2" borderId="11" xfId="0" applyNumberFormat="1" applyFont="1" applyFill="1" applyBorder="1" applyAlignment="1">
      <alignment horizontal="left" vertical="center"/>
    </xf>
    <xf numFmtId="3" fontId="13" fillId="2" borderId="11" xfId="0" applyNumberFormat="1" applyFont="1" applyFill="1" applyBorder="1" applyAlignment="1">
      <alignment horizontal="center" vertical="center"/>
    </xf>
    <xf numFmtId="0" fontId="10" fillId="2" borderId="0" xfId="0" applyFont="1" applyFill="1"/>
    <xf numFmtId="3" fontId="13" fillId="2" borderId="10" xfId="0" applyNumberFormat="1" applyFont="1" applyFill="1" applyBorder="1" applyAlignment="1">
      <alignment horizontal="center" vertical="center"/>
    </xf>
    <xf numFmtId="3" fontId="66" fillId="11" borderId="10" xfId="0" applyNumberFormat="1" applyFont="1" applyFill="1" applyBorder="1" applyAlignment="1">
      <alignment horizontal="left" vertical="center"/>
    </xf>
    <xf numFmtId="3" fontId="13" fillId="11" borderId="15" xfId="0" applyNumberFormat="1" applyFont="1" applyFill="1" applyBorder="1" applyAlignment="1">
      <alignment horizontal="center" vertical="center"/>
    </xf>
    <xf numFmtId="202" fontId="13" fillId="11" borderId="10" xfId="0" applyNumberFormat="1" applyFont="1" applyFill="1" applyBorder="1" applyAlignment="1">
      <alignment horizontal="center" vertical="center"/>
    </xf>
    <xf numFmtId="3" fontId="13" fillId="4" borderId="44" xfId="0" applyNumberFormat="1" applyFont="1" applyFill="1" applyBorder="1" applyAlignment="1">
      <alignment horizontal="center" vertical="center"/>
    </xf>
    <xf numFmtId="3" fontId="66" fillId="2" borderId="10" xfId="0" applyNumberFormat="1" applyFont="1" applyFill="1" applyBorder="1" applyAlignment="1">
      <alignment horizontal="left" vertical="center"/>
    </xf>
    <xf numFmtId="3" fontId="13" fillId="2" borderId="15" xfId="0" applyNumberFormat="1" applyFont="1" applyFill="1" applyBorder="1" applyAlignment="1">
      <alignment horizontal="center" vertical="center"/>
    </xf>
    <xf numFmtId="3" fontId="13" fillId="2" borderId="39" xfId="0" applyNumberFormat="1" applyFont="1" applyFill="1" applyBorder="1" applyAlignment="1">
      <alignment horizontal="center" vertical="center"/>
    </xf>
    <xf numFmtId="202" fontId="13" fillId="2" borderId="11" xfId="0" applyNumberFormat="1" applyFont="1" applyFill="1" applyBorder="1" applyAlignment="1">
      <alignment horizontal="center" vertical="center"/>
    </xf>
    <xf numFmtId="0" fontId="162" fillId="0" borderId="0" xfId="0" applyFont="1" applyAlignment="1">
      <alignment horizontal="centerContinuous"/>
    </xf>
    <xf numFmtId="2" fontId="5" fillId="0" borderId="0" xfId="0" applyNumberFormat="1" applyFont="1" applyAlignment="1">
      <alignment horizontal="right"/>
    </xf>
    <xf numFmtId="2" fontId="5" fillId="0" borderId="0" xfId="0" applyNumberFormat="1" applyFont="1"/>
    <xf numFmtId="0" fontId="5" fillId="4" borderId="0" xfId="0" applyFont="1" applyFill="1" applyAlignment="1">
      <alignment horizontal="center"/>
    </xf>
    <xf numFmtId="3" fontId="5" fillId="4" borderId="0" xfId="0" applyNumberFormat="1" applyFont="1" applyFill="1" applyAlignment="1">
      <alignment horizontal="center"/>
    </xf>
    <xf numFmtId="0" fontId="6" fillId="11" borderId="0" xfId="0" applyFont="1" applyFill="1" applyAlignment="1">
      <alignment horizontal="center"/>
    </xf>
    <xf numFmtId="1" fontId="5" fillId="0" borderId="3" xfId="0" applyNumberFormat="1" applyFont="1" applyBorder="1"/>
    <xf numFmtId="4" fontId="6" fillId="4" borderId="3" xfId="0" applyNumberFormat="1" applyFont="1" applyFill="1" applyBorder="1"/>
    <xf numFmtId="202" fontId="6" fillId="11" borderId="3" xfId="0" applyNumberFormat="1" applyFont="1" applyFill="1" applyBorder="1"/>
    <xf numFmtId="4" fontId="14" fillId="2" borderId="5" xfId="0" applyNumberFormat="1" applyFont="1" applyFill="1" applyBorder="1" applyAlignment="1" applyProtection="1">
      <alignment horizontal="centerContinuous" vertical="center"/>
      <protection hidden="1"/>
    </xf>
    <xf numFmtId="0" fontId="155" fillId="0" borderId="11" xfId="0" applyFont="1" applyBorder="1" applyAlignment="1">
      <alignment vertical="center"/>
    </xf>
    <xf numFmtId="0" fontId="121" fillId="0" borderId="44" xfId="0" applyFont="1" applyBorder="1" applyAlignment="1" applyProtection="1">
      <alignment vertical="center"/>
      <protection hidden="1"/>
    </xf>
    <xf numFmtId="3" fontId="11" fillId="0" borderId="0" xfId="0" applyNumberFormat="1" applyFont="1" applyAlignment="1" applyProtection="1">
      <alignment horizontal="center" vertical="center" wrapText="1"/>
      <protection hidden="1"/>
    </xf>
    <xf numFmtId="3" fontId="11" fillId="0" borderId="0" xfId="0" applyNumberFormat="1" applyFont="1" applyAlignment="1" applyProtection="1">
      <alignment horizontal="left" vertical="center" wrapText="1"/>
      <protection hidden="1"/>
    </xf>
    <xf numFmtId="3" fontId="78" fillId="0" borderId="0" xfId="667" applyNumberFormat="1" applyFont="1" applyBorder="1" applyAlignment="1" applyProtection="1">
      <alignment horizontal="right" vertical="center" wrapText="1"/>
      <protection hidden="1"/>
    </xf>
    <xf numFmtId="0" fontId="4" fillId="0" borderId="0" xfId="0" applyFont="1" applyAlignment="1">
      <alignment horizontal="centerContinuous"/>
    </xf>
    <xf numFmtId="0" fontId="64" fillId="0" borderId="0" xfId="0" applyFont="1" applyAlignment="1">
      <alignment horizontal="centerContinuous"/>
    </xf>
    <xf numFmtId="0" fontId="163" fillId="0" borderId="0" xfId="0" applyFont="1" applyAlignment="1">
      <alignment horizontal="left" vertical="center"/>
    </xf>
    <xf numFmtId="0" fontId="0" fillId="0" borderId="0" xfId="0" applyAlignment="1">
      <alignment horizontal="centerContinuous"/>
    </xf>
    <xf numFmtId="0" fontId="0" fillId="0" borderId="0" xfId="0" applyAlignment="1">
      <alignment horizontal="left" vertical="center"/>
    </xf>
    <xf numFmtId="0" fontId="14" fillId="0" borderId="0" xfId="0" quotePrefix="1" applyFont="1" applyAlignment="1">
      <alignment horizontal="justify" vertical="justify" wrapText="1"/>
    </xf>
    <xf numFmtId="0" fontId="61" fillId="9" borderId="0" xfId="0" applyFont="1" applyFill="1" applyAlignment="1">
      <alignment horizontal="left" vertical="center"/>
    </xf>
    <xf numFmtId="0" fontId="4" fillId="0" borderId="1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9" xfId="0" applyFont="1" applyBorder="1" applyAlignment="1">
      <alignment horizontal="left" vertical="center"/>
    </xf>
    <xf numFmtId="0" fontId="64" fillId="0" borderId="19" xfId="0" applyFont="1" applyBorder="1" applyAlignment="1">
      <alignment horizontal="center" vertical="center" wrapText="1"/>
    </xf>
    <xf numFmtId="0" fontId="14" fillId="0" borderId="19" xfId="0" applyFont="1" applyBorder="1" applyAlignment="1">
      <alignment horizontal="center"/>
    </xf>
    <xf numFmtId="0" fontId="14" fillId="0" borderId="19" xfId="0" applyFont="1" applyBorder="1"/>
    <xf numFmtId="3" fontId="18" fillId="0" borderId="19" xfId="0" applyNumberFormat="1" applyFont="1" applyBorder="1" applyAlignment="1">
      <alignment horizontal="center"/>
    </xf>
    <xf numFmtId="0" fontId="18" fillId="0" borderId="19" xfId="0" applyFont="1" applyBorder="1" applyAlignment="1">
      <alignment horizontal="center"/>
    </xf>
    <xf numFmtId="3" fontId="18" fillId="0" borderId="19" xfId="0" applyNumberFormat="1" applyFont="1" applyBorder="1" applyAlignment="1">
      <alignment horizontal="right"/>
    </xf>
    <xf numFmtId="0" fontId="10" fillId="0" borderId="20" xfId="943" applyFont="1" applyBorder="1"/>
    <xf numFmtId="182" fontId="10" fillId="0" borderId="32" xfId="667" applyNumberFormat="1" applyFont="1" applyBorder="1"/>
    <xf numFmtId="167" fontId="10" fillId="0" borderId="32" xfId="667" applyNumberFormat="1" applyFont="1" applyBorder="1" applyAlignment="1">
      <alignment horizontal="center"/>
    </xf>
    <xf numFmtId="300" fontId="10" fillId="0" borderId="32" xfId="667" applyNumberFormat="1" applyFont="1" applyBorder="1"/>
    <xf numFmtId="238" fontId="10" fillId="0" borderId="32" xfId="667" applyNumberFormat="1" applyFont="1" applyBorder="1"/>
    <xf numFmtId="0" fontId="10" fillId="0" borderId="32" xfId="943" applyFont="1" applyBorder="1"/>
    <xf numFmtId="3" fontId="10" fillId="0" borderId="32" xfId="943" applyNumberFormat="1" applyFont="1" applyBorder="1"/>
    <xf numFmtId="227" fontId="10" fillId="0" borderId="32" xfId="943" applyNumberFormat="1" applyFont="1" applyBorder="1"/>
    <xf numFmtId="0" fontId="14" fillId="0" borderId="13" xfId="0" applyFont="1" applyBorder="1" applyAlignment="1">
      <alignment horizontal="center"/>
    </xf>
    <xf numFmtId="0" fontId="14" fillId="0" borderId="13" xfId="0" applyFont="1" applyBorder="1"/>
    <xf numFmtId="3" fontId="18" fillId="0" borderId="13" xfId="0" applyNumberFormat="1" applyFont="1" applyBorder="1" applyAlignment="1">
      <alignment horizontal="center"/>
    </xf>
    <xf numFmtId="0" fontId="18" fillId="0" borderId="13" xfId="0" applyFont="1" applyBorder="1" applyAlignment="1">
      <alignment horizontal="center"/>
    </xf>
    <xf numFmtId="3" fontId="18" fillId="0" borderId="13" xfId="0" applyNumberFormat="1" applyFont="1" applyBorder="1" applyAlignment="1">
      <alignment horizontal="right"/>
    </xf>
    <xf numFmtId="0" fontId="74" fillId="0" borderId="13" xfId="0" applyFont="1" applyBorder="1" applyAlignment="1">
      <alignment horizontal="center"/>
    </xf>
    <xf numFmtId="0" fontId="74" fillId="0" borderId="13" xfId="0" applyFont="1" applyBorder="1"/>
    <xf numFmtId="3" fontId="80" fillId="0" borderId="13" xfId="0" applyNumberFormat="1" applyFont="1" applyBorder="1" applyAlignment="1">
      <alignment horizontal="center"/>
    </xf>
    <xf numFmtId="0" fontId="80" fillId="0" borderId="13" xfId="0" applyFont="1" applyBorder="1" applyAlignment="1">
      <alignment horizontal="center"/>
    </xf>
    <xf numFmtId="3" fontId="74" fillId="0" borderId="13" xfId="0" applyNumberFormat="1" applyFont="1" applyBorder="1" applyAlignment="1">
      <alignment horizontal="center"/>
    </xf>
    <xf numFmtId="9" fontId="80" fillId="0" borderId="13" xfId="0" applyNumberFormat="1" applyFont="1" applyBorder="1" applyAlignment="1">
      <alignment horizontal="center"/>
    </xf>
    <xf numFmtId="0" fontId="74" fillId="0" borderId="9" xfId="0" applyFont="1" applyBorder="1" applyAlignment="1">
      <alignment horizontal="center"/>
    </xf>
    <xf numFmtId="0" fontId="74" fillId="0" borderId="9" xfId="0" applyFont="1" applyBorder="1"/>
    <xf numFmtId="3" fontId="74" fillId="0" borderId="9" xfId="0" applyNumberFormat="1" applyFont="1" applyBorder="1" applyAlignment="1">
      <alignment horizontal="center"/>
    </xf>
    <xf numFmtId="9" fontId="80" fillId="0" borderId="9" xfId="0" applyNumberFormat="1" applyFont="1" applyBorder="1" applyAlignment="1">
      <alignment horizontal="center"/>
    </xf>
    <xf numFmtId="0" fontId="80" fillId="0" borderId="9" xfId="0" applyFont="1" applyBorder="1" applyAlignment="1">
      <alignment horizontal="center"/>
    </xf>
    <xf numFmtId="3" fontId="80" fillId="0" borderId="9" xfId="0" applyNumberFormat="1" applyFont="1" applyBorder="1" applyAlignment="1">
      <alignment horizontal="right"/>
    </xf>
    <xf numFmtId="0" fontId="0" fillId="0" borderId="9" xfId="0" applyBorder="1"/>
    <xf numFmtId="0" fontId="4" fillId="0" borderId="9" xfId="0" applyFont="1" applyBorder="1"/>
    <xf numFmtId="3" fontId="4" fillId="0" borderId="9" xfId="0" applyNumberFormat="1" applyFont="1" applyBorder="1" applyAlignment="1">
      <alignment horizontal="center"/>
    </xf>
    <xf numFmtId="0" fontId="64" fillId="0" borderId="9" xfId="0" applyFont="1" applyBorder="1"/>
    <xf numFmtId="0" fontId="64" fillId="0" borderId="9" xfId="0" applyFont="1" applyBorder="1" applyAlignment="1">
      <alignment horizontal="center"/>
    </xf>
    <xf numFmtId="3" fontId="64" fillId="0" borderId="9" xfId="0" applyNumberFormat="1" applyFont="1" applyBorder="1" applyAlignment="1">
      <alignment horizontal="right"/>
    </xf>
    <xf numFmtId="0" fontId="0" fillId="0" borderId="13" xfId="0" applyBorder="1"/>
    <xf numFmtId="0" fontId="64" fillId="0" borderId="13" xfId="0" applyFont="1" applyBorder="1"/>
    <xf numFmtId="3" fontId="64" fillId="0" borderId="13" xfId="0" applyNumberFormat="1" applyFont="1" applyBorder="1" applyAlignment="1">
      <alignment horizontal="centerContinuous"/>
    </xf>
    <xf numFmtId="0" fontId="64" fillId="0" borderId="13" xfId="0" applyFont="1" applyBorder="1" applyAlignment="1">
      <alignment horizontal="centerContinuous"/>
    </xf>
    <xf numFmtId="3" fontId="64" fillId="0" borderId="13" xfId="0" applyNumberFormat="1" applyFont="1" applyBorder="1" applyAlignment="1">
      <alignment horizontal="right"/>
    </xf>
    <xf numFmtId="4" fontId="64" fillId="0" borderId="9" xfId="0" applyNumberFormat="1" applyFont="1" applyBorder="1" applyAlignment="1">
      <alignment horizontal="right"/>
    </xf>
    <xf numFmtId="4" fontId="64" fillId="9" borderId="9" xfId="0" applyNumberFormat="1" applyFont="1" applyFill="1" applyBorder="1" applyAlignment="1">
      <alignment horizontal="right"/>
    </xf>
    <xf numFmtId="227" fontId="0" fillId="9" borderId="0" xfId="0" applyNumberFormat="1" applyFill="1"/>
    <xf numFmtId="0" fontId="155" fillId="12" borderId="29" xfId="0" applyFont="1" applyFill="1" applyBorder="1" applyAlignment="1" applyProtection="1">
      <alignment vertical="center"/>
      <protection hidden="1"/>
    </xf>
    <xf numFmtId="0" fontId="155" fillId="12" borderId="33" xfId="0" applyFont="1" applyFill="1" applyBorder="1" applyAlignment="1" applyProtection="1">
      <alignment vertical="center"/>
      <protection hidden="1"/>
    </xf>
    <xf numFmtId="3" fontId="155" fillId="12" borderId="5" xfId="0" applyNumberFormat="1" applyFont="1" applyFill="1" applyBorder="1" applyAlignment="1" applyProtection="1">
      <alignment horizontal="centerContinuous" vertical="center"/>
      <protection hidden="1"/>
    </xf>
    <xf numFmtId="0" fontId="155" fillId="12" borderId="33" xfId="0" applyFont="1" applyFill="1" applyBorder="1" applyAlignment="1" applyProtection="1">
      <alignment horizontal="centerContinuous" vertical="center"/>
      <protection hidden="1"/>
    </xf>
    <xf numFmtId="0" fontId="155" fillId="12" borderId="44" xfId="0" applyFont="1" applyFill="1" applyBorder="1" applyAlignment="1" applyProtection="1">
      <alignment horizontal="centerContinuous" vertical="center"/>
      <protection hidden="1"/>
    </xf>
    <xf numFmtId="301" fontId="18" fillId="9" borderId="13" xfId="0" applyNumberFormat="1" applyFont="1" applyFill="1" applyBorder="1" applyAlignment="1">
      <alignment horizontal="center"/>
    </xf>
    <xf numFmtId="0" fontId="166" fillId="0" borderId="0" xfId="0" applyFont="1" applyAlignment="1">
      <alignment horizontal="right"/>
    </xf>
    <xf numFmtId="301" fontId="166" fillId="5" borderId="0" xfId="667" applyNumberFormat="1" applyFont="1" applyFill="1"/>
    <xf numFmtId="0" fontId="166" fillId="0" borderId="0" xfId="0" applyFont="1"/>
    <xf numFmtId="301" fontId="18" fillId="0" borderId="13" xfId="0" applyNumberFormat="1" applyFont="1" applyBorder="1" applyAlignment="1">
      <alignment horizontal="center"/>
    </xf>
    <xf numFmtId="0" fontId="4" fillId="9" borderId="0" xfId="0" quotePrefix="1" applyFont="1" applyFill="1"/>
    <xf numFmtId="4" fontId="4" fillId="7" borderId="0" xfId="0" applyNumberFormat="1" applyFont="1" applyFill="1" applyAlignment="1">
      <alignment horizontal="right"/>
    </xf>
    <xf numFmtId="0" fontId="4" fillId="7" borderId="0" xfId="0" applyFont="1" applyFill="1"/>
    <xf numFmtId="301" fontId="18" fillId="0" borderId="13" xfId="667" applyNumberFormat="1" applyFont="1" applyBorder="1" applyAlignment="1">
      <alignment horizontal="center"/>
    </xf>
    <xf numFmtId="3" fontId="10" fillId="0" borderId="11" xfId="0" applyNumberFormat="1" applyFont="1" applyBorder="1" applyAlignment="1">
      <alignment horizontal="right" vertical="center" wrapText="1"/>
    </xf>
    <xf numFmtId="0" fontId="10" fillId="0" borderId="0" xfId="0" applyFont="1" applyAlignment="1">
      <alignment horizontal="right" vertical="center"/>
    </xf>
    <xf numFmtId="0" fontId="11" fillId="0" borderId="10" xfId="0" applyFont="1" applyBorder="1" applyAlignment="1">
      <alignment horizontal="left" vertical="center" wrapText="1"/>
    </xf>
    <xf numFmtId="3" fontId="11" fillId="0" borderId="10" xfId="0" applyNumberFormat="1" applyFont="1" applyBorder="1" applyAlignment="1">
      <alignment horizontal="center" vertical="center" wrapText="1"/>
    </xf>
    <xf numFmtId="182" fontId="10" fillId="0" borderId="10" xfId="667" applyNumberFormat="1" applyFont="1" applyBorder="1" applyAlignment="1">
      <alignment horizontal="centerContinuous" vertical="center" wrapText="1"/>
    </xf>
    <xf numFmtId="182" fontId="10" fillId="0" borderId="10" xfId="667" applyNumberFormat="1" applyFont="1" applyBorder="1" applyAlignment="1">
      <alignment horizontal="center" vertical="center" wrapText="1"/>
    </xf>
    <xf numFmtId="3" fontId="11" fillId="0" borderId="10" xfId="0" applyNumberFormat="1" applyFont="1" applyBorder="1" applyAlignment="1">
      <alignment vertical="center" wrapText="1"/>
    </xf>
    <xf numFmtId="257" fontId="56" fillId="0" borderId="10" xfId="0" applyNumberFormat="1" applyFont="1" applyBorder="1" applyAlignment="1">
      <alignment horizontal="center" vertical="center" wrapText="1"/>
    </xf>
    <xf numFmtId="3" fontId="11" fillId="4" borderId="10" xfId="0" applyNumberFormat="1" applyFont="1" applyFill="1" applyBorder="1" applyAlignment="1">
      <alignment vertical="center" wrapText="1"/>
    </xf>
    <xf numFmtId="202" fontId="50" fillId="0" borderId="10" xfId="0" applyNumberFormat="1" applyFont="1" applyBorder="1" applyAlignment="1">
      <alignment horizontal="center" vertical="center" wrapText="1"/>
    </xf>
    <xf numFmtId="4" fontId="50" fillId="0" borderId="10" xfId="0" applyNumberFormat="1" applyFont="1" applyBorder="1" applyAlignment="1">
      <alignment horizontal="center" vertical="center" wrapText="1"/>
    </xf>
    <xf numFmtId="0" fontId="5" fillId="0" borderId="10" xfId="0" applyFont="1" applyBorder="1" applyAlignment="1">
      <alignment horizontal="center"/>
    </xf>
    <xf numFmtId="4" fontId="5" fillId="0" borderId="10" xfId="0" applyNumberFormat="1" applyFont="1" applyBorder="1" applyAlignment="1">
      <alignment horizontal="center"/>
    </xf>
    <xf numFmtId="3" fontId="5" fillId="0" borderId="10" xfId="0" applyNumberFormat="1" applyFont="1" applyBorder="1" applyAlignment="1">
      <alignment horizontal="center"/>
    </xf>
    <xf numFmtId="3" fontId="10" fillId="0" borderId="10" xfId="0" applyNumberFormat="1" applyFont="1" applyBorder="1" applyAlignment="1">
      <alignment vertical="center" wrapText="1"/>
    </xf>
    <xf numFmtId="3" fontId="10" fillId="0" borderId="11" xfId="947" applyNumberFormat="1" applyFont="1" applyBorder="1" applyProtection="1">
      <protection hidden="1"/>
    </xf>
    <xf numFmtId="38" fontId="56" fillId="0" borderId="10" xfId="948" applyNumberFormat="1" applyFont="1" applyBorder="1" applyAlignment="1" applyProtection="1">
      <alignment horizontal="left" wrapText="1"/>
      <protection hidden="1"/>
    </xf>
    <xf numFmtId="3" fontId="11" fillId="0" borderId="2" xfId="667" applyNumberFormat="1" applyFont="1" applyBorder="1" applyAlignment="1" applyProtection="1">
      <alignment horizontal="centerContinuous" vertical="center"/>
      <protection hidden="1"/>
    </xf>
    <xf numFmtId="3" fontId="11" fillId="0" borderId="8" xfId="667" applyNumberFormat="1" applyFont="1" applyBorder="1" applyAlignment="1" applyProtection="1">
      <alignment horizontal="centerContinuous" vertical="center"/>
      <protection hidden="1"/>
    </xf>
    <xf numFmtId="0" fontId="145" fillId="0" borderId="11" xfId="0" applyFont="1" applyBorder="1" applyAlignment="1" applyProtection="1">
      <alignment horizontal="center" vertical="center" wrapText="1"/>
      <protection hidden="1"/>
    </xf>
    <xf numFmtId="3" fontId="145" fillId="0" borderId="11" xfId="667" applyNumberFormat="1" applyFont="1" applyBorder="1" applyAlignment="1" applyProtection="1">
      <alignment horizontal="centerContinuous" vertical="center" wrapText="1"/>
      <protection hidden="1"/>
    </xf>
    <xf numFmtId="3" fontId="145" fillId="0" borderId="11" xfId="667" applyNumberFormat="1" applyFont="1" applyBorder="1" applyAlignment="1" applyProtection="1">
      <alignment horizontal="center" vertical="center" wrapText="1"/>
      <protection hidden="1"/>
    </xf>
    <xf numFmtId="3" fontId="77" fillId="0" borderId="11" xfId="0" applyNumberFormat="1" applyFont="1" applyBorder="1" applyAlignment="1" applyProtection="1">
      <alignment vertical="center" wrapText="1"/>
      <protection hidden="1"/>
    </xf>
    <xf numFmtId="3" fontId="11" fillId="0" borderId="10" xfId="667" applyNumberFormat="1" applyFont="1" applyBorder="1" applyAlignment="1">
      <alignment horizontal="centerContinuous" vertical="center" wrapText="1"/>
    </xf>
    <xf numFmtId="3" fontId="11" fillId="0" borderId="10" xfId="667" applyNumberFormat="1" applyFont="1" applyBorder="1" applyAlignment="1">
      <alignment horizontal="center" vertical="center" wrapText="1"/>
    </xf>
    <xf numFmtId="3" fontId="145" fillId="0" borderId="10" xfId="0" applyNumberFormat="1" applyFont="1" applyBorder="1" applyAlignment="1">
      <alignment horizontal="center"/>
    </xf>
    <xf numFmtId="0" fontId="10" fillId="0" borderId="10" xfId="0" applyFont="1" applyBorder="1" applyAlignment="1">
      <alignment horizontal="left" vertical="center" wrapText="1"/>
    </xf>
    <xf numFmtId="3" fontId="50" fillId="0" borderId="10" xfId="0" applyNumberFormat="1" applyFont="1" applyBorder="1" applyAlignment="1">
      <alignment horizontal="center" vertical="center"/>
    </xf>
    <xf numFmtId="0" fontId="10" fillId="4" borderId="0" xfId="0" applyFont="1" applyFill="1" applyAlignment="1">
      <alignment horizontal="right"/>
    </xf>
    <xf numFmtId="0" fontId="51" fillId="0" borderId="11" xfId="0" applyFont="1" applyBorder="1" applyAlignment="1">
      <alignment horizontal="center" vertical="center"/>
    </xf>
    <xf numFmtId="0" fontId="10" fillId="0" borderId="11" xfId="0" applyFont="1" applyBorder="1" applyAlignment="1">
      <alignment vertical="center" wrapText="1"/>
    </xf>
    <xf numFmtId="0" fontId="10" fillId="0" borderId="11" xfId="0" applyFont="1" applyBorder="1" applyAlignment="1">
      <alignment horizontal="center"/>
    </xf>
    <xf numFmtId="3" fontId="10" fillId="2" borderId="11" xfId="0" applyNumberFormat="1" applyFont="1" applyFill="1" applyBorder="1" applyAlignment="1">
      <alignment horizontal="right" vertical="center" wrapText="1"/>
    </xf>
    <xf numFmtId="49" fontId="13" fillId="0" borderId="11" xfId="0" applyNumberFormat="1" applyFont="1" applyBorder="1" applyAlignment="1" applyProtection="1">
      <alignment horizontal="center" vertical="center"/>
      <protection hidden="1"/>
    </xf>
    <xf numFmtId="0" fontId="145" fillId="0" borderId="10" xfId="0" applyFont="1" applyBorder="1" applyAlignment="1" applyProtection="1">
      <alignment vertical="center" wrapText="1"/>
      <protection hidden="1"/>
    </xf>
    <xf numFmtId="3" fontId="145" fillId="0" borderId="10" xfId="667" applyNumberFormat="1" applyFont="1" applyFill="1" applyBorder="1" applyAlignment="1" applyProtection="1">
      <alignment horizontal="right" vertical="center" wrapText="1"/>
      <protection hidden="1"/>
    </xf>
    <xf numFmtId="0" fontId="10" fillId="0" borderId="14" xfId="0" applyFont="1" applyBorder="1" applyAlignment="1" applyProtection="1">
      <alignment horizontal="center" vertical="center" wrapText="1"/>
      <protection hidden="1"/>
    </xf>
    <xf numFmtId="0" fontId="10" fillId="0" borderId="16" xfId="0" applyFont="1" applyBorder="1" applyAlignment="1" applyProtection="1">
      <alignment horizontal="center" vertical="center" wrapText="1"/>
      <protection hidden="1"/>
    </xf>
    <xf numFmtId="3" fontId="10" fillId="2" borderId="10" xfId="0" applyNumberFormat="1" applyFont="1" applyFill="1" applyBorder="1" applyAlignment="1">
      <alignment horizontal="right" vertical="center" wrapText="1"/>
    </xf>
    <xf numFmtId="0" fontId="52" fillId="0" borderId="11" xfId="0" applyFont="1" applyBorder="1" applyAlignment="1" applyProtection="1">
      <alignment horizontal="center" vertical="center"/>
      <protection hidden="1"/>
    </xf>
    <xf numFmtId="0" fontId="51" fillId="0" borderId="11" xfId="0" applyFont="1" applyBorder="1" applyAlignment="1" applyProtection="1">
      <alignment horizontal="center" vertical="center"/>
      <protection hidden="1"/>
    </xf>
    <xf numFmtId="49" fontId="161" fillId="0" borderId="11" xfId="0" applyNumberFormat="1" applyFont="1" applyBorder="1" applyAlignment="1" applyProtection="1">
      <alignment horizontal="center" vertical="center"/>
      <protection hidden="1"/>
    </xf>
    <xf numFmtId="0" fontId="11" fillId="0" borderId="16" xfId="0" applyFont="1" applyBorder="1" applyAlignment="1" applyProtection="1">
      <alignment vertical="center" wrapText="1"/>
      <protection hidden="1"/>
    </xf>
    <xf numFmtId="3" fontId="10" fillId="2" borderId="11" xfId="0" applyNumberFormat="1" applyFont="1" applyFill="1" applyBorder="1" applyAlignment="1">
      <alignment vertical="center" wrapText="1"/>
    </xf>
    <xf numFmtId="3" fontId="51" fillId="0" borderId="12" xfId="0" applyNumberFormat="1" applyFont="1" applyBorder="1" applyAlignment="1">
      <alignment horizontal="center" vertical="center" wrapText="1"/>
    </xf>
    <xf numFmtId="3" fontId="51" fillId="0" borderId="10" xfId="0" applyNumberFormat="1" applyFont="1" applyBorder="1" applyAlignment="1">
      <alignment horizontal="center"/>
    </xf>
    <xf numFmtId="3" fontId="56" fillId="2" borderId="10" xfId="0" applyNumberFormat="1" applyFont="1" applyFill="1" applyBorder="1" applyAlignment="1">
      <alignment horizontal="center" vertical="center" wrapText="1"/>
    </xf>
    <xf numFmtId="0" fontId="11" fillId="0" borderId="10" xfId="0" applyFont="1" applyBorder="1" applyAlignment="1" applyProtection="1">
      <alignment horizontal="center" vertical="center" wrapText="1"/>
      <protection hidden="1"/>
    </xf>
    <xf numFmtId="3" fontId="11" fillId="0" borderId="10" xfId="0" applyNumberFormat="1" applyFont="1" applyBorder="1" applyAlignment="1" applyProtection="1">
      <alignment horizontal="center" vertical="center" wrapText="1"/>
      <protection hidden="1"/>
    </xf>
    <xf numFmtId="0" fontId="62" fillId="0" borderId="11" xfId="0" applyFont="1" applyBorder="1" applyAlignment="1" applyProtection="1">
      <alignment horizontal="center" vertical="center"/>
      <protection hidden="1"/>
    </xf>
    <xf numFmtId="3" fontId="11" fillId="0" borderId="14" xfId="947" applyNumberFormat="1" applyFont="1" applyBorder="1" applyAlignment="1" applyProtection="1">
      <alignment horizontal="center" vertical="center"/>
      <protection hidden="1"/>
    </xf>
    <xf numFmtId="3" fontId="145" fillId="0" borderId="10" xfId="947" applyNumberFormat="1" applyFont="1" applyBorder="1" applyAlignment="1" applyProtection="1">
      <alignment horizontal="center"/>
      <protection hidden="1"/>
    </xf>
    <xf numFmtId="3" fontId="10" fillId="0" borderId="10" xfId="947" applyNumberFormat="1" applyFont="1" applyBorder="1" applyProtection="1">
      <protection hidden="1"/>
    </xf>
    <xf numFmtId="3" fontId="145" fillId="0" borderId="10" xfId="947" applyNumberFormat="1" applyFont="1" applyBorder="1" applyProtection="1">
      <protection hidden="1"/>
    </xf>
    <xf numFmtId="38" fontId="56" fillId="0" borderId="11" xfId="948" applyNumberFormat="1" applyFont="1" applyBorder="1" applyAlignment="1" applyProtection="1">
      <alignment horizontal="center"/>
      <protection hidden="1"/>
    </xf>
    <xf numFmtId="38" fontId="56" fillId="0" borderId="11" xfId="948" applyNumberFormat="1" applyFont="1" applyBorder="1" applyAlignment="1" applyProtection="1">
      <alignment horizontal="center" vertical="center"/>
      <protection hidden="1"/>
    </xf>
    <xf numFmtId="38" fontId="52" fillId="0" borderId="11" xfId="948" applyNumberFormat="1" applyFont="1" applyBorder="1" applyAlignment="1" applyProtection="1">
      <alignment horizontal="center" vertical="center"/>
      <protection hidden="1"/>
    </xf>
    <xf numFmtId="38" fontId="11" fillId="0" borderId="20" xfId="948" applyNumberFormat="1" applyFont="1" applyBorder="1" applyAlignment="1" applyProtection="1">
      <alignment horizontal="center" vertical="center" wrapText="1"/>
      <protection hidden="1"/>
    </xf>
    <xf numFmtId="38" fontId="168" fillId="0" borderId="20" xfId="948" applyNumberFormat="1" applyFont="1" applyBorder="1" applyAlignment="1" applyProtection="1">
      <alignment horizontal="center" vertical="center" wrapText="1"/>
      <protection hidden="1"/>
    </xf>
    <xf numFmtId="38" fontId="52" fillId="0" borderId="20" xfId="948" applyNumberFormat="1" applyFont="1" applyBorder="1" applyAlignment="1" applyProtection="1">
      <alignment horizontal="center"/>
      <protection hidden="1"/>
    </xf>
    <xf numFmtId="3" fontId="11" fillId="4" borderId="11" xfId="0" applyNumberFormat="1" applyFont="1" applyFill="1" applyBorder="1" applyAlignment="1">
      <alignment vertical="center" wrapText="1"/>
    </xf>
    <xf numFmtId="3" fontId="10" fillId="0" borderId="11" xfId="0" applyNumberFormat="1" applyFont="1" applyBorder="1" applyAlignment="1" applyProtection="1">
      <alignment horizontal="right" vertical="center"/>
      <protection hidden="1"/>
    </xf>
    <xf numFmtId="38" fontId="145" fillId="0" borderId="20" xfId="948" applyNumberFormat="1" applyFont="1" applyBorder="1" applyAlignment="1" applyProtection="1">
      <alignment horizontal="centerContinuous"/>
      <protection hidden="1"/>
    </xf>
    <xf numFmtId="38" fontId="145" fillId="0" borderId="20" xfId="948" applyNumberFormat="1" applyFont="1" applyBorder="1" applyAlignment="1" applyProtection="1">
      <alignment horizontal="center" vertical="center" wrapText="1"/>
      <protection hidden="1"/>
    </xf>
    <xf numFmtId="38" fontId="145" fillId="0" borderId="20" xfId="948" applyNumberFormat="1" applyFont="1" applyBorder="1" applyAlignment="1" applyProtection="1">
      <alignment horizontal="centerContinuous" vertical="center" wrapText="1"/>
      <protection hidden="1"/>
    </xf>
    <xf numFmtId="38" fontId="12" fillId="0" borderId="20" xfId="948" applyNumberFormat="1" applyFont="1" applyBorder="1" applyAlignment="1" applyProtection="1">
      <alignment horizontal="centerContinuous"/>
      <protection hidden="1"/>
    </xf>
    <xf numFmtId="0" fontId="145" fillId="4" borderId="0" xfId="0" applyFont="1" applyFill="1" applyAlignment="1">
      <alignment horizontal="right"/>
    </xf>
    <xf numFmtId="0" fontId="145" fillId="0" borderId="0" xfId="0" applyFont="1" applyAlignment="1">
      <alignment horizontal="right" vertical="center"/>
    </xf>
    <xf numFmtId="0" fontId="145" fillId="4" borderId="0" xfId="0" applyFont="1" applyFill="1" applyAlignment="1">
      <alignment horizontal="right" vertical="center"/>
    </xf>
    <xf numFmtId="0" fontId="145" fillId="0" borderId="0" xfId="0" applyFont="1" applyAlignment="1" applyProtection="1">
      <alignment vertical="center"/>
      <protection hidden="1"/>
    </xf>
    <xf numFmtId="38" fontId="11" fillId="0" borderId="20" xfId="948" applyNumberFormat="1" applyFont="1" applyBorder="1" applyAlignment="1" applyProtection="1">
      <alignment horizontal="centerContinuous"/>
      <protection hidden="1"/>
    </xf>
    <xf numFmtId="38" fontId="11" fillId="0" borderId="34" xfId="948" applyNumberFormat="1" applyFont="1" applyBorder="1" applyAlignment="1" applyProtection="1">
      <alignment horizontal="center" vertical="center" wrapText="1"/>
      <protection hidden="1"/>
    </xf>
    <xf numFmtId="0" fontId="4" fillId="2" borderId="0" xfId="0" applyFont="1" applyFill="1" applyAlignment="1" applyProtection="1">
      <alignment horizontal="center"/>
      <protection hidden="1"/>
    </xf>
    <xf numFmtId="49" fontId="146" fillId="0" borderId="10" xfId="0" applyNumberFormat="1" applyFont="1" applyBorder="1" applyAlignment="1">
      <alignment horizontal="right"/>
    </xf>
    <xf numFmtId="202" fontId="10" fillId="0" borderId="10" xfId="0" applyNumberFormat="1" applyFont="1" applyBorder="1" applyAlignment="1">
      <alignment horizontal="center"/>
    </xf>
    <xf numFmtId="49" fontId="146" fillId="0" borderId="13" xfId="0" applyNumberFormat="1" applyFont="1" applyBorder="1" applyAlignment="1">
      <alignment horizontal="right"/>
    </xf>
    <xf numFmtId="0" fontId="146" fillId="0" borderId="0" xfId="0" applyFont="1" applyAlignment="1">
      <alignment horizontal="right"/>
    </xf>
    <xf numFmtId="38" fontId="50" fillId="2" borderId="10" xfId="948" quotePrefix="1" applyNumberFormat="1" applyFont="1" applyFill="1" applyBorder="1" applyAlignment="1" applyProtection="1">
      <alignment horizontal="center" vertical="center"/>
      <protection hidden="1"/>
    </xf>
    <xf numFmtId="38" fontId="50" fillId="2" borderId="12" xfId="948" quotePrefix="1" applyNumberFormat="1" applyFont="1" applyFill="1" applyBorder="1" applyAlignment="1" applyProtection="1">
      <alignment horizontal="center" vertical="center"/>
      <protection hidden="1"/>
    </xf>
    <xf numFmtId="3" fontId="56" fillId="2" borderId="10" xfId="948" applyNumberFormat="1" applyFont="1" applyFill="1" applyBorder="1" applyAlignment="1" applyProtection="1">
      <alignment horizontal="right"/>
      <protection hidden="1"/>
    </xf>
    <xf numFmtId="3" fontId="146" fillId="2" borderId="10" xfId="948" applyNumberFormat="1" applyFont="1" applyFill="1" applyBorder="1" applyAlignment="1" applyProtection="1">
      <alignment horizontal="center"/>
      <protection hidden="1"/>
    </xf>
    <xf numFmtId="3" fontId="145" fillId="2" borderId="10" xfId="948" applyNumberFormat="1" applyFont="1" applyFill="1" applyBorder="1" applyAlignment="1" applyProtection="1">
      <alignment horizontal="center"/>
      <protection hidden="1"/>
    </xf>
    <xf numFmtId="3" fontId="11" fillId="2" borderId="16" xfId="948" applyNumberFormat="1" applyFont="1" applyFill="1" applyBorder="1" applyAlignment="1" applyProtection="1">
      <alignment horizontal="right" vertical="center"/>
      <protection hidden="1"/>
    </xf>
    <xf numFmtId="38" fontId="50" fillId="2" borderId="16" xfId="948" quotePrefix="1" applyNumberFormat="1" applyFont="1" applyFill="1" applyBorder="1" applyAlignment="1" applyProtection="1">
      <alignment horizontal="center" vertical="center"/>
      <protection hidden="1"/>
    </xf>
    <xf numFmtId="3" fontId="56" fillId="2" borderId="16" xfId="948" applyNumberFormat="1" applyFont="1" applyFill="1" applyBorder="1" applyAlignment="1" applyProtection="1">
      <alignment horizontal="right" vertical="center"/>
      <protection hidden="1"/>
    </xf>
    <xf numFmtId="3" fontId="56" fillId="2" borderId="10" xfId="948" applyNumberFormat="1" applyFont="1" applyFill="1" applyBorder="1" applyAlignment="1" applyProtection="1">
      <alignment horizontal="right" vertical="center"/>
      <protection hidden="1"/>
    </xf>
    <xf numFmtId="3" fontId="57" fillId="2" borderId="10" xfId="948" applyNumberFormat="1" applyFont="1" applyFill="1" applyBorder="1" applyAlignment="1" applyProtection="1">
      <alignment horizontal="right" vertical="center"/>
      <protection hidden="1"/>
    </xf>
    <xf numFmtId="38" fontId="56" fillId="2" borderId="10" xfId="948" quotePrefix="1" applyNumberFormat="1" applyFont="1" applyFill="1" applyBorder="1" applyAlignment="1" applyProtection="1">
      <alignment horizontal="center" vertical="center"/>
      <protection hidden="1"/>
    </xf>
    <xf numFmtId="38" fontId="11" fillId="2" borderId="10" xfId="948" quotePrefix="1" applyNumberFormat="1" applyFont="1" applyFill="1" applyBorder="1" applyAlignment="1" applyProtection="1">
      <alignment horizontal="center" vertical="center"/>
      <protection hidden="1"/>
    </xf>
    <xf numFmtId="3" fontId="11" fillId="2" borderId="10" xfId="948" applyNumberFormat="1" applyFont="1" applyFill="1" applyBorder="1" applyAlignment="1" applyProtection="1">
      <alignment horizontal="right" vertical="center"/>
      <protection hidden="1"/>
    </xf>
    <xf numFmtId="3" fontId="57" fillId="2" borderId="10" xfId="948" applyNumberFormat="1" applyFont="1" applyFill="1" applyBorder="1" applyAlignment="1" applyProtection="1">
      <alignment horizontal="right"/>
      <protection hidden="1"/>
    </xf>
    <xf numFmtId="3" fontId="11" fillId="2" borderId="10" xfId="948" applyNumberFormat="1" applyFont="1" applyFill="1" applyBorder="1" applyAlignment="1" applyProtection="1">
      <alignment horizontal="right"/>
      <protection hidden="1"/>
    </xf>
    <xf numFmtId="3" fontId="11" fillId="2" borderId="16" xfId="948" applyNumberFormat="1" applyFont="1" applyFill="1" applyBorder="1" applyAlignment="1" applyProtection="1">
      <alignment horizontal="right"/>
      <protection hidden="1"/>
    </xf>
    <xf numFmtId="3" fontId="11" fillId="2" borderId="14" xfId="947" applyNumberFormat="1" applyFont="1" applyFill="1" applyBorder="1" applyAlignment="1" applyProtection="1">
      <alignment horizontal="right" vertical="center"/>
      <protection hidden="1"/>
    </xf>
    <xf numFmtId="3" fontId="10" fillId="2" borderId="11" xfId="947" applyNumberFormat="1" applyFont="1" applyFill="1" applyBorder="1" applyAlignment="1" applyProtection="1">
      <alignment horizontal="right"/>
      <protection hidden="1"/>
    </xf>
    <xf numFmtId="3" fontId="10" fillId="2" borderId="10" xfId="947" applyNumberFormat="1" applyFont="1" applyFill="1" applyBorder="1" applyAlignment="1" applyProtection="1">
      <alignment horizontal="right"/>
      <protection hidden="1"/>
    </xf>
    <xf numFmtId="3" fontId="13" fillId="2" borderId="10" xfId="947" applyNumberFormat="1" applyFont="1" applyFill="1" applyBorder="1" applyAlignment="1" applyProtection="1">
      <alignment horizontal="right"/>
      <protection hidden="1"/>
    </xf>
    <xf numFmtId="3" fontId="11" fillId="2" borderId="10" xfId="947" applyNumberFormat="1" applyFont="1" applyFill="1" applyBorder="1" applyAlignment="1" applyProtection="1">
      <alignment horizontal="right"/>
      <protection hidden="1"/>
    </xf>
    <xf numFmtId="3" fontId="11" fillId="2" borderId="20" xfId="947" applyNumberFormat="1" applyFont="1" applyFill="1" applyBorder="1" applyAlignment="1" applyProtection="1">
      <alignment horizontal="right"/>
      <protection hidden="1"/>
    </xf>
    <xf numFmtId="3" fontId="52" fillId="2" borderId="20" xfId="947" applyNumberFormat="1" applyFont="1" applyFill="1" applyBorder="1" applyAlignment="1" applyProtection="1">
      <alignment horizontal="right"/>
      <protection hidden="1"/>
    </xf>
    <xf numFmtId="3" fontId="52" fillId="2" borderId="10" xfId="947" applyNumberFormat="1" applyFont="1" applyFill="1" applyBorder="1" applyAlignment="1" applyProtection="1">
      <alignment horizontal="right"/>
      <protection hidden="1"/>
    </xf>
    <xf numFmtId="3" fontId="145" fillId="2" borderId="11" xfId="947" applyNumberFormat="1" applyFont="1" applyFill="1" applyBorder="1" applyAlignment="1" applyProtection="1">
      <alignment horizontal="right"/>
      <protection hidden="1"/>
    </xf>
    <xf numFmtId="3" fontId="145" fillId="2" borderId="10" xfId="947" applyNumberFormat="1" applyFont="1" applyFill="1" applyBorder="1" applyAlignment="1" applyProtection="1">
      <alignment horizontal="right"/>
      <protection hidden="1"/>
    </xf>
    <xf numFmtId="3" fontId="145" fillId="2" borderId="20" xfId="947" applyNumberFormat="1" applyFont="1" applyFill="1" applyBorder="1" applyAlignment="1" applyProtection="1">
      <alignment horizontal="right"/>
      <protection hidden="1"/>
    </xf>
    <xf numFmtId="3" fontId="10" fillId="2" borderId="10" xfId="947" applyNumberFormat="1" applyFont="1" applyFill="1" applyBorder="1" applyAlignment="1" applyProtection="1">
      <alignment horizontal="center"/>
      <protection hidden="1"/>
    </xf>
    <xf numFmtId="3" fontId="10" fillId="2" borderId="10" xfId="947" applyNumberFormat="1" applyFont="1" applyFill="1" applyBorder="1" applyAlignment="1" applyProtection="1">
      <alignment horizontal="right" vertical="center"/>
      <protection hidden="1"/>
    </xf>
    <xf numFmtId="3" fontId="11" fillId="2" borderId="11" xfId="947" applyNumberFormat="1" applyFont="1" applyFill="1" applyBorder="1" applyAlignment="1" applyProtection="1">
      <alignment horizontal="right" vertical="center"/>
      <protection hidden="1"/>
    </xf>
    <xf numFmtId="3" fontId="11" fillId="2" borderId="11" xfId="947" applyNumberFormat="1" applyFont="1" applyFill="1" applyBorder="1" applyAlignment="1" applyProtection="1">
      <alignment horizontal="right"/>
      <protection hidden="1"/>
    </xf>
    <xf numFmtId="3" fontId="66" fillId="2" borderId="3" xfId="667" applyNumberFormat="1" applyFont="1" applyFill="1" applyBorder="1" applyAlignment="1" applyProtection="1">
      <alignment horizontal="right" vertical="center" wrapText="1"/>
      <protection hidden="1"/>
    </xf>
    <xf numFmtId="0" fontId="14" fillId="2" borderId="0" xfId="0" applyFont="1" applyFill="1" applyAlignment="1" applyProtection="1">
      <alignment horizontal="left"/>
      <protection hidden="1"/>
    </xf>
    <xf numFmtId="0" fontId="4" fillId="2" borderId="0" xfId="0" applyFont="1" applyFill="1" applyAlignment="1" applyProtection="1">
      <alignment horizontal="left"/>
      <protection hidden="1"/>
    </xf>
    <xf numFmtId="3" fontId="5" fillId="2" borderId="0" xfId="0" applyNumberFormat="1" applyFont="1" applyFill="1" applyProtection="1">
      <protection hidden="1"/>
    </xf>
    <xf numFmtId="0" fontId="5" fillId="2" borderId="0" xfId="0" applyFont="1" applyFill="1" applyAlignment="1" applyProtection="1">
      <alignment horizontal="left"/>
      <protection hidden="1"/>
    </xf>
    <xf numFmtId="0" fontId="14" fillId="2" borderId="0" xfId="0" applyFont="1" applyFill="1" applyAlignment="1" applyProtection="1">
      <alignment horizontal="center"/>
      <protection hidden="1"/>
    </xf>
    <xf numFmtId="0" fontId="5" fillId="2" borderId="0" xfId="0" applyFont="1" applyFill="1" applyAlignment="1" applyProtection="1">
      <alignment horizontal="right"/>
      <protection hidden="1"/>
    </xf>
    <xf numFmtId="3" fontId="6" fillId="2" borderId="0" xfId="0" applyNumberFormat="1" applyFont="1" applyFill="1" applyProtection="1">
      <protection hidden="1"/>
    </xf>
    <xf numFmtId="0" fontId="14" fillId="2" borderId="0" xfId="0" applyFont="1" applyFill="1" applyAlignment="1" applyProtection="1">
      <alignment horizontal="right"/>
      <protection hidden="1"/>
    </xf>
    <xf numFmtId="3" fontId="68" fillId="2" borderId="0" xfId="0" applyNumberFormat="1" applyFont="1" applyFill="1" applyProtection="1">
      <protection hidden="1"/>
    </xf>
    <xf numFmtId="3" fontId="5" fillId="2" borderId="0" xfId="0" applyNumberFormat="1" applyFont="1" applyFill="1" applyAlignment="1" applyProtection="1">
      <alignment horizontal="right"/>
      <protection hidden="1"/>
    </xf>
    <xf numFmtId="3" fontId="13" fillId="2" borderId="10" xfId="947" applyNumberFormat="1" applyFont="1" applyFill="1" applyBorder="1" applyAlignment="1" applyProtection="1">
      <alignment horizontal="center"/>
      <protection hidden="1"/>
    </xf>
    <xf numFmtId="3" fontId="145" fillId="2" borderId="10" xfId="947" applyNumberFormat="1" applyFont="1" applyFill="1" applyBorder="1" applyAlignment="1" applyProtection="1">
      <alignment horizontal="right" vertical="center"/>
      <protection hidden="1"/>
    </xf>
    <xf numFmtId="3" fontId="145" fillId="2" borderId="10" xfId="947" applyNumberFormat="1" applyFont="1" applyFill="1" applyBorder="1" applyAlignment="1" applyProtection="1">
      <alignment horizontal="center"/>
      <protection hidden="1"/>
    </xf>
    <xf numFmtId="3" fontId="11" fillId="2" borderId="10" xfId="947" applyNumberFormat="1" applyFont="1" applyFill="1" applyBorder="1" applyAlignment="1" applyProtection="1">
      <alignment horizontal="right" vertical="center"/>
      <protection hidden="1"/>
    </xf>
    <xf numFmtId="3" fontId="52" fillId="2" borderId="9" xfId="667" applyNumberFormat="1" applyFont="1" applyFill="1" applyBorder="1" applyAlignment="1" applyProtection="1">
      <alignment horizontal="right" vertical="center" wrapText="1"/>
      <protection hidden="1"/>
    </xf>
    <xf numFmtId="3" fontId="145" fillId="2" borderId="11" xfId="947" applyNumberFormat="1" applyFont="1" applyFill="1" applyBorder="1" applyAlignment="1" applyProtection="1">
      <alignment horizontal="right" vertical="center"/>
      <protection hidden="1"/>
    </xf>
    <xf numFmtId="3" fontId="13" fillId="2" borderId="11" xfId="947" applyNumberFormat="1" applyFont="1" applyFill="1" applyBorder="1" applyAlignment="1" applyProtection="1">
      <alignment horizontal="center"/>
      <protection hidden="1"/>
    </xf>
    <xf numFmtId="3" fontId="52" fillId="2" borderId="10" xfId="947" applyNumberFormat="1" applyFont="1" applyFill="1" applyBorder="1" applyAlignment="1" applyProtection="1">
      <alignment horizontal="right" vertical="center"/>
      <protection hidden="1"/>
    </xf>
    <xf numFmtId="3" fontId="10" fillId="2" borderId="11" xfId="947" applyNumberFormat="1" applyFont="1" applyFill="1" applyBorder="1" applyAlignment="1" applyProtection="1">
      <alignment horizontal="right" vertical="center"/>
      <protection hidden="1"/>
    </xf>
    <xf numFmtId="3" fontId="52" fillId="2" borderId="11" xfId="947" applyNumberFormat="1" applyFont="1" applyFill="1" applyBorder="1" applyAlignment="1" applyProtection="1">
      <alignment horizontal="right"/>
      <protection hidden="1"/>
    </xf>
    <xf numFmtId="3" fontId="10" fillId="2" borderId="20" xfId="947" applyNumberFormat="1" applyFont="1" applyFill="1" applyBorder="1" applyAlignment="1" applyProtection="1">
      <alignment horizontal="right"/>
      <protection hidden="1"/>
    </xf>
    <xf numFmtId="3" fontId="10" fillId="2" borderId="47" xfId="947" applyNumberFormat="1" applyFont="1" applyFill="1" applyBorder="1" applyAlignment="1" applyProtection="1">
      <alignment horizontal="right" vertical="center"/>
      <protection hidden="1"/>
    </xf>
    <xf numFmtId="3" fontId="52" fillId="2" borderId="11" xfId="947" applyNumberFormat="1" applyFont="1" applyFill="1" applyBorder="1" applyAlignment="1" applyProtection="1">
      <alignment horizontal="right" vertical="center"/>
      <protection hidden="1"/>
    </xf>
    <xf numFmtId="3" fontId="11" fillId="2" borderId="15" xfId="947" applyNumberFormat="1" applyFont="1" applyFill="1" applyBorder="1" applyAlignment="1" applyProtection="1">
      <alignment horizontal="right" vertical="center"/>
      <protection hidden="1"/>
    </xf>
    <xf numFmtId="3" fontId="10" fillId="2" borderId="15" xfId="947" applyNumberFormat="1" applyFont="1" applyFill="1" applyBorder="1" applyAlignment="1" applyProtection="1">
      <alignment horizontal="right" vertical="center"/>
      <protection hidden="1"/>
    </xf>
    <xf numFmtId="38" fontId="51" fillId="2" borderId="16" xfId="948" quotePrefix="1" applyNumberFormat="1" applyFont="1" applyFill="1" applyBorder="1" applyAlignment="1" applyProtection="1">
      <alignment horizontal="center" vertical="center"/>
      <protection hidden="1"/>
    </xf>
    <xf numFmtId="244" fontId="3" fillId="0" borderId="0" xfId="0" applyNumberFormat="1" applyFont="1" applyAlignment="1" applyProtection="1">
      <alignment horizontal="center"/>
      <protection hidden="1"/>
    </xf>
    <xf numFmtId="0" fontId="10" fillId="0" borderId="0" xfId="0" applyFont="1" applyAlignment="1">
      <alignment horizontal="left"/>
    </xf>
    <xf numFmtId="49" fontId="10" fillId="0" borderId="10" xfId="0" applyNumberFormat="1" applyFont="1" applyBorder="1" applyAlignment="1">
      <alignment horizontal="right"/>
    </xf>
    <xf numFmtId="3" fontId="5" fillId="0" borderId="0" xfId="0" applyNumberFormat="1" applyFont="1" applyAlignment="1">
      <alignment vertical="center"/>
    </xf>
    <xf numFmtId="0" fontId="146" fillId="0" borderId="0" xfId="0" applyFont="1" applyAlignment="1">
      <alignment horizontal="right" vertical="center"/>
    </xf>
    <xf numFmtId="49" fontId="146" fillId="0" borderId="10" xfId="0" applyNumberFormat="1" applyFont="1" applyBorder="1" applyAlignment="1">
      <alignment horizontal="right" vertical="center"/>
    </xf>
    <xf numFmtId="257" fontId="5" fillId="4" borderId="0" xfId="0" applyNumberFormat="1" applyFont="1" applyFill="1" applyProtection="1">
      <protection hidden="1"/>
    </xf>
    <xf numFmtId="227" fontId="5" fillId="4" borderId="0" xfId="0" applyNumberFormat="1" applyFont="1" applyFill="1" applyProtection="1">
      <protection hidden="1"/>
    </xf>
    <xf numFmtId="302" fontId="145" fillId="0" borderId="20" xfId="948" applyNumberFormat="1" applyFont="1" applyBorder="1" applyAlignment="1" applyProtection="1">
      <alignment horizontal="centerContinuous" vertical="center" wrapText="1"/>
      <protection hidden="1"/>
    </xf>
    <xf numFmtId="0" fontId="160" fillId="2" borderId="0" xfId="0" applyFont="1" applyFill="1" applyAlignment="1" applyProtection="1">
      <alignment horizontal="center"/>
      <protection hidden="1"/>
    </xf>
    <xf numFmtId="185" fontId="57" fillId="0" borderId="0" xfId="667" applyNumberFormat="1" applyFont="1" applyFill="1" applyAlignment="1" applyProtection="1">
      <alignment horizontal="right" vertical="center" wrapText="1"/>
      <protection hidden="1"/>
    </xf>
    <xf numFmtId="185" fontId="51" fillId="0" borderId="0" xfId="667" applyNumberFormat="1" applyFont="1" applyFill="1" applyAlignment="1" applyProtection="1">
      <alignment horizontal="center" vertical="center" wrapText="1"/>
      <protection hidden="1"/>
    </xf>
    <xf numFmtId="3" fontId="170" fillId="0" borderId="0" xfId="948" applyNumberFormat="1" applyFont="1" applyAlignment="1" applyProtection="1">
      <alignment horizontal="left" vertical="center"/>
      <protection hidden="1"/>
    </xf>
    <xf numFmtId="3" fontId="170" fillId="0" borderId="0" xfId="948" applyNumberFormat="1" applyFont="1" applyAlignment="1" applyProtection="1">
      <alignment horizontal="right" vertical="center"/>
      <protection hidden="1"/>
    </xf>
    <xf numFmtId="0" fontId="57" fillId="0" borderId="0" xfId="0" applyFont="1" applyAlignment="1" applyProtection="1">
      <alignment horizontal="right" vertical="center" wrapText="1"/>
      <protection hidden="1"/>
    </xf>
    <xf numFmtId="185" fontId="57" fillId="11" borderId="27" xfId="667" applyNumberFormat="1" applyFont="1" applyFill="1" applyBorder="1" applyAlignment="1" applyProtection="1">
      <alignment horizontal="center" vertical="center"/>
      <protection hidden="1"/>
    </xf>
    <xf numFmtId="185" fontId="52" fillId="11" borderId="0" xfId="667" applyNumberFormat="1" applyFont="1" applyFill="1" applyBorder="1" applyAlignment="1" applyProtection="1">
      <alignment horizontal="center" vertical="center"/>
      <protection hidden="1"/>
    </xf>
    <xf numFmtId="185" fontId="52" fillId="0" borderId="0" xfId="667" applyNumberFormat="1" applyFont="1" applyFill="1" applyBorder="1" applyAlignment="1" applyProtection="1">
      <alignment horizontal="center" vertical="center"/>
      <protection hidden="1"/>
    </xf>
    <xf numFmtId="185" fontId="145" fillId="0" borderId="0" xfId="0" applyNumberFormat="1" applyFont="1" applyAlignment="1" applyProtection="1">
      <alignment horizontal="center"/>
      <protection hidden="1"/>
    </xf>
    <xf numFmtId="185" fontId="57" fillId="4" borderId="0" xfId="667" applyNumberFormat="1" applyFont="1" applyFill="1" applyBorder="1" applyAlignment="1" applyProtection="1">
      <alignment horizontal="center" vertical="center"/>
      <protection hidden="1"/>
    </xf>
    <xf numFmtId="3" fontId="5" fillId="0" borderId="10" xfId="0" applyNumberFormat="1" applyFont="1" applyBorder="1" applyAlignment="1">
      <alignment vertical="center"/>
    </xf>
    <xf numFmtId="0" fontId="145" fillId="4" borderId="32" xfId="0" applyFont="1" applyFill="1" applyBorder="1" applyAlignment="1">
      <alignment horizontal="right" vertical="center"/>
    </xf>
    <xf numFmtId="0" fontId="145" fillId="0" borderId="0" xfId="0" applyFont="1"/>
    <xf numFmtId="0" fontId="145" fillId="0" borderId="0" xfId="0" applyFont="1" applyAlignment="1">
      <alignment vertical="center"/>
    </xf>
    <xf numFmtId="0" fontId="145" fillId="0" borderId="0" xfId="0" applyFont="1" applyAlignment="1" applyProtection="1">
      <alignment horizontal="left" vertical="center"/>
      <protection hidden="1"/>
    </xf>
    <xf numFmtId="0" fontId="10" fillId="0" borderId="0" xfId="0" applyFont="1" applyAlignment="1">
      <alignment horizontal="right"/>
    </xf>
    <xf numFmtId="0" fontId="10" fillId="0" borderId="21" xfId="0" applyFont="1" applyBorder="1" applyAlignment="1" applyProtection="1">
      <alignment vertical="center"/>
      <protection hidden="1"/>
    </xf>
    <xf numFmtId="49" fontId="16" fillId="0" borderId="3" xfId="0" applyNumberFormat="1" applyFont="1" applyBorder="1" applyAlignment="1" applyProtection="1">
      <alignment horizontal="center" vertical="center"/>
      <protection hidden="1"/>
    </xf>
    <xf numFmtId="0" fontId="145" fillId="0" borderId="10" xfId="0" applyFont="1" applyBorder="1" applyAlignment="1">
      <alignment horizontal="center" vertical="center"/>
    </xf>
    <xf numFmtId="0" fontId="145" fillId="0" borderId="11" xfId="0" applyFont="1" applyBorder="1" applyAlignment="1">
      <alignment horizontal="center" vertical="center"/>
    </xf>
    <xf numFmtId="49" fontId="51" fillId="0" borderId="11" xfId="0" applyNumberFormat="1" applyFont="1" applyBorder="1" applyAlignment="1" applyProtection="1">
      <alignment horizontal="center" vertical="center"/>
      <protection hidden="1"/>
    </xf>
    <xf numFmtId="3" fontId="10" fillId="0" borderId="21" xfId="0" applyNumberFormat="1" applyFont="1" applyBorder="1" applyAlignment="1" applyProtection="1">
      <alignment vertical="center"/>
      <protection hidden="1"/>
    </xf>
    <xf numFmtId="0" fontId="145" fillId="0" borderId="10" xfId="0" applyFont="1" applyBorder="1" applyAlignment="1">
      <alignment horizontal="center"/>
    </xf>
    <xf numFmtId="0" fontId="145" fillId="0" borderId="11" xfId="0" applyFont="1" applyBorder="1" applyAlignment="1">
      <alignment horizontal="center"/>
    </xf>
    <xf numFmtId="49" fontId="145" fillId="0" borderId="11" xfId="0" applyNumberFormat="1" applyFont="1" applyBorder="1" applyAlignment="1" applyProtection="1">
      <alignment horizontal="center" vertical="center"/>
      <protection hidden="1"/>
    </xf>
    <xf numFmtId="3" fontId="145" fillId="2" borderId="10" xfId="0" applyNumberFormat="1" applyFont="1" applyFill="1" applyBorder="1" applyAlignment="1">
      <alignment horizontal="center"/>
    </xf>
    <xf numFmtId="3" fontId="145" fillId="0" borderId="0" xfId="0" applyNumberFormat="1" applyFont="1" applyAlignment="1" applyProtection="1">
      <alignment vertical="center"/>
      <protection hidden="1"/>
    </xf>
    <xf numFmtId="0" fontId="5" fillId="0" borderId="42" xfId="0" applyFont="1" applyBorder="1" applyAlignment="1" applyProtection="1">
      <alignment vertical="center"/>
      <protection hidden="1"/>
    </xf>
    <xf numFmtId="0" fontId="5" fillId="0" borderId="27" xfId="0" applyFont="1" applyBorder="1" applyAlignment="1" applyProtection="1">
      <alignment vertical="center"/>
      <protection hidden="1"/>
    </xf>
    <xf numFmtId="0" fontId="5" fillId="0" borderId="35" xfId="0" applyFont="1" applyBorder="1" applyAlignment="1" applyProtection="1">
      <alignment vertical="center"/>
      <protection hidden="1"/>
    </xf>
    <xf numFmtId="0" fontId="5" fillId="0" borderId="17" xfId="0" applyFont="1" applyBorder="1" applyAlignment="1" applyProtection="1">
      <alignment vertical="center"/>
      <protection hidden="1"/>
    </xf>
    <xf numFmtId="0" fontId="5" fillId="0" borderId="18" xfId="0" applyFont="1" applyBorder="1" applyAlignment="1" applyProtection="1">
      <alignment vertical="center"/>
      <protection hidden="1"/>
    </xf>
    <xf numFmtId="49" fontId="16" fillId="0" borderId="14" xfId="0" applyNumberFormat="1" applyFont="1" applyBorder="1" applyAlignment="1" applyProtection="1">
      <alignment horizontal="center" vertical="center"/>
      <protection hidden="1"/>
    </xf>
    <xf numFmtId="0" fontId="11" fillId="0" borderId="11" xfId="0" applyFont="1" applyBorder="1" applyAlignment="1">
      <alignment horizontal="center" vertical="center" wrapText="1"/>
    </xf>
    <xf numFmtId="3" fontId="10" fillId="0" borderId="11" xfId="0" applyNumberFormat="1" applyFont="1" applyBorder="1" applyAlignment="1">
      <alignment horizontal="center" vertical="center" wrapText="1"/>
    </xf>
    <xf numFmtId="0" fontId="13" fillId="0" borderId="12" xfId="0" applyFont="1" applyBorder="1" applyAlignment="1">
      <alignment horizontal="center" vertical="center"/>
    </xf>
    <xf numFmtId="0" fontId="10" fillId="0" borderId="12" xfId="0" applyFont="1" applyBorder="1" applyAlignment="1">
      <alignment vertical="center" wrapText="1"/>
    </xf>
    <xf numFmtId="3" fontId="10" fillId="0" borderId="12" xfId="0" applyNumberFormat="1" applyFont="1" applyBorder="1" applyAlignment="1">
      <alignment horizontal="right" vertical="center" wrapText="1"/>
    </xf>
    <xf numFmtId="0" fontId="11" fillId="0" borderId="10" xfId="0" applyFont="1" applyBorder="1" applyAlignment="1" applyProtection="1">
      <alignment horizontal="center" vertical="center"/>
      <protection hidden="1"/>
    </xf>
    <xf numFmtId="0" fontId="11" fillId="0" borderId="16" xfId="0" applyFont="1" applyBorder="1" applyAlignment="1" applyProtection="1">
      <alignment horizontal="center" vertical="center"/>
      <protection hidden="1"/>
    </xf>
    <xf numFmtId="49" fontId="145" fillId="0" borderId="3" xfId="0" applyNumberFormat="1" applyFont="1" applyBorder="1" applyAlignment="1" applyProtection="1">
      <alignment horizontal="center" vertical="top"/>
      <protection hidden="1"/>
    </xf>
    <xf numFmtId="4" fontId="64" fillId="9" borderId="0" xfId="0" applyNumberFormat="1" applyFont="1" applyFill="1" applyAlignment="1">
      <alignment horizontal="right"/>
    </xf>
    <xf numFmtId="257" fontId="145" fillId="2" borderId="10" xfId="0" applyNumberFormat="1" applyFont="1" applyFill="1" applyBorder="1" applyAlignment="1">
      <alignment horizontal="center"/>
    </xf>
    <xf numFmtId="185" fontId="5" fillId="4" borderId="0" xfId="667" applyNumberFormat="1" applyFont="1" applyFill="1" applyAlignment="1" applyProtection="1">
      <alignment horizontal="right"/>
      <protection hidden="1"/>
    </xf>
    <xf numFmtId="0" fontId="5" fillId="0" borderId="3" xfId="0" quotePrefix="1" applyFont="1" applyBorder="1" applyProtection="1">
      <protection hidden="1"/>
    </xf>
    <xf numFmtId="0" fontId="93" fillId="0" borderId="3" xfId="0" applyFont="1" applyBorder="1" applyProtection="1">
      <protection hidden="1"/>
    </xf>
    <xf numFmtId="0" fontId="4" fillId="4" borderId="3" xfId="0" applyFont="1" applyFill="1" applyBorder="1" applyProtection="1">
      <protection hidden="1"/>
    </xf>
    <xf numFmtId="3" fontId="11" fillId="0" borderId="19" xfId="682" applyNumberFormat="1" applyFont="1" applyFill="1" applyBorder="1" applyAlignment="1" applyProtection="1">
      <alignment horizontal="center" vertical="center" wrapText="1"/>
      <protection hidden="1"/>
    </xf>
    <xf numFmtId="0" fontId="5" fillId="0" borderId="0" xfId="0" applyFont="1" applyAlignment="1" applyProtection="1">
      <alignment horizontal="center" vertical="center"/>
      <protection hidden="1"/>
    </xf>
    <xf numFmtId="244" fontId="5" fillId="4" borderId="0" xfId="0" applyNumberFormat="1" applyFont="1" applyFill="1" applyProtection="1">
      <protection hidden="1"/>
    </xf>
    <xf numFmtId="0" fontId="6" fillId="2" borderId="0" xfId="0" applyFont="1" applyFill="1" applyProtection="1">
      <protection hidden="1"/>
    </xf>
    <xf numFmtId="244" fontId="5" fillId="4" borderId="0" xfId="0" applyNumberFormat="1" applyFont="1" applyFill="1" applyAlignment="1" applyProtection="1">
      <alignment horizontal="right"/>
      <protection hidden="1"/>
    </xf>
    <xf numFmtId="3" fontId="145" fillId="0" borderId="10" xfId="0" quotePrefix="1" applyNumberFormat="1" applyFont="1" applyBorder="1" applyAlignment="1">
      <alignment horizontal="center"/>
    </xf>
    <xf numFmtId="202" fontId="145" fillId="0" borderId="10" xfId="0" applyNumberFormat="1" applyFont="1" applyBorder="1" applyAlignment="1">
      <alignment horizontal="center"/>
    </xf>
    <xf numFmtId="0" fontId="145" fillId="0" borderId="10" xfId="0" quotePrefix="1" applyFont="1" applyBorder="1" applyAlignment="1">
      <alignment horizontal="center"/>
    </xf>
    <xf numFmtId="1" fontId="50" fillId="2" borderId="10" xfId="0" applyNumberFormat="1" applyFont="1" applyFill="1" applyBorder="1" applyAlignment="1" applyProtection="1">
      <alignment horizontal="center" vertical="center"/>
      <protection hidden="1"/>
    </xf>
    <xf numFmtId="38" fontId="14" fillId="2" borderId="0" xfId="948" applyNumberFormat="1" applyFont="1" applyFill="1" applyAlignment="1" applyProtection="1">
      <alignment horizontal="center" vertical="center"/>
      <protection hidden="1"/>
    </xf>
    <xf numFmtId="3" fontId="61" fillId="0" borderId="0" xfId="947" applyNumberFormat="1" applyFont="1" applyAlignment="1" applyProtection="1">
      <alignment horizontal="center"/>
      <protection hidden="1"/>
    </xf>
    <xf numFmtId="0" fontId="0" fillId="0" borderId="0" xfId="0" applyAlignment="1" applyProtection="1">
      <alignment horizontal="center"/>
      <protection hidden="1"/>
    </xf>
    <xf numFmtId="0" fontId="5" fillId="0" borderId="21" xfId="0" applyFont="1" applyBorder="1" applyAlignment="1" applyProtection="1">
      <alignment horizontal="center" vertical="center"/>
      <protection hidden="1"/>
    </xf>
    <xf numFmtId="0" fontId="10" fillId="0" borderId="10" xfId="0" applyFont="1" applyBorder="1" applyAlignment="1" applyProtection="1">
      <alignment horizontal="center" vertical="center"/>
      <protection hidden="1"/>
    </xf>
    <xf numFmtId="38" fontId="14" fillId="0" borderId="0" xfId="948" applyNumberFormat="1" applyFont="1" applyAlignment="1" applyProtection="1">
      <alignment horizontal="center" vertical="center"/>
      <protection hidden="1"/>
    </xf>
    <xf numFmtId="0" fontId="145" fillId="0" borderId="10" xfId="0" applyFont="1" applyBorder="1" applyAlignment="1" applyProtection="1">
      <alignment horizontal="center" vertical="center"/>
      <protection hidden="1"/>
    </xf>
    <xf numFmtId="0" fontId="145" fillId="0" borderId="0" xfId="0" applyFont="1" applyAlignment="1" applyProtection="1">
      <alignment horizontal="center"/>
      <protection hidden="1"/>
    </xf>
    <xf numFmtId="0" fontId="145" fillId="0" borderId="0" xfId="0" applyFont="1" applyAlignment="1" applyProtection="1">
      <alignment horizontal="left"/>
      <protection hidden="1"/>
    </xf>
    <xf numFmtId="3" fontId="10" fillId="0" borderId="40" xfId="0" applyNumberFormat="1" applyFont="1" applyBorder="1" applyAlignment="1">
      <alignment horizontal="center" vertical="center" wrapText="1"/>
    </xf>
    <xf numFmtId="0" fontId="145" fillId="0" borderId="18" xfId="0" applyFont="1" applyBorder="1"/>
    <xf numFmtId="0" fontId="145" fillId="0" borderId="18" xfId="0" applyFont="1" applyBorder="1" applyAlignment="1">
      <alignment vertical="center"/>
    </xf>
    <xf numFmtId="0" fontId="4" fillId="0" borderId="0" xfId="0" applyFont="1" applyAlignment="1">
      <alignment horizontal="center"/>
    </xf>
    <xf numFmtId="0" fontId="93" fillId="3" borderId="0" xfId="0" applyFont="1" applyFill="1"/>
    <xf numFmtId="0" fontId="14" fillId="0" borderId="0" xfId="0" applyFont="1" applyAlignment="1">
      <alignment horizontal="left"/>
    </xf>
    <xf numFmtId="3" fontId="13" fillId="0" borderId="10" xfId="947" applyNumberFormat="1" applyFont="1" applyBorder="1" applyAlignment="1" applyProtection="1">
      <alignment horizontal="right"/>
      <protection hidden="1"/>
    </xf>
    <xf numFmtId="0" fontId="6" fillId="0" borderId="0" xfId="0" applyFont="1" applyAlignment="1" applyProtection="1">
      <alignment horizontal="left"/>
      <protection locked="0"/>
    </xf>
    <xf numFmtId="0" fontId="5" fillId="0" borderId="0" xfId="0" applyFont="1" applyProtection="1">
      <protection locked="0"/>
    </xf>
    <xf numFmtId="0" fontId="6" fillId="0" borderId="3" xfId="0" applyFont="1" applyBorder="1" applyAlignment="1" applyProtection="1">
      <alignment horizontal="center" vertical="center"/>
      <protection locked="0"/>
    </xf>
    <xf numFmtId="0" fontId="6" fillId="0" borderId="3" xfId="0" applyFont="1" applyBorder="1" applyAlignment="1" applyProtection="1">
      <alignment horizontal="center"/>
      <protection locked="0"/>
    </xf>
    <xf numFmtId="3" fontId="6" fillId="0" borderId="3" xfId="0" applyNumberFormat="1"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227" fontId="5" fillId="0" borderId="3" xfId="0" applyNumberFormat="1" applyFont="1" applyBorder="1" applyAlignment="1" applyProtection="1">
      <alignment horizontal="center" vertical="center"/>
      <protection locked="0"/>
    </xf>
    <xf numFmtId="227" fontId="5" fillId="0" borderId="3" xfId="0" applyNumberFormat="1" applyFont="1" applyBorder="1" applyAlignment="1" applyProtection="1">
      <alignment horizontal="center"/>
      <protection locked="0"/>
    </xf>
    <xf numFmtId="0" fontId="5" fillId="0" borderId="3" xfId="0" applyFont="1" applyBorder="1" applyAlignment="1" applyProtection="1">
      <alignment horizontal="center"/>
      <protection locked="0"/>
    </xf>
    <xf numFmtId="227" fontId="5" fillId="0" borderId="0" xfId="0" applyNumberFormat="1" applyFont="1" applyAlignment="1" applyProtection="1">
      <alignment horizontal="center"/>
      <protection locked="0"/>
    </xf>
    <xf numFmtId="0" fontId="6" fillId="0" borderId="3" xfId="0" applyFont="1" applyBorder="1" applyAlignment="1" applyProtection="1">
      <alignment horizontal="center" vertical="center" wrapText="1"/>
      <protection locked="0"/>
    </xf>
    <xf numFmtId="0" fontId="6" fillId="0" borderId="0" xfId="0" applyFont="1" applyAlignment="1" applyProtection="1">
      <alignment vertical="center"/>
      <protection locked="0"/>
    </xf>
    <xf numFmtId="2" fontId="5" fillId="0" borderId="3" xfId="0" applyNumberFormat="1" applyFont="1" applyBorder="1" applyAlignment="1" applyProtection="1">
      <alignment horizontal="center" vertical="center"/>
      <protection locked="0"/>
    </xf>
    <xf numFmtId="2" fontId="5" fillId="0" borderId="3" xfId="0" applyNumberFormat="1" applyFont="1" applyBorder="1" applyAlignment="1" applyProtection="1">
      <alignment horizontal="center"/>
      <protection locked="0"/>
    </xf>
    <xf numFmtId="0" fontId="6" fillId="0" borderId="5" xfId="0" applyFont="1" applyBorder="1" applyProtection="1">
      <protection locked="0"/>
    </xf>
    <xf numFmtId="0" fontId="6" fillId="0" borderId="2" xfId="0" applyFont="1" applyBorder="1" applyProtection="1">
      <protection locked="0"/>
    </xf>
    <xf numFmtId="0" fontId="6" fillId="0" borderId="8" xfId="0" applyFont="1" applyBorder="1" applyProtection="1">
      <protection locked="0"/>
    </xf>
    <xf numFmtId="2" fontId="6" fillId="0" borderId="2" xfId="0" applyNumberFormat="1" applyFont="1" applyBorder="1" applyProtection="1">
      <protection locked="0"/>
    </xf>
    <xf numFmtId="2" fontId="6" fillId="0" borderId="8" xfId="0" applyNumberFormat="1" applyFont="1" applyBorder="1" applyProtection="1">
      <protection locked="0"/>
    </xf>
    <xf numFmtId="0" fontId="6" fillId="0" borderId="0" xfId="0" applyFont="1" applyAlignment="1" applyProtection="1">
      <alignment vertical="center" wrapText="1"/>
      <protection locked="0"/>
    </xf>
    <xf numFmtId="3" fontId="6" fillId="0" borderId="0" xfId="0" applyNumberFormat="1" applyFont="1" applyAlignment="1" applyProtection="1">
      <alignment horizontal="center" vertical="center"/>
      <protection locked="0"/>
    </xf>
    <xf numFmtId="2" fontId="5" fillId="0" borderId="0" xfId="0" applyNumberFormat="1" applyFont="1" applyAlignment="1" applyProtection="1">
      <alignment horizontal="center"/>
      <protection locked="0"/>
    </xf>
    <xf numFmtId="227" fontId="5" fillId="0" borderId="0" xfId="0" applyNumberFormat="1" applyFont="1" applyAlignment="1" applyProtection="1">
      <alignment horizontal="center" vertical="center"/>
      <protection locked="0"/>
    </xf>
    <xf numFmtId="0" fontId="70" fillId="0" borderId="0" xfId="0" applyFont="1" applyAlignment="1" applyProtection="1">
      <alignment horizontal="center"/>
      <protection locked="0"/>
    </xf>
    <xf numFmtId="259" fontId="5" fillId="0" borderId="3" xfId="0" applyNumberFormat="1" applyFont="1" applyBorder="1" applyAlignment="1" applyProtection="1">
      <alignment horizontal="center" vertical="center"/>
      <protection locked="0"/>
    </xf>
    <xf numFmtId="3" fontId="5"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3" xfId="0" applyFont="1" applyBorder="1" applyAlignment="1" applyProtection="1">
      <alignment wrapText="1"/>
      <protection locked="0"/>
    </xf>
    <xf numFmtId="259" fontId="5" fillId="0" borderId="3" xfId="0" applyNumberFormat="1" applyFont="1" applyBorder="1" applyAlignment="1" applyProtection="1">
      <alignment horizontal="center"/>
      <protection locked="0"/>
    </xf>
    <xf numFmtId="254" fontId="5" fillId="0" borderId="3" xfId="0" applyNumberFormat="1" applyFont="1" applyBorder="1" applyAlignment="1" applyProtection="1">
      <alignment horizontal="center" vertical="center"/>
      <protection locked="0"/>
    </xf>
    <xf numFmtId="254" fontId="5" fillId="0" borderId="3" xfId="0" applyNumberFormat="1" applyFont="1" applyBorder="1" applyAlignment="1" applyProtection="1">
      <alignment horizontal="center"/>
      <protection locked="0"/>
    </xf>
    <xf numFmtId="227" fontId="5" fillId="0" borderId="3" xfId="0" applyNumberFormat="1" applyFont="1" applyBorder="1" applyAlignment="1">
      <alignment horizontal="center"/>
    </xf>
    <xf numFmtId="259" fontId="6" fillId="0" borderId="3" xfId="0" applyNumberFormat="1" applyFont="1" applyBorder="1" applyAlignment="1" applyProtection="1">
      <alignment horizontal="center"/>
      <protection locked="0"/>
    </xf>
    <xf numFmtId="227" fontId="160" fillId="9" borderId="3" xfId="0" applyNumberFormat="1" applyFont="1" applyFill="1" applyBorder="1" applyAlignment="1" applyProtection="1">
      <alignment horizontal="center"/>
      <protection locked="0"/>
    </xf>
    <xf numFmtId="2" fontId="160" fillId="9" borderId="3" xfId="0" applyNumberFormat="1" applyFont="1" applyFill="1" applyBorder="1" applyAlignment="1" applyProtection="1">
      <alignment horizontal="center"/>
      <protection locked="0"/>
    </xf>
    <xf numFmtId="0" fontId="5" fillId="9" borderId="0" xfId="0" applyFont="1" applyFill="1" applyProtection="1">
      <protection locked="0"/>
    </xf>
    <xf numFmtId="0" fontId="71" fillId="3" borderId="0" xfId="0" applyFont="1" applyFill="1" applyProtection="1">
      <protection hidden="1"/>
    </xf>
    <xf numFmtId="2" fontId="5" fillId="4" borderId="0" xfId="0" applyNumberFormat="1" applyFont="1" applyFill="1" applyAlignment="1" applyProtection="1">
      <alignment horizontal="right"/>
      <protection hidden="1"/>
    </xf>
    <xf numFmtId="3" fontId="102" fillId="0" borderId="14" xfId="0" applyNumberFormat="1" applyFont="1" applyBorder="1" applyAlignment="1" applyProtection="1">
      <alignment horizontal="right"/>
      <protection hidden="1"/>
    </xf>
    <xf numFmtId="3" fontId="102" fillId="0" borderId="10" xfId="0" applyNumberFormat="1" applyFont="1" applyBorder="1" applyAlignment="1" applyProtection="1">
      <alignment horizontal="right"/>
      <protection hidden="1"/>
    </xf>
    <xf numFmtId="3" fontId="102" fillId="0" borderId="16" xfId="0" applyNumberFormat="1" applyFont="1" applyBorder="1" applyAlignment="1" applyProtection="1">
      <alignment horizontal="right"/>
      <protection hidden="1"/>
    </xf>
    <xf numFmtId="3" fontId="102" fillId="0" borderId="9" xfId="0" applyNumberFormat="1" applyFont="1" applyBorder="1" applyAlignment="1" applyProtection="1">
      <alignment horizontal="right"/>
      <protection hidden="1"/>
    </xf>
    <xf numFmtId="3" fontId="50" fillId="0" borderId="10" xfId="948" applyNumberFormat="1" applyFont="1" applyBorder="1" applyAlignment="1" applyProtection="1">
      <alignment horizontal="right" vertical="center"/>
      <protection hidden="1"/>
    </xf>
    <xf numFmtId="38" fontId="50" fillId="0" borderId="10" xfId="948" quotePrefix="1" applyNumberFormat="1" applyFont="1" applyBorder="1" applyAlignment="1" applyProtection="1">
      <alignment horizontal="center" vertical="center"/>
      <protection hidden="1"/>
    </xf>
    <xf numFmtId="3" fontId="10" fillId="0" borderId="10" xfId="947" applyNumberFormat="1" applyFont="1" applyBorder="1" applyAlignment="1" applyProtection="1">
      <alignment horizontal="right"/>
      <protection hidden="1"/>
    </xf>
    <xf numFmtId="3" fontId="145" fillId="0" borderId="10" xfId="947" applyNumberFormat="1" applyFont="1" applyBorder="1" applyAlignment="1" applyProtection="1">
      <alignment horizontal="right"/>
      <protection hidden="1"/>
    </xf>
    <xf numFmtId="3" fontId="56" fillId="0" borderId="10" xfId="948" applyNumberFormat="1" applyFont="1" applyBorder="1" applyAlignment="1" applyProtection="1">
      <alignment horizontal="right"/>
      <protection hidden="1"/>
    </xf>
    <xf numFmtId="3" fontId="10" fillId="0" borderId="11" xfId="947" applyNumberFormat="1" applyFont="1" applyBorder="1" applyAlignment="1" applyProtection="1">
      <alignment horizontal="right"/>
      <protection hidden="1"/>
    </xf>
    <xf numFmtId="0" fontId="10" fillId="9" borderId="10" xfId="0" applyFont="1" applyFill="1" applyBorder="1" applyAlignment="1">
      <alignment vertical="center" wrapText="1"/>
    </xf>
    <xf numFmtId="3" fontId="67" fillId="4" borderId="10" xfId="0" applyNumberFormat="1" applyFont="1" applyFill="1" applyBorder="1" applyAlignment="1">
      <alignment horizontal="center" vertical="center"/>
    </xf>
    <xf numFmtId="4" fontId="10" fillId="0" borderId="10" xfId="0" applyNumberFormat="1" applyFont="1" applyBorder="1" applyAlignment="1">
      <alignment horizontal="center"/>
    </xf>
    <xf numFmtId="0" fontId="146" fillId="0" borderId="10" xfId="0" applyFont="1" applyBorder="1" applyAlignment="1">
      <alignment vertical="center" wrapText="1"/>
    </xf>
    <xf numFmtId="3" fontId="51" fillId="0" borderId="11" xfId="0" applyNumberFormat="1" applyFont="1" applyBorder="1" applyAlignment="1">
      <alignment horizontal="center" vertical="center" wrapText="1"/>
    </xf>
    <xf numFmtId="0" fontId="52" fillId="0" borderId="11" xfId="0" applyFont="1" applyBorder="1" applyAlignment="1">
      <alignment vertical="center" wrapText="1"/>
    </xf>
    <xf numFmtId="3" fontId="11" fillId="0" borderId="11" xfId="667" applyNumberFormat="1" applyFont="1" applyBorder="1" applyAlignment="1">
      <alignment horizontal="centerContinuous" vertical="center" wrapText="1"/>
    </xf>
    <xf numFmtId="3" fontId="11" fillId="0" borderId="11" xfId="667" applyNumberFormat="1" applyFont="1" applyBorder="1" applyAlignment="1">
      <alignment horizontal="center" vertical="center" wrapText="1"/>
    </xf>
    <xf numFmtId="3" fontId="10" fillId="2" borderId="10" xfId="0" applyNumberFormat="1" applyFont="1" applyFill="1" applyBorder="1" applyAlignment="1">
      <alignment horizontal="center"/>
    </xf>
    <xf numFmtId="0" fontId="10" fillId="2" borderId="10" xfId="0" applyFont="1" applyFill="1" applyBorder="1" applyAlignment="1">
      <alignment horizontal="center"/>
    </xf>
    <xf numFmtId="0" fontId="10" fillId="2" borderId="10" xfId="0" quotePrefix="1" applyFont="1" applyFill="1" applyBorder="1" applyAlignment="1">
      <alignment horizontal="center"/>
    </xf>
    <xf numFmtId="3" fontId="66" fillId="4" borderId="10" xfId="0" applyNumberFormat="1" applyFont="1" applyFill="1" applyBorder="1" applyAlignment="1">
      <alignment horizontal="center" vertical="center"/>
    </xf>
    <xf numFmtId="0" fontId="13" fillId="11" borderId="19" xfId="0" applyFont="1" applyFill="1" applyBorder="1" applyAlignment="1">
      <alignment horizontal="center" vertical="center"/>
    </xf>
    <xf numFmtId="0" fontId="13" fillId="11" borderId="19" xfId="0" applyFont="1" applyFill="1" applyBorder="1" applyAlignment="1">
      <alignment horizontal="center" vertical="center" textRotation="90" wrapText="1"/>
    </xf>
    <xf numFmtId="0" fontId="13" fillId="11" borderId="19" xfId="0" applyFont="1" applyFill="1" applyBorder="1" applyAlignment="1">
      <alignment horizontal="center" vertical="center" textRotation="90"/>
    </xf>
    <xf numFmtId="166" fontId="13" fillId="11" borderId="19" xfId="0" applyNumberFormat="1" applyFont="1" applyFill="1" applyBorder="1" applyAlignment="1">
      <alignment horizontal="center" vertical="center"/>
    </xf>
    <xf numFmtId="3" fontId="13" fillId="11" borderId="19" xfId="0" applyNumberFormat="1" applyFont="1" applyFill="1" applyBorder="1" applyAlignment="1">
      <alignment horizontal="center" vertical="center"/>
    </xf>
    <xf numFmtId="3" fontId="67" fillId="11" borderId="9" xfId="0" applyNumberFormat="1" applyFont="1" applyFill="1" applyBorder="1" applyAlignment="1">
      <alignment horizontal="center" vertical="center" textRotation="90"/>
    </xf>
    <xf numFmtId="3" fontId="67" fillId="4" borderId="11" xfId="0" applyNumberFormat="1" applyFont="1" applyFill="1" applyBorder="1" applyAlignment="1">
      <alignment horizontal="center" vertical="center"/>
    </xf>
    <xf numFmtId="3" fontId="11" fillId="4" borderId="10" xfId="0" applyNumberFormat="1" applyFont="1" applyFill="1" applyBorder="1" applyAlignment="1">
      <alignment horizontal="right" vertical="center" wrapText="1"/>
    </xf>
    <xf numFmtId="0" fontId="13" fillId="0" borderId="11" xfId="0" applyFont="1" applyBorder="1" applyAlignment="1">
      <alignment horizontal="center" vertical="center"/>
    </xf>
    <xf numFmtId="0" fontId="13" fillId="0" borderId="11" xfId="0" applyFont="1" applyBorder="1" applyAlignment="1">
      <alignment horizontal="left" vertical="center" wrapText="1"/>
    </xf>
    <xf numFmtId="0" fontId="13" fillId="0" borderId="11" xfId="0" applyFont="1" applyBorder="1" applyAlignment="1">
      <alignment horizontal="center" vertical="center" wrapText="1"/>
    </xf>
    <xf numFmtId="3" fontId="60" fillId="0" borderId="11" xfId="0" applyNumberFormat="1" applyFont="1" applyBorder="1" applyAlignment="1">
      <alignment horizontal="center" vertical="center"/>
    </xf>
    <xf numFmtId="3" fontId="11" fillId="0" borderId="10" xfId="0" applyNumberFormat="1" applyFont="1" applyBorder="1" applyAlignment="1">
      <alignment horizontal="center"/>
    </xf>
    <xf numFmtId="3" fontId="5" fillId="0" borderId="20" xfId="0" applyNumberFormat="1" applyFont="1" applyBorder="1" applyAlignment="1">
      <alignment horizontal="center"/>
    </xf>
    <xf numFmtId="3" fontId="5" fillId="0" borderId="48" xfId="0" applyNumberFormat="1" applyFont="1" applyBorder="1" applyAlignment="1">
      <alignment vertical="center"/>
    </xf>
    <xf numFmtId="3" fontId="10" fillId="4" borderId="15" xfId="0" applyNumberFormat="1" applyFont="1" applyFill="1" applyBorder="1" applyAlignment="1">
      <alignment horizontal="right" vertical="center" wrapText="1"/>
    </xf>
    <xf numFmtId="0" fontId="10" fillId="0" borderId="11" xfId="0" applyFont="1" applyBorder="1" applyAlignment="1">
      <alignment horizontal="right" vertical="center"/>
    </xf>
    <xf numFmtId="0" fontId="11" fillId="0" borderId="11" xfId="0" applyFont="1" applyBorder="1" applyAlignment="1">
      <alignment horizontal="left" vertical="center" wrapText="1"/>
    </xf>
    <xf numFmtId="3" fontId="11" fillId="0" borderId="11" xfId="0" applyNumberFormat="1" applyFont="1" applyBorder="1" applyAlignment="1">
      <alignment horizontal="center" vertical="center" wrapText="1"/>
    </xf>
    <xf numFmtId="0" fontId="10" fillId="9" borderId="10" xfId="0" applyFont="1" applyFill="1" applyBorder="1" applyAlignment="1">
      <alignment horizontal="center" vertical="center"/>
    </xf>
    <xf numFmtId="0" fontId="160" fillId="0" borderId="0" xfId="0" applyFont="1" applyAlignment="1">
      <alignment vertical="center"/>
    </xf>
    <xf numFmtId="3" fontId="10" fillId="0" borderId="10" xfId="0" applyNumberFormat="1" applyFont="1" applyBorder="1" applyAlignment="1">
      <alignment horizontal="centerContinuous" vertical="center" wrapText="1"/>
    </xf>
    <xf numFmtId="3" fontId="10" fillId="0" borderId="10" xfId="667" applyNumberFormat="1" applyFont="1" applyBorder="1" applyAlignment="1">
      <alignment horizontal="center" vertical="center" wrapText="1"/>
    </xf>
    <xf numFmtId="3" fontId="10" fillId="0" borderId="10" xfId="667" applyNumberFormat="1" applyFont="1" applyBorder="1" applyAlignment="1">
      <alignment horizontal="centerContinuous" vertical="center" wrapText="1"/>
    </xf>
    <xf numFmtId="3" fontId="10" fillId="0" borderId="10" xfId="0" quotePrefix="1" applyNumberFormat="1" applyFont="1" applyBorder="1" applyAlignment="1">
      <alignment horizontal="center"/>
    </xf>
    <xf numFmtId="185" fontId="51" fillId="0" borderId="18" xfId="667" applyNumberFormat="1" applyFont="1" applyFill="1" applyBorder="1" applyAlignment="1" applyProtection="1">
      <alignment horizontal="center" vertical="center"/>
    </xf>
    <xf numFmtId="185" fontId="51" fillId="0" borderId="13" xfId="667" applyNumberFormat="1" applyFont="1" applyFill="1" applyBorder="1" applyAlignment="1" applyProtection="1">
      <alignment horizontal="center" vertical="center"/>
    </xf>
    <xf numFmtId="0" fontId="51" fillId="0" borderId="10" xfId="0" applyFont="1" applyBorder="1" applyAlignment="1">
      <alignment horizontal="center" vertical="center" wrapText="1"/>
    </xf>
    <xf numFmtId="3" fontId="10" fillId="11" borderId="10" xfId="0" applyNumberFormat="1" applyFont="1" applyFill="1" applyBorder="1" applyAlignment="1">
      <alignment horizontal="right" vertical="center" wrapText="1"/>
    </xf>
    <xf numFmtId="0" fontId="145" fillId="0" borderId="12" xfId="0" applyFont="1" applyBorder="1" applyAlignment="1">
      <alignment horizontal="center" vertical="center"/>
    </xf>
    <xf numFmtId="0" fontId="51" fillId="0" borderId="12" xfId="0" applyFont="1" applyBorder="1" applyAlignment="1">
      <alignment horizontal="center" vertical="center"/>
    </xf>
    <xf numFmtId="0" fontId="10" fillId="0" borderId="12" xfId="0" applyFont="1" applyBorder="1" applyAlignment="1">
      <alignment horizontal="center" vertical="center" wrapText="1"/>
    </xf>
    <xf numFmtId="3" fontId="145" fillId="2" borderId="12" xfId="0" applyNumberFormat="1" applyFont="1" applyFill="1" applyBorder="1" applyAlignment="1">
      <alignment horizontal="center"/>
    </xf>
    <xf numFmtId="3" fontId="10" fillId="0" borderId="12" xfId="0" applyNumberFormat="1" applyFont="1" applyBorder="1" applyAlignment="1">
      <alignment horizontal="center"/>
    </xf>
    <xf numFmtId="3" fontId="10" fillId="4" borderId="12" xfId="0" applyNumberFormat="1" applyFont="1" applyFill="1" applyBorder="1" applyAlignment="1">
      <alignment horizontal="right" vertical="center" wrapText="1"/>
    </xf>
    <xf numFmtId="3" fontId="10" fillId="4" borderId="12" xfId="0" applyNumberFormat="1" applyFont="1" applyFill="1" applyBorder="1" applyAlignment="1">
      <alignment vertical="center" wrapText="1"/>
    </xf>
    <xf numFmtId="49" fontId="66" fillId="0" borderId="3" xfId="0" applyNumberFormat="1" applyFont="1" applyBorder="1" applyAlignment="1" applyProtection="1">
      <alignment horizontal="center" vertical="center"/>
      <protection hidden="1"/>
    </xf>
    <xf numFmtId="49" fontId="51" fillId="0" borderId="3" xfId="0" applyNumberFormat="1" applyFont="1" applyBorder="1" applyAlignment="1" applyProtection="1">
      <alignment horizontal="center" vertical="center"/>
      <protection hidden="1"/>
    </xf>
    <xf numFmtId="49" fontId="161" fillId="0" borderId="3" xfId="0" applyNumberFormat="1" applyFont="1" applyBorder="1" applyAlignment="1" applyProtection="1">
      <alignment horizontal="center" vertical="center"/>
      <protection hidden="1"/>
    </xf>
    <xf numFmtId="0" fontId="52" fillId="0" borderId="3" xfId="0" applyFont="1" applyBorder="1" applyAlignment="1" applyProtection="1">
      <alignment vertical="center" wrapText="1"/>
      <protection hidden="1"/>
    </xf>
    <xf numFmtId="49" fontId="145" fillId="0" borderId="3" xfId="0" applyNumberFormat="1" applyFont="1" applyBorder="1" applyAlignment="1" applyProtection="1">
      <alignment horizontal="center" vertical="center"/>
      <protection hidden="1"/>
    </xf>
    <xf numFmtId="3" fontId="10" fillId="0" borderId="3" xfId="0" applyNumberFormat="1" applyFont="1" applyBorder="1" applyAlignment="1">
      <alignment vertical="center" wrapText="1"/>
    </xf>
    <xf numFmtId="0" fontId="85" fillId="0" borderId="0" xfId="0" applyFont="1" applyAlignment="1">
      <alignment horizontal="center"/>
    </xf>
    <xf numFmtId="185" fontId="57" fillId="11" borderId="0" xfId="667" applyNumberFormat="1" applyFont="1" applyFill="1" applyBorder="1" applyAlignment="1" applyProtection="1">
      <alignment horizontal="center" vertical="center"/>
      <protection hidden="1"/>
    </xf>
    <xf numFmtId="3" fontId="66" fillId="0" borderId="20" xfId="0" applyNumberFormat="1" applyFont="1" applyBorder="1" applyAlignment="1">
      <alignment horizontal="left" vertical="center"/>
    </xf>
    <xf numFmtId="3" fontId="66" fillId="0" borderId="32" xfId="0" applyNumberFormat="1" applyFont="1" applyBorder="1" applyAlignment="1">
      <alignment horizontal="left" vertical="center"/>
    </xf>
    <xf numFmtId="3" fontId="13" fillId="0" borderId="11" xfId="0" applyNumberFormat="1" applyFont="1" applyBorder="1" applyAlignment="1">
      <alignment horizontal="right" vertical="center"/>
    </xf>
    <xf numFmtId="3" fontId="10" fillId="0" borderId="0" xfId="0" applyNumberFormat="1" applyFont="1" applyAlignment="1">
      <alignment horizontal="right"/>
    </xf>
    <xf numFmtId="0" fontId="11" fillId="0" borderId="0" xfId="0" applyFont="1" applyAlignment="1">
      <alignment horizontal="center" vertical="center" wrapText="1"/>
    </xf>
    <xf numFmtId="0" fontId="13" fillId="0" borderId="18" xfId="0" applyFont="1" applyBorder="1" applyAlignment="1">
      <alignment horizontal="center" vertical="center"/>
    </xf>
    <xf numFmtId="3" fontId="66" fillId="0" borderId="15" xfId="0" applyNumberFormat="1" applyFont="1" applyBorder="1" applyAlignment="1">
      <alignment horizontal="center" vertical="center"/>
    </xf>
    <xf numFmtId="0" fontId="5" fillId="0" borderId="10" xfId="0" applyFont="1" applyBorder="1" applyAlignment="1">
      <alignment horizontal="center" vertical="center"/>
    </xf>
    <xf numFmtId="0" fontId="10" fillId="9" borderId="10" xfId="0" applyFont="1" applyFill="1" applyBorder="1" applyAlignment="1">
      <alignment horizontal="center"/>
    </xf>
    <xf numFmtId="3" fontId="11" fillId="0" borderId="16" xfId="0" applyNumberFormat="1" applyFont="1" applyBorder="1" applyAlignment="1" applyProtection="1">
      <alignment horizontal="center" vertical="center" wrapText="1"/>
      <protection hidden="1"/>
    </xf>
    <xf numFmtId="0" fontId="11" fillId="0" borderId="16" xfId="0" applyFont="1" applyBorder="1" applyAlignment="1" applyProtection="1">
      <alignment horizontal="left" vertical="center" wrapText="1"/>
      <protection hidden="1"/>
    </xf>
    <xf numFmtId="0" fontId="13" fillId="0" borderId="8" xfId="0" applyFont="1" applyBorder="1" applyAlignment="1">
      <alignment horizontal="center" vertical="center"/>
    </xf>
    <xf numFmtId="0" fontId="14" fillId="9" borderId="0" xfId="0" applyFont="1" applyFill="1" applyAlignment="1" applyProtection="1">
      <alignment horizontal="left"/>
      <protection hidden="1"/>
    </xf>
    <xf numFmtId="3" fontId="10" fillId="4" borderId="40" xfId="0" applyNumberFormat="1" applyFont="1" applyFill="1" applyBorder="1" applyAlignment="1">
      <alignment vertical="center" wrapText="1"/>
    </xf>
    <xf numFmtId="3" fontId="10" fillId="0" borderId="11" xfId="0" applyNumberFormat="1" applyFont="1" applyBorder="1" applyAlignment="1">
      <alignment vertical="center" wrapText="1"/>
    </xf>
    <xf numFmtId="3" fontId="10" fillId="0" borderId="49" xfId="0" applyNumberFormat="1" applyFont="1" applyBorder="1" applyAlignment="1">
      <alignment horizontal="right" vertical="center" wrapText="1"/>
    </xf>
    <xf numFmtId="0" fontId="10" fillId="11" borderId="10" xfId="0" applyFont="1" applyFill="1" applyBorder="1" applyAlignment="1">
      <alignment vertical="center" wrapText="1"/>
    </xf>
    <xf numFmtId="0" fontId="13" fillId="2" borderId="19" xfId="0" applyFont="1" applyFill="1" applyBorder="1" applyAlignment="1">
      <alignment horizontal="center" textRotation="90"/>
    </xf>
    <xf numFmtId="0" fontId="13" fillId="2" borderId="19" xfId="0" applyFont="1" applyFill="1" applyBorder="1" applyAlignment="1">
      <alignment textRotation="90"/>
    </xf>
    <xf numFmtId="3" fontId="13" fillId="0" borderId="9" xfId="0" applyNumberFormat="1" applyFont="1" applyBorder="1" applyAlignment="1">
      <alignment horizontal="center" vertical="center"/>
    </xf>
    <xf numFmtId="3" fontId="13" fillId="2" borderId="9" xfId="0" applyNumberFormat="1" applyFont="1" applyFill="1" applyBorder="1" applyAlignment="1">
      <alignment horizontal="center" vertical="center"/>
    </xf>
    <xf numFmtId="0" fontId="10" fillId="0" borderId="0" xfId="0" applyFont="1" applyAlignment="1">
      <alignment horizontal="center" vertical="center" wrapText="1"/>
    </xf>
    <xf numFmtId="3" fontId="13" fillId="0" borderId="11" xfId="0" applyNumberFormat="1" applyFont="1" applyBorder="1" applyAlignment="1">
      <alignment horizontal="center" vertical="center" wrapText="1"/>
    </xf>
    <xf numFmtId="166" fontId="86" fillId="11" borderId="19" xfId="0" applyNumberFormat="1" applyFont="1" applyFill="1" applyBorder="1" applyAlignment="1">
      <alignment horizontal="center" vertical="center"/>
    </xf>
    <xf numFmtId="166" fontId="86" fillId="11" borderId="46" xfId="0" applyNumberFormat="1" applyFont="1" applyFill="1" applyBorder="1" applyAlignment="1">
      <alignment horizontal="center" vertical="center"/>
    </xf>
    <xf numFmtId="3" fontId="67" fillId="11" borderId="9" xfId="0" applyNumberFormat="1" applyFont="1" applyFill="1" applyBorder="1" applyAlignment="1">
      <alignment horizontal="center" vertical="center" textRotation="90" wrapText="1"/>
    </xf>
    <xf numFmtId="3" fontId="66" fillId="11" borderId="10" xfId="0" applyNumberFormat="1" applyFont="1" applyFill="1" applyBorder="1" applyAlignment="1">
      <alignment horizontal="center" vertical="center" wrapText="1"/>
    </xf>
    <xf numFmtId="3" fontId="67" fillId="11" borderId="32" xfId="0" applyNumberFormat="1" applyFont="1" applyFill="1" applyBorder="1" applyAlignment="1">
      <alignment horizontal="center" vertical="center" wrapText="1"/>
    </xf>
    <xf numFmtId="3" fontId="67" fillId="11" borderId="10" xfId="0" applyNumberFormat="1" applyFont="1" applyFill="1" applyBorder="1" applyAlignment="1">
      <alignment horizontal="center" vertical="center" wrapText="1"/>
    </xf>
    <xf numFmtId="3" fontId="66" fillId="4" borderId="9" xfId="0" applyNumberFormat="1" applyFont="1" applyFill="1" applyBorder="1" applyAlignment="1">
      <alignment horizontal="center" vertical="center" textRotation="90"/>
    </xf>
    <xf numFmtId="3" fontId="66" fillId="11" borderId="10" xfId="0" applyNumberFormat="1" applyFont="1" applyFill="1" applyBorder="1" applyAlignment="1">
      <alignment horizontal="center" vertical="center"/>
    </xf>
    <xf numFmtId="3" fontId="67" fillId="11" borderId="11" xfId="0" applyNumberFormat="1" applyFont="1" applyFill="1" applyBorder="1" applyAlignment="1">
      <alignment horizontal="center" vertical="center"/>
    </xf>
    <xf numFmtId="3" fontId="67" fillId="11" borderId="10" xfId="0" applyNumberFormat="1" applyFont="1" applyFill="1" applyBorder="1" applyAlignment="1">
      <alignment horizontal="center" vertical="center"/>
    </xf>
    <xf numFmtId="3" fontId="67" fillId="4" borderId="9" xfId="0" applyNumberFormat="1" applyFont="1" applyFill="1" applyBorder="1" applyAlignment="1">
      <alignment horizontal="center" vertical="center" textRotation="90"/>
    </xf>
    <xf numFmtId="0" fontId="10" fillId="0" borderId="10" xfId="0" applyFont="1" applyBorder="1" applyAlignment="1">
      <alignment horizontal="justify" vertical="center" wrapText="1"/>
    </xf>
    <xf numFmtId="0" fontId="0" fillId="0" borderId="0" xfId="0" applyAlignment="1">
      <alignment horizontal="center" vertical="center"/>
    </xf>
    <xf numFmtId="0" fontId="11" fillId="4" borderId="3" xfId="0" applyFont="1" applyFill="1" applyBorder="1" applyAlignment="1">
      <alignment horizontal="center" vertical="center"/>
    </xf>
    <xf numFmtId="0" fontId="4" fillId="0" borderId="14" xfId="0" applyFont="1" applyBorder="1" applyAlignment="1">
      <alignment horizontal="center" vertical="center"/>
    </xf>
    <xf numFmtId="0" fontId="14" fillId="0" borderId="14" xfId="0" applyFont="1" applyBorder="1" applyAlignment="1">
      <alignment horizontal="center" vertical="center"/>
    </xf>
    <xf numFmtId="0" fontId="11" fillId="0" borderId="14" xfId="0" applyFont="1" applyBorder="1" applyAlignment="1">
      <alignment horizontal="center" vertical="center"/>
    </xf>
    <xf numFmtId="0" fontId="11" fillId="0" borderId="14" xfId="0" applyFont="1" applyBorder="1" applyAlignment="1">
      <alignment horizontal="left" vertical="center"/>
    </xf>
    <xf numFmtId="0" fontId="11" fillId="0" borderId="28" xfId="0" applyFont="1" applyBorder="1" applyAlignment="1">
      <alignment horizontal="center" vertical="center"/>
    </xf>
    <xf numFmtId="0" fontId="11" fillId="0" borderId="31" xfId="0" applyFont="1" applyBorder="1" applyAlignment="1">
      <alignment horizontal="center" vertical="center"/>
    </xf>
    <xf numFmtId="3" fontId="11" fillId="0" borderId="14" xfId="0" applyNumberFormat="1" applyFont="1" applyBorder="1" applyAlignment="1">
      <alignment horizontal="right" vertical="center"/>
    </xf>
    <xf numFmtId="3" fontId="0" fillId="9" borderId="0" xfId="0" applyNumberFormat="1" applyFill="1" applyAlignment="1">
      <alignment horizontal="center" vertical="center"/>
    </xf>
    <xf numFmtId="0" fontId="4" fillId="0" borderId="13" xfId="0" applyFont="1" applyBorder="1" applyAlignment="1">
      <alignment horizontal="center" vertical="center"/>
    </xf>
    <xf numFmtId="0" fontId="14" fillId="0" borderId="13" xfId="0" applyFont="1" applyBorder="1" applyAlignment="1">
      <alignment horizontal="center" vertical="center"/>
    </xf>
    <xf numFmtId="3" fontId="10" fillId="0" borderId="11" xfId="947" applyNumberFormat="1" applyFont="1" applyBorder="1" applyAlignment="1" applyProtection="1">
      <alignment horizontal="right" vertical="center"/>
      <protection hidden="1"/>
    </xf>
    <xf numFmtId="0" fontId="174" fillId="0" borderId="16" xfId="0" applyFont="1" applyBorder="1" applyAlignment="1">
      <alignment horizontal="center" vertical="center"/>
    </xf>
    <xf numFmtId="3" fontId="10" fillId="0" borderId="10" xfId="947" applyNumberFormat="1" applyFont="1" applyBorder="1" applyAlignment="1" applyProtection="1">
      <alignment horizontal="right" vertical="center"/>
      <protection hidden="1"/>
    </xf>
    <xf numFmtId="0" fontId="0" fillId="9" borderId="0" xfId="0" applyFill="1" applyAlignment="1">
      <alignment horizontal="center" vertical="center"/>
    </xf>
    <xf numFmtId="3" fontId="10" fillId="0" borderId="12" xfId="947" applyNumberFormat="1" applyFont="1" applyBorder="1" applyAlignment="1" applyProtection="1">
      <alignment horizontal="right" vertical="center"/>
      <protection hidden="1"/>
    </xf>
    <xf numFmtId="0" fontId="11" fillId="0" borderId="11" xfId="0" applyFont="1" applyBorder="1" applyAlignment="1">
      <alignment horizontal="left" vertical="center"/>
    </xf>
    <xf numFmtId="0" fontId="11" fillId="0" borderId="34" xfId="0" applyFont="1" applyBorder="1" applyAlignment="1">
      <alignment horizontal="center" vertical="center"/>
    </xf>
    <xf numFmtId="0" fontId="11" fillId="0" borderId="39" xfId="0" applyFont="1" applyBorder="1" applyAlignment="1">
      <alignment horizontal="center" vertical="center"/>
    </xf>
    <xf numFmtId="3" fontId="11" fillId="0" borderId="10" xfId="0" applyNumberFormat="1" applyFont="1" applyBorder="1" applyAlignment="1">
      <alignment horizontal="right" vertical="center"/>
    </xf>
    <xf numFmtId="0" fontId="4" fillId="0" borderId="0" xfId="0" applyFont="1" applyAlignment="1">
      <alignment horizontal="center" vertical="center"/>
    </xf>
    <xf numFmtId="0" fontId="14" fillId="0" borderId="0" xfId="0" applyFont="1" applyAlignment="1">
      <alignment horizontal="center" vertical="center"/>
    </xf>
    <xf numFmtId="0" fontId="174" fillId="0" borderId="0" xfId="0" applyFont="1" applyAlignment="1">
      <alignment horizontal="center" vertical="center"/>
    </xf>
    <xf numFmtId="0" fontId="10" fillId="0" borderId="16" xfId="0" applyFont="1" applyBorder="1" applyAlignment="1">
      <alignment horizontal="center" vertical="center"/>
    </xf>
    <xf numFmtId="0" fontId="10" fillId="0" borderId="16" xfId="0" applyFont="1" applyBorder="1" applyAlignment="1">
      <alignment horizontal="left" vertical="center"/>
    </xf>
    <xf numFmtId="3" fontId="10" fillId="2" borderId="9" xfId="947" applyNumberFormat="1" applyFont="1" applyFill="1" applyBorder="1" applyAlignment="1" applyProtection="1">
      <alignment horizontal="right" vertical="center"/>
      <protection hidden="1"/>
    </xf>
    <xf numFmtId="3" fontId="11" fillId="2" borderId="9" xfId="947" applyNumberFormat="1" applyFont="1" applyFill="1" applyBorder="1" applyAlignment="1" applyProtection="1">
      <alignment horizontal="right" vertical="center"/>
      <protection hidden="1"/>
    </xf>
    <xf numFmtId="185" fontId="0" fillId="9" borderId="0" xfId="667" applyNumberFormat="1" applyFont="1" applyFill="1" applyAlignment="1">
      <alignment horizontal="center" vertical="center"/>
    </xf>
    <xf numFmtId="3" fontId="0" fillId="0" borderId="0" xfId="0" applyNumberFormat="1" applyAlignment="1">
      <alignment horizontal="center" vertical="center"/>
    </xf>
    <xf numFmtId="0" fontId="0" fillId="0" borderId="27" xfId="0" applyBorder="1" applyAlignment="1">
      <alignment horizontal="center" vertical="center"/>
    </xf>
    <xf numFmtId="3" fontId="10" fillId="2" borderId="27" xfId="947" applyNumberFormat="1" applyFont="1" applyFill="1" applyBorder="1" applyAlignment="1" applyProtection="1">
      <alignment horizontal="right" vertical="center"/>
      <protection hidden="1"/>
    </xf>
    <xf numFmtId="0" fontId="11" fillId="4" borderId="46"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0" fillId="4" borderId="3" xfId="0" quotePrefix="1" applyFont="1" applyFill="1" applyBorder="1" applyAlignment="1">
      <alignment horizontal="center" vertical="center"/>
    </xf>
    <xf numFmtId="0" fontId="10" fillId="4" borderId="3" xfId="0" quotePrefix="1" applyFont="1" applyFill="1" applyBorder="1" applyAlignment="1">
      <alignment horizontal="center" vertical="center" wrapText="1"/>
    </xf>
    <xf numFmtId="1" fontId="10" fillId="0" borderId="11" xfId="0" applyNumberFormat="1" applyFont="1" applyBorder="1" applyAlignment="1" applyProtection="1">
      <alignment horizontal="center"/>
      <protection locked="0"/>
    </xf>
    <xf numFmtId="1" fontId="10" fillId="0" borderId="11" xfId="0" applyNumberFormat="1" applyFont="1" applyBorder="1" applyProtection="1">
      <protection locked="0"/>
    </xf>
    <xf numFmtId="227" fontId="10" fillId="0" borderId="11" xfId="0" applyNumberFormat="1" applyFont="1" applyBorder="1" applyAlignment="1">
      <alignment horizontal="center"/>
    </xf>
    <xf numFmtId="0" fontId="10" fillId="0" borderId="39" xfId="0" applyFont="1" applyBorder="1" applyAlignment="1">
      <alignment horizontal="center"/>
    </xf>
    <xf numFmtId="1" fontId="10" fillId="0" borderId="10" xfId="0" applyNumberFormat="1" applyFont="1" applyBorder="1" applyAlignment="1" applyProtection="1">
      <alignment horizontal="center"/>
      <protection locked="0"/>
    </xf>
    <xf numFmtId="1" fontId="10" fillId="0" borderId="10" xfId="0" applyNumberFormat="1" applyFont="1" applyBorder="1" applyProtection="1">
      <protection locked="0"/>
    </xf>
    <xf numFmtId="227" fontId="10" fillId="0" borderId="10" xfId="0" applyNumberFormat="1" applyFont="1" applyBorder="1" applyAlignment="1">
      <alignment horizontal="center"/>
    </xf>
    <xf numFmtId="227" fontId="10" fillId="0" borderId="10" xfId="0" applyNumberFormat="1" applyFont="1" applyBorder="1" applyAlignment="1" applyProtection="1">
      <alignment horizontal="center"/>
      <protection locked="0"/>
    </xf>
    <xf numFmtId="227" fontId="10" fillId="0" borderId="11" xfId="0" applyNumberFormat="1" applyFont="1" applyBorder="1" applyAlignment="1" applyProtection="1">
      <alignment horizontal="center"/>
      <protection locked="0"/>
    </xf>
    <xf numFmtId="3" fontId="11" fillId="0" borderId="11" xfId="0" applyNumberFormat="1" applyFont="1" applyBorder="1" applyAlignment="1">
      <alignment horizontal="right" vertical="center"/>
    </xf>
    <xf numFmtId="3" fontId="10" fillId="2" borderId="16" xfId="947" applyNumberFormat="1" applyFont="1" applyFill="1" applyBorder="1" applyAlignment="1" applyProtection="1">
      <alignment horizontal="right"/>
      <protection hidden="1"/>
    </xf>
    <xf numFmtId="3" fontId="11" fillId="0" borderId="46" xfId="947" applyNumberFormat="1" applyFont="1" applyBorder="1" applyAlignment="1" applyProtection="1">
      <alignment horizontal="right" vertical="center"/>
      <protection hidden="1"/>
    </xf>
    <xf numFmtId="244" fontId="10" fillId="0" borderId="10" xfId="0" applyNumberFormat="1" applyFont="1" applyBorder="1" applyAlignment="1" applyProtection="1">
      <alignment horizontal="center"/>
      <protection locked="0"/>
    </xf>
    <xf numFmtId="0" fontId="52" fillId="0" borderId="0" xfId="0" applyFont="1" applyAlignment="1">
      <alignment horizontal="center" vertical="center"/>
    </xf>
    <xf numFmtId="227" fontId="10" fillId="9" borderId="10" xfId="0" applyNumberFormat="1" applyFont="1" applyFill="1" applyBorder="1" applyAlignment="1">
      <alignment horizontal="center" vertical="center"/>
    </xf>
    <xf numFmtId="3" fontId="66" fillId="0" borderId="34" xfId="0" applyNumberFormat="1" applyFont="1" applyBorder="1" applyAlignment="1">
      <alignment vertical="center"/>
    </xf>
    <xf numFmtId="3" fontId="66" fillId="0" borderId="50" xfId="0" applyNumberFormat="1" applyFont="1" applyBorder="1" applyAlignment="1">
      <alignment vertical="center"/>
    </xf>
    <xf numFmtId="3" fontId="66" fillId="0" borderId="39" xfId="0" applyNumberFormat="1" applyFont="1" applyBorder="1" applyAlignment="1">
      <alignment vertical="center"/>
    </xf>
    <xf numFmtId="0" fontId="52" fillId="0" borderId="39" xfId="0" applyFont="1" applyBorder="1" applyAlignment="1" applyProtection="1">
      <alignment horizontal="center" vertical="center"/>
      <protection hidden="1"/>
    </xf>
    <xf numFmtId="0" fontId="10" fillId="0" borderId="18" xfId="0" applyFont="1" applyBorder="1" applyAlignment="1" applyProtection="1">
      <alignment horizontal="left" vertical="center"/>
      <protection hidden="1"/>
    </xf>
    <xf numFmtId="166" fontId="13" fillId="0" borderId="2" xfId="0" applyNumberFormat="1" applyFont="1" applyBorder="1" applyAlignment="1">
      <alignment horizontal="center" vertical="center"/>
    </xf>
    <xf numFmtId="3" fontId="66" fillId="0" borderId="50" xfId="0" applyNumberFormat="1" applyFont="1" applyBorder="1" applyAlignment="1">
      <alignment horizontal="left" vertical="center"/>
    </xf>
    <xf numFmtId="0" fontId="13" fillId="0" borderId="2" xfId="0" applyFont="1" applyBorder="1" applyAlignment="1">
      <alignment horizontal="center" vertical="center"/>
    </xf>
    <xf numFmtId="3" fontId="66" fillId="0" borderId="34" xfId="0" applyNumberFormat="1" applyFont="1" applyBorder="1" applyAlignment="1">
      <alignment horizontal="left" vertical="center"/>
    </xf>
    <xf numFmtId="3" fontId="161" fillId="9" borderId="10" xfId="0" applyNumberFormat="1" applyFont="1" applyFill="1" applyBorder="1" applyAlignment="1">
      <alignment horizontal="center" vertical="center"/>
    </xf>
    <xf numFmtId="3" fontId="13" fillId="9" borderId="10" xfId="0" applyNumberFormat="1" applyFont="1" applyFill="1" applyBorder="1" applyAlignment="1">
      <alignment horizontal="center" vertical="center"/>
    </xf>
    <xf numFmtId="166" fontId="13" fillId="0" borderId="13" xfId="0" applyNumberFormat="1" applyFont="1" applyBorder="1" applyAlignment="1">
      <alignment horizontal="center" vertical="center"/>
    </xf>
    <xf numFmtId="3" fontId="161" fillId="4" borderId="10" xfId="0" applyNumberFormat="1" applyFont="1" applyFill="1" applyBorder="1" applyAlignment="1">
      <alignment horizontal="center" vertical="center"/>
    </xf>
    <xf numFmtId="3" fontId="67" fillId="9" borderId="10" xfId="0" applyNumberFormat="1" applyFont="1" applyFill="1" applyBorder="1" applyAlignment="1">
      <alignment horizontal="center" vertical="center"/>
    </xf>
    <xf numFmtId="3" fontId="66" fillId="9" borderId="10" xfId="0" applyNumberFormat="1" applyFont="1" applyFill="1" applyBorder="1" applyAlignment="1">
      <alignment horizontal="center" vertical="center"/>
    </xf>
    <xf numFmtId="3" fontId="51" fillId="9" borderId="10" xfId="0" applyNumberFormat="1" applyFont="1" applyFill="1" applyBorder="1" applyAlignment="1">
      <alignment horizontal="right" vertical="center" wrapText="1"/>
    </xf>
    <xf numFmtId="3" fontId="56" fillId="0" borderId="10" xfId="0" applyNumberFormat="1" applyFont="1" applyBorder="1" applyAlignment="1" applyProtection="1">
      <alignment horizontal="center" vertical="center"/>
      <protection hidden="1"/>
    </xf>
    <xf numFmtId="166" fontId="13" fillId="4" borderId="13" xfId="0" applyNumberFormat="1" applyFont="1" applyFill="1" applyBorder="1" applyAlignment="1">
      <alignment horizontal="center" vertical="center"/>
    </xf>
    <xf numFmtId="257" fontId="145" fillId="0" borderId="10" xfId="0" quotePrefix="1" applyNumberFormat="1" applyFont="1" applyBorder="1" applyAlignment="1">
      <alignment horizontal="center"/>
    </xf>
    <xf numFmtId="257" fontId="145" fillId="0" borderId="10" xfId="0" applyNumberFormat="1" applyFont="1" applyBorder="1" applyAlignment="1">
      <alignment horizontal="center"/>
    </xf>
    <xf numFmtId="0" fontId="11" fillId="0" borderId="10" xfId="0" applyFont="1" applyBorder="1" applyAlignment="1" applyProtection="1">
      <alignment horizontal="left" vertical="center" wrapText="1"/>
      <protection hidden="1"/>
    </xf>
    <xf numFmtId="3" fontId="56" fillId="9" borderId="10" xfId="0" applyNumberFormat="1" applyFont="1" applyFill="1" applyBorder="1" applyAlignment="1">
      <alignment horizontal="center" vertical="center" wrapText="1"/>
    </xf>
    <xf numFmtId="0" fontId="13" fillId="0" borderId="5" xfId="0" applyFont="1" applyBorder="1" applyAlignment="1">
      <alignment horizontal="center" vertical="center" textRotation="90" wrapText="1"/>
    </xf>
    <xf numFmtId="3" fontId="11" fillId="0" borderId="11" xfId="0" applyNumberFormat="1" applyFont="1" applyBorder="1" applyAlignment="1">
      <alignment vertical="center" wrapText="1"/>
    </xf>
    <xf numFmtId="3" fontId="13" fillId="0" borderId="16" xfId="0" quotePrefix="1" applyNumberFormat="1" applyFont="1" applyBorder="1" applyAlignment="1">
      <alignment horizontal="center" vertical="center" wrapText="1"/>
    </xf>
    <xf numFmtId="3" fontId="13" fillId="0" borderId="16" xfId="945" applyNumberFormat="1" applyFont="1" applyBorder="1" applyAlignment="1" applyProtection="1">
      <alignment horizontal="right" vertical="center"/>
      <protection hidden="1"/>
    </xf>
    <xf numFmtId="0" fontId="13" fillId="0" borderId="16" xfId="0" applyFont="1" applyBorder="1" applyAlignment="1">
      <alignment horizontal="left" vertical="center" wrapText="1"/>
    </xf>
    <xf numFmtId="0" fontId="13" fillId="0" borderId="16" xfId="0" applyFont="1" applyBorder="1" applyAlignment="1">
      <alignment horizontal="center" vertical="center" wrapText="1"/>
    </xf>
    <xf numFmtId="3" fontId="60" fillId="0" borderId="16" xfId="0" applyNumberFormat="1" applyFont="1" applyBorder="1" applyAlignment="1">
      <alignment horizontal="center" vertical="center"/>
    </xf>
    <xf numFmtId="0" fontId="11" fillId="0" borderId="10" xfId="0" applyFont="1" applyBorder="1"/>
    <xf numFmtId="0" fontId="10" fillId="0" borderId="18" xfId="0" applyFont="1" applyBorder="1" applyAlignment="1">
      <alignment vertical="center"/>
    </xf>
    <xf numFmtId="202" fontId="13" fillId="0" borderId="11" xfId="0" applyNumberFormat="1" applyFont="1" applyBorder="1" applyAlignment="1">
      <alignment horizontal="center" vertical="center"/>
    </xf>
    <xf numFmtId="3" fontId="13" fillId="0" borderId="40" xfId="0" applyNumberFormat="1" applyFont="1" applyBorder="1" applyAlignment="1">
      <alignment horizontal="center" vertical="center"/>
    </xf>
    <xf numFmtId="3" fontId="66" fillId="0" borderId="10" xfId="0" applyNumberFormat="1" applyFont="1" applyBorder="1" applyAlignment="1">
      <alignment horizontal="center" vertical="center"/>
    </xf>
    <xf numFmtId="3" fontId="10" fillId="0" borderId="15" xfId="0" applyNumberFormat="1" applyFont="1" applyBorder="1" applyAlignment="1">
      <alignment horizontal="right" vertical="center" wrapText="1"/>
    </xf>
    <xf numFmtId="3" fontId="146" fillId="0" borderId="10" xfId="0" applyNumberFormat="1" applyFont="1" applyBorder="1" applyAlignment="1">
      <alignment horizontal="right" vertical="center" wrapText="1"/>
    </xf>
    <xf numFmtId="3" fontId="146" fillId="0" borderId="10" xfId="0" applyNumberFormat="1" applyFont="1" applyBorder="1" applyAlignment="1">
      <alignment vertical="center" wrapText="1"/>
    </xf>
    <xf numFmtId="244" fontId="10" fillId="0" borderId="10" xfId="0" applyNumberFormat="1" applyFont="1" applyBorder="1" applyAlignment="1">
      <alignment horizontal="center"/>
    </xf>
    <xf numFmtId="1" fontId="10" fillId="0" borderId="10" xfId="0" applyNumberFormat="1" applyFont="1" applyBorder="1" applyAlignment="1">
      <alignment horizontal="center"/>
    </xf>
    <xf numFmtId="0" fontId="13" fillId="4" borderId="0" xfId="0" applyFont="1" applyFill="1" applyAlignment="1">
      <alignment horizontal="right"/>
    </xf>
    <xf numFmtId="0" fontId="13" fillId="9" borderId="3" xfId="0" applyFont="1" applyFill="1" applyBorder="1" applyAlignment="1">
      <alignment horizontal="center" vertical="center" textRotation="90"/>
    </xf>
    <xf numFmtId="227" fontId="10" fillId="0" borderId="10" xfId="0" applyNumberFormat="1" applyFont="1" applyBorder="1" applyAlignment="1">
      <alignment horizontal="center" vertical="center"/>
    </xf>
    <xf numFmtId="4" fontId="50" fillId="9" borderId="10" xfId="0" applyNumberFormat="1" applyFont="1" applyFill="1" applyBorder="1" applyAlignment="1">
      <alignment horizontal="center" vertical="center" wrapText="1"/>
    </xf>
    <xf numFmtId="38" fontId="45" fillId="9" borderId="20" xfId="948" applyNumberFormat="1" applyFont="1" applyFill="1" applyBorder="1" applyAlignment="1" applyProtection="1">
      <alignment horizontal="centerContinuous" vertical="center" wrapText="1"/>
      <protection hidden="1"/>
    </xf>
    <xf numFmtId="38" fontId="50" fillId="9" borderId="20" xfId="948" applyNumberFormat="1" applyFont="1" applyFill="1" applyBorder="1" applyAlignment="1" applyProtection="1">
      <alignment horizontal="centerContinuous" vertical="center"/>
      <protection hidden="1"/>
    </xf>
    <xf numFmtId="3" fontId="50" fillId="9" borderId="10" xfId="948" applyNumberFormat="1" applyFont="1" applyFill="1" applyBorder="1" applyAlignment="1" applyProtection="1">
      <alignment horizontal="right" vertical="center"/>
      <protection hidden="1"/>
    </xf>
    <xf numFmtId="38" fontId="50" fillId="9" borderId="10" xfId="948" quotePrefix="1" applyNumberFormat="1" applyFont="1" applyFill="1" applyBorder="1" applyAlignment="1" applyProtection="1">
      <alignment horizontal="center" vertical="center"/>
      <protection hidden="1"/>
    </xf>
    <xf numFmtId="1" fontId="50" fillId="9" borderId="10" xfId="0" quotePrefix="1" applyNumberFormat="1" applyFont="1" applyFill="1" applyBorder="1" applyAlignment="1" applyProtection="1">
      <alignment horizontal="center" vertical="center"/>
      <protection hidden="1"/>
    </xf>
    <xf numFmtId="38" fontId="146" fillId="9" borderId="10" xfId="948" applyNumberFormat="1" applyFont="1" applyFill="1" applyBorder="1" applyAlignment="1" applyProtection="1">
      <alignment horizontal="left" vertical="center" wrapText="1"/>
      <protection hidden="1"/>
    </xf>
    <xf numFmtId="38" fontId="145" fillId="0" borderId="10" xfId="948" applyNumberFormat="1" applyFont="1" applyBorder="1" applyAlignment="1" applyProtection="1">
      <alignment horizontal="left" vertical="center" wrapText="1"/>
      <protection hidden="1"/>
    </xf>
    <xf numFmtId="38" fontId="145" fillId="2" borderId="10" xfId="948" applyNumberFormat="1" applyFont="1" applyFill="1" applyBorder="1" applyAlignment="1" applyProtection="1">
      <alignment horizontal="left" vertical="center" wrapText="1"/>
      <protection hidden="1"/>
    </xf>
    <xf numFmtId="38" fontId="145" fillId="2" borderId="34" xfId="948" applyNumberFormat="1" applyFont="1" applyFill="1" applyBorder="1" applyAlignment="1" applyProtection="1">
      <alignment horizontal="center" vertical="center" wrapText="1"/>
      <protection hidden="1"/>
    </xf>
    <xf numFmtId="38" fontId="145" fillId="0" borderId="34" xfId="948" applyNumberFormat="1" applyFont="1" applyBorder="1" applyAlignment="1" applyProtection="1">
      <alignment horizontal="center" vertical="center" wrapText="1"/>
      <protection hidden="1"/>
    </xf>
    <xf numFmtId="38" fontId="145" fillId="0" borderId="12" xfId="948" applyNumberFormat="1" applyFont="1" applyBorder="1" applyAlignment="1" applyProtection="1">
      <alignment horizontal="left" vertical="center" wrapText="1"/>
      <protection hidden="1"/>
    </xf>
    <xf numFmtId="38" fontId="51" fillId="0" borderId="20" xfId="948" applyNumberFormat="1" applyFont="1" applyBorder="1" applyAlignment="1" applyProtection="1">
      <alignment horizontal="centerContinuous"/>
      <protection hidden="1"/>
    </xf>
    <xf numFmtId="3" fontId="5" fillId="0" borderId="0" xfId="0" applyNumberFormat="1" applyFont="1" applyAlignment="1" applyProtection="1">
      <alignment horizontal="left"/>
      <protection hidden="1"/>
    </xf>
    <xf numFmtId="38" fontId="52" fillId="2" borderId="34" xfId="948" applyNumberFormat="1" applyFont="1" applyFill="1" applyBorder="1" applyAlignment="1" applyProtection="1">
      <alignment horizontal="center" wrapText="1"/>
      <protection hidden="1"/>
    </xf>
    <xf numFmtId="0" fontId="13" fillId="0" borderId="0" xfId="0" applyFont="1" applyProtection="1">
      <protection hidden="1"/>
    </xf>
    <xf numFmtId="1" fontId="175" fillId="9" borderId="10" xfId="0" applyNumberFormat="1" applyFont="1" applyFill="1" applyBorder="1" applyAlignment="1" applyProtection="1">
      <alignment horizontal="right" vertical="center"/>
      <protection hidden="1"/>
    </xf>
    <xf numFmtId="38" fontId="176" fillId="9" borderId="10" xfId="948" applyNumberFormat="1" applyFont="1" applyFill="1" applyBorder="1" applyAlignment="1" applyProtection="1">
      <alignment horizontal="left" vertical="center" wrapText="1"/>
      <protection hidden="1"/>
    </xf>
    <xf numFmtId="38" fontId="177" fillId="9" borderId="20" xfId="948" applyNumberFormat="1" applyFont="1" applyFill="1" applyBorder="1" applyAlignment="1" applyProtection="1">
      <alignment horizontal="centerContinuous" vertical="center" wrapText="1"/>
      <protection hidden="1"/>
    </xf>
    <xf numFmtId="38" fontId="175" fillId="9" borderId="20" xfId="948" applyNumberFormat="1" applyFont="1" applyFill="1" applyBorder="1" applyAlignment="1" applyProtection="1">
      <alignment horizontal="centerContinuous" vertical="center"/>
      <protection hidden="1"/>
    </xf>
    <xf numFmtId="3" fontId="175" fillId="9" borderId="10" xfId="948" applyNumberFormat="1" applyFont="1" applyFill="1" applyBorder="1" applyAlignment="1" applyProtection="1">
      <alignment horizontal="right" vertical="center"/>
      <protection hidden="1"/>
    </xf>
    <xf numFmtId="38" fontId="175" fillId="9" borderId="10" xfId="948" quotePrefix="1" applyNumberFormat="1" applyFont="1" applyFill="1" applyBorder="1" applyAlignment="1" applyProtection="1">
      <alignment horizontal="center" vertical="center"/>
      <protection hidden="1"/>
    </xf>
    <xf numFmtId="3" fontId="57" fillId="2" borderId="10" xfId="948" applyNumberFormat="1" applyFont="1" applyFill="1" applyBorder="1" applyAlignment="1" applyProtection="1">
      <alignment horizontal="center"/>
      <protection hidden="1"/>
    </xf>
    <xf numFmtId="303" fontId="6" fillId="0" borderId="3" xfId="0" applyNumberFormat="1" applyFont="1" applyBorder="1" applyAlignment="1" applyProtection="1">
      <alignment horizontal="center"/>
      <protection locked="0"/>
    </xf>
    <xf numFmtId="0" fontId="100" fillId="9" borderId="0" xfId="0" applyFont="1" applyFill="1" applyAlignment="1" applyProtection="1">
      <alignment horizontal="right"/>
      <protection hidden="1"/>
    </xf>
    <xf numFmtId="0" fontId="100" fillId="4" borderId="0" xfId="0" applyFont="1" applyFill="1" applyAlignment="1" applyProtection="1">
      <alignment horizontal="right"/>
      <protection hidden="1"/>
    </xf>
    <xf numFmtId="17" fontId="10" fillId="0" borderId="0" xfId="0" applyNumberFormat="1" applyFont="1"/>
    <xf numFmtId="38" fontId="0" fillId="0" borderId="0" xfId="0" applyNumberFormat="1"/>
    <xf numFmtId="3" fontId="0" fillId="0" borderId="0" xfId="0" applyNumberFormat="1"/>
    <xf numFmtId="185" fontId="0" fillId="0" borderId="0" xfId="667" applyNumberFormat="1" applyFont="1"/>
    <xf numFmtId="185" fontId="0" fillId="0" borderId="0" xfId="0" applyNumberFormat="1"/>
    <xf numFmtId="185" fontId="180" fillId="9" borderId="0" xfId="667" applyNumberFormat="1" applyFont="1" applyFill="1"/>
    <xf numFmtId="0" fontId="179" fillId="0" borderId="0" xfId="0" applyFont="1" applyAlignment="1">
      <alignment horizontal="center"/>
    </xf>
    <xf numFmtId="0" fontId="127" fillId="0" borderId="0" xfId="0" applyFont="1"/>
    <xf numFmtId="0" fontId="127" fillId="0" borderId="0" xfId="0" applyFont="1" applyAlignment="1">
      <alignment horizontal="center"/>
    </xf>
    <xf numFmtId="0" fontId="178" fillId="0" borderId="0" xfId="0" applyFont="1" applyAlignment="1">
      <alignment horizontal="center"/>
    </xf>
    <xf numFmtId="0" fontId="155" fillId="0" borderId="0" xfId="0" applyFont="1" applyAlignment="1">
      <alignment horizontal="center"/>
    </xf>
    <xf numFmtId="0" fontId="155" fillId="0" borderId="0" xfId="0" applyFont="1" applyAlignment="1">
      <alignment horizontal="left"/>
    </xf>
    <xf numFmtId="0" fontId="155" fillId="0" borderId="0" xfId="0" applyFont="1"/>
    <xf numFmtId="0" fontId="178" fillId="0" borderId="3" xfId="0" applyFont="1" applyBorder="1" applyAlignment="1">
      <alignment horizontal="center"/>
    </xf>
    <xf numFmtId="0" fontId="178" fillId="0" borderId="3" xfId="0" applyFont="1" applyBorder="1" applyAlignment="1">
      <alignment horizontal="center" vertical="center"/>
    </xf>
    <xf numFmtId="0" fontId="178" fillId="0" borderId="3" xfId="0" applyFont="1" applyBorder="1" applyAlignment="1">
      <alignment horizontal="center" vertical="center" wrapText="1"/>
    </xf>
    <xf numFmtId="0" fontId="179" fillId="0" borderId="3" xfId="0" applyFont="1" applyBorder="1" applyAlignment="1">
      <alignment horizontal="center"/>
    </xf>
    <xf numFmtId="0" fontId="179" fillId="0" borderId="3" xfId="0" applyFont="1" applyBorder="1" applyAlignment="1">
      <alignment horizontal="left" vertical="center"/>
    </xf>
    <xf numFmtId="0" fontId="178" fillId="0" borderId="3" xfId="0" applyFont="1" applyBorder="1" applyAlignment="1">
      <alignment horizontal="left" vertical="center" wrapText="1"/>
    </xf>
    <xf numFmtId="3" fontId="179" fillId="0" borderId="3" xfId="0" applyNumberFormat="1" applyFont="1" applyBorder="1" applyAlignment="1">
      <alignment horizontal="right" vertical="center" wrapText="1"/>
    </xf>
    <xf numFmtId="9" fontId="179" fillId="0" borderId="3" xfId="951" applyFont="1" applyBorder="1" applyAlignment="1">
      <alignment horizontal="center" vertical="center" wrapText="1"/>
    </xf>
    <xf numFmtId="3" fontId="4" fillId="0" borderId="3" xfId="0" applyNumberFormat="1" applyFont="1" applyBorder="1" applyAlignment="1">
      <alignment horizontal="center"/>
    </xf>
    <xf numFmtId="0" fontId="179" fillId="0" borderId="3" xfId="0" applyFont="1" applyBorder="1" applyAlignment="1">
      <alignment horizontal="center" vertical="center"/>
    </xf>
    <xf numFmtId="0" fontId="132" fillId="0" borderId="3" xfId="0" applyFont="1" applyBorder="1" applyAlignment="1">
      <alignment horizontal="center" vertical="center"/>
    </xf>
    <xf numFmtId="0" fontId="155" fillId="0" borderId="3" xfId="0" applyFont="1" applyBorder="1" applyAlignment="1">
      <alignment horizontal="left" vertical="center" wrapText="1"/>
    </xf>
    <xf numFmtId="0" fontId="155" fillId="0" borderId="3" xfId="0" applyFont="1" applyBorder="1" applyAlignment="1">
      <alignment horizontal="center" vertical="center" wrapText="1"/>
    </xf>
    <xf numFmtId="3" fontId="127" fillId="0" borderId="3" xfId="0" applyNumberFormat="1" applyFont="1" applyBorder="1" applyAlignment="1">
      <alignment horizontal="right" vertical="center" wrapText="1"/>
    </xf>
    <xf numFmtId="9" fontId="132" fillId="0" borderId="3" xfId="0" applyNumberFormat="1" applyFont="1" applyBorder="1" applyAlignment="1">
      <alignment horizontal="center" vertical="center"/>
    </xf>
    <xf numFmtId="3" fontId="132" fillId="0" borderId="3" xfId="0" applyNumberFormat="1" applyFont="1" applyBorder="1" applyAlignment="1">
      <alignment horizontal="right" vertical="center"/>
    </xf>
    <xf numFmtId="0" fontId="137" fillId="0" borderId="3" xfId="0" applyFont="1" applyBorder="1" applyAlignment="1">
      <alignment horizontal="center"/>
    </xf>
    <xf numFmtId="0" fontId="179" fillId="0" borderId="3" xfId="0" applyFont="1" applyBorder="1" applyAlignment="1">
      <alignment horizontal="left" vertical="center" wrapText="1"/>
    </xf>
    <xf numFmtId="0" fontId="179" fillId="0" borderId="3" xfId="0" applyFont="1" applyBorder="1" applyAlignment="1">
      <alignment horizontal="center" vertical="center" wrapText="1"/>
    </xf>
    <xf numFmtId="0" fontId="137" fillId="0" borderId="3" xfId="0" applyFont="1" applyBorder="1"/>
    <xf numFmtId="0" fontId="179" fillId="0" borderId="0" xfId="0" applyFont="1"/>
    <xf numFmtId="3" fontId="137" fillId="0" borderId="3" xfId="0" applyNumberFormat="1" applyFont="1" applyBorder="1" applyAlignment="1">
      <alignment horizontal="right" vertical="center"/>
    </xf>
    <xf numFmtId="0" fontId="182" fillId="0" borderId="0" xfId="0" applyFont="1"/>
    <xf numFmtId="0" fontId="178" fillId="0" borderId="0" xfId="0" applyFont="1"/>
    <xf numFmtId="3" fontId="155" fillId="0" borderId="0" xfId="0" applyNumberFormat="1" applyFont="1"/>
    <xf numFmtId="0" fontId="179" fillId="0" borderId="3" xfId="0" applyFont="1" applyBorder="1" applyAlignment="1">
      <alignment horizontal="center" wrapText="1"/>
    </xf>
    <xf numFmtId="0" fontId="179" fillId="0" borderId="3" xfId="0" applyFont="1" applyBorder="1" applyAlignment="1">
      <alignment horizontal="left"/>
    </xf>
    <xf numFmtId="3" fontId="8" fillId="0" borderId="3" xfId="0" quotePrefix="1" applyNumberFormat="1" applyFont="1" applyBorder="1" applyAlignment="1">
      <alignment horizontal="right"/>
    </xf>
    <xf numFmtId="0" fontId="136" fillId="0" borderId="3" xfId="0" applyFont="1" applyBorder="1"/>
    <xf numFmtId="0" fontId="127" fillId="0" borderId="3" xfId="0" applyFont="1" applyBorder="1"/>
    <xf numFmtId="0" fontId="8" fillId="0" borderId="3" xfId="0" applyFont="1" applyBorder="1" applyAlignment="1">
      <alignment horizontal="center"/>
    </xf>
    <xf numFmtId="0" fontId="8" fillId="0" borderId="2" xfId="0" applyFont="1" applyBorder="1"/>
    <xf numFmtId="0" fontId="8" fillId="0" borderId="8" xfId="0" applyFont="1" applyBorder="1"/>
    <xf numFmtId="3" fontId="8" fillId="0" borderId="3" xfId="0" applyNumberFormat="1" applyFont="1" applyBorder="1" applyAlignment="1">
      <alignment horizontal="right"/>
    </xf>
    <xf numFmtId="0" fontId="8" fillId="0" borderId="3" xfId="0" applyFont="1" applyBorder="1"/>
    <xf numFmtId="0" fontId="136" fillId="0" borderId="0" xfId="0" applyFont="1"/>
    <xf numFmtId="0" fontId="182" fillId="0" borderId="0" xfId="0" applyFont="1" applyAlignment="1">
      <alignment horizontal="center"/>
    </xf>
    <xf numFmtId="0" fontId="127" fillId="0" borderId="0" xfId="0" applyFont="1" applyAlignment="1">
      <alignment horizontal="left"/>
    </xf>
    <xf numFmtId="0" fontId="179" fillId="0" borderId="0" xfId="0" applyFont="1" applyAlignment="1">
      <alignment horizontal="left"/>
    </xf>
    <xf numFmtId="0" fontId="183" fillId="0" borderId="0" xfId="0" applyFont="1"/>
    <xf numFmtId="3" fontId="127" fillId="0" borderId="0" xfId="0" applyNumberFormat="1" applyFont="1"/>
    <xf numFmtId="182" fontId="127" fillId="0" borderId="0" xfId="667" applyNumberFormat="1" applyFont="1" applyFill="1"/>
    <xf numFmtId="3" fontId="136" fillId="0" borderId="0" xfId="0" applyNumberFormat="1" applyFont="1"/>
    <xf numFmtId="202" fontId="127" fillId="0" borderId="0" xfId="0" applyNumberFormat="1" applyFont="1"/>
    <xf numFmtId="0" fontId="127" fillId="0" borderId="0" xfId="0" applyFont="1" applyAlignment="1">
      <alignment horizontal="right"/>
    </xf>
    <xf numFmtId="3" fontId="183" fillId="0" borderId="0" xfId="0" applyNumberFormat="1" applyFont="1"/>
    <xf numFmtId="0" fontId="10" fillId="0" borderId="0" xfId="946"/>
    <xf numFmtId="0" fontId="10" fillId="0" borderId="51" xfId="946" applyBorder="1"/>
    <xf numFmtId="0" fontId="10" fillId="0" borderId="7" xfId="946" applyBorder="1"/>
    <xf numFmtId="0" fontId="10" fillId="0" borderId="52" xfId="946" applyBorder="1"/>
    <xf numFmtId="0" fontId="8" fillId="0" borderId="0" xfId="946" applyFont="1"/>
    <xf numFmtId="0" fontId="8" fillId="0" borderId="53" xfId="946" applyFont="1" applyBorder="1"/>
    <xf numFmtId="0" fontId="3" fillId="0" borderId="54" xfId="946" applyFont="1" applyBorder="1" applyAlignment="1">
      <alignment horizontal="center"/>
    </xf>
    <xf numFmtId="0" fontId="3" fillId="0" borderId="0" xfId="946" applyFont="1" applyAlignment="1">
      <alignment horizontal="center"/>
    </xf>
    <xf numFmtId="0" fontId="10" fillId="0" borderId="54" xfId="946" applyBorder="1"/>
    <xf numFmtId="0" fontId="10" fillId="0" borderId="53" xfId="946" applyBorder="1"/>
    <xf numFmtId="0" fontId="8" fillId="0" borderId="54" xfId="946" applyFont="1" applyBorder="1" applyAlignment="1">
      <alignment horizontal="center" vertical="center" wrapText="1"/>
    </xf>
    <xf numFmtId="0" fontId="8" fillId="0" borderId="54" xfId="946" applyFont="1" applyBorder="1" applyAlignment="1">
      <alignment horizontal="left" vertical="center" wrapText="1"/>
    </xf>
    <xf numFmtId="0" fontId="127" fillId="0" borderId="0" xfId="0" applyFont="1" applyAlignment="1">
      <alignment horizontal="left" vertical="center"/>
    </xf>
    <xf numFmtId="0" fontId="7" fillId="0" borderId="53" xfId="946" applyFont="1" applyBorder="1" applyAlignment="1">
      <alignment horizontal="left" vertical="center" wrapText="1"/>
    </xf>
    <xf numFmtId="0" fontId="8" fillId="0" borderId="0" xfId="946" applyFont="1" applyAlignment="1">
      <alignment vertical="center" wrapText="1"/>
    </xf>
    <xf numFmtId="0" fontId="8" fillId="0" borderId="0" xfId="946" applyFont="1" applyAlignment="1">
      <alignment horizontal="center" vertical="center" wrapText="1"/>
    </xf>
    <xf numFmtId="0" fontId="8" fillId="0" borderId="53" xfId="946" applyFont="1" applyBorder="1" applyAlignment="1">
      <alignment horizontal="center" vertical="center" wrapText="1"/>
    </xf>
    <xf numFmtId="182" fontId="7" fillId="0" borderId="0" xfId="667" applyNumberFormat="1" applyFont="1"/>
    <xf numFmtId="0" fontId="51" fillId="0" borderId="54" xfId="946" applyFont="1" applyBorder="1"/>
    <xf numFmtId="0" fontId="51" fillId="0" borderId="0" xfId="946" applyFont="1"/>
    <xf numFmtId="0" fontId="51" fillId="0" borderId="53" xfId="946" applyFont="1" applyBorder="1"/>
    <xf numFmtId="182" fontId="51" fillId="0" borderId="0" xfId="667" applyNumberFormat="1" applyFont="1"/>
    <xf numFmtId="0" fontId="51" fillId="0" borderId="0" xfId="0" applyFont="1"/>
    <xf numFmtId="0" fontId="137" fillId="0" borderId="54" xfId="946" applyFont="1" applyBorder="1"/>
    <xf numFmtId="0" fontId="137" fillId="0" borderId="0" xfId="946" applyFont="1"/>
    <xf numFmtId="0" fontId="137" fillId="0" borderId="0" xfId="946" applyFont="1" applyAlignment="1">
      <alignment horizontal="center"/>
    </xf>
    <xf numFmtId="0" fontId="137" fillId="0" borderId="53" xfId="946" applyFont="1" applyBorder="1" applyAlignment="1">
      <alignment horizontal="center"/>
    </xf>
    <xf numFmtId="0" fontId="136" fillId="0" borderId="54" xfId="946" applyFont="1" applyBorder="1"/>
    <xf numFmtId="0" fontId="136" fillId="0" borderId="0" xfId="946" applyFont="1"/>
    <xf numFmtId="0" fontId="136" fillId="0" borderId="53" xfId="946" applyFont="1" applyBorder="1"/>
    <xf numFmtId="0" fontId="51" fillId="0" borderId="55" xfId="946" applyFont="1" applyBorder="1"/>
    <xf numFmtId="0" fontId="51" fillId="0" borderId="56" xfId="946" applyFont="1" applyBorder="1"/>
    <xf numFmtId="0" fontId="51" fillId="0" borderId="57" xfId="946" applyFont="1" applyBorder="1"/>
    <xf numFmtId="0" fontId="179" fillId="0" borderId="0" xfId="0" applyFont="1" applyAlignment="1">
      <alignment horizontal="center" vertical="center"/>
    </xf>
    <xf numFmtId="182" fontId="179" fillId="0" borderId="0" xfId="667" applyNumberFormat="1" applyFont="1" applyFill="1"/>
    <xf numFmtId="0" fontId="7" fillId="0" borderId="10" xfId="944" applyFont="1" applyBorder="1" applyAlignment="1">
      <alignment vertical="center" wrapText="1"/>
    </xf>
    <xf numFmtId="0" fontId="7" fillId="0" borderId="10" xfId="944" applyFont="1" applyBorder="1" applyAlignment="1">
      <alignment horizontal="center" vertical="center" wrapText="1"/>
    </xf>
    <xf numFmtId="3" fontId="127" fillId="0" borderId="10" xfId="944" applyNumberFormat="1" applyFont="1" applyBorder="1" applyAlignment="1">
      <alignment horizontal="center" vertical="center" wrapText="1"/>
    </xf>
    <xf numFmtId="3" fontId="7" fillId="0" borderId="10" xfId="944" applyNumberFormat="1" applyFont="1" applyBorder="1" applyAlignment="1">
      <alignment horizontal="right" vertical="center" wrapText="1"/>
    </xf>
    <xf numFmtId="3" fontId="7" fillId="0" borderId="10" xfId="944" applyNumberFormat="1" applyFont="1" applyBorder="1" applyAlignment="1">
      <alignment horizontal="center"/>
    </xf>
    <xf numFmtId="3" fontId="136" fillId="0" borderId="10" xfId="944" applyNumberFormat="1" applyFont="1" applyBorder="1" applyAlignment="1">
      <alignment horizontal="center" vertical="center" wrapText="1"/>
    </xf>
    <xf numFmtId="3" fontId="7" fillId="0" borderId="10" xfId="944" applyNumberFormat="1" applyFont="1" applyBorder="1" applyAlignment="1">
      <alignment horizontal="center" vertical="center" wrapText="1"/>
    </xf>
    <xf numFmtId="9" fontId="127" fillId="0" borderId="0" xfId="0" applyNumberFormat="1" applyFont="1"/>
    <xf numFmtId="182" fontId="127" fillId="0" borderId="0" xfId="0" applyNumberFormat="1" applyFont="1"/>
    <xf numFmtId="3" fontId="11" fillId="0" borderId="0" xfId="0" applyNumberFormat="1" applyFont="1"/>
    <xf numFmtId="3" fontId="184" fillId="9" borderId="11" xfId="0" applyNumberFormat="1" applyFont="1" applyFill="1" applyBorder="1" applyAlignment="1">
      <alignment horizontal="center" vertical="center" wrapText="1"/>
    </xf>
    <xf numFmtId="185" fontId="11" fillId="0" borderId="0" xfId="667" applyNumberFormat="1" applyFont="1"/>
    <xf numFmtId="0" fontId="180" fillId="9" borderId="0" xfId="0" applyFont="1" applyFill="1"/>
    <xf numFmtId="3" fontId="180" fillId="9" borderId="0" xfId="0" applyNumberFormat="1" applyFont="1" applyFill="1"/>
    <xf numFmtId="185" fontId="180" fillId="9" borderId="0" xfId="0" applyNumberFormat="1" applyFont="1" applyFill="1"/>
    <xf numFmtId="185" fontId="179" fillId="0" borderId="0" xfId="667" applyNumberFormat="1" applyFont="1"/>
    <xf numFmtId="3" fontId="184" fillId="9" borderId="0" xfId="0" applyNumberFormat="1" applyFont="1" applyFill="1" applyAlignment="1">
      <alignment horizontal="center" vertical="center" wrapText="1"/>
    </xf>
    <xf numFmtId="185" fontId="179" fillId="0" borderId="3" xfId="667" applyNumberFormat="1" applyFont="1" applyFill="1" applyBorder="1" applyAlignment="1">
      <alignment horizontal="center"/>
    </xf>
    <xf numFmtId="185" fontId="7" fillId="0" borderId="0" xfId="667" applyNumberFormat="1" applyFont="1"/>
    <xf numFmtId="185" fontId="127" fillId="0" borderId="0" xfId="0" applyNumberFormat="1" applyFont="1" applyAlignment="1">
      <alignment horizontal="left" vertical="center"/>
    </xf>
    <xf numFmtId="185" fontId="51" fillId="0" borderId="0" xfId="667" applyNumberFormat="1" applyFont="1"/>
    <xf numFmtId="3" fontId="7" fillId="0" borderId="58" xfId="0" applyNumberFormat="1" applyFont="1" applyBorder="1" applyAlignment="1">
      <alignment horizontal="center" vertical="center" wrapText="1"/>
    </xf>
    <xf numFmtId="0" fontId="137" fillId="0" borderId="27" xfId="0" applyFont="1" applyBorder="1" applyAlignment="1">
      <alignment horizontal="center"/>
    </xf>
    <xf numFmtId="3" fontId="136" fillId="0" borderId="3" xfId="0" applyNumberFormat="1" applyFont="1" applyBorder="1" applyAlignment="1">
      <alignment horizontal="right" vertical="center"/>
    </xf>
    <xf numFmtId="9" fontId="136" fillId="0" borderId="3" xfId="0" applyNumberFormat="1" applyFont="1" applyBorder="1" applyAlignment="1">
      <alignment horizontal="center" vertical="center"/>
    </xf>
    <xf numFmtId="0" fontId="127" fillId="0" borderId="3" xfId="0" applyFont="1" applyBorder="1" applyAlignment="1">
      <alignment horizontal="left" vertical="center" wrapText="1"/>
    </xf>
    <xf numFmtId="0" fontId="136" fillId="0" borderId="3" xfId="0" applyFont="1" applyBorder="1" applyAlignment="1">
      <alignment horizontal="center" vertical="center"/>
    </xf>
    <xf numFmtId="0" fontId="197" fillId="0" borderId="0" xfId="0" applyFont="1"/>
    <xf numFmtId="3" fontId="7" fillId="0" borderId="0" xfId="0" applyNumberFormat="1" applyFont="1"/>
    <xf numFmtId="182" fontId="179" fillId="0" borderId="3" xfId="667" applyNumberFormat="1" applyFont="1" applyFill="1" applyBorder="1" applyAlignment="1">
      <alignment horizontal="center" vertical="center" wrapText="1"/>
    </xf>
    <xf numFmtId="0" fontId="137" fillId="0" borderId="3" xfId="0" applyFont="1" applyBorder="1" applyAlignment="1">
      <alignment horizontal="center" vertical="center"/>
    </xf>
    <xf numFmtId="0" fontId="137" fillId="0" borderId="3" xfId="0" applyFont="1" applyBorder="1" applyAlignment="1">
      <alignment vertical="center"/>
    </xf>
    <xf numFmtId="3" fontId="8" fillId="0" borderId="3" xfId="0" quotePrefix="1" applyNumberFormat="1" applyFont="1" applyBorder="1" applyAlignment="1">
      <alignment horizontal="right" vertical="center"/>
    </xf>
    <xf numFmtId="0" fontId="127" fillId="0" borderId="3" xfId="0" applyFont="1" applyBorder="1" applyAlignment="1">
      <alignment horizontal="center" vertical="center"/>
    </xf>
    <xf numFmtId="0" fontId="127" fillId="0" borderId="3" xfId="0" applyFont="1" applyBorder="1" applyAlignment="1">
      <alignment horizontal="left" vertical="center"/>
    </xf>
    <xf numFmtId="0" fontId="127" fillId="0" borderId="3" xfId="0" applyFont="1" applyBorder="1" applyAlignment="1">
      <alignment vertical="center"/>
    </xf>
    <xf numFmtId="182" fontId="127" fillId="0" borderId="3" xfId="667" applyNumberFormat="1" applyFont="1" applyFill="1" applyBorder="1" applyAlignment="1">
      <alignment horizontal="center" vertical="center"/>
    </xf>
    <xf numFmtId="0" fontId="179" fillId="0" borderId="5" xfId="0" applyFont="1" applyBorder="1" applyAlignment="1">
      <alignment vertical="center"/>
    </xf>
    <xf numFmtId="3" fontId="8" fillId="0" borderId="3" xfId="0" quotePrefix="1" applyNumberFormat="1" applyFont="1" applyBorder="1" applyAlignment="1">
      <alignment vertical="center"/>
    </xf>
    <xf numFmtId="182" fontId="8" fillId="0" borderId="3" xfId="667" quotePrefix="1" applyNumberFormat="1" applyFont="1" applyFill="1" applyBorder="1" applyAlignment="1">
      <alignment horizontal="right" vertical="center"/>
    </xf>
    <xf numFmtId="0" fontId="179" fillId="0" borderId="2" xfId="0" applyFont="1" applyBorder="1" applyAlignment="1">
      <alignment vertical="center"/>
    </xf>
    <xf numFmtId="0" fontId="179" fillId="0" borderId="8" xfId="0" applyFont="1" applyBorder="1" applyAlignment="1">
      <alignment vertical="center"/>
    </xf>
    <xf numFmtId="3" fontId="8" fillId="0" borderId="3" xfId="0" applyNumberFormat="1" applyFont="1" applyBorder="1" applyAlignment="1">
      <alignment horizontal="center" vertical="center"/>
    </xf>
    <xf numFmtId="3" fontId="7" fillId="0" borderId="3" xfId="0" quotePrefix="1" applyNumberFormat="1" applyFont="1" applyBorder="1" applyAlignment="1">
      <alignment horizontal="right" vertical="center"/>
    </xf>
    <xf numFmtId="182" fontId="7" fillId="0" borderId="3" xfId="667" quotePrefix="1" applyNumberFormat="1" applyFont="1" applyFill="1" applyBorder="1" applyAlignment="1">
      <alignment horizontal="right" vertical="center"/>
    </xf>
    <xf numFmtId="0" fontId="179" fillId="0" borderId="14" xfId="0" applyFont="1" applyBorder="1" applyAlignment="1">
      <alignment horizontal="center" vertical="center"/>
    </xf>
    <xf numFmtId="0" fontId="179" fillId="0" borderId="14" xfId="0" applyFont="1" applyBorder="1" applyAlignment="1">
      <alignment horizontal="left" vertical="center"/>
    </xf>
    <xf numFmtId="3" fontId="8" fillId="0" borderId="14" xfId="0" quotePrefix="1" applyNumberFormat="1" applyFont="1" applyBorder="1" applyAlignment="1">
      <alignment horizontal="right" vertical="center"/>
    </xf>
    <xf numFmtId="0" fontId="136" fillId="0" borderId="14" xfId="0" applyFont="1" applyBorder="1"/>
    <xf numFmtId="3" fontId="8" fillId="0" borderId="10" xfId="0" quotePrefix="1" applyNumberFormat="1" applyFont="1" applyBorder="1" applyAlignment="1">
      <alignment horizontal="right" vertical="center"/>
    </xf>
    <xf numFmtId="0" fontId="137" fillId="0" borderId="10" xfId="0" applyFont="1" applyBorder="1" applyAlignment="1">
      <alignment horizontal="center" vertical="center"/>
    </xf>
    <xf numFmtId="0" fontId="179" fillId="0" borderId="10" xfId="0" applyFont="1" applyBorder="1" applyAlignment="1">
      <alignment horizontal="left" vertical="center"/>
    </xf>
    <xf numFmtId="0" fontId="127" fillId="0" borderId="10" xfId="0" applyFont="1" applyBorder="1"/>
    <xf numFmtId="0" fontId="8" fillId="0" borderId="16" xfId="0" applyFont="1" applyBorder="1" applyAlignment="1">
      <alignment horizontal="center" vertical="center"/>
    </xf>
    <xf numFmtId="0" fontId="179" fillId="0" borderId="16" xfId="0" applyFont="1" applyBorder="1" applyAlignment="1">
      <alignment horizontal="left" vertical="center"/>
    </xf>
    <xf numFmtId="0" fontId="8" fillId="0" borderId="16" xfId="0" applyFont="1" applyBorder="1" applyAlignment="1">
      <alignment vertical="center"/>
    </xf>
    <xf numFmtId="3" fontId="8" fillId="0" borderId="16" xfId="0" applyNumberFormat="1" applyFont="1" applyBorder="1" applyAlignment="1">
      <alignment horizontal="right" vertical="center"/>
    </xf>
    <xf numFmtId="0" fontId="127" fillId="0" borderId="16" xfId="0" applyFont="1" applyBorder="1"/>
    <xf numFmtId="185" fontId="127" fillId="0" borderId="0" xfId="667" applyNumberFormat="1" applyFont="1"/>
    <xf numFmtId="185" fontId="127" fillId="0" borderId="0" xfId="0" applyNumberFormat="1" applyFont="1"/>
    <xf numFmtId="0" fontId="127" fillId="13" borderId="0" xfId="0" applyFont="1" applyFill="1" applyAlignment="1">
      <alignment horizontal="center"/>
    </xf>
    <xf numFmtId="0" fontId="127" fillId="13" borderId="0" xfId="0" applyFont="1" applyFill="1"/>
    <xf numFmtId="185" fontId="127" fillId="13" borderId="0" xfId="667" applyNumberFormat="1" applyFont="1" applyFill="1"/>
    <xf numFmtId="185" fontId="127" fillId="13" borderId="0" xfId="0" applyNumberFormat="1" applyFont="1" applyFill="1"/>
    <xf numFmtId="185" fontId="127" fillId="0" borderId="11" xfId="667" applyNumberFormat="1" applyFont="1" applyBorder="1" applyAlignment="1">
      <alignment horizontal="left" vertical="center"/>
    </xf>
    <xf numFmtId="185" fontId="179" fillId="0" borderId="0" xfId="0" applyNumberFormat="1" applyFont="1" applyAlignment="1">
      <alignment horizontal="center"/>
    </xf>
    <xf numFmtId="0" fontId="179" fillId="0" borderId="11" xfId="0" applyFont="1" applyBorder="1" applyAlignment="1">
      <alignment horizontal="center" vertical="center"/>
    </xf>
    <xf numFmtId="0" fontId="7" fillId="0" borderId="11" xfId="0" applyFont="1" applyBorder="1" applyAlignment="1">
      <alignment vertical="center"/>
    </xf>
    <xf numFmtId="3" fontId="8" fillId="0" borderId="11" xfId="0" quotePrefix="1" applyNumberFormat="1" applyFont="1" applyBorder="1" applyAlignment="1">
      <alignment horizontal="right" vertical="center"/>
    </xf>
    <xf numFmtId="0" fontId="136" fillId="0" borderId="11" xfId="0" applyFont="1" applyBorder="1"/>
    <xf numFmtId="185" fontId="7" fillId="0" borderId="11" xfId="667" applyNumberFormat="1" applyFont="1" applyBorder="1" applyAlignment="1">
      <alignment vertical="center"/>
    </xf>
    <xf numFmtId="0" fontId="125" fillId="0" borderId="0" xfId="0" applyFont="1" applyAlignment="1" applyProtection="1">
      <alignment horizontal="center" vertical="center"/>
      <protection hidden="1"/>
    </xf>
    <xf numFmtId="0" fontId="125" fillId="0" borderId="18" xfId="0" applyFont="1" applyBorder="1" applyAlignment="1" applyProtection="1">
      <alignment horizontal="center" vertical="center"/>
      <protection hidden="1"/>
    </xf>
    <xf numFmtId="0" fontId="4" fillId="5" borderId="5"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8" xfId="0" applyFont="1" applyFill="1" applyBorder="1" applyAlignment="1" applyProtection="1">
      <alignment horizontal="left" vertical="center"/>
      <protection locked="0"/>
    </xf>
    <xf numFmtId="0" fontId="14" fillId="5" borderId="5" xfId="0" quotePrefix="1"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8" xfId="0" applyFont="1" applyFill="1" applyBorder="1" applyAlignment="1" applyProtection="1">
      <alignment horizontal="left" vertical="center"/>
      <protection locked="0"/>
    </xf>
    <xf numFmtId="0" fontId="14" fillId="5" borderId="3" xfId="0" applyFont="1" applyFill="1" applyBorder="1" applyAlignment="1" applyProtection="1">
      <alignment horizontal="right" vertical="center"/>
      <protection locked="0"/>
    </xf>
    <xf numFmtId="0" fontId="14" fillId="0" borderId="5" xfId="0" applyFont="1" applyBorder="1" applyAlignment="1" applyProtection="1">
      <alignment horizontal="right" vertical="center"/>
      <protection hidden="1"/>
    </xf>
    <xf numFmtId="0" fontId="14" fillId="0" borderId="2" xfId="0" applyFont="1" applyBorder="1" applyAlignment="1" applyProtection="1">
      <alignment horizontal="right" vertical="center"/>
      <protection hidden="1"/>
    </xf>
    <xf numFmtId="0" fontId="14" fillId="0" borderId="8" xfId="0" applyFont="1" applyBorder="1" applyAlignment="1" applyProtection="1">
      <alignment horizontal="right" vertical="center"/>
      <protection hidden="1"/>
    </xf>
    <xf numFmtId="0" fontId="121" fillId="5" borderId="3" xfId="0" applyFont="1" applyFill="1" applyBorder="1" applyAlignment="1" applyProtection="1">
      <alignment horizontal="right" vertical="center"/>
      <protection hidden="1"/>
    </xf>
    <xf numFmtId="0" fontId="14" fillId="2" borderId="13" xfId="0" applyFont="1" applyFill="1" applyBorder="1" applyAlignment="1" applyProtection="1">
      <alignment horizontal="center" vertical="center"/>
      <protection hidden="1"/>
    </xf>
    <xf numFmtId="0" fontId="121" fillId="5" borderId="5" xfId="0" applyFont="1" applyFill="1" applyBorder="1" applyAlignment="1" applyProtection="1">
      <alignment horizontal="right" vertical="center"/>
      <protection hidden="1"/>
    </xf>
    <xf numFmtId="0" fontId="121" fillId="5" borderId="2" xfId="0" applyFont="1" applyFill="1" applyBorder="1" applyAlignment="1" applyProtection="1">
      <alignment horizontal="right" vertical="center"/>
      <protection hidden="1"/>
    </xf>
    <xf numFmtId="0" fontId="121" fillId="5" borderId="8" xfId="0" applyFont="1" applyFill="1" applyBorder="1" applyAlignment="1" applyProtection="1">
      <alignment horizontal="right" vertical="center"/>
      <protection hidden="1"/>
    </xf>
    <xf numFmtId="0" fontId="14" fillId="2" borderId="19" xfId="0" applyFont="1" applyFill="1" applyBorder="1" applyAlignment="1" applyProtection="1">
      <alignment horizontal="center" vertical="center"/>
      <protection hidden="1"/>
    </xf>
    <xf numFmtId="0" fontId="0" fillId="2" borderId="13" xfId="0" applyFill="1" applyBorder="1" applyAlignment="1" applyProtection="1">
      <alignment horizontal="center" vertical="center"/>
      <protection hidden="1"/>
    </xf>
    <xf numFmtId="0" fontId="14" fillId="2" borderId="13" xfId="0" applyFont="1" applyFill="1" applyBorder="1" applyAlignment="1" applyProtection="1">
      <alignment horizontal="left" vertical="center"/>
      <protection hidden="1"/>
    </xf>
    <xf numFmtId="0" fontId="0" fillId="2" borderId="9" xfId="0" applyFill="1" applyBorder="1" applyAlignment="1" applyProtection="1">
      <alignment horizontal="center" vertical="center"/>
      <protection hidden="1"/>
    </xf>
    <xf numFmtId="0" fontId="121" fillId="5" borderId="5" xfId="0" applyFont="1" applyFill="1" applyBorder="1" applyAlignment="1" applyProtection="1">
      <alignment horizontal="center" vertical="center"/>
      <protection locked="0"/>
    </xf>
    <xf numFmtId="0" fontId="121" fillId="5" borderId="2" xfId="0" applyFont="1" applyFill="1" applyBorder="1" applyAlignment="1" applyProtection="1">
      <alignment horizontal="center" vertical="center"/>
      <protection locked="0"/>
    </xf>
    <xf numFmtId="0" fontId="121" fillId="5" borderId="8" xfId="0" applyFont="1" applyFill="1" applyBorder="1" applyAlignment="1" applyProtection="1">
      <alignment horizontal="center" vertical="center"/>
      <protection locked="0"/>
    </xf>
    <xf numFmtId="3" fontId="14" fillId="5" borderId="5" xfId="0" quotePrefix="1" applyNumberFormat="1" applyFont="1" applyFill="1" applyBorder="1" applyAlignment="1" applyProtection="1">
      <alignment horizontal="left" vertical="center"/>
      <protection locked="0"/>
    </xf>
    <xf numFmtId="3" fontId="14" fillId="5" borderId="2" xfId="0" quotePrefix="1" applyNumberFormat="1" applyFont="1" applyFill="1" applyBorder="1" applyAlignment="1" applyProtection="1">
      <alignment horizontal="left" vertical="center"/>
      <protection locked="0"/>
    </xf>
    <xf numFmtId="3" fontId="14" fillId="5" borderId="8" xfId="0" quotePrefix="1" applyNumberFormat="1" applyFont="1" applyFill="1" applyBorder="1" applyAlignment="1" applyProtection="1">
      <alignment horizontal="left" vertical="center"/>
      <protection locked="0"/>
    </xf>
    <xf numFmtId="0" fontId="14" fillId="0" borderId="0" xfId="0" applyFont="1" applyAlignment="1" applyProtection="1">
      <alignment horizontal="left" vertical="center"/>
      <protection hidden="1"/>
    </xf>
    <xf numFmtId="0" fontId="121" fillId="5" borderId="5" xfId="0" quotePrefix="1" applyFont="1" applyFill="1" applyBorder="1" applyAlignment="1" applyProtection="1">
      <alignment horizontal="center" vertical="center"/>
      <protection locked="0"/>
    </xf>
    <xf numFmtId="0" fontId="121" fillId="5" borderId="2" xfId="0" quotePrefix="1" applyFont="1" applyFill="1" applyBorder="1" applyAlignment="1" applyProtection="1">
      <alignment horizontal="center" vertical="center"/>
      <protection locked="0"/>
    </xf>
    <xf numFmtId="0" fontId="121" fillId="5" borderId="8" xfId="0" quotePrefix="1" applyFont="1" applyFill="1" applyBorder="1" applyAlignment="1" applyProtection="1">
      <alignment horizontal="center" vertical="center"/>
      <protection locked="0"/>
    </xf>
    <xf numFmtId="0" fontId="14" fillId="5" borderId="5" xfId="0" applyFont="1" applyFill="1" applyBorder="1" applyAlignment="1" applyProtection="1">
      <alignment horizontal="left" vertical="center"/>
      <protection locked="0"/>
    </xf>
    <xf numFmtId="0" fontId="97" fillId="5" borderId="5" xfId="0" applyFont="1" applyFill="1" applyBorder="1" applyAlignment="1" applyProtection="1">
      <alignment horizontal="center" vertical="center"/>
      <protection locked="0"/>
    </xf>
    <xf numFmtId="0" fontId="97" fillId="5" borderId="2" xfId="0" applyFont="1" applyFill="1" applyBorder="1" applyAlignment="1" applyProtection="1">
      <alignment horizontal="center" vertical="center"/>
      <protection locked="0"/>
    </xf>
    <xf numFmtId="0" fontId="97" fillId="5" borderId="8" xfId="0" applyFont="1" applyFill="1" applyBorder="1" applyAlignment="1" applyProtection="1">
      <alignment horizontal="center" vertical="center"/>
      <protection locked="0"/>
    </xf>
    <xf numFmtId="0" fontId="121" fillId="5" borderId="5" xfId="0" applyFont="1" applyFill="1" applyBorder="1" applyAlignment="1" applyProtection="1">
      <alignment horizontal="left" vertical="center"/>
      <protection locked="0"/>
    </xf>
    <xf numFmtId="0" fontId="121" fillId="5" borderId="2" xfId="0" applyFont="1" applyFill="1" applyBorder="1" applyAlignment="1" applyProtection="1">
      <alignment horizontal="left" vertical="center"/>
      <protection locked="0"/>
    </xf>
    <xf numFmtId="0" fontId="121" fillId="5" borderId="8" xfId="0" applyFont="1" applyFill="1" applyBorder="1" applyAlignment="1" applyProtection="1">
      <alignment horizontal="left" vertical="center"/>
      <protection locked="0"/>
    </xf>
    <xf numFmtId="0" fontId="121" fillId="0" borderId="5" xfId="0" quotePrefix="1" applyFont="1" applyBorder="1" applyAlignment="1" applyProtection="1">
      <alignment horizontal="center" vertical="center"/>
      <protection hidden="1"/>
    </xf>
    <xf numFmtId="0" fontId="121" fillId="0" borderId="2" xfId="0" quotePrefix="1" applyFont="1" applyBorder="1" applyAlignment="1" applyProtection="1">
      <alignment horizontal="center" vertical="center"/>
      <protection hidden="1"/>
    </xf>
    <xf numFmtId="0" fontId="121" fillId="0" borderId="8" xfId="0" quotePrefix="1" applyFont="1" applyBorder="1" applyAlignment="1" applyProtection="1">
      <alignment horizontal="center" vertical="center"/>
      <protection hidden="1"/>
    </xf>
    <xf numFmtId="14" fontId="121" fillId="5" borderId="34" xfId="0" applyNumberFormat="1" applyFont="1" applyFill="1" applyBorder="1" applyAlignment="1" applyProtection="1">
      <alignment horizontal="left" vertical="center"/>
      <protection locked="0"/>
    </xf>
    <xf numFmtId="14" fontId="121" fillId="5" borderId="50" xfId="0" applyNumberFormat="1" applyFont="1" applyFill="1" applyBorder="1" applyAlignment="1" applyProtection="1">
      <alignment horizontal="left" vertical="center"/>
      <protection locked="0"/>
    </xf>
    <xf numFmtId="14" fontId="121" fillId="5" borderId="39" xfId="0" applyNumberFormat="1" applyFont="1" applyFill="1" applyBorder="1" applyAlignment="1" applyProtection="1">
      <alignment horizontal="left" vertical="center"/>
      <protection locked="0"/>
    </xf>
    <xf numFmtId="0" fontId="121" fillId="0" borderId="45" xfId="0" quotePrefix="1" applyFont="1" applyBorder="1" applyAlignment="1" applyProtection="1">
      <alignment horizontal="center" vertical="center"/>
      <protection hidden="1"/>
    </xf>
    <xf numFmtId="0" fontId="121" fillId="0" borderId="21" xfId="0" quotePrefix="1" applyFont="1" applyBorder="1" applyAlignment="1" applyProtection="1">
      <alignment horizontal="center" vertical="center"/>
      <protection hidden="1"/>
    </xf>
    <xf numFmtId="0" fontId="121" fillId="0" borderId="46" xfId="0" quotePrefix="1" applyFont="1" applyBorder="1" applyAlignment="1" applyProtection="1">
      <alignment horizontal="center" vertical="center"/>
      <protection hidden="1"/>
    </xf>
    <xf numFmtId="14" fontId="121" fillId="0" borderId="28" xfId="0" applyNumberFormat="1" applyFont="1" applyBorder="1" applyAlignment="1" applyProtection="1">
      <alignment horizontal="left" vertical="center"/>
      <protection locked="0" hidden="1"/>
    </xf>
    <xf numFmtId="14" fontId="121" fillId="0" borderId="30" xfId="0" applyNumberFormat="1" applyFont="1" applyBorder="1" applyAlignment="1" applyProtection="1">
      <alignment horizontal="left" vertical="center"/>
      <protection locked="0" hidden="1"/>
    </xf>
    <xf numFmtId="14" fontId="121" fillId="0" borderId="31" xfId="0" applyNumberFormat="1" applyFont="1" applyBorder="1" applyAlignment="1" applyProtection="1">
      <alignment horizontal="left" vertical="center"/>
      <protection locked="0" hidden="1"/>
    </xf>
    <xf numFmtId="14" fontId="121" fillId="9" borderId="28" xfId="0" applyNumberFormat="1" applyFont="1" applyFill="1" applyBorder="1" applyAlignment="1" applyProtection="1">
      <alignment horizontal="left" vertical="center"/>
      <protection locked="0" hidden="1"/>
    </xf>
    <xf numFmtId="14" fontId="121" fillId="9" borderId="30" xfId="0" applyNumberFormat="1" applyFont="1" applyFill="1" applyBorder="1" applyAlignment="1" applyProtection="1">
      <alignment horizontal="left" vertical="center"/>
      <protection locked="0" hidden="1"/>
    </xf>
    <xf numFmtId="14" fontId="121" fillId="9" borderId="31" xfId="0" applyNumberFormat="1" applyFont="1" applyFill="1" applyBorder="1" applyAlignment="1" applyProtection="1">
      <alignment horizontal="left" vertical="center"/>
      <protection locked="0" hidden="1"/>
    </xf>
    <xf numFmtId="4" fontId="14" fillId="5" borderId="3" xfId="0" applyNumberFormat="1" applyFont="1" applyFill="1" applyBorder="1" applyAlignment="1" applyProtection="1">
      <alignment horizontal="right" vertical="center"/>
      <protection locked="0"/>
    </xf>
    <xf numFmtId="0" fontId="121" fillId="0" borderId="5" xfId="0" applyFont="1" applyBorder="1" applyAlignment="1" applyProtection="1">
      <alignment horizontal="left" vertical="center"/>
      <protection hidden="1"/>
    </xf>
    <xf numFmtId="0" fontId="121" fillId="0" borderId="2" xfId="0" applyFont="1" applyBorder="1" applyAlignment="1" applyProtection="1">
      <alignment horizontal="left" vertical="center"/>
      <protection hidden="1"/>
    </xf>
    <xf numFmtId="0" fontId="121" fillId="0" borderId="8" xfId="0" applyFont="1" applyBorder="1" applyAlignment="1" applyProtection="1">
      <alignment horizontal="left" vertical="center"/>
      <protection hidden="1"/>
    </xf>
    <xf numFmtId="0" fontId="121" fillId="0" borderId="3" xfId="0" applyFont="1" applyBorder="1" applyAlignment="1" applyProtection="1">
      <alignment horizontal="left" vertical="center"/>
      <protection hidden="1"/>
    </xf>
    <xf numFmtId="0" fontId="121" fillId="0" borderId="42" xfId="0" applyFont="1" applyBorder="1" applyAlignment="1" applyProtection="1">
      <alignment horizontal="center" vertical="center"/>
      <protection hidden="1"/>
    </xf>
    <xf numFmtId="0" fontId="121" fillId="0" borderId="27" xfId="0" applyFont="1" applyBorder="1" applyAlignment="1" applyProtection="1">
      <alignment horizontal="center" vertical="center"/>
      <protection hidden="1"/>
    </xf>
    <xf numFmtId="0" fontId="121" fillId="0" borderId="35" xfId="0" applyFont="1" applyBorder="1" applyAlignment="1" applyProtection="1">
      <alignment horizontal="center" vertical="center"/>
      <protection hidden="1"/>
    </xf>
    <xf numFmtId="0" fontId="121" fillId="0" borderId="45" xfId="0" applyFont="1" applyBorder="1" applyAlignment="1" applyProtection="1">
      <alignment horizontal="center" vertical="center"/>
      <protection hidden="1"/>
    </xf>
    <xf numFmtId="0" fontId="121" fillId="0" borderId="21" xfId="0" applyFont="1" applyBorder="1" applyAlignment="1" applyProtection="1">
      <alignment horizontal="center" vertical="center"/>
      <protection hidden="1"/>
    </xf>
    <xf numFmtId="0" fontId="121" fillId="0" borderId="46" xfId="0" applyFont="1" applyBorder="1" applyAlignment="1" applyProtection="1">
      <alignment horizontal="center" vertical="center"/>
      <protection hidden="1"/>
    </xf>
    <xf numFmtId="3" fontId="14" fillId="5" borderId="5" xfId="0" applyNumberFormat="1" applyFont="1" applyFill="1" applyBorder="1" applyAlignment="1" applyProtection="1">
      <alignment horizontal="right" vertical="center"/>
      <protection locked="0"/>
    </xf>
    <xf numFmtId="3" fontId="14" fillId="5" borderId="2" xfId="0" applyNumberFormat="1" applyFont="1" applyFill="1" applyBorder="1" applyAlignment="1" applyProtection="1">
      <alignment horizontal="right" vertical="center"/>
      <protection locked="0"/>
    </xf>
    <xf numFmtId="3" fontId="14" fillId="5" borderId="8" xfId="0" applyNumberFormat="1" applyFont="1" applyFill="1" applyBorder="1" applyAlignment="1" applyProtection="1">
      <alignment horizontal="right" vertical="center"/>
      <protection locked="0"/>
    </xf>
    <xf numFmtId="0" fontId="14" fillId="5" borderId="5" xfId="0" applyFont="1" applyFill="1" applyBorder="1" applyAlignment="1" applyProtection="1">
      <alignment horizontal="right" vertical="center"/>
      <protection locked="0"/>
    </xf>
    <xf numFmtId="0" fontId="14" fillId="5" borderId="2" xfId="0" applyFont="1" applyFill="1" applyBorder="1" applyAlignment="1" applyProtection="1">
      <alignment horizontal="right" vertical="center"/>
      <protection locked="0"/>
    </xf>
    <xf numFmtId="0" fontId="14" fillId="5" borderId="8" xfId="0" applyFont="1" applyFill="1" applyBorder="1" applyAlignment="1" applyProtection="1">
      <alignment horizontal="right" vertical="center"/>
      <protection locked="0"/>
    </xf>
    <xf numFmtId="0" fontId="14" fillId="5" borderId="5" xfId="0" applyFont="1" applyFill="1" applyBorder="1" applyAlignment="1" applyProtection="1">
      <alignment horizontal="left" vertical="center"/>
      <protection hidden="1"/>
    </xf>
    <xf numFmtId="0" fontId="14" fillId="5" borderId="2" xfId="0" applyFont="1" applyFill="1" applyBorder="1" applyAlignment="1" applyProtection="1">
      <alignment horizontal="left" vertical="center"/>
      <protection hidden="1"/>
    </xf>
    <xf numFmtId="0" fontId="14" fillId="5" borderId="8" xfId="0" applyFont="1" applyFill="1" applyBorder="1" applyAlignment="1" applyProtection="1">
      <alignment horizontal="left" vertical="center"/>
      <protection hidden="1"/>
    </xf>
    <xf numFmtId="0" fontId="121" fillId="5" borderId="5" xfId="0" applyFont="1" applyFill="1" applyBorder="1" applyAlignment="1" applyProtection="1">
      <alignment horizontal="left" vertical="center"/>
      <protection hidden="1"/>
    </xf>
    <xf numFmtId="0" fontId="121" fillId="5" borderId="2" xfId="0" applyFont="1" applyFill="1" applyBorder="1" applyAlignment="1" applyProtection="1">
      <alignment horizontal="left" vertical="center"/>
      <protection hidden="1"/>
    </xf>
    <xf numFmtId="0" fontId="121" fillId="5" borderId="8" xfId="0" applyFont="1" applyFill="1" applyBorder="1" applyAlignment="1" applyProtection="1">
      <alignment horizontal="left" vertical="center"/>
      <protection hidden="1"/>
    </xf>
    <xf numFmtId="0" fontId="119" fillId="0" borderId="3" xfId="0" applyFont="1" applyBorder="1" applyAlignment="1" applyProtection="1">
      <alignment horizontal="left" vertical="center"/>
      <protection hidden="1"/>
    </xf>
    <xf numFmtId="0" fontId="8" fillId="0" borderId="0" xfId="0" applyFont="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7" fillId="0" borderId="0" xfId="0" applyFont="1" applyAlignment="1" applyProtection="1">
      <alignment horizontal="center" vertical="center"/>
      <protection hidden="1"/>
    </xf>
    <xf numFmtId="0" fontId="7" fillId="0" borderId="3" xfId="0" quotePrefix="1" applyFont="1" applyBorder="1" applyAlignment="1" applyProtection="1">
      <alignment horizontal="center" vertical="center"/>
      <protection hidden="1"/>
    </xf>
    <xf numFmtId="0" fontId="121" fillId="2" borderId="5" xfId="0" applyFont="1" applyFill="1" applyBorder="1" applyAlignment="1" applyProtection="1">
      <alignment horizontal="right" vertical="center"/>
      <protection hidden="1"/>
    </xf>
    <xf numFmtId="0" fontId="121" fillId="2" borderId="8" xfId="0" applyFont="1" applyFill="1" applyBorder="1" applyAlignment="1" applyProtection="1">
      <alignment horizontal="right" vertical="center"/>
      <protection hidden="1"/>
    </xf>
    <xf numFmtId="0" fontId="7" fillId="0" borderId="3" xfId="0" applyFont="1" applyBorder="1" applyAlignment="1" applyProtection="1">
      <alignment horizontal="center" vertical="center"/>
      <protection hidden="1"/>
    </xf>
    <xf numFmtId="0" fontId="5" fillId="0" borderId="3" xfId="0" applyFont="1" applyBorder="1" applyAlignment="1" applyProtection="1">
      <alignment horizontal="center" vertical="center" textRotation="90" wrapText="1"/>
      <protection hidden="1"/>
    </xf>
    <xf numFmtId="0" fontId="7" fillId="0" borderId="3" xfId="0" applyFont="1" applyBorder="1" applyAlignment="1" applyProtection="1">
      <alignment horizontal="center" vertical="center" wrapText="1"/>
      <protection hidden="1"/>
    </xf>
    <xf numFmtId="0" fontId="5" fillId="0" borderId="19"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7" fillId="0" borderId="17" xfId="0" applyFont="1" applyBorder="1" applyAlignment="1" applyProtection="1">
      <alignment horizontal="left"/>
      <protection hidden="1"/>
    </xf>
    <xf numFmtId="0" fontId="7" fillId="0" borderId="0" xfId="0" applyFont="1" applyAlignment="1" applyProtection="1">
      <alignment horizontal="left"/>
      <protection hidden="1"/>
    </xf>
    <xf numFmtId="0" fontId="121" fillId="3" borderId="19" xfId="0" applyFont="1" applyFill="1" applyBorder="1" applyAlignment="1" applyProtection="1">
      <alignment horizontal="center" vertical="center"/>
      <protection hidden="1"/>
    </xf>
    <xf numFmtId="0" fontId="121" fillId="3" borderId="13" xfId="0" applyFont="1" applyFill="1" applyBorder="1" applyAlignment="1" applyProtection="1">
      <alignment horizontal="center" vertical="center"/>
      <protection hidden="1"/>
    </xf>
    <xf numFmtId="0" fontId="121" fillId="3" borderId="9" xfId="0" applyFont="1" applyFill="1" applyBorder="1" applyAlignment="1" applyProtection="1">
      <alignment horizontal="center" vertical="center"/>
      <protection hidden="1"/>
    </xf>
    <xf numFmtId="0" fontId="14" fillId="0" borderId="28" xfId="0" applyFont="1" applyBorder="1" applyAlignment="1" applyProtection="1">
      <alignment horizontal="center"/>
      <protection hidden="1"/>
    </xf>
    <xf numFmtId="0" fontId="14" fillId="0" borderId="31" xfId="0" applyFont="1" applyBorder="1" applyAlignment="1" applyProtection="1">
      <alignment horizontal="center"/>
      <protection hidden="1"/>
    </xf>
    <xf numFmtId="0" fontId="14" fillId="0" borderId="29" xfId="0" applyFont="1" applyBorder="1" applyAlignment="1" applyProtection="1">
      <alignment horizontal="center"/>
      <protection hidden="1"/>
    </xf>
    <xf numFmtId="0" fontId="14" fillId="0" borderId="44" xfId="0" applyFont="1" applyBorder="1" applyAlignment="1" applyProtection="1">
      <alignment horizontal="center"/>
      <protection hidden="1"/>
    </xf>
    <xf numFmtId="0" fontId="14" fillId="0" borderId="3" xfId="0" applyFont="1" applyBorder="1" applyAlignment="1" applyProtection="1">
      <alignment horizontal="center" vertical="center"/>
      <protection hidden="1"/>
    </xf>
    <xf numFmtId="0" fontId="14" fillId="0" borderId="20" xfId="0" applyFont="1" applyBorder="1" applyAlignment="1" applyProtection="1">
      <alignment horizontal="center"/>
      <protection hidden="1"/>
    </xf>
    <xf numFmtId="0" fontId="14" fillId="0" borderId="15" xfId="0" applyFont="1" applyBorder="1" applyAlignment="1" applyProtection="1">
      <alignment horizontal="center"/>
      <protection hidden="1"/>
    </xf>
    <xf numFmtId="0" fontId="4" fillId="3" borderId="3" xfId="0" applyFont="1" applyFill="1" applyBorder="1" applyAlignment="1" applyProtection="1">
      <alignment horizontal="center"/>
      <protection hidden="1"/>
    </xf>
    <xf numFmtId="49" fontId="133" fillId="3" borderId="5" xfId="0" applyNumberFormat="1" applyFont="1" applyFill="1" applyBorder="1" applyAlignment="1" applyProtection="1">
      <alignment horizontal="center" vertical="center"/>
      <protection hidden="1"/>
    </xf>
    <xf numFmtId="49" fontId="133" fillId="3" borderId="8" xfId="0" applyNumberFormat="1" applyFont="1" applyFill="1" applyBorder="1" applyAlignment="1" applyProtection="1">
      <alignment horizontal="center" vertical="center"/>
      <protection hidden="1"/>
    </xf>
    <xf numFmtId="0" fontId="14" fillId="0" borderId="19"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9" xfId="0" applyFont="1" applyBorder="1" applyAlignment="1" applyProtection="1">
      <alignment horizontal="center" vertical="center" wrapText="1"/>
      <protection hidden="1"/>
    </xf>
    <xf numFmtId="0" fontId="121" fillId="3" borderId="5" xfId="0" applyFont="1" applyFill="1" applyBorder="1" applyAlignment="1" applyProtection="1">
      <alignment horizontal="center" vertical="center"/>
      <protection hidden="1"/>
    </xf>
    <xf numFmtId="0" fontId="121" fillId="3" borderId="2" xfId="0" applyFont="1" applyFill="1" applyBorder="1" applyAlignment="1" applyProtection="1">
      <alignment horizontal="center" vertical="center"/>
      <protection hidden="1"/>
    </xf>
    <xf numFmtId="0" fontId="121" fillId="3" borderId="8" xfId="0" applyFont="1" applyFill="1" applyBorder="1" applyAlignment="1" applyProtection="1">
      <alignment horizontal="center" vertical="center"/>
      <protection hidden="1"/>
    </xf>
    <xf numFmtId="0" fontId="121" fillId="2" borderId="5" xfId="0" applyFont="1" applyFill="1" applyBorder="1" applyAlignment="1" applyProtection="1">
      <alignment horizontal="left" vertical="center"/>
      <protection hidden="1"/>
    </xf>
    <xf numFmtId="0" fontId="121" fillId="2" borderId="2" xfId="0" applyFont="1" applyFill="1" applyBorder="1" applyAlignment="1" applyProtection="1">
      <alignment horizontal="left" vertical="center"/>
      <protection hidden="1"/>
    </xf>
    <xf numFmtId="0" fontId="121" fillId="2" borderId="8" xfId="0" applyFont="1" applyFill="1" applyBorder="1" applyAlignment="1" applyProtection="1">
      <alignment horizontal="left" vertical="center"/>
      <protection hidden="1"/>
    </xf>
    <xf numFmtId="0" fontId="121" fillId="3" borderId="5" xfId="0" applyFont="1" applyFill="1" applyBorder="1" applyAlignment="1" applyProtection="1">
      <alignment horizontal="center" vertical="center" wrapText="1"/>
      <protection hidden="1"/>
    </xf>
    <xf numFmtId="0" fontId="121" fillId="3" borderId="8" xfId="0" applyFont="1" applyFill="1" applyBorder="1" applyAlignment="1" applyProtection="1">
      <alignment horizontal="center" vertical="center" wrapText="1"/>
      <protection hidden="1"/>
    </xf>
    <xf numFmtId="250" fontId="121" fillId="2" borderId="5" xfId="0" applyNumberFormat="1" applyFont="1" applyFill="1" applyBorder="1" applyAlignment="1" applyProtection="1">
      <alignment horizontal="right" vertical="center"/>
      <protection hidden="1"/>
    </xf>
    <xf numFmtId="250" fontId="121" fillId="2" borderId="8" xfId="0" applyNumberFormat="1" applyFont="1" applyFill="1" applyBorder="1" applyAlignment="1" applyProtection="1">
      <alignment horizontal="right" vertical="center"/>
      <protection hidden="1"/>
    </xf>
    <xf numFmtId="0" fontId="121" fillId="3" borderId="42" xfId="0" applyFont="1" applyFill="1" applyBorder="1" applyAlignment="1" applyProtection="1">
      <alignment horizontal="center" vertical="center"/>
      <protection hidden="1"/>
    </xf>
    <xf numFmtId="0" fontId="121" fillId="3" borderId="27" xfId="0" applyFont="1" applyFill="1" applyBorder="1" applyAlignment="1" applyProtection="1">
      <alignment horizontal="center" vertical="center"/>
      <protection hidden="1"/>
    </xf>
    <xf numFmtId="0" fontId="121" fillId="3" borderId="35" xfId="0" applyFont="1" applyFill="1" applyBorder="1" applyAlignment="1" applyProtection="1">
      <alignment horizontal="center" vertical="center"/>
      <protection hidden="1"/>
    </xf>
    <xf numFmtId="0" fontId="121" fillId="3" borderId="45" xfId="0" applyFont="1" applyFill="1" applyBorder="1" applyAlignment="1" applyProtection="1">
      <alignment horizontal="center" vertical="center"/>
      <protection hidden="1"/>
    </xf>
    <xf numFmtId="0" fontId="121" fillId="3" borderId="21" xfId="0" applyFont="1" applyFill="1" applyBorder="1" applyAlignment="1" applyProtection="1">
      <alignment horizontal="center" vertical="center"/>
      <protection hidden="1"/>
    </xf>
    <xf numFmtId="0" fontId="121" fillId="3" borderId="46" xfId="0" applyFont="1" applyFill="1" applyBorder="1" applyAlignment="1" applyProtection="1">
      <alignment horizontal="center" vertical="center"/>
      <protection hidden="1"/>
    </xf>
    <xf numFmtId="0" fontId="121" fillId="3" borderId="19" xfId="0" applyFont="1" applyFill="1" applyBorder="1" applyAlignment="1" applyProtection="1">
      <alignment horizontal="center" vertical="center" wrapText="1"/>
      <protection hidden="1"/>
    </xf>
    <xf numFmtId="0" fontId="121" fillId="3" borderId="9" xfId="0" applyFont="1" applyFill="1" applyBorder="1" applyAlignment="1" applyProtection="1">
      <alignment horizontal="center" vertical="center" wrapText="1"/>
      <protection hidden="1"/>
    </xf>
    <xf numFmtId="0" fontId="4" fillId="3" borderId="5" xfId="0" applyFont="1" applyFill="1" applyBorder="1" applyAlignment="1" applyProtection="1">
      <alignment horizontal="center"/>
      <protection hidden="1"/>
    </xf>
    <xf numFmtId="0" fontId="4" fillId="3" borderId="8" xfId="0" applyFont="1" applyFill="1" applyBorder="1" applyAlignment="1" applyProtection="1">
      <alignment horizontal="center"/>
      <protection hidden="1"/>
    </xf>
    <xf numFmtId="0" fontId="133" fillId="0" borderId="5" xfId="0" applyFont="1" applyBorder="1" applyAlignment="1" applyProtection="1">
      <alignment horizontal="right" vertical="center"/>
      <protection hidden="1"/>
    </xf>
    <xf numFmtId="0" fontId="133" fillId="0" borderId="8" xfId="0" applyFont="1" applyBorder="1" applyAlignment="1" applyProtection="1">
      <alignment horizontal="right" vertical="center"/>
      <protection hidden="1"/>
    </xf>
    <xf numFmtId="0" fontId="133" fillId="3" borderId="5" xfId="0" applyFont="1" applyFill="1" applyBorder="1" applyAlignment="1" applyProtection="1">
      <alignment horizontal="center" vertical="center"/>
      <protection hidden="1"/>
    </xf>
    <xf numFmtId="0" fontId="133" fillId="3" borderId="8" xfId="0" applyFont="1" applyFill="1" applyBorder="1" applyAlignment="1" applyProtection="1">
      <alignment horizontal="center" vertical="center"/>
      <protection hidden="1"/>
    </xf>
    <xf numFmtId="0" fontId="133" fillId="3" borderId="3" xfId="0" applyFont="1" applyFill="1" applyBorder="1" applyAlignment="1" applyProtection="1">
      <alignment horizontal="center" vertical="center"/>
      <protection hidden="1"/>
    </xf>
    <xf numFmtId="49" fontId="7" fillId="0" borderId="3" xfId="0" quotePrefix="1" applyNumberFormat="1" applyFont="1" applyBorder="1" applyAlignment="1" applyProtection="1">
      <alignment horizontal="center" vertical="center"/>
      <protection hidden="1"/>
    </xf>
    <xf numFmtId="0" fontId="11" fillId="3" borderId="3" xfId="0" applyFont="1" applyFill="1" applyBorder="1" applyAlignment="1" applyProtection="1">
      <alignment horizontal="center" vertical="center"/>
      <protection hidden="1"/>
    </xf>
    <xf numFmtId="0" fontId="14" fillId="2" borderId="9" xfId="0" applyFont="1" applyFill="1" applyBorder="1" applyAlignment="1" applyProtection="1">
      <alignment horizontal="left" vertical="center"/>
      <protection hidden="1"/>
    </xf>
    <xf numFmtId="0" fontId="14" fillId="2" borderId="9" xfId="0" applyFont="1" applyFill="1" applyBorder="1" applyAlignment="1" applyProtection="1">
      <alignment horizontal="center" vertical="center"/>
      <protection hidden="1"/>
    </xf>
    <xf numFmtId="0" fontId="4" fillId="3" borderId="3" xfId="0" applyFont="1" applyFill="1" applyBorder="1" applyAlignment="1" applyProtection="1">
      <alignment horizontal="center" vertical="center"/>
      <protection hidden="1"/>
    </xf>
    <xf numFmtId="0" fontId="14" fillId="5" borderId="2" xfId="0" quotePrefix="1" applyFont="1" applyFill="1" applyBorder="1" applyAlignment="1" applyProtection="1">
      <alignment horizontal="left" vertical="center"/>
      <protection locked="0"/>
    </xf>
    <xf numFmtId="0" fontId="14" fillId="5" borderId="8" xfId="0" quotePrefix="1" applyFont="1" applyFill="1" applyBorder="1" applyAlignment="1" applyProtection="1">
      <alignment horizontal="left" vertical="center"/>
      <protection locked="0"/>
    </xf>
    <xf numFmtId="0" fontId="14" fillId="0" borderId="5" xfId="0" applyFont="1" applyBorder="1" applyAlignment="1" applyProtection="1">
      <alignment horizontal="left" vertical="center"/>
      <protection hidden="1"/>
    </xf>
    <xf numFmtId="0" fontId="14" fillId="0" borderId="2" xfId="0" applyFont="1" applyBorder="1" applyAlignment="1" applyProtection="1">
      <alignment horizontal="left" vertical="center"/>
      <protection hidden="1"/>
    </xf>
    <xf numFmtId="0" fontId="14" fillId="0" borderId="8" xfId="0" applyFont="1" applyBorder="1" applyAlignment="1" applyProtection="1">
      <alignment horizontal="left" vertical="center"/>
      <protection hidden="1"/>
    </xf>
    <xf numFmtId="0" fontId="4" fillId="5" borderId="5"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protection locked="0"/>
    </xf>
    <xf numFmtId="0" fontId="4" fillId="5" borderId="8" xfId="0" applyFont="1" applyFill="1" applyBorder="1" applyAlignment="1" applyProtection="1">
      <alignment horizontal="center" vertical="center"/>
      <protection locked="0"/>
    </xf>
    <xf numFmtId="0" fontId="14" fillId="5" borderId="5"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55" fillId="0" borderId="5" xfId="0" applyFont="1" applyBorder="1" applyAlignment="1" applyProtection="1">
      <alignment horizontal="left" vertical="center"/>
      <protection hidden="1"/>
    </xf>
    <xf numFmtId="0" fontId="155" fillId="0" borderId="2" xfId="0" applyFont="1" applyBorder="1" applyAlignment="1" applyProtection="1">
      <alignment horizontal="left" vertical="center"/>
      <protection hidden="1"/>
    </xf>
    <xf numFmtId="0" fontId="155" fillId="0" borderId="8" xfId="0" applyFont="1" applyBorder="1" applyAlignment="1" applyProtection="1">
      <alignment horizontal="left" vertical="center"/>
      <protection hidden="1"/>
    </xf>
    <xf numFmtId="0" fontId="133" fillId="0" borderId="5" xfId="0" applyFont="1" applyBorder="1" applyAlignment="1" applyProtection="1">
      <alignment horizontal="center" vertical="center"/>
      <protection hidden="1"/>
    </xf>
    <xf numFmtId="0" fontId="133" fillId="0" borderId="8" xfId="0" applyFont="1" applyBorder="1" applyAlignment="1" applyProtection="1">
      <alignment horizontal="center" vertical="center"/>
      <protection hidden="1"/>
    </xf>
    <xf numFmtId="0" fontId="121" fillId="0" borderId="42" xfId="0" applyFont="1" applyBorder="1" applyAlignment="1" applyProtection="1">
      <alignment horizontal="left" vertical="center"/>
      <protection hidden="1"/>
    </xf>
    <xf numFmtId="0" fontId="121" fillId="0" borderId="27" xfId="0" applyFont="1" applyBorder="1" applyAlignment="1" applyProtection="1">
      <alignment horizontal="left" vertical="center"/>
      <protection hidden="1"/>
    </xf>
    <xf numFmtId="0" fontId="121" fillId="0" borderId="35" xfId="0" applyFont="1" applyBorder="1" applyAlignment="1" applyProtection="1">
      <alignment horizontal="left" vertical="center"/>
      <protection hidden="1"/>
    </xf>
    <xf numFmtId="0" fontId="121" fillId="0" borderId="45" xfId="0" applyFont="1" applyBorder="1" applyAlignment="1" applyProtection="1">
      <alignment horizontal="left" vertical="center"/>
      <protection hidden="1"/>
    </xf>
    <xf numFmtId="0" fontId="121" fillId="0" borderId="21" xfId="0" applyFont="1" applyBorder="1" applyAlignment="1" applyProtection="1">
      <alignment horizontal="left" vertical="center"/>
      <protection hidden="1"/>
    </xf>
    <xf numFmtId="0" fontId="121" fillId="0" borderId="46" xfId="0" applyFont="1" applyBorder="1" applyAlignment="1" applyProtection="1">
      <alignment horizontal="left" vertical="center"/>
      <protection hidden="1"/>
    </xf>
    <xf numFmtId="0" fontId="14" fillId="0" borderId="3" xfId="0" applyFont="1" applyBorder="1" applyAlignment="1" applyProtection="1">
      <alignment horizontal="left" vertical="center"/>
      <protection hidden="1"/>
    </xf>
    <xf numFmtId="0" fontId="8" fillId="0" borderId="0" xfId="0" applyFont="1" applyAlignment="1" applyProtection="1">
      <alignment horizontal="left" vertical="center" wrapText="1"/>
      <protection hidden="1"/>
    </xf>
    <xf numFmtId="0" fontId="133" fillId="3" borderId="19" xfId="0" applyFont="1" applyFill="1" applyBorder="1" applyAlignment="1" applyProtection="1">
      <alignment horizontal="center" vertical="center" wrapText="1"/>
      <protection hidden="1"/>
    </xf>
    <xf numFmtId="0" fontId="133" fillId="3" borderId="9" xfId="0" applyFont="1" applyFill="1" applyBorder="1" applyAlignment="1" applyProtection="1">
      <alignment horizontal="center" vertical="center"/>
      <protection hidden="1"/>
    </xf>
    <xf numFmtId="0" fontId="133" fillId="3" borderId="5" xfId="0" applyFont="1" applyFill="1" applyBorder="1" applyAlignment="1" applyProtection="1">
      <alignment horizontal="center" vertical="center" wrapText="1"/>
      <protection hidden="1"/>
    </xf>
    <xf numFmtId="0" fontId="14" fillId="2" borderId="19" xfId="0" applyFont="1" applyFill="1" applyBorder="1" applyAlignment="1" applyProtection="1">
      <alignment horizontal="left" vertical="center"/>
      <protection hidden="1"/>
    </xf>
    <xf numFmtId="0" fontId="4" fillId="3" borderId="5" xfId="0" applyFont="1" applyFill="1" applyBorder="1" applyAlignment="1" applyProtection="1">
      <alignment horizontal="center" vertical="center"/>
      <protection hidden="1"/>
    </xf>
    <xf numFmtId="0" fontId="4" fillId="3" borderId="2" xfId="0" applyFont="1" applyFill="1" applyBorder="1" applyAlignment="1" applyProtection="1">
      <alignment horizontal="center" vertical="center"/>
      <protection hidden="1"/>
    </xf>
    <xf numFmtId="0" fontId="4" fillId="3" borderId="8" xfId="0" applyFont="1" applyFill="1" applyBorder="1" applyAlignment="1" applyProtection="1">
      <alignment horizontal="center" vertical="center"/>
      <protection hidden="1"/>
    </xf>
    <xf numFmtId="0" fontId="121" fillId="0" borderId="0" xfId="0" applyFont="1" applyAlignment="1" applyProtection="1">
      <alignment horizontal="center" vertical="center" wrapText="1"/>
      <protection hidden="1"/>
    </xf>
    <xf numFmtId="0" fontId="11" fillId="0" borderId="19" xfId="0" applyFont="1" applyBorder="1" applyAlignment="1">
      <alignment horizontal="center" vertical="center"/>
    </xf>
    <xf numFmtId="0" fontId="11" fillId="0" borderId="11" xfId="0" applyFont="1" applyBorder="1" applyAlignment="1">
      <alignment horizontal="center" vertical="center"/>
    </xf>
    <xf numFmtId="9" fontId="7" fillId="0" borderId="0" xfId="0" applyNumberFormat="1" applyFont="1" applyAlignment="1">
      <alignment horizontal="left" vertical="center"/>
    </xf>
    <xf numFmtId="0" fontId="7" fillId="0" borderId="27" xfId="0" applyFont="1" applyBorder="1" applyAlignment="1">
      <alignment horizontal="center" vertical="center"/>
    </xf>
    <xf numFmtId="0" fontId="7" fillId="0" borderId="0" xfId="0" applyFont="1" applyAlignment="1">
      <alignment horizontal="right" vertical="center"/>
    </xf>
    <xf numFmtId="0" fontId="7" fillId="0" borderId="0" xfId="0" applyFont="1" applyAlignment="1">
      <alignment horizontal="center" vertical="center"/>
    </xf>
    <xf numFmtId="227" fontId="7" fillId="0" borderId="21" xfId="0" applyNumberFormat="1" applyFont="1" applyBorder="1" applyAlignment="1">
      <alignment horizontal="center" vertical="center"/>
    </xf>
    <xf numFmtId="9" fontId="7" fillId="0" borderId="0" xfId="0" applyNumberFormat="1" applyFont="1" applyAlignment="1">
      <alignment horizontal="center" vertical="center"/>
    </xf>
    <xf numFmtId="0" fontId="7" fillId="0" borderId="0" xfId="0" applyFont="1" applyAlignment="1">
      <alignment horizontal="left" vertical="center"/>
    </xf>
    <xf numFmtId="0" fontId="7" fillId="0" borderId="21" xfId="0" applyFont="1" applyBorder="1" applyAlignment="1">
      <alignment horizontal="center" vertical="center"/>
    </xf>
    <xf numFmtId="227" fontId="7" fillId="0" borderId="0" xfId="0" applyNumberFormat="1" applyFont="1" applyAlignment="1">
      <alignment horizontal="right" vertical="center"/>
    </xf>
    <xf numFmtId="244" fontId="7" fillId="0" borderId="21" xfId="0" applyNumberFormat="1" applyFont="1" applyBorder="1" applyAlignment="1">
      <alignment horizontal="center" vertical="center"/>
    </xf>
    <xf numFmtId="259" fontId="7" fillId="0" borderId="0" xfId="0" applyNumberFormat="1" applyFont="1" applyAlignment="1">
      <alignment horizontal="center" vertical="center"/>
    </xf>
    <xf numFmtId="227" fontId="7" fillId="0" borderId="0" xfId="0" applyNumberFormat="1" applyFont="1" applyAlignment="1">
      <alignment horizontal="left" vertical="center"/>
    </xf>
    <xf numFmtId="244" fontId="7" fillId="0" borderId="27" xfId="0" applyNumberFormat="1" applyFont="1" applyBorder="1" applyAlignment="1">
      <alignment horizontal="center" vertical="center"/>
    </xf>
    <xf numFmtId="244" fontId="7" fillId="0" borderId="0" xfId="0" applyNumberFormat="1" applyFont="1" applyAlignment="1">
      <alignment horizontal="right" vertical="center"/>
    </xf>
    <xf numFmtId="259" fontId="7" fillId="0" borderId="0" xfId="0" applyNumberFormat="1" applyFont="1" applyAlignment="1">
      <alignment horizontal="right" vertical="center"/>
    </xf>
    <xf numFmtId="1" fontId="7" fillId="0" borderId="0" xfId="0" applyNumberFormat="1" applyFont="1" applyAlignment="1">
      <alignment horizontal="right" vertical="center"/>
    </xf>
    <xf numFmtId="244" fontId="7" fillId="0" borderId="0" xfId="0" applyNumberFormat="1" applyFont="1" applyAlignment="1">
      <alignment horizontal="left" vertical="center"/>
    </xf>
    <xf numFmtId="0" fontId="9" fillId="0" borderId="0" xfId="0" applyFont="1" applyAlignment="1">
      <alignment horizontal="center" vertical="center"/>
    </xf>
    <xf numFmtId="4" fontId="136" fillId="0" borderId="0" xfId="0" applyNumberFormat="1" applyFont="1" applyAlignment="1">
      <alignment horizontal="center" vertical="center"/>
    </xf>
    <xf numFmtId="244" fontId="136" fillId="0" borderId="0" xfId="0" applyNumberFormat="1" applyFont="1" applyAlignment="1">
      <alignment horizontal="left" vertical="center"/>
    </xf>
    <xf numFmtId="0" fontId="136" fillId="0" borderId="27" xfId="0" applyFont="1" applyBorder="1" applyAlignment="1">
      <alignment horizontal="center" vertical="center"/>
    </xf>
    <xf numFmtId="202" fontId="136" fillId="0" borderId="0" xfId="0" applyNumberFormat="1" applyFont="1" applyAlignment="1">
      <alignment horizontal="center" vertical="center"/>
    </xf>
    <xf numFmtId="0" fontId="136" fillId="0" borderId="0" xfId="0" quotePrefix="1" applyFont="1" applyAlignment="1">
      <alignment horizontal="center" vertical="center"/>
    </xf>
    <xf numFmtId="0" fontId="136" fillId="0" borderId="0" xfId="0" applyFont="1" applyAlignment="1">
      <alignment horizontal="center" vertical="center"/>
    </xf>
    <xf numFmtId="4" fontId="136" fillId="0" borderId="21" xfId="0" applyNumberFormat="1" applyFont="1" applyBorder="1" applyAlignment="1">
      <alignment horizontal="center" vertical="center"/>
    </xf>
    <xf numFmtId="202" fontId="136" fillId="0" borderId="21" xfId="0" applyNumberFormat="1" applyFont="1" applyBorder="1" applyAlignment="1">
      <alignment horizontal="center" vertical="center"/>
    </xf>
    <xf numFmtId="244" fontId="136" fillId="0" borderId="0" xfId="0" applyNumberFormat="1" applyFont="1" applyAlignment="1">
      <alignment horizontal="center" vertical="center"/>
    </xf>
    <xf numFmtId="244" fontId="136" fillId="0" borderId="0" xfId="0" quotePrefix="1" applyNumberFormat="1" applyFont="1" applyAlignment="1">
      <alignment horizontal="center" vertical="center"/>
    </xf>
    <xf numFmtId="0" fontId="136" fillId="0" borderId="21" xfId="0" applyFont="1" applyBorder="1" applyAlignment="1">
      <alignment horizontal="center" vertical="center"/>
    </xf>
    <xf numFmtId="227" fontId="136" fillId="0" borderId="0" xfId="0" quotePrefix="1" applyNumberFormat="1" applyFont="1" applyAlignment="1">
      <alignment horizontal="center" vertical="center"/>
    </xf>
    <xf numFmtId="284" fontId="7" fillId="0" borderId="0" xfId="0" applyNumberFormat="1" applyFont="1" applyAlignment="1">
      <alignment horizontal="center" vertical="center"/>
    </xf>
    <xf numFmtId="285" fontId="7" fillId="0" borderId="0" xfId="0" applyNumberFormat="1" applyFont="1" applyAlignment="1">
      <alignment horizontal="left" vertical="center"/>
    </xf>
    <xf numFmtId="283" fontId="7" fillId="0" borderId="0" xfId="0" applyNumberFormat="1" applyFont="1" applyAlignment="1">
      <alignment horizontal="center" vertical="center"/>
    </xf>
    <xf numFmtId="284" fontId="7" fillId="0" borderId="0" xfId="0" applyNumberFormat="1" applyFont="1" applyAlignment="1">
      <alignment horizontal="left" vertical="center"/>
    </xf>
    <xf numFmtId="4" fontId="7" fillId="0" borderId="0" xfId="0" applyNumberFormat="1" applyFont="1" applyAlignment="1">
      <alignment horizontal="right" vertical="center"/>
    </xf>
    <xf numFmtId="282" fontId="7" fillId="0" borderId="0" xfId="0" applyNumberFormat="1" applyFont="1" applyAlignment="1">
      <alignment horizontal="left" vertical="center"/>
    </xf>
    <xf numFmtId="4" fontId="7" fillId="0" borderId="21" xfId="0" applyNumberFormat="1" applyFont="1" applyBorder="1" applyAlignment="1">
      <alignment horizontal="center" vertical="center"/>
    </xf>
    <xf numFmtId="0" fontId="7" fillId="0" borderId="0" xfId="0" quotePrefix="1" applyFont="1" applyAlignment="1">
      <alignment horizontal="center" vertical="center"/>
    </xf>
    <xf numFmtId="0" fontId="7" fillId="0" borderId="21" xfId="0" quotePrefix="1" applyFont="1" applyBorder="1" applyAlignment="1">
      <alignment horizontal="center" vertical="center"/>
    </xf>
    <xf numFmtId="284" fontId="7" fillId="0" borderId="0" xfId="0" applyNumberFormat="1" applyFont="1" applyAlignment="1">
      <alignment horizontal="right" vertical="center"/>
    </xf>
    <xf numFmtId="4" fontId="7" fillId="0" borderId="21" xfId="0" applyNumberFormat="1" applyFont="1" applyBorder="1" applyAlignment="1">
      <alignment horizontal="right" vertical="center"/>
    </xf>
    <xf numFmtId="273" fontId="7" fillId="0" borderId="0" xfId="0" applyNumberFormat="1" applyFont="1" applyAlignment="1">
      <alignment horizontal="center" vertical="center"/>
    </xf>
    <xf numFmtId="277" fontId="7" fillId="0" borderId="0" xfId="0" applyNumberFormat="1" applyFont="1" applyAlignment="1">
      <alignment horizontal="left" vertical="center"/>
    </xf>
    <xf numFmtId="287" fontId="7" fillId="0" borderId="0" xfId="0" applyNumberFormat="1" applyFont="1" applyAlignment="1">
      <alignment horizontal="left" vertical="center"/>
    </xf>
    <xf numFmtId="280" fontId="7" fillId="0" borderId="0" xfId="0" applyNumberFormat="1" applyFont="1" applyAlignment="1">
      <alignment horizontal="left" vertical="center"/>
    </xf>
    <xf numFmtId="273" fontId="7" fillId="0" borderId="0" xfId="0" quotePrefix="1" applyNumberFormat="1" applyFont="1" applyAlignment="1">
      <alignment horizontal="center" vertical="center"/>
    </xf>
    <xf numFmtId="0" fontId="7" fillId="0" borderId="0" xfId="0" quotePrefix="1" applyFont="1" applyAlignment="1">
      <alignment horizontal="right" vertical="center"/>
    </xf>
    <xf numFmtId="2" fontId="7" fillId="0" borderId="0" xfId="0" applyNumberFormat="1" applyFont="1" applyAlignment="1">
      <alignment horizontal="left" vertical="center"/>
    </xf>
    <xf numFmtId="244" fontId="7" fillId="0" borderId="0" xfId="667" quotePrefix="1" applyNumberFormat="1" applyFont="1" applyFill="1" applyAlignment="1">
      <alignment horizontal="right" vertical="center"/>
    </xf>
    <xf numFmtId="244" fontId="7" fillId="0" borderId="0" xfId="667" applyNumberFormat="1" applyFont="1" applyFill="1" applyAlignment="1">
      <alignment horizontal="right" vertical="center"/>
    </xf>
    <xf numFmtId="1" fontId="7" fillId="0" borderId="0" xfId="0" quotePrefix="1" applyNumberFormat="1" applyFont="1" applyAlignment="1">
      <alignment horizontal="center" vertical="center"/>
    </xf>
    <xf numFmtId="0" fontId="7" fillId="0" borderId="0" xfId="0" applyFont="1" applyAlignment="1">
      <alignment horizontal="center"/>
    </xf>
    <xf numFmtId="0" fontId="7" fillId="0" borderId="21" xfId="0" applyFont="1" applyBorder="1" applyAlignment="1">
      <alignment horizontal="center"/>
    </xf>
    <xf numFmtId="275" fontId="7" fillId="0" borderId="0" xfId="0" applyNumberFormat="1" applyFont="1" applyAlignment="1">
      <alignment horizontal="right" vertical="center"/>
    </xf>
    <xf numFmtId="275" fontId="7" fillId="0" borderId="0" xfId="0" applyNumberFormat="1" applyFont="1" applyAlignment="1">
      <alignment horizontal="left" vertical="center"/>
    </xf>
    <xf numFmtId="0" fontId="7" fillId="0" borderId="0" xfId="0" applyFont="1" applyAlignment="1">
      <alignment horizontal="right"/>
    </xf>
    <xf numFmtId="0" fontId="7" fillId="0" borderId="21" xfId="0" applyFont="1" applyBorder="1" applyAlignment="1">
      <alignment horizontal="right"/>
    </xf>
    <xf numFmtId="0" fontId="7" fillId="0" borderId="27" xfId="0" applyFont="1" applyBorder="1" applyAlignment="1">
      <alignment horizontal="center" vertical="top"/>
    </xf>
    <xf numFmtId="4" fontId="7" fillId="0" borderId="0" xfId="0" applyNumberFormat="1" applyFont="1" applyAlignment="1">
      <alignment horizontal="left" vertical="center"/>
    </xf>
    <xf numFmtId="276" fontId="7" fillId="0" borderId="0" xfId="0" applyNumberFormat="1" applyFont="1" applyAlignment="1">
      <alignment horizontal="left" vertical="center"/>
    </xf>
    <xf numFmtId="4" fontId="7" fillId="0" borderId="0" xfId="0" applyNumberFormat="1" applyFont="1" applyAlignment="1">
      <alignment horizontal="center" vertical="center"/>
    </xf>
    <xf numFmtId="4" fontId="7" fillId="0" borderId="0" xfId="0" quotePrefix="1" applyNumberFormat="1" applyFont="1" applyAlignment="1">
      <alignment horizontal="left" vertical="center"/>
    </xf>
    <xf numFmtId="4" fontId="7" fillId="0" borderId="27" xfId="0" applyNumberFormat="1" applyFont="1" applyBorder="1" applyAlignment="1">
      <alignment horizontal="right" vertical="center"/>
    </xf>
    <xf numFmtId="3" fontId="7" fillId="0" borderId="27" xfId="0" applyNumberFormat="1" applyFont="1" applyBorder="1" applyAlignment="1">
      <alignment horizontal="center" vertical="center"/>
    </xf>
    <xf numFmtId="3" fontId="7" fillId="0" borderId="0" xfId="0" applyNumberFormat="1" applyFont="1" applyAlignment="1">
      <alignment horizontal="center" vertical="center"/>
    </xf>
    <xf numFmtId="4" fontId="7" fillId="0" borderId="27" xfId="0" applyNumberFormat="1" applyFont="1" applyBorder="1" applyAlignment="1">
      <alignment horizontal="center" vertical="center"/>
    </xf>
    <xf numFmtId="0" fontId="10" fillId="0" borderId="27" xfId="0" applyFont="1" applyBorder="1"/>
    <xf numFmtId="0" fontId="10" fillId="0" borderId="0" xfId="0" applyFont="1"/>
    <xf numFmtId="202" fontId="7" fillId="0" borderId="0" xfId="0" applyNumberFormat="1" applyFont="1" applyAlignment="1">
      <alignment horizontal="right" vertical="center"/>
    </xf>
    <xf numFmtId="202" fontId="7" fillId="0" borderId="21" xfId="0" applyNumberFormat="1" applyFont="1" applyBorder="1" applyAlignment="1">
      <alignment horizontal="right" vertical="center"/>
    </xf>
    <xf numFmtId="279" fontId="7" fillId="0" borderId="0" xfId="0" applyNumberFormat="1" applyFont="1" applyAlignment="1">
      <alignment horizontal="right" vertical="center"/>
    </xf>
    <xf numFmtId="279" fontId="7" fillId="0" borderId="21" xfId="0" applyNumberFormat="1" applyFont="1" applyBorder="1" applyAlignment="1">
      <alignment horizontal="right" vertical="center"/>
    </xf>
    <xf numFmtId="3" fontId="7" fillId="0" borderId="21" xfId="0" applyNumberFormat="1" applyFont="1" applyBorder="1" applyAlignment="1">
      <alignment horizontal="center" vertical="center"/>
    </xf>
    <xf numFmtId="2" fontId="7" fillId="0" borderId="0" xfId="0" applyNumberFormat="1" applyFont="1" applyAlignment="1">
      <alignment horizontal="right" vertical="center"/>
    </xf>
    <xf numFmtId="254" fontId="7" fillId="0" borderId="27" xfId="0" applyNumberFormat="1" applyFont="1" applyBorder="1" applyAlignment="1">
      <alignment horizontal="center" vertical="center"/>
    </xf>
    <xf numFmtId="0" fontId="0" fillId="0" borderId="27" xfId="0" applyBorder="1"/>
    <xf numFmtId="0" fontId="0" fillId="0" borderId="21" xfId="0" applyBorder="1"/>
    <xf numFmtId="4" fontId="7" fillId="0" borderId="0" xfId="0" quotePrefix="1" applyNumberFormat="1" applyFont="1" applyAlignment="1">
      <alignment horizontal="right" vertical="center"/>
    </xf>
    <xf numFmtId="0" fontId="0" fillId="0" borderId="0" xfId="0"/>
    <xf numFmtId="0" fontId="7" fillId="0" borderId="27" xfId="0" quotePrefix="1" applyFont="1" applyBorder="1" applyAlignment="1">
      <alignment horizontal="right" vertical="center"/>
    </xf>
    <xf numFmtId="0" fontId="7" fillId="0" borderId="21" xfId="0" quotePrefix="1" applyFont="1" applyBorder="1" applyAlignment="1">
      <alignment horizontal="right" vertical="center"/>
    </xf>
    <xf numFmtId="4" fontId="7" fillId="0" borderId="21" xfId="0" applyNumberFormat="1" applyFont="1" applyBorder="1" applyAlignment="1">
      <alignment horizontal="left" vertical="center"/>
    </xf>
    <xf numFmtId="202" fontId="7" fillId="0" borderId="27" xfId="0" applyNumberFormat="1" applyFont="1" applyBorder="1" applyAlignment="1">
      <alignment horizontal="center" vertical="center"/>
    </xf>
    <xf numFmtId="202" fontId="7" fillId="0" borderId="0" xfId="0" applyNumberFormat="1" applyFont="1" applyAlignment="1">
      <alignment horizontal="center" vertical="center"/>
    </xf>
    <xf numFmtId="4" fontId="7" fillId="0" borderId="27" xfId="0" applyNumberFormat="1" applyFont="1" applyBorder="1" applyAlignment="1">
      <alignment horizontal="left" vertical="center"/>
    </xf>
    <xf numFmtId="254" fontId="136" fillId="0" borderId="0" xfId="0" applyNumberFormat="1" applyFont="1" applyAlignment="1">
      <alignment horizontal="right" vertical="center"/>
    </xf>
    <xf numFmtId="278" fontId="136" fillId="0" borderId="0" xfId="0" applyNumberFormat="1" applyFont="1" applyAlignment="1">
      <alignment horizontal="left" vertical="center"/>
    </xf>
    <xf numFmtId="254" fontId="7" fillId="0" borderId="0" xfId="0" applyNumberFormat="1" applyFont="1" applyAlignment="1">
      <alignment horizontal="right" vertical="center"/>
    </xf>
    <xf numFmtId="0" fontId="136" fillId="0" borderId="21" xfId="0" quotePrefix="1" applyFont="1" applyBorder="1" applyAlignment="1">
      <alignment horizontal="right" vertical="center"/>
    </xf>
    <xf numFmtId="202" fontId="7" fillId="0" borderId="21" xfId="0" applyNumberFormat="1" applyFont="1" applyBorder="1" applyAlignment="1">
      <alignment horizontal="center" vertical="center"/>
    </xf>
    <xf numFmtId="0" fontId="7" fillId="0" borderId="21" xfId="0" applyFont="1" applyBorder="1" applyAlignment="1">
      <alignment horizontal="right" vertical="center"/>
    </xf>
    <xf numFmtId="244" fontId="7" fillId="0" borderId="27" xfId="0" applyNumberFormat="1" applyFont="1" applyBorder="1" applyAlignment="1">
      <alignment horizontal="right" vertical="center"/>
    </xf>
    <xf numFmtId="244" fontId="7" fillId="0" borderId="27" xfId="0" applyNumberFormat="1" applyFont="1" applyBorder="1" applyAlignment="1">
      <alignment horizontal="left" vertical="center"/>
    </xf>
    <xf numFmtId="0" fontId="7" fillId="0" borderId="27" xfId="0" quotePrefix="1" applyFont="1" applyBorder="1" applyAlignment="1">
      <alignment horizontal="center" vertical="center"/>
    </xf>
    <xf numFmtId="0" fontId="112" fillId="0" borderId="0" xfId="0" applyFont="1" applyAlignment="1">
      <alignment horizontal="center" vertical="center"/>
    </xf>
    <xf numFmtId="245" fontId="8" fillId="0" borderId="0" xfId="0" applyNumberFormat="1" applyFont="1" applyAlignment="1">
      <alignment horizontal="left" vertical="center" wrapText="1"/>
    </xf>
    <xf numFmtId="0" fontId="8" fillId="0" borderId="0" xfId="0" applyFont="1" applyAlignment="1">
      <alignment horizontal="right" vertical="center" wrapText="1"/>
    </xf>
    <xf numFmtId="261" fontId="7" fillId="0" borderId="0" xfId="0" applyNumberFormat="1" applyFont="1" applyAlignment="1">
      <alignment horizontal="left" vertical="center"/>
    </xf>
    <xf numFmtId="263" fontId="7" fillId="0" borderId="0" xfId="0" applyNumberFormat="1" applyFont="1" applyAlignment="1">
      <alignment horizontal="left" vertical="center"/>
    </xf>
    <xf numFmtId="265" fontId="7" fillId="0" borderId="0" xfId="0" applyNumberFormat="1" applyFont="1" applyAlignment="1">
      <alignment horizontal="left" vertical="center"/>
    </xf>
    <xf numFmtId="0" fontId="7" fillId="0" borderId="0" xfId="0" quotePrefix="1" applyFont="1" applyAlignment="1">
      <alignment horizontal="left" vertical="center"/>
    </xf>
    <xf numFmtId="267" fontId="7" fillId="0" borderId="0" xfId="0" quotePrefix="1" applyNumberFormat="1" applyFont="1" applyAlignment="1">
      <alignment horizontal="left" vertical="center"/>
    </xf>
    <xf numFmtId="2" fontId="7" fillId="0" borderId="21" xfId="0" applyNumberFormat="1" applyFont="1" applyBorder="1" applyAlignment="1">
      <alignment horizontal="center"/>
    </xf>
    <xf numFmtId="49" fontId="7" fillId="0" borderId="0" xfId="0" applyNumberFormat="1" applyFont="1" applyAlignment="1">
      <alignment horizontal="right" vertical="center"/>
    </xf>
    <xf numFmtId="49" fontId="7" fillId="0" borderId="0" xfId="0" quotePrefix="1" applyNumberFormat="1" applyFont="1" applyAlignment="1">
      <alignment horizontal="right" vertical="center"/>
    </xf>
    <xf numFmtId="3" fontId="7" fillId="0" borderId="0" xfId="0" applyNumberFormat="1" applyFont="1" applyAlignment="1">
      <alignment horizontal="right" vertical="center"/>
    </xf>
    <xf numFmtId="262" fontId="7" fillId="0" borderId="21" xfId="0" applyNumberFormat="1" applyFont="1" applyBorder="1" applyAlignment="1">
      <alignment horizontal="center" vertical="center"/>
    </xf>
    <xf numFmtId="257" fontId="7" fillId="0" borderId="21" xfId="0" applyNumberFormat="1" applyFont="1" applyBorder="1" applyAlignment="1">
      <alignment horizontal="center"/>
    </xf>
    <xf numFmtId="251" fontId="7" fillId="0" borderId="0" xfId="0" applyNumberFormat="1" applyFont="1" applyAlignment="1">
      <alignment horizontal="left" vertical="center"/>
    </xf>
    <xf numFmtId="253" fontId="7" fillId="0" borderId="0" xfId="0" applyNumberFormat="1" applyFont="1" applyAlignment="1">
      <alignment horizontal="left" vertical="center"/>
    </xf>
    <xf numFmtId="2" fontId="7" fillId="0" borderId="21" xfId="0" applyNumberFormat="1" applyFont="1" applyBorder="1" applyAlignment="1">
      <alignment horizontal="center" vertical="center"/>
    </xf>
    <xf numFmtId="269" fontId="7" fillId="0" borderId="0" xfId="0" applyNumberFormat="1" applyFont="1" applyAlignment="1">
      <alignment horizontal="right" vertical="center"/>
    </xf>
    <xf numFmtId="257" fontId="7" fillId="0" borderId="0" xfId="0" applyNumberFormat="1" applyFont="1" applyAlignment="1">
      <alignment horizontal="right"/>
    </xf>
    <xf numFmtId="257" fontId="10" fillId="0" borderId="0" xfId="0" applyNumberFormat="1" applyFont="1"/>
    <xf numFmtId="257" fontId="10" fillId="0" borderId="21" xfId="0" applyNumberFormat="1" applyFont="1" applyBorder="1"/>
    <xf numFmtId="4" fontId="7" fillId="0" borderId="0" xfId="0" applyNumberFormat="1" applyFont="1" applyAlignment="1">
      <alignment horizontal="right"/>
    </xf>
    <xf numFmtId="4" fontId="7" fillId="0" borderId="21" xfId="0" applyNumberFormat="1" applyFont="1" applyBorder="1" applyAlignment="1">
      <alignment horizontal="right"/>
    </xf>
    <xf numFmtId="258" fontId="7" fillId="0" borderId="0" xfId="0" applyNumberFormat="1" applyFont="1" applyAlignment="1">
      <alignment horizontal="left" vertical="center"/>
    </xf>
    <xf numFmtId="49" fontId="7" fillId="0" borderId="0" xfId="0" applyNumberFormat="1" applyFont="1" applyAlignment="1">
      <alignment horizontal="center" vertical="center"/>
    </xf>
    <xf numFmtId="3" fontId="7" fillId="0" borderId="0" xfId="0" quotePrefix="1" applyNumberFormat="1" applyFont="1" applyAlignment="1">
      <alignment horizontal="right" vertical="center"/>
    </xf>
    <xf numFmtId="0" fontId="8" fillId="0" borderId="0" xfId="0" applyFont="1" applyAlignment="1">
      <alignment horizontal="center" vertical="center"/>
    </xf>
    <xf numFmtId="262" fontId="7" fillId="0" borderId="0" xfId="0" applyNumberFormat="1" applyFont="1" applyAlignment="1">
      <alignment horizontal="left" vertical="center"/>
    </xf>
    <xf numFmtId="266" fontId="7" fillId="0" borderId="0" xfId="0" applyNumberFormat="1" applyFont="1" applyAlignment="1">
      <alignment horizontal="left" vertical="center"/>
    </xf>
    <xf numFmtId="2" fontId="7" fillId="0" borderId="0" xfId="0" quotePrefix="1" applyNumberFormat="1" applyFont="1" applyAlignment="1">
      <alignment horizontal="right" vertical="center"/>
    </xf>
    <xf numFmtId="255" fontId="7" fillId="0" borderId="0" xfId="0" applyNumberFormat="1" applyFont="1" applyAlignment="1">
      <alignment horizontal="left" vertical="center"/>
    </xf>
    <xf numFmtId="252" fontId="7" fillId="0" borderId="0" xfId="0" applyNumberFormat="1" applyFont="1" applyAlignment="1">
      <alignment horizontal="left" vertical="center"/>
    </xf>
    <xf numFmtId="269" fontId="7" fillId="0" borderId="0" xfId="0" quotePrefix="1" applyNumberFormat="1" applyFont="1" applyAlignment="1">
      <alignment horizontal="left" vertical="center"/>
    </xf>
    <xf numFmtId="0" fontId="7" fillId="0" borderId="27" xfId="0" applyFont="1" applyBorder="1" applyAlignment="1">
      <alignment horizontal="right" vertical="center"/>
    </xf>
    <xf numFmtId="257" fontId="7" fillId="0" borderId="0" xfId="0" applyNumberFormat="1" applyFont="1" applyAlignment="1">
      <alignment horizontal="right" vertical="center"/>
    </xf>
    <xf numFmtId="257" fontId="7" fillId="0" borderId="0" xfId="0" quotePrefix="1" applyNumberFormat="1" applyFont="1" applyAlignment="1">
      <alignment horizontal="right" vertical="center"/>
    </xf>
    <xf numFmtId="260" fontId="7" fillId="0" borderId="0" xfId="0" applyNumberFormat="1" applyFont="1" applyAlignment="1">
      <alignment horizontal="left" vertical="center"/>
    </xf>
    <xf numFmtId="267" fontId="7" fillId="0" borderId="0" xfId="0" applyNumberFormat="1" applyFont="1" applyAlignment="1">
      <alignment horizontal="left" vertical="center"/>
    </xf>
    <xf numFmtId="3" fontId="7" fillId="0" borderId="21" xfId="0" applyNumberFormat="1" applyFont="1" applyBorder="1" applyAlignment="1">
      <alignment horizontal="center"/>
    </xf>
    <xf numFmtId="262" fontId="7" fillId="0" borderId="0" xfId="0" quotePrefix="1" applyNumberFormat="1" applyFont="1" applyAlignment="1">
      <alignment horizontal="left" vertical="center"/>
    </xf>
    <xf numFmtId="268" fontId="7" fillId="0" borderId="0" xfId="0" applyNumberFormat="1" applyFont="1" applyAlignment="1">
      <alignment horizontal="right" vertical="center"/>
    </xf>
    <xf numFmtId="268" fontId="7" fillId="0" borderId="0" xfId="0" quotePrefix="1" applyNumberFormat="1" applyFont="1" applyAlignment="1">
      <alignment horizontal="right" vertical="center"/>
    </xf>
    <xf numFmtId="4" fontId="7" fillId="0" borderId="27" xfId="0" applyNumberFormat="1" applyFont="1" applyBorder="1" applyAlignment="1">
      <alignment horizontal="center" vertical="top"/>
    </xf>
    <xf numFmtId="264" fontId="7" fillId="0" borderId="0" xfId="0" applyNumberFormat="1" applyFont="1" applyAlignment="1">
      <alignment horizontal="left" vertical="center"/>
    </xf>
    <xf numFmtId="244" fontId="7" fillId="0" borderId="0" xfId="0" applyNumberFormat="1" applyFont="1" applyAlignment="1">
      <alignment horizontal="right"/>
    </xf>
    <xf numFmtId="244" fontId="7" fillId="0" borderId="21" xfId="0" applyNumberFormat="1" applyFont="1" applyBorder="1" applyAlignment="1">
      <alignment horizontal="right"/>
    </xf>
    <xf numFmtId="270" fontId="7" fillId="0" borderId="0" xfId="0" applyNumberFormat="1" applyFont="1" applyAlignment="1">
      <alignment horizontal="left" vertical="center"/>
    </xf>
    <xf numFmtId="0" fontId="22" fillId="3" borderId="0" xfId="0" applyFont="1" applyFill="1" applyAlignment="1" applyProtection="1">
      <alignment horizontal="center"/>
      <protection hidden="1"/>
    </xf>
    <xf numFmtId="0" fontId="99" fillId="0" borderId="0" xfId="0" applyFont="1" applyAlignment="1" applyProtection="1">
      <alignment horizontal="center"/>
      <protection hidden="1"/>
    </xf>
    <xf numFmtId="0" fontId="91" fillId="0" borderId="0" xfId="0" applyFont="1" applyAlignment="1" applyProtection="1">
      <alignment horizontal="center"/>
      <protection hidden="1"/>
    </xf>
    <xf numFmtId="0" fontId="73" fillId="0" borderId="0" xfId="0" applyFont="1" applyAlignment="1">
      <alignment horizontal="center"/>
    </xf>
    <xf numFmtId="0" fontId="73" fillId="0" borderId="0" xfId="0" applyFont="1" applyAlignment="1" applyProtection="1">
      <alignment horizontal="center"/>
      <protection hidden="1"/>
    </xf>
    <xf numFmtId="0" fontId="14" fillId="0" borderId="0" xfId="0" applyFont="1" applyAlignment="1" applyProtection="1">
      <alignment horizontal="center"/>
      <protection hidden="1"/>
    </xf>
    <xf numFmtId="0" fontId="9" fillId="0" borderId="0" xfId="0" applyFont="1" applyAlignment="1" applyProtection="1">
      <alignment horizontal="center" wrapText="1"/>
      <protection hidden="1"/>
    </xf>
    <xf numFmtId="0" fontId="74" fillId="0" borderId="0" xfId="0" quotePrefix="1" applyFont="1" applyAlignment="1" applyProtection="1">
      <alignment horizontal="center"/>
      <protection hidden="1"/>
    </xf>
    <xf numFmtId="0" fontId="74" fillId="0" borderId="0" xfId="0" applyFont="1" applyAlignment="1" applyProtection="1">
      <alignment horizontal="center"/>
      <protection hidden="1"/>
    </xf>
    <xf numFmtId="0" fontId="114" fillId="0" borderId="0" xfId="0" applyFont="1" applyAlignment="1" applyProtection="1">
      <alignment horizontal="center"/>
      <protection hidden="1"/>
    </xf>
    <xf numFmtId="0" fontId="113" fillId="0" borderId="0" xfId="0" applyFont="1" applyAlignment="1" applyProtection="1">
      <alignment horizontal="center"/>
      <protection hidden="1"/>
    </xf>
    <xf numFmtId="3" fontId="3" fillId="0" borderId="0" xfId="0" applyNumberFormat="1" applyFont="1" applyAlignment="1" applyProtection="1">
      <alignment horizontal="right"/>
      <protection hidden="1"/>
    </xf>
    <xf numFmtId="0" fontId="3" fillId="0" borderId="0" xfId="0" applyFont="1" applyAlignment="1" applyProtection="1">
      <alignment horizontal="center"/>
      <protection hidden="1"/>
    </xf>
    <xf numFmtId="0" fontId="70" fillId="0" borderId="0" xfId="0" applyFont="1" applyAlignment="1" applyProtection="1">
      <alignment horizontal="center"/>
      <protection hidden="1"/>
    </xf>
    <xf numFmtId="0" fontId="173" fillId="0" borderId="0" xfId="0" applyFont="1" applyAlignment="1" applyProtection="1">
      <alignment horizontal="center"/>
      <protection hidden="1"/>
    </xf>
    <xf numFmtId="0" fontId="111" fillId="0" borderId="0" xfId="0" applyFont="1" applyAlignment="1" applyProtection="1">
      <alignment horizontal="center" vertical="center"/>
      <protection hidden="1"/>
    </xf>
    <xf numFmtId="0" fontId="173" fillId="0" borderId="0" xfId="0" applyFont="1" applyAlignment="1" applyProtection="1">
      <alignment horizontal="center" wrapText="1"/>
      <protection hidden="1"/>
    </xf>
    <xf numFmtId="38" fontId="100" fillId="0" borderId="5" xfId="948" applyNumberFormat="1" applyFont="1" applyBorder="1" applyAlignment="1" applyProtection="1">
      <alignment horizontal="center"/>
      <protection hidden="1"/>
    </xf>
    <xf numFmtId="38" fontId="100" fillId="0" borderId="2" xfId="948" applyNumberFormat="1" applyFont="1" applyBorder="1" applyAlignment="1" applyProtection="1">
      <alignment horizontal="center"/>
      <protection hidden="1"/>
    </xf>
    <xf numFmtId="38" fontId="100" fillId="0" borderId="8" xfId="948" applyNumberFormat="1" applyFont="1" applyBorder="1" applyAlignment="1" applyProtection="1">
      <alignment horizontal="center"/>
      <protection hidden="1"/>
    </xf>
    <xf numFmtId="3" fontId="14" fillId="0" borderId="20" xfId="0" applyNumberFormat="1" applyFont="1" applyBorder="1" applyAlignment="1" applyProtection="1">
      <alignment horizontal="center"/>
      <protection hidden="1"/>
    </xf>
    <xf numFmtId="3" fontId="14" fillId="0" borderId="15" xfId="0" applyNumberFormat="1" applyFont="1" applyBorder="1" applyAlignment="1" applyProtection="1">
      <alignment horizontal="center"/>
      <protection hidden="1"/>
    </xf>
    <xf numFmtId="3" fontId="14" fillId="0" borderId="29" xfId="0" applyNumberFormat="1" applyFont="1" applyBorder="1" applyAlignment="1" applyProtection="1">
      <alignment horizontal="center"/>
      <protection hidden="1"/>
    </xf>
    <xf numFmtId="3" fontId="14" fillId="0" borderId="44" xfId="0" applyNumberFormat="1" applyFont="1" applyBorder="1" applyAlignment="1" applyProtection="1">
      <alignment horizontal="center"/>
      <protection hidden="1"/>
    </xf>
    <xf numFmtId="0" fontId="73" fillId="0" borderId="27" xfId="0" applyFont="1" applyBorder="1" applyAlignment="1" applyProtection="1">
      <alignment horizontal="right"/>
      <protection hidden="1"/>
    </xf>
    <xf numFmtId="0" fontId="8" fillId="0" borderId="0" xfId="0" applyFont="1" applyAlignment="1" applyProtection="1">
      <alignment horizontal="center"/>
      <protection hidden="1"/>
    </xf>
    <xf numFmtId="0" fontId="73" fillId="0" borderId="27" xfId="0" applyFont="1" applyBorder="1" applyAlignment="1" applyProtection="1">
      <alignment horizontal="left"/>
      <protection hidden="1"/>
    </xf>
    <xf numFmtId="3" fontId="51" fillId="0" borderId="0" xfId="948" applyNumberFormat="1" applyFont="1" applyAlignment="1" applyProtection="1">
      <alignment horizontal="center"/>
      <protection hidden="1"/>
    </xf>
    <xf numFmtId="3" fontId="11" fillId="4" borderId="0" xfId="667" applyNumberFormat="1" applyFont="1" applyFill="1" applyBorder="1" applyAlignment="1" applyProtection="1">
      <alignment horizontal="center" vertical="center"/>
      <protection hidden="1"/>
    </xf>
    <xf numFmtId="3" fontId="51" fillId="0" borderId="27" xfId="948" applyNumberFormat="1" applyFont="1" applyBorder="1" applyAlignment="1" applyProtection="1">
      <alignment horizontal="center"/>
      <protection hidden="1"/>
    </xf>
    <xf numFmtId="3" fontId="11" fillId="11" borderId="0" xfId="667" applyNumberFormat="1" applyFont="1" applyFill="1" applyBorder="1" applyAlignment="1" applyProtection="1">
      <alignment horizontal="center" vertical="center"/>
      <protection hidden="1"/>
    </xf>
    <xf numFmtId="0" fontId="3" fillId="2" borderId="0" xfId="0" applyFont="1" applyFill="1" applyAlignment="1" applyProtection="1">
      <alignment horizontal="center"/>
      <protection hidden="1"/>
    </xf>
    <xf numFmtId="0" fontId="4" fillId="2" borderId="0" xfId="0" applyFont="1" applyFill="1" applyAlignment="1" applyProtection="1">
      <alignment horizontal="center"/>
      <protection hidden="1"/>
    </xf>
    <xf numFmtId="0" fontId="4" fillId="0" borderId="0" xfId="0" applyFont="1" applyAlignment="1" applyProtection="1">
      <alignment horizontal="center"/>
      <protection hidden="1"/>
    </xf>
    <xf numFmtId="3" fontId="11" fillId="0" borderId="5" xfId="682" applyNumberFormat="1" applyFont="1" applyFill="1" applyBorder="1" applyAlignment="1" applyProtection="1">
      <alignment horizontal="center" vertical="center" wrapText="1"/>
      <protection hidden="1"/>
    </xf>
    <xf numFmtId="3" fontId="11" fillId="0" borderId="2" xfId="682" applyNumberFormat="1" applyFont="1" applyFill="1" applyBorder="1" applyAlignment="1" applyProtection="1">
      <alignment horizontal="center" vertical="center" wrapText="1"/>
      <protection hidden="1"/>
    </xf>
    <xf numFmtId="3" fontId="11" fillId="0" borderId="8" xfId="682" applyNumberFormat="1" applyFont="1" applyFill="1" applyBorder="1" applyAlignment="1" applyProtection="1">
      <alignment horizontal="center" vertical="center" wrapText="1"/>
      <protection hidden="1"/>
    </xf>
    <xf numFmtId="3" fontId="11" fillId="0" borderId="19" xfId="682" applyNumberFormat="1" applyFont="1" applyFill="1" applyBorder="1" applyAlignment="1" applyProtection="1">
      <alignment horizontal="center" vertical="center" wrapText="1"/>
      <protection hidden="1"/>
    </xf>
    <xf numFmtId="3" fontId="11" fillId="0" borderId="9" xfId="682" applyNumberFormat="1" applyFont="1" applyFill="1" applyBorder="1" applyAlignment="1" applyProtection="1">
      <alignment horizontal="center" vertical="center" wrapText="1"/>
      <protection hidden="1"/>
    </xf>
    <xf numFmtId="3" fontId="6" fillId="0" borderId="19" xfId="682" applyNumberFormat="1" applyFont="1" applyBorder="1" applyAlignment="1" applyProtection="1">
      <alignment horizontal="center" vertical="center" wrapText="1"/>
      <protection hidden="1"/>
    </xf>
    <xf numFmtId="3" fontId="6" fillId="0" borderId="9" xfId="682" applyNumberFormat="1" applyFont="1" applyBorder="1" applyAlignment="1" applyProtection="1">
      <alignment horizontal="center" vertical="center" wrapText="1"/>
      <protection hidden="1"/>
    </xf>
    <xf numFmtId="3" fontId="11" fillId="0" borderId="42" xfId="682" applyNumberFormat="1" applyFont="1" applyBorder="1" applyAlignment="1" applyProtection="1">
      <alignment horizontal="center" vertical="center" wrapText="1"/>
      <protection hidden="1"/>
    </xf>
    <xf numFmtId="3" fontId="11" fillId="0" borderId="27" xfId="682" applyNumberFormat="1" applyFont="1" applyBorder="1" applyAlignment="1" applyProtection="1">
      <alignment horizontal="center" vertical="center" wrapText="1"/>
      <protection hidden="1"/>
    </xf>
    <xf numFmtId="3" fontId="11" fillId="0" borderId="35" xfId="682" applyNumberFormat="1" applyFont="1" applyBorder="1" applyAlignment="1" applyProtection="1">
      <alignment horizontal="center" vertical="center" wrapText="1"/>
      <protection hidden="1"/>
    </xf>
    <xf numFmtId="3" fontId="11" fillId="0" borderId="19" xfId="682" applyNumberFormat="1" applyFont="1" applyBorder="1" applyAlignment="1" applyProtection="1">
      <alignment horizontal="center" vertical="center" wrapText="1"/>
      <protection hidden="1"/>
    </xf>
    <xf numFmtId="3" fontId="11" fillId="0" borderId="9" xfId="682" applyNumberFormat="1" applyFont="1" applyBorder="1" applyAlignment="1" applyProtection="1">
      <alignment horizontal="center" vertical="center" wrapText="1"/>
      <protection hidden="1"/>
    </xf>
    <xf numFmtId="3" fontId="11" fillId="0" borderId="13" xfId="682" applyNumberFormat="1" applyFont="1" applyBorder="1" applyAlignment="1" applyProtection="1">
      <alignment horizontal="center" vertical="center" wrapText="1"/>
      <protection hidden="1"/>
    </xf>
    <xf numFmtId="3" fontId="11" fillId="2" borderId="17" xfId="0" applyNumberFormat="1" applyFont="1" applyFill="1" applyBorder="1" applyAlignment="1" applyProtection="1">
      <alignment horizontal="center" vertical="center" wrapText="1"/>
      <protection hidden="1"/>
    </xf>
    <xf numFmtId="3" fontId="11" fillId="2" borderId="18" xfId="0" applyNumberFormat="1" applyFont="1" applyFill="1" applyBorder="1" applyAlignment="1" applyProtection="1">
      <alignment horizontal="center" vertical="center" wrapText="1"/>
      <protection hidden="1"/>
    </xf>
    <xf numFmtId="3" fontId="11" fillId="2" borderId="45" xfId="0" applyNumberFormat="1" applyFont="1" applyFill="1" applyBorder="1" applyAlignment="1" applyProtection="1">
      <alignment horizontal="center" vertical="center" wrapText="1"/>
      <protection hidden="1"/>
    </xf>
    <xf numFmtId="3" fontId="11" fillId="2" borderId="46" xfId="0" applyNumberFormat="1" applyFont="1" applyFill="1" applyBorder="1" applyAlignment="1" applyProtection="1">
      <alignment horizontal="center" vertical="center" wrapText="1"/>
      <protection hidden="1"/>
    </xf>
    <xf numFmtId="0" fontId="11" fillId="2" borderId="5" xfId="0" applyFont="1" applyFill="1" applyBorder="1" applyAlignment="1" applyProtection="1">
      <alignment horizontal="left" vertical="center" wrapText="1"/>
      <protection hidden="1"/>
    </xf>
    <xf numFmtId="0" fontId="11" fillId="2" borderId="2" xfId="0" applyFont="1" applyFill="1" applyBorder="1" applyAlignment="1" applyProtection="1">
      <alignment horizontal="left" vertical="center" wrapText="1"/>
      <protection hidden="1"/>
    </xf>
    <xf numFmtId="0" fontId="11" fillId="2" borderId="8" xfId="0" applyFont="1" applyFill="1" applyBorder="1" applyAlignment="1" applyProtection="1">
      <alignment horizontal="left" vertical="center" wrapText="1"/>
      <protection hidden="1"/>
    </xf>
    <xf numFmtId="0" fontId="3" fillId="0" borderId="0" xfId="0" applyFont="1" applyAlignment="1" applyProtection="1">
      <alignment horizontal="center" vertical="center"/>
      <protection hidden="1"/>
    </xf>
    <xf numFmtId="0" fontId="4" fillId="0" borderId="0" xfId="0" applyFont="1" applyAlignment="1" applyProtection="1">
      <alignment horizontal="center" vertical="center"/>
      <protection hidden="1"/>
    </xf>
    <xf numFmtId="0" fontId="52" fillId="0" borderId="19"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52" fillId="0" borderId="9" xfId="0" applyFont="1" applyBorder="1" applyAlignment="1" applyProtection="1">
      <alignment horizontal="center" vertical="center" wrapText="1"/>
      <protection hidden="1"/>
    </xf>
    <xf numFmtId="3" fontId="52" fillId="0" borderId="19" xfId="0" applyNumberFormat="1" applyFont="1" applyBorder="1" applyAlignment="1" applyProtection="1">
      <alignment horizontal="center" vertical="center" wrapText="1"/>
      <protection hidden="1"/>
    </xf>
    <xf numFmtId="3" fontId="56" fillId="0" borderId="9" xfId="0" applyNumberFormat="1" applyFont="1" applyBorder="1" applyAlignment="1" applyProtection="1">
      <alignment horizontal="center" vertical="center" wrapText="1"/>
      <protection hidden="1"/>
    </xf>
    <xf numFmtId="3" fontId="52" fillId="0" borderId="9" xfId="0" applyNumberFormat="1" applyFont="1" applyBorder="1" applyAlignment="1" applyProtection="1">
      <alignment horizontal="center" vertical="center" wrapText="1"/>
      <protection hidden="1"/>
    </xf>
    <xf numFmtId="3" fontId="11" fillId="7" borderId="19" xfId="0" applyNumberFormat="1" applyFont="1" applyFill="1" applyBorder="1" applyAlignment="1" applyProtection="1">
      <alignment horizontal="center" vertical="center" wrapText="1"/>
      <protection hidden="1"/>
    </xf>
    <xf numFmtId="3" fontId="11" fillId="7" borderId="9" xfId="0" applyNumberFormat="1" applyFont="1" applyFill="1" applyBorder="1" applyAlignment="1" applyProtection="1">
      <alignment horizontal="center" vertical="center" wrapText="1"/>
      <protection hidden="1"/>
    </xf>
    <xf numFmtId="0" fontId="11" fillId="7" borderId="19" xfId="0" applyFont="1" applyFill="1" applyBorder="1" applyAlignment="1" applyProtection="1">
      <alignment horizontal="center" vertical="center" wrapText="1"/>
      <protection hidden="1"/>
    </xf>
    <xf numFmtId="0" fontId="11" fillId="7" borderId="9" xfId="0" applyFont="1" applyFill="1" applyBorder="1" applyAlignment="1" applyProtection="1">
      <alignment horizontal="center" vertical="center" wrapText="1"/>
      <protection hidden="1"/>
    </xf>
    <xf numFmtId="0" fontId="13" fillId="0" borderId="3" xfId="0" applyFont="1" applyBorder="1" applyAlignment="1">
      <alignment horizontal="center" vertical="center"/>
    </xf>
    <xf numFmtId="166" fontId="86" fillId="4" borderId="42" xfId="0" applyNumberFormat="1" applyFont="1" applyFill="1" applyBorder="1" applyAlignment="1">
      <alignment horizontal="center" vertical="center"/>
    </xf>
    <xf numFmtId="166" fontId="86" fillId="4" borderId="35" xfId="0" applyNumberFormat="1" applyFont="1" applyFill="1" applyBorder="1" applyAlignment="1">
      <alignment horizontal="center" vertical="center"/>
    </xf>
    <xf numFmtId="166" fontId="86" fillId="4" borderId="45" xfId="0" applyNumberFormat="1" applyFont="1" applyFill="1" applyBorder="1" applyAlignment="1">
      <alignment horizontal="center" vertical="center"/>
    </xf>
    <xf numFmtId="166" fontId="86" fillId="4" borderId="46" xfId="0" applyNumberFormat="1" applyFont="1" applyFill="1" applyBorder="1" applyAlignment="1">
      <alignment horizontal="center" vertical="center"/>
    </xf>
    <xf numFmtId="0" fontId="13" fillId="0" borderId="3" xfId="0" applyFont="1" applyBorder="1" applyAlignment="1">
      <alignment horizontal="center" vertical="center" textRotation="90"/>
    </xf>
    <xf numFmtId="0" fontId="13" fillId="4" borderId="3" xfId="0" applyFont="1" applyFill="1" applyBorder="1" applyAlignment="1">
      <alignment horizontal="center" vertical="center" textRotation="90"/>
    </xf>
    <xf numFmtId="0" fontId="13" fillId="2" borderId="3" xfId="0" applyFont="1" applyFill="1" applyBorder="1" applyAlignment="1">
      <alignment horizontal="center" vertical="center" textRotation="90"/>
    </xf>
    <xf numFmtId="0" fontId="13" fillId="0" borderId="3" xfId="0" applyFont="1" applyBorder="1" applyAlignment="1">
      <alignment horizontal="center" vertical="center" textRotation="90" wrapText="1"/>
    </xf>
    <xf numFmtId="0" fontId="10" fillId="0" borderId="3" xfId="0" applyFont="1" applyBorder="1" applyAlignment="1">
      <alignment horizontal="center" vertical="center" textRotation="90" wrapText="1"/>
    </xf>
    <xf numFmtId="0" fontId="13" fillId="0" borderId="0" xfId="0" applyFont="1" applyAlignment="1">
      <alignment horizontal="center"/>
    </xf>
    <xf numFmtId="0" fontId="13" fillId="0" borderId="19" xfId="0" applyFont="1" applyBorder="1" applyAlignment="1">
      <alignment horizontal="center" vertical="center" textRotation="90" wrapText="1"/>
    </xf>
    <xf numFmtId="0" fontId="85" fillId="0" borderId="0" xfId="0" applyFont="1" applyAlignment="1">
      <alignment horizontal="center"/>
    </xf>
    <xf numFmtId="0" fontId="13" fillId="0" borderId="19" xfId="0" applyFont="1" applyBorder="1" applyAlignment="1">
      <alignment horizontal="center" vertical="center" textRotation="90"/>
    </xf>
    <xf numFmtId="0" fontId="13" fillId="0" borderId="9" xfId="0" applyFont="1" applyBorder="1" applyAlignment="1">
      <alignment horizontal="center" vertical="center" textRotation="90"/>
    </xf>
    <xf numFmtId="0" fontId="13" fillId="0" borderId="5" xfId="0" applyFont="1" applyBorder="1" applyAlignment="1">
      <alignment horizontal="center" vertical="center"/>
    </xf>
    <xf numFmtId="0" fontId="13" fillId="0" borderId="2" xfId="0" applyFont="1" applyBorder="1" applyAlignment="1">
      <alignment horizontal="center" vertical="center"/>
    </xf>
    <xf numFmtId="0" fontId="13" fillId="0" borderId="8" xfId="0" applyFont="1" applyBorder="1" applyAlignment="1">
      <alignment horizontal="center" vertical="center"/>
    </xf>
    <xf numFmtId="166" fontId="78" fillId="4" borderId="42" xfId="0" applyNumberFormat="1" applyFont="1" applyFill="1" applyBorder="1" applyAlignment="1">
      <alignment horizontal="center" vertical="center"/>
    </xf>
    <xf numFmtId="166" fontId="78" fillId="4" borderId="35" xfId="0" applyNumberFormat="1" applyFont="1" applyFill="1" applyBorder="1" applyAlignment="1">
      <alignment horizontal="center" vertical="center"/>
    </xf>
    <xf numFmtId="166" fontId="78" fillId="4" borderId="45" xfId="0" applyNumberFormat="1" applyFont="1" applyFill="1" applyBorder="1" applyAlignment="1">
      <alignment horizontal="center" vertical="center"/>
    </xf>
    <xf numFmtId="166" fontId="78" fillId="4" borderId="46" xfId="0" applyNumberFormat="1" applyFont="1" applyFill="1" applyBorder="1" applyAlignment="1">
      <alignment horizontal="center" vertical="center"/>
    </xf>
    <xf numFmtId="0" fontId="162" fillId="0" borderId="0" xfId="0" applyFont="1" applyAlignment="1">
      <alignment horizontal="center"/>
    </xf>
    <xf numFmtId="166" fontId="13" fillId="0" borderId="2" xfId="0" applyNumberFormat="1" applyFont="1" applyBorder="1" applyAlignment="1">
      <alignment horizontal="center" vertical="center"/>
    </xf>
    <xf numFmtId="166" fontId="13" fillId="0" borderId="5" xfId="0" applyNumberFormat="1" applyFont="1" applyBorder="1" applyAlignment="1">
      <alignment horizontal="center" vertical="center"/>
    </xf>
    <xf numFmtId="0" fontId="13" fillId="0" borderId="19" xfId="0" applyFont="1" applyBorder="1" applyAlignment="1">
      <alignment horizontal="left" vertical="center" textRotation="90"/>
    </xf>
    <xf numFmtId="0" fontId="13" fillId="0" borderId="9" xfId="0" applyFont="1" applyBorder="1" applyAlignment="1">
      <alignment horizontal="left" vertical="center" textRotation="90"/>
    </xf>
    <xf numFmtId="166" fontId="13" fillId="0" borderId="8" xfId="0" applyNumberFormat="1" applyFont="1" applyBorder="1" applyAlignment="1">
      <alignment horizontal="center" vertical="center"/>
    </xf>
    <xf numFmtId="0" fontId="6" fillId="0" borderId="3" xfId="0" applyFont="1" applyBorder="1" applyAlignment="1">
      <alignment horizontal="center"/>
    </xf>
    <xf numFmtId="0" fontId="6" fillId="0" borderId="3" xfId="0" applyFont="1" applyBorder="1" applyAlignment="1">
      <alignment horizontal="center" vertical="center"/>
    </xf>
    <xf numFmtId="0" fontId="5" fillId="0" borderId="17" xfId="0" applyFont="1" applyBorder="1" applyAlignment="1">
      <alignment horizontal="center"/>
    </xf>
    <xf numFmtId="0" fontId="5" fillId="0" borderId="18" xfId="0" applyFont="1" applyBorder="1" applyAlignment="1">
      <alignment horizont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6" fillId="0" borderId="8" xfId="0" applyFont="1" applyBorder="1" applyAlignment="1">
      <alignment horizontal="center" vertical="center"/>
    </xf>
    <xf numFmtId="0" fontId="5" fillId="0" borderId="5" xfId="0" applyFont="1" applyBorder="1" applyAlignment="1">
      <alignment horizontal="center"/>
    </xf>
    <xf numFmtId="0" fontId="5" fillId="0" borderId="8" xfId="0" applyFont="1" applyBorder="1" applyAlignment="1">
      <alignment horizontal="center"/>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11" fillId="2" borderId="5" xfId="0" applyFont="1" applyFill="1" applyBorder="1" applyAlignment="1" applyProtection="1">
      <alignment horizontal="left" vertical="top" wrapText="1"/>
      <protection hidden="1"/>
    </xf>
    <xf numFmtId="0" fontId="11" fillId="2" borderId="2" xfId="0" applyFont="1" applyFill="1" applyBorder="1" applyAlignment="1" applyProtection="1">
      <alignment horizontal="left" vertical="top" wrapText="1"/>
      <protection hidden="1"/>
    </xf>
    <xf numFmtId="0" fontId="11" fillId="2" borderId="8" xfId="0" applyFont="1" applyFill="1" applyBorder="1" applyAlignment="1" applyProtection="1">
      <alignment horizontal="left" vertical="top" wrapText="1"/>
      <protection hidden="1"/>
    </xf>
    <xf numFmtId="0" fontId="62" fillId="0" borderId="9" xfId="0" applyFont="1" applyBorder="1" applyAlignment="1" applyProtection="1">
      <alignment horizontal="center" vertical="center" wrapText="1"/>
      <protection hidden="1"/>
    </xf>
    <xf numFmtId="0" fontId="54" fillId="0" borderId="9" xfId="0" applyFont="1" applyBorder="1" applyAlignment="1" applyProtection="1">
      <alignment horizontal="center" vertical="center" wrapText="1"/>
      <protection hidden="1"/>
    </xf>
    <xf numFmtId="0" fontId="13" fillId="2" borderId="3" xfId="0" applyFont="1" applyFill="1" applyBorder="1" applyAlignment="1">
      <alignment horizontal="center" vertical="center" textRotation="90" wrapText="1"/>
    </xf>
    <xf numFmtId="0" fontId="10" fillId="2" borderId="3" xfId="0" applyFont="1" applyFill="1" applyBorder="1" applyAlignment="1">
      <alignment horizontal="center" vertical="center" textRotation="90" wrapText="1"/>
    </xf>
    <xf numFmtId="0" fontId="13" fillId="4" borderId="3" xfId="0" applyFont="1" applyFill="1" applyBorder="1" applyAlignment="1">
      <alignment horizontal="center" vertical="center" textRotation="90" wrapText="1"/>
    </xf>
    <xf numFmtId="0" fontId="10" fillId="4" borderId="3" xfId="0" applyFont="1" applyFill="1" applyBorder="1" applyAlignment="1">
      <alignment horizontal="center" vertical="center" textRotation="90" wrapText="1"/>
    </xf>
    <xf numFmtId="0" fontId="3" fillId="0" borderId="0" xfId="0" applyFont="1" applyAlignment="1">
      <alignment horizontal="center"/>
    </xf>
    <xf numFmtId="166" fontId="67" fillId="4" borderId="42" xfId="0" applyNumberFormat="1" applyFont="1" applyFill="1" applyBorder="1" applyAlignment="1">
      <alignment horizontal="center" vertical="center"/>
    </xf>
    <xf numFmtId="166" fontId="67" fillId="4" borderId="35" xfId="0" applyNumberFormat="1" applyFont="1" applyFill="1" applyBorder="1" applyAlignment="1">
      <alignment horizontal="center" vertical="center"/>
    </xf>
    <xf numFmtId="166" fontId="67" fillId="4" borderId="45" xfId="0" applyNumberFormat="1" applyFont="1" applyFill="1" applyBorder="1" applyAlignment="1">
      <alignment horizontal="center" vertical="center"/>
    </xf>
    <xf numFmtId="166" fontId="67" fillId="4" borderId="46" xfId="0" applyNumberFormat="1" applyFont="1" applyFill="1" applyBorder="1" applyAlignment="1">
      <alignment horizontal="center" vertical="center"/>
    </xf>
    <xf numFmtId="166" fontId="67" fillId="11" borderId="42" xfId="0" applyNumberFormat="1" applyFont="1" applyFill="1" applyBorder="1" applyAlignment="1">
      <alignment horizontal="center" vertical="center"/>
    </xf>
    <xf numFmtId="166" fontId="67" fillId="11" borderId="35" xfId="0" applyNumberFormat="1" applyFont="1" applyFill="1" applyBorder="1" applyAlignment="1">
      <alignment horizontal="center" vertical="center"/>
    </xf>
    <xf numFmtId="166" fontId="67" fillId="11" borderId="45" xfId="0" applyNumberFormat="1" applyFont="1" applyFill="1" applyBorder="1" applyAlignment="1">
      <alignment horizontal="center" vertical="center"/>
    </xf>
    <xf numFmtId="166" fontId="67" fillId="11" borderId="46" xfId="0" applyNumberFormat="1" applyFont="1" applyFill="1" applyBorder="1" applyAlignment="1">
      <alignment horizontal="center" vertical="center"/>
    </xf>
    <xf numFmtId="0" fontId="13" fillId="0" borderId="9" xfId="0" applyFont="1" applyBorder="1" applyAlignment="1">
      <alignment horizontal="center" vertical="center" textRotation="90" wrapText="1"/>
    </xf>
    <xf numFmtId="0" fontId="161" fillId="9" borderId="3" xfId="0" applyFont="1" applyFill="1" applyBorder="1" applyAlignment="1">
      <alignment horizontal="center" vertical="center" textRotation="90"/>
    </xf>
    <xf numFmtId="0" fontId="6" fillId="0" borderId="5" xfId="0" applyFont="1" applyBorder="1" applyAlignment="1">
      <alignment horizontal="center"/>
    </xf>
    <xf numFmtId="0" fontId="6" fillId="0" borderId="2" xfId="0" applyFont="1" applyBorder="1" applyAlignment="1">
      <alignment horizontal="center"/>
    </xf>
    <xf numFmtId="0" fontId="6" fillId="0" borderId="8" xfId="0" applyFont="1" applyBorder="1" applyAlignment="1">
      <alignment horizontal="center"/>
    </xf>
    <xf numFmtId="3" fontId="11" fillId="2" borderId="5" xfId="0" applyNumberFormat="1" applyFont="1" applyFill="1" applyBorder="1" applyAlignment="1" applyProtection="1">
      <alignment horizontal="left" vertical="center" wrapText="1"/>
      <protection hidden="1"/>
    </xf>
    <xf numFmtId="3" fontId="11" fillId="2" borderId="2" xfId="0" applyNumberFormat="1" applyFont="1" applyFill="1" applyBorder="1" applyAlignment="1" applyProtection="1">
      <alignment horizontal="left" vertical="center" wrapText="1"/>
      <protection hidden="1"/>
    </xf>
    <xf numFmtId="3" fontId="11" fillId="2" borderId="8" xfId="0" applyNumberFormat="1" applyFont="1" applyFill="1" applyBorder="1" applyAlignment="1" applyProtection="1">
      <alignment horizontal="left" vertical="center" wrapText="1"/>
      <protection hidden="1"/>
    </xf>
    <xf numFmtId="3" fontId="3" fillId="0" borderId="0" xfId="0" applyNumberFormat="1" applyFont="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3" fontId="11" fillId="2" borderId="42" xfId="0" applyNumberFormat="1" applyFont="1" applyFill="1" applyBorder="1" applyAlignment="1" applyProtection="1">
      <alignment horizontal="center" vertical="center" wrapText="1"/>
      <protection hidden="1"/>
    </xf>
    <xf numFmtId="3" fontId="11" fillId="2" borderId="35" xfId="0" applyNumberFormat="1" applyFont="1" applyFill="1" applyBorder="1" applyAlignment="1" applyProtection="1">
      <alignment horizontal="center" vertical="center" wrapText="1"/>
      <protection hidden="1"/>
    </xf>
    <xf numFmtId="0" fontId="3" fillId="0" borderId="0" xfId="0" applyFont="1" applyAlignment="1">
      <alignment horizontal="center" vertical="center"/>
    </xf>
    <xf numFmtId="0" fontId="4" fillId="0" borderId="0" xfId="0" applyFont="1" applyAlignment="1">
      <alignment horizontal="center" vertical="center"/>
    </xf>
    <xf numFmtId="0" fontId="52" fillId="0" borderId="19" xfId="0" applyFont="1" applyBorder="1" applyAlignment="1">
      <alignment horizontal="center" vertical="center" wrapText="1"/>
    </xf>
    <xf numFmtId="0" fontId="52" fillId="0" borderId="9" xfId="0" applyFont="1" applyBorder="1" applyAlignment="1">
      <alignment horizontal="center" vertical="center" wrapText="1"/>
    </xf>
    <xf numFmtId="0" fontId="11" fillId="7" borderId="19" xfId="0" applyFont="1" applyFill="1" applyBorder="1" applyAlignment="1">
      <alignment horizontal="center" vertical="center" wrapText="1"/>
    </xf>
    <xf numFmtId="0" fontId="62" fillId="7" borderId="9" xfId="0" applyFont="1" applyFill="1" applyBorder="1" applyAlignment="1">
      <alignment horizontal="center" vertical="center" wrapText="1"/>
    </xf>
    <xf numFmtId="3" fontId="11" fillId="7" borderId="19" xfId="0" applyNumberFormat="1" applyFont="1" applyFill="1" applyBorder="1" applyAlignment="1">
      <alignment horizontal="center" vertical="center" wrapText="1"/>
    </xf>
    <xf numFmtId="3" fontId="11" fillId="7" borderId="9" xfId="0" applyNumberFormat="1" applyFont="1" applyFill="1" applyBorder="1" applyAlignment="1">
      <alignment horizontal="center" vertical="center" wrapText="1"/>
    </xf>
    <xf numFmtId="182" fontId="52" fillId="0" borderId="5" xfId="667" applyNumberFormat="1" applyFont="1" applyBorder="1" applyAlignment="1">
      <alignment horizontal="center" vertical="center"/>
    </xf>
    <xf numFmtId="182" fontId="52" fillId="0" borderId="2" xfId="667" applyNumberFormat="1" applyFont="1" applyBorder="1" applyAlignment="1">
      <alignment horizontal="center" vertical="center"/>
    </xf>
    <xf numFmtId="182" fontId="52" fillId="0" borderId="8" xfId="667" applyNumberFormat="1" applyFont="1" applyBorder="1" applyAlignment="1">
      <alignment horizontal="center" vertical="center"/>
    </xf>
    <xf numFmtId="166" fontId="86" fillId="11" borderId="42" xfId="0" applyNumberFormat="1" applyFont="1" applyFill="1" applyBorder="1" applyAlignment="1">
      <alignment horizontal="center" vertical="center"/>
    </xf>
    <xf numFmtId="166" fontId="86" fillId="11" borderId="35" xfId="0" applyNumberFormat="1" applyFont="1" applyFill="1" applyBorder="1" applyAlignment="1">
      <alignment horizontal="center" vertical="center"/>
    </xf>
    <xf numFmtId="166" fontId="86" fillId="11" borderId="45" xfId="0" applyNumberFormat="1" applyFont="1" applyFill="1" applyBorder="1" applyAlignment="1">
      <alignment horizontal="center" vertical="center"/>
    </xf>
    <xf numFmtId="166" fontId="86" fillId="11" borderId="46" xfId="0" applyNumberFormat="1" applyFont="1" applyFill="1" applyBorder="1" applyAlignment="1">
      <alignment horizontal="center" vertical="center"/>
    </xf>
    <xf numFmtId="0" fontId="161" fillId="11" borderId="5" xfId="0" applyFont="1" applyFill="1" applyBorder="1" applyAlignment="1">
      <alignment horizontal="center" vertical="center" wrapText="1"/>
    </xf>
    <xf numFmtId="0" fontId="161" fillId="11" borderId="2" xfId="0" applyFont="1" applyFill="1" applyBorder="1" applyAlignment="1">
      <alignment horizontal="center" vertical="center"/>
    </xf>
    <xf numFmtId="0" fontId="161" fillId="11" borderId="8" xfId="0" applyFont="1" applyFill="1" applyBorder="1" applyAlignment="1">
      <alignment horizontal="center" vertical="center"/>
    </xf>
    <xf numFmtId="0" fontId="13" fillId="0" borderId="13" xfId="0" applyFont="1" applyBorder="1" applyAlignment="1">
      <alignment horizontal="center" vertical="center" textRotation="90" wrapText="1"/>
    </xf>
    <xf numFmtId="0" fontId="161" fillId="11" borderId="2" xfId="0" applyFont="1" applyFill="1" applyBorder="1" applyAlignment="1">
      <alignment horizontal="center" vertical="center" wrapText="1"/>
    </xf>
    <xf numFmtId="0" fontId="161" fillId="11" borderId="8" xfId="0" applyFont="1" applyFill="1" applyBorder="1" applyAlignment="1">
      <alignment horizontal="center" vertical="center" wrapText="1"/>
    </xf>
    <xf numFmtId="0" fontId="13" fillId="0" borderId="13" xfId="0" applyFont="1" applyBorder="1" applyAlignment="1">
      <alignment horizontal="center" vertical="center" textRotation="90"/>
    </xf>
    <xf numFmtId="166" fontId="161" fillId="11" borderId="5" xfId="0" applyNumberFormat="1" applyFont="1" applyFill="1" applyBorder="1" applyAlignment="1">
      <alignment horizontal="center" vertical="center" wrapText="1"/>
    </xf>
    <xf numFmtId="166" fontId="161" fillId="11" borderId="2" xfId="0" applyNumberFormat="1" applyFont="1" applyFill="1" applyBorder="1" applyAlignment="1">
      <alignment horizontal="center" vertical="center"/>
    </xf>
    <xf numFmtId="166" fontId="161" fillId="11" borderId="8" xfId="0" applyNumberFormat="1" applyFont="1" applyFill="1" applyBorder="1" applyAlignment="1">
      <alignment horizontal="center" vertical="center"/>
    </xf>
    <xf numFmtId="0" fontId="5" fillId="3" borderId="0" xfId="0" applyFont="1" applyFill="1" applyAlignment="1">
      <alignment horizontal="center"/>
    </xf>
    <xf numFmtId="0" fontId="5" fillId="0" borderId="0" xfId="0" applyFont="1" applyAlignment="1">
      <alignment horizontal="center"/>
    </xf>
    <xf numFmtId="0" fontId="8" fillId="0" borderId="0" xfId="0" applyFont="1" applyAlignment="1" applyProtection="1">
      <alignment horizontal="center" wrapText="1"/>
      <protection hidden="1"/>
    </xf>
    <xf numFmtId="0" fontId="6" fillId="0" borderId="0" xfId="0" applyFont="1" applyAlignment="1" applyProtection="1">
      <alignment horizontal="center"/>
      <protection hidden="1"/>
    </xf>
    <xf numFmtId="0" fontId="5" fillId="3" borderId="0" xfId="0" applyFont="1" applyFill="1" applyAlignment="1" applyProtection="1">
      <alignment horizontal="center"/>
      <protection hidden="1"/>
    </xf>
    <xf numFmtId="0" fontId="5" fillId="3" borderId="0" xfId="0" applyFont="1" applyFill="1" applyAlignment="1" applyProtection="1">
      <alignment horizontal="right"/>
      <protection hidden="1"/>
    </xf>
    <xf numFmtId="0" fontId="5" fillId="4" borderId="0" xfId="0" applyFont="1" applyFill="1" applyAlignment="1" applyProtection="1">
      <alignment horizontal="right"/>
      <protection hidden="1"/>
    </xf>
    <xf numFmtId="0" fontId="5" fillId="5" borderId="0" xfId="0" applyFont="1" applyFill="1" applyAlignment="1" applyProtection="1">
      <alignment horizontal="right"/>
      <protection hidden="1"/>
    </xf>
    <xf numFmtId="0" fontId="5" fillId="11" borderId="0" xfId="0" applyFont="1" applyFill="1" applyAlignment="1" applyProtection="1">
      <alignment horizontal="right"/>
      <protection hidden="1"/>
    </xf>
    <xf numFmtId="0" fontId="5" fillId="0" borderId="0" xfId="0" applyFont="1" applyAlignment="1" applyProtection="1">
      <alignment horizontal="left"/>
      <protection hidden="1"/>
    </xf>
    <xf numFmtId="0" fontId="5" fillId="6" borderId="0" xfId="0" applyFont="1" applyFill="1" applyAlignment="1" applyProtection="1">
      <alignment horizontal="right"/>
      <protection hidden="1"/>
    </xf>
    <xf numFmtId="0" fontId="72" fillId="0" borderId="0" xfId="0" applyFont="1" applyAlignment="1" applyProtection="1">
      <alignment horizontal="center"/>
      <protection hidden="1"/>
    </xf>
    <xf numFmtId="0" fontId="5" fillId="4" borderId="0" xfId="0" applyFont="1" applyFill="1" applyAlignment="1" applyProtection="1">
      <alignment horizontal="center"/>
      <protection hidden="1"/>
    </xf>
    <xf numFmtId="0" fontId="5" fillId="0" borderId="0" xfId="0" applyFont="1" applyAlignment="1" applyProtection="1">
      <alignment horizontal="center"/>
      <protection hidden="1"/>
    </xf>
    <xf numFmtId="0" fontId="14" fillId="0" borderId="0" xfId="0" applyFont="1" applyAlignment="1" applyProtection="1">
      <alignment horizontal="left"/>
      <protection hidden="1"/>
    </xf>
    <xf numFmtId="0" fontId="14" fillId="0" borderId="0" xfId="0" quotePrefix="1" applyFont="1" applyAlignment="1" applyProtection="1">
      <alignment horizontal="left"/>
      <protection hidden="1"/>
    </xf>
    <xf numFmtId="0" fontId="4" fillId="0" borderId="0" xfId="0" applyFont="1" applyAlignment="1" applyProtection="1">
      <alignment horizontal="left"/>
      <protection hidden="1"/>
    </xf>
    <xf numFmtId="3" fontId="4" fillId="0" borderId="0" xfId="0" applyNumberFormat="1" applyFont="1" applyAlignment="1" applyProtection="1">
      <alignment horizontal="right"/>
      <protection hidden="1"/>
    </xf>
    <xf numFmtId="0" fontId="72" fillId="4" borderId="0" xfId="0" applyFont="1" applyFill="1" applyAlignment="1" applyProtection="1">
      <alignment horizontal="center"/>
      <protection hidden="1"/>
    </xf>
    <xf numFmtId="0" fontId="14" fillId="0" borderId="0" xfId="0" quotePrefix="1" applyFont="1" applyAlignment="1" applyProtection="1">
      <alignment horizontal="center"/>
      <protection hidden="1"/>
    </xf>
    <xf numFmtId="3" fontId="4" fillId="0" borderId="0" xfId="0" quotePrefix="1" applyNumberFormat="1" applyFont="1" applyAlignment="1" applyProtection="1">
      <alignment horizontal="right"/>
      <protection hidden="1"/>
    </xf>
    <xf numFmtId="3" fontId="14" fillId="0" borderId="0" xfId="0" quotePrefix="1" applyNumberFormat="1" applyFont="1" applyAlignment="1" applyProtection="1">
      <alignment horizontal="left"/>
      <protection hidden="1"/>
    </xf>
    <xf numFmtId="0" fontId="5" fillId="0" borderId="0" xfId="0" applyFont="1" applyAlignment="1" applyProtection="1">
      <alignment horizontal="right"/>
      <protection hidden="1"/>
    </xf>
    <xf numFmtId="0" fontId="61" fillId="0" borderId="0" xfId="0" applyFont="1" applyAlignment="1" applyProtection="1">
      <alignment horizontal="left"/>
      <protection hidden="1"/>
    </xf>
    <xf numFmtId="0" fontId="5" fillId="0" borderId="0" xfId="0" quotePrefix="1" applyFont="1" applyAlignment="1" applyProtection="1">
      <alignment horizontal="left"/>
      <protection hidden="1"/>
    </xf>
    <xf numFmtId="0" fontId="156" fillId="0" borderId="0" xfId="0" applyFont="1" applyAlignment="1" applyProtection="1">
      <alignment horizontal="center"/>
      <protection hidden="1"/>
    </xf>
    <xf numFmtId="0" fontId="74" fillId="4" borderId="0" xfId="0" applyFont="1" applyFill="1" applyAlignment="1" applyProtection="1">
      <alignment horizontal="center"/>
      <protection hidden="1"/>
    </xf>
    <xf numFmtId="0" fontId="14" fillId="0" borderId="0" xfId="0" quotePrefix="1" applyFont="1" applyAlignment="1" applyProtection="1">
      <alignment horizontal="left" vertical="center"/>
      <protection hidden="1"/>
    </xf>
    <xf numFmtId="0" fontId="158" fillId="0" borderId="0" xfId="0" applyFont="1" applyAlignment="1" applyProtection="1">
      <alignment horizontal="center" vertical="center"/>
      <protection hidden="1"/>
    </xf>
    <xf numFmtId="0" fontId="61" fillId="0" borderId="0" xfId="0" applyFont="1" applyAlignment="1" applyProtection="1">
      <alignment horizontal="center"/>
      <protection hidden="1"/>
    </xf>
    <xf numFmtId="290" fontId="14" fillId="0" borderId="0" xfId="0" applyNumberFormat="1" applyFont="1" applyAlignment="1" applyProtection="1">
      <alignment horizontal="right"/>
      <protection hidden="1"/>
    </xf>
    <xf numFmtId="3" fontId="14" fillId="0" borderId="0" xfId="0" applyNumberFormat="1" applyFont="1" applyAlignment="1" applyProtection="1">
      <alignment horizontal="right"/>
      <protection hidden="1"/>
    </xf>
    <xf numFmtId="3" fontId="14" fillId="4" borderId="0" xfId="0" applyNumberFormat="1" applyFont="1" applyFill="1" applyAlignment="1" applyProtection="1">
      <alignment horizontal="right"/>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right"/>
      <protection hidden="1"/>
    </xf>
    <xf numFmtId="294" fontId="14" fillId="0" borderId="0" xfId="0" applyNumberFormat="1" applyFont="1" applyAlignment="1" applyProtection="1">
      <alignment horizontal="right"/>
      <protection hidden="1"/>
    </xf>
    <xf numFmtId="295" fontId="14" fillId="0" borderId="0" xfId="0" applyNumberFormat="1" applyFont="1" applyAlignment="1" applyProtection="1">
      <alignment horizontal="right"/>
      <protection hidden="1"/>
    </xf>
    <xf numFmtId="174" fontId="14" fillId="0" borderId="0" xfId="667" applyFont="1" applyAlignment="1" applyProtection="1">
      <alignment horizontal="right"/>
    </xf>
    <xf numFmtId="3" fontId="61" fillId="0" borderId="0" xfId="0" applyNumberFormat="1" applyFont="1" applyAlignment="1" applyProtection="1">
      <alignment horizontal="right"/>
      <protection hidden="1"/>
    </xf>
    <xf numFmtId="299" fontId="14" fillId="0" borderId="0" xfId="0" applyNumberFormat="1" applyFont="1" applyAlignment="1" applyProtection="1">
      <alignment horizontal="right"/>
      <protection hidden="1"/>
    </xf>
    <xf numFmtId="293" fontId="14" fillId="0" borderId="0" xfId="0" applyNumberFormat="1" applyFont="1" applyAlignment="1" applyProtection="1">
      <alignment horizontal="right"/>
      <protection hidden="1"/>
    </xf>
    <xf numFmtId="0" fontId="91" fillId="0" borderId="0" xfId="0" applyFont="1" applyAlignment="1" applyProtection="1">
      <alignment horizontal="center" vertical="center"/>
      <protection hidden="1"/>
    </xf>
    <xf numFmtId="0" fontId="14" fillId="0" borderId="5" xfId="0" applyFont="1" applyBorder="1" applyAlignment="1">
      <alignment horizontal="center"/>
    </xf>
    <xf numFmtId="0" fontId="4" fillId="0" borderId="2" xfId="0" applyFont="1" applyBorder="1" applyAlignment="1">
      <alignment horizontal="center"/>
    </xf>
    <xf numFmtId="225" fontId="5" fillId="0" borderId="2" xfId="0" applyNumberFormat="1" applyFont="1" applyBorder="1" applyAlignment="1">
      <alignment horizontal="right"/>
    </xf>
    <xf numFmtId="225" fontId="5" fillId="0" borderId="8" xfId="0" applyNumberFormat="1" applyFont="1" applyBorder="1" applyAlignment="1">
      <alignment horizontal="right"/>
    </xf>
    <xf numFmtId="0" fontId="14" fillId="0" borderId="0" xfId="0" applyFont="1" applyAlignment="1">
      <alignment horizontal="center"/>
    </xf>
    <xf numFmtId="14" fontId="74" fillId="0" borderId="0" xfId="0" quotePrefix="1" applyNumberFormat="1" applyFont="1" applyAlignment="1">
      <alignment horizontal="center"/>
    </xf>
    <xf numFmtId="225" fontId="61" fillId="0" borderId="3" xfId="0" applyNumberFormat="1" applyFont="1" applyBorder="1" applyAlignment="1">
      <alignment horizontal="center" vertical="center"/>
    </xf>
    <xf numFmtId="0" fontId="61" fillId="0" borderId="3" xfId="0" applyFont="1" applyBorder="1" applyAlignment="1">
      <alignment horizontal="center" vertical="center"/>
    </xf>
    <xf numFmtId="0" fontId="121" fillId="0" borderId="10" xfId="0" applyFont="1" applyBorder="1" applyAlignment="1">
      <alignment horizontal="center" vertical="center"/>
    </xf>
    <xf numFmtId="0" fontId="4" fillId="0" borderId="10" xfId="0" applyFont="1" applyBorder="1" applyAlignment="1">
      <alignment horizontal="center" vertical="center"/>
    </xf>
    <xf numFmtId="225" fontId="4" fillId="0" borderId="29" xfId="0" applyNumberFormat="1" applyFont="1" applyBorder="1" applyAlignment="1">
      <alignment horizontal="center" vertical="center"/>
    </xf>
    <xf numFmtId="225" fontId="4" fillId="0" borderId="33" xfId="0" applyNumberFormat="1" applyFont="1" applyBorder="1" applyAlignment="1">
      <alignment horizontal="center" vertical="center"/>
    </xf>
    <xf numFmtId="225" fontId="4" fillId="0" borderId="44" xfId="0" applyNumberFormat="1" applyFont="1" applyBorder="1" applyAlignment="1">
      <alignment horizontal="center" vertical="center"/>
    </xf>
    <xf numFmtId="0" fontId="6" fillId="0" borderId="0" xfId="0" applyFont="1" applyAlignment="1">
      <alignment horizontal="center"/>
    </xf>
    <xf numFmtId="0" fontId="74" fillId="4" borderId="0" xfId="0" applyFont="1" applyFill="1" applyAlignment="1">
      <alignment horizontal="center"/>
    </xf>
    <xf numFmtId="0" fontId="8" fillId="0" borderId="0" xfId="0" applyFont="1" applyAlignment="1">
      <alignment horizontal="center"/>
    </xf>
    <xf numFmtId="0" fontId="4" fillId="0" borderId="0" xfId="0" applyFont="1" applyAlignment="1">
      <alignment horizontal="center"/>
    </xf>
    <xf numFmtId="0" fontId="14" fillId="0" borderId="3" xfId="0" applyFont="1" applyBorder="1" applyAlignment="1">
      <alignment horizontal="center" vertical="center"/>
    </xf>
    <xf numFmtId="0" fontId="4" fillId="0" borderId="3" xfId="0" applyFont="1" applyBorder="1" applyAlignment="1">
      <alignment horizontal="center" vertical="center"/>
    </xf>
    <xf numFmtId="225" fontId="4" fillId="0" borderId="28" xfId="0" applyNumberFormat="1" applyFont="1" applyBorder="1" applyAlignment="1">
      <alignment horizontal="center" vertical="center"/>
    </xf>
    <xf numFmtId="225" fontId="4" fillId="0" borderId="30" xfId="0" applyNumberFormat="1" applyFont="1" applyBorder="1" applyAlignment="1">
      <alignment horizontal="center" vertical="center"/>
    </xf>
    <xf numFmtId="225" fontId="4" fillId="0" borderId="31" xfId="0" applyNumberFormat="1" applyFont="1" applyBorder="1" applyAlignment="1">
      <alignment horizontal="center" vertical="center"/>
    </xf>
    <xf numFmtId="49" fontId="14" fillId="4" borderId="27" xfId="0" applyNumberFormat="1" applyFont="1" applyFill="1" applyBorder="1" applyAlignment="1" applyProtection="1">
      <alignment horizontal="center" vertical="center"/>
      <protection locked="0"/>
    </xf>
    <xf numFmtId="49" fontId="14" fillId="4" borderId="35" xfId="0" applyNumberFormat="1" applyFont="1" applyFill="1" applyBorder="1" applyAlignment="1" applyProtection="1">
      <alignment horizontal="center" vertical="center"/>
      <protection locked="0"/>
    </xf>
    <xf numFmtId="49" fontId="14" fillId="4" borderId="0" xfId="0" applyNumberFormat="1" applyFont="1" applyFill="1" applyAlignment="1" applyProtection="1">
      <alignment horizontal="center" vertical="center"/>
      <protection locked="0"/>
    </xf>
    <xf numFmtId="49" fontId="14" fillId="4" borderId="18" xfId="0" applyNumberFormat="1" applyFont="1" applyFill="1" applyBorder="1" applyAlignment="1" applyProtection="1">
      <alignment horizontal="center" vertical="center"/>
      <protection locked="0"/>
    </xf>
    <xf numFmtId="49" fontId="14" fillId="4" borderId="21" xfId="0" applyNumberFormat="1" applyFont="1" applyFill="1" applyBorder="1" applyAlignment="1" applyProtection="1">
      <alignment horizontal="center" vertical="center"/>
      <protection locked="0"/>
    </xf>
    <xf numFmtId="49" fontId="14" fillId="4" borderId="46" xfId="0" applyNumberFormat="1" applyFont="1" applyFill="1" applyBorder="1" applyAlignment="1" applyProtection="1">
      <alignment horizontal="center" vertical="center"/>
      <protection locked="0"/>
    </xf>
    <xf numFmtId="49" fontId="14" fillId="4" borderId="19" xfId="0" applyNumberFormat="1" applyFont="1" applyFill="1" applyBorder="1" applyAlignment="1" applyProtection="1">
      <alignment horizontal="center" vertical="center"/>
      <protection locked="0"/>
    </xf>
    <xf numFmtId="49" fontId="14" fillId="4" borderId="13" xfId="0" applyNumberFormat="1" applyFont="1" applyFill="1" applyBorder="1" applyAlignment="1" applyProtection="1">
      <alignment horizontal="center" vertical="center"/>
      <protection locked="0"/>
    </xf>
    <xf numFmtId="49" fontId="14" fillId="4" borderId="9" xfId="0" applyNumberFormat="1" applyFont="1" applyFill="1" applyBorder="1" applyAlignment="1" applyProtection="1">
      <alignment horizontal="center" vertical="center"/>
      <protection locked="0"/>
    </xf>
    <xf numFmtId="0" fontId="4" fillId="0" borderId="19" xfId="0" applyFont="1" applyBorder="1" applyAlignment="1">
      <alignment horizontal="center" vertical="center"/>
    </xf>
    <xf numFmtId="0" fontId="74" fillId="0" borderId="0" xfId="0" applyFont="1" applyAlignment="1">
      <alignment horizontal="center"/>
    </xf>
    <xf numFmtId="0" fontId="70" fillId="0" borderId="0" xfId="0" applyFont="1" applyAlignment="1">
      <alignment horizontal="center"/>
    </xf>
    <xf numFmtId="0" fontId="14" fillId="0" borderId="14" xfId="0" applyFont="1" applyBorder="1" applyAlignment="1">
      <alignment horizontal="center" vertical="center"/>
    </xf>
    <xf numFmtId="0" fontId="14" fillId="0" borderId="12" xfId="0" applyFont="1" applyBorder="1" applyAlignment="1">
      <alignment horizontal="center" vertical="center"/>
    </xf>
    <xf numFmtId="0" fontId="96" fillId="0" borderId="0" xfId="0" applyFont="1" applyAlignment="1">
      <alignment horizontal="left" vertical="top"/>
    </xf>
    <xf numFmtId="0" fontId="61" fillId="0" borderId="0" xfId="0" applyFont="1" applyAlignment="1">
      <alignment horizontal="left" vertical="top"/>
    </xf>
    <xf numFmtId="0" fontId="96" fillId="0" borderId="0" xfId="0" applyFont="1" applyAlignment="1">
      <alignment horizontal="left"/>
    </xf>
    <xf numFmtId="0" fontId="61" fillId="0" borderId="0" xfId="0" applyFont="1" applyAlignment="1">
      <alignment horizontal="left"/>
    </xf>
    <xf numFmtId="0" fontId="14" fillId="0" borderId="14" xfId="0" applyFont="1" applyBorder="1" applyAlignment="1">
      <alignment horizontal="center" vertical="center" wrapText="1"/>
    </xf>
    <xf numFmtId="0" fontId="14" fillId="0" borderId="12" xfId="0" applyFont="1" applyBorder="1" applyAlignment="1">
      <alignment horizontal="center" vertical="center" wrapText="1"/>
    </xf>
    <xf numFmtId="0" fontId="4" fillId="0" borderId="0" xfId="0" applyFont="1" applyAlignment="1">
      <alignment horizontal="center" wrapText="1"/>
    </xf>
    <xf numFmtId="0" fontId="14" fillId="0" borderId="42"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0" xfId="0" applyFont="1" applyAlignment="1">
      <alignment horizontal="center" vertical="center" wrapText="1"/>
    </xf>
    <xf numFmtId="225" fontId="14" fillId="0" borderId="2" xfId="0" applyNumberFormat="1" applyFont="1" applyBorder="1" applyAlignment="1">
      <alignment horizontal="right"/>
    </xf>
    <xf numFmtId="225" fontId="14" fillId="0" borderId="8" xfId="0" applyNumberFormat="1" applyFont="1" applyBorder="1" applyAlignment="1">
      <alignment horizontal="right"/>
    </xf>
    <xf numFmtId="0" fontId="14" fillId="0" borderId="2" xfId="0" applyFont="1" applyBorder="1" applyAlignment="1">
      <alignment horizontal="right"/>
    </xf>
    <xf numFmtId="0" fontId="14" fillId="0" borderId="8" xfId="0" applyFont="1" applyBorder="1" applyAlignment="1">
      <alignment horizontal="right"/>
    </xf>
    <xf numFmtId="0" fontId="14" fillId="0" borderId="5" xfId="0" applyFont="1" applyBorder="1" applyAlignment="1">
      <alignment horizontal="left"/>
    </xf>
    <xf numFmtId="0" fontId="14" fillId="0" borderId="2" xfId="0" applyFont="1" applyBorder="1" applyAlignment="1">
      <alignment horizontal="left"/>
    </xf>
    <xf numFmtId="0" fontId="5" fillId="4" borderId="5" xfId="0" applyFont="1" applyFill="1" applyBorder="1" applyAlignment="1">
      <alignment horizontal="center"/>
    </xf>
    <xf numFmtId="0" fontId="6" fillId="4" borderId="2" xfId="0" applyFont="1" applyFill="1" applyBorder="1" applyAlignment="1">
      <alignment horizontal="center"/>
    </xf>
    <xf numFmtId="0" fontId="6" fillId="4" borderId="8" xfId="0" applyFont="1" applyFill="1" applyBorder="1" applyAlignment="1">
      <alignment horizontal="center"/>
    </xf>
    <xf numFmtId="0" fontId="5" fillId="0" borderId="5" xfId="0" applyFont="1" applyBorder="1" applyAlignment="1">
      <alignment horizontal="left"/>
    </xf>
    <xf numFmtId="0" fontId="5" fillId="0" borderId="2" xfId="0" applyFont="1" applyBorder="1" applyAlignment="1">
      <alignment horizontal="left"/>
    </xf>
    <xf numFmtId="225" fontId="4" fillId="0" borderId="2" xfId="0" applyNumberFormat="1" applyFont="1" applyBorder="1" applyAlignment="1">
      <alignment horizontal="right"/>
    </xf>
    <xf numFmtId="225" fontId="4" fillId="0" borderId="8" xfId="0" applyNumberFormat="1" applyFont="1" applyBorder="1" applyAlignment="1">
      <alignment horizontal="right"/>
    </xf>
    <xf numFmtId="225" fontId="4" fillId="0" borderId="27" xfId="0" applyNumberFormat="1" applyFont="1" applyBorder="1" applyAlignment="1">
      <alignment horizontal="right"/>
    </xf>
    <xf numFmtId="0" fontId="14" fillId="0" borderId="3" xfId="0" applyFont="1" applyBorder="1" applyAlignment="1">
      <alignment horizontal="center"/>
    </xf>
    <xf numFmtId="0" fontId="14" fillId="0" borderId="17" xfId="0" applyFont="1" applyBorder="1"/>
    <xf numFmtId="0" fontId="14" fillId="0" borderId="0" xfId="0" applyFont="1"/>
    <xf numFmtId="0" fontId="14" fillId="0" borderId="18" xfId="0" applyFont="1" applyBorder="1"/>
    <xf numFmtId="0" fontId="121" fillId="0" borderId="17" xfId="0" applyFont="1" applyBorder="1"/>
    <xf numFmtId="0" fontId="121" fillId="0" borderId="0" xfId="0" applyFont="1"/>
    <xf numFmtId="0" fontId="121" fillId="0" borderId="18" xfId="0" applyFont="1" applyBorder="1"/>
    <xf numFmtId="0" fontId="14" fillId="3" borderId="0" xfId="0" applyFont="1" applyFill="1" applyAlignment="1">
      <alignment horizontal="center"/>
    </xf>
    <xf numFmtId="14" fontId="5" fillId="3" borderId="0" xfId="0" applyNumberFormat="1" applyFont="1" applyFill="1" applyAlignment="1">
      <alignment horizontal="center"/>
    </xf>
    <xf numFmtId="0" fontId="14" fillId="3" borderId="21" xfId="0" applyFont="1" applyFill="1" applyBorder="1" applyAlignment="1">
      <alignment horizontal="center"/>
    </xf>
    <xf numFmtId="0" fontId="11" fillId="4" borderId="0" xfId="0" quotePrefix="1" applyFont="1" applyFill="1" applyAlignment="1" applyProtection="1">
      <alignment horizontal="left"/>
      <protection hidden="1"/>
    </xf>
    <xf numFmtId="0" fontId="11" fillId="4" borderId="0" xfId="0" applyFont="1" applyFill="1" applyAlignment="1" applyProtection="1">
      <alignment horizontal="left"/>
      <protection hidden="1"/>
    </xf>
    <xf numFmtId="0" fontId="11" fillId="0" borderId="0" xfId="0" applyFont="1" applyAlignment="1" applyProtection="1">
      <alignment horizontal="left"/>
      <protection hidden="1"/>
    </xf>
    <xf numFmtId="0" fontId="145" fillId="0" borderId="0" xfId="0" applyFont="1" applyAlignment="1" applyProtection="1">
      <alignment horizontal="left"/>
      <protection hidden="1"/>
    </xf>
    <xf numFmtId="0" fontId="10" fillId="2" borderId="0" xfId="0" quotePrefix="1" applyFont="1" applyFill="1" applyAlignment="1" applyProtection="1">
      <alignment horizontal="left"/>
      <protection hidden="1"/>
    </xf>
    <xf numFmtId="0" fontId="11" fillId="2" borderId="0" xfId="0" applyFont="1" applyFill="1" applyAlignment="1" applyProtection="1">
      <alignment horizontal="left"/>
      <protection hidden="1"/>
    </xf>
    <xf numFmtId="0" fontId="10" fillId="2" borderId="0" xfId="0" applyFont="1" applyFill="1" applyAlignment="1" applyProtection="1">
      <alignment horizontal="left"/>
      <protection hidden="1"/>
    </xf>
    <xf numFmtId="0" fontId="10" fillId="2" borderId="0" xfId="0" applyFont="1" applyFill="1" applyAlignment="1" applyProtection="1">
      <alignment horizontal="center"/>
      <protection hidden="1"/>
    </xf>
    <xf numFmtId="0" fontId="5"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87" fillId="0" borderId="0" xfId="0" applyFont="1" applyAlignment="1" applyProtection="1">
      <alignment horizontal="left" wrapText="1"/>
      <protection hidden="1"/>
    </xf>
    <xf numFmtId="0" fontId="10" fillId="0" borderId="0" xfId="0" applyFont="1" applyAlignment="1" applyProtection="1">
      <alignment horizontal="left"/>
      <protection hidden="1"/>
    </xf>
    <xf numFmtId="0" fontId="10" fillId="0" borderId="0" xfId="0" quotePrefix="1" applyFont="1" applyAlignment="1" applyProtection="1">
      <alignment horizontal="left" vertical="justify"/>
      <protection hidden="1"/>
    </xf>
    <xf numFmtId="0" fontId="10" fillId="0" borderId="0" xfId="0" applyFont="1" applyAlignment="1" applyProtection="1">
      <alignment horizontal="center" vertical="center"/>
      <protection hidden="1"/>
    </xf>
    <xf numFmtId="0" fontId="159" fillId="0" borderId="0" xfId="0" applyFont="1" applyAlignment="1" applyProtection="1">
      <alignment horizontal="center"/>
      <protection hidden="1"/>
    </xf>
    <xf numFmtId="0" fontId="10" fillId="0" borderId="0" xfId="0" applyFont="1" applyAlignment="1" applyProtection="1">
      <alignment horizontal="center"/>
      <protection hidden="1"/>
    </xf>
    <xf numFmtId="0" fontId="14" fillId="0" borderId="0" xfId="0" quotePrefix="1" applyFont="1" applyAlignment="1">
      <alignment horizontal="left" vertical="justify" wrapText="1"/>
    </xf>
    <xf numFmtId="0" fontId="11" fillId="0" borderId="17" xfId="0" applyFont="1" applyBorder="1" applyAlignment="1">
      <alignment horizontal="center"/>
    </xf>
    <xf numFmtId="0" fontId="11" fillId="0" borderId="0" xfId="0" applyFont="1" applyAlignment="1">
      <alignment horizontal="center"/>
    </xf>
    <xf numFmtId="0" fontId="11" fillId="0" borderId="18" xfId="0" applyFont="1" applyBorder="1" applyAlignment="1">
      <alignment horizontal="center"/>
    </xf>
    <xf numFmtId="0" fontId="11" fillId="0" borderId="5" xfId="0" applyFont="1" applyBorder="1" applyAlignment="1">
      <alignment horizontal="center" vertical="center"/>
    </xf>
    <xf numFmtId="0" fontId="11" fillId="0" borderId="2" xfId="0" applyFont="1" applyBorder="1" applyAlignment="1">
      <alignment horizontal="center" vertical="center"/>
    </xf>
    <xf numFmtId="0" fontId="11" fillId="0" borderId="8" xfId="0" applyFont="1" applyBorder="1" applyAlignment="1">
      <alignment horizontal="center" vertical="center"/>
    </xf>
    <xf numFmtId="0" fontId="10" fillId="0" borderId="20" xfId="0" applyFont="1" applyBorder="1" applyAlignment="1">
      <alignment horizontal="center" vertical="center"/>
    </xf>
    <xf numFmtId="0" fontId="10" fillId="0" borderId="15" xfId="0" applyFont="1" applyBorder="1" applyAlignment="1">
      <alignment horizontal="center" vertical="center"/>
    </xf>
    <xf numFmtId="0" fontId="11" fillId="4" borderId="5" xfId="0" applyFont="1" applyFill="1" applyBorder="1" applyAlignment="1">
      <alignment horizontal="center" vertical="center"/>
    </xf>
    <xf numFmtId="0" fontId="11" fillId="4" borderId="8" xfId="0" applyFont="1" applyFill="1" applyBorder="1" applyAlignment="1">
      <alignment horizontal="center" vertical="center"/>
    </xf>
    <xf numFmtId="0" fontId="10" fillId="0" borderId="34" xfId="0" applyFont="1" applyBorder="1" applyAlignment="1">
      <alignment horizontal="center" vertical="center"/>
    </xf>
    <xf numFmtId="0" fontId="10" fillId="0" borderId="39" xfId="0" applyFont="1" applyBorder="1" applyAlignment="1">
      <alignment horizontal="center" vertical="center"/>
    </xf>
    <xf numFmtId="0" fontId="7" fillId="0" borderId="0" xfId="0" applyFont="1"/>
    <xf numFmtId="0" fontId="196" fillId="0" borderId="0" xfId="0" applyFont="1" applyAlignment="1">
      <alignment horizontal="center" vertical="center"/>
    </xf>
    <xf numFmtId="0" fontId="196" fillId="0" borderId="27" xfId="0" applyFont="1" applyBorder="1" applyAlignment="1">
      <alignment horizontal="center" vertical="center"/>
    </xf>
    <xf numFmtId="0" fontId="8" fillId="0" borderId="0" xfId="0" applyFont="1" applyAlignment="1">
      <alignment horizontal="center" vertical="center" wrapText="1"/>
    </xf>
    <xf numFmtId="0" fontId="7" fillId="0" borderId="14" xfId="0" applyFont="1" applyBorder="1" applyAlignment="1">
      <alignment vertical="center"/>
    </xf>
    <xf numFmtId="0" fontId="8" fillId="0" borderId="10" xfId="0" applyFont="1" applyBorder="1" applyAlignment="1">
      <alignment vertical="center"/>
    </xf>
    <xf numFmtId="0" fontId="179" fillId="0" borderId="0" xfId="0" applyFont="1" applyAlignment="1">
      <alignment horizontal="center" wrapText="1"/>
    </xf>
    <xf numFmtId="0" fontId="7" fillId="0" borderId="0" xfId="0" applyFont="1" applyAlignment="1">
      <alignment vertical="center"/>
    </xf>
  </cellXfs>
  <cellStyles count="1734">
    <cellStyle name="_x0001_" xfId="1" xr:uid="{00000000-0005-0000-0000-000000000000}"/>
    <cellStyle name="          _x000d__x000a_shell=progman.exe_x000d__x000a_m" xfId="1634" xr:uid="{EFECEDDD-D1F7-4338-807D-91D77ABD5471}"/>
    <cellStyle name="??" xfId="2" xr:uid="{00000000-0005-0000-0000-000001000000}"/>
    <cellStyle name="?? [0.00]_List-dwg" xfId="3" xr:uid="{00000000-0005-0000-0000-000002000000}"/>
    <cellStyle name="?? [0]" xfId="4" xr:uid="{00000000-0005-0000-0000-000003000000}"/>
    <cellStyle name="?? [0] 2" xfId="5" xr:uid="{00000000-0005-0000-0000-000004000000}"/>
    <cellStyle name="?? 2" xfId="6" xr:uid="{00000000-0005-0000-0000-000005000000}"/>
    <cellStyle name="?? 3" xfId="7" xr:uid="{00000000-0005-0000-0000-000006000000}"/>
    <cellStyle name="?? 4" xfId="8" xr:uid="{00000000-0005-0000-0000-000007000000}"/>
    <cellStyle name="?? 5" xfId="9" xr:uid="{00000000-0005-0000-0000-000008000000}"/>
    <cellStyle name="???? [0.00]_List-dwg" xfId="10" xr:uid="{00000000-0005-0000-0000-000009000000}"/>
    <cellStyle name="????_List-dwg" xfId="11" xr:uid="{00000000-0005-0000-0000-00000A000000}"/>
    <cellStyle name="???[0]_Book1" xfId="12" xr:uid="{00000000-0005-0000-0000-00000B000000}"/>
    <cellStyle name="???_95" xfId="13" xr:uid="{00000000-0005-0000-0000-00000C000000}"/>
    <cellStyle name="??_ ??? ???? " xfId="14" xr:uid="{00000000-0005-0000-0000-00000D000000}"/>
    <cellStyle name="??_kc-elec system check list" xfId="15" xr:uid="{00000000-0005-0000-0000-00000E000000}"/>
    <cellStyle name="??A? [0]_ÿÿÿÿÿÿ_1_¢¬???¢â? " xfId="1635" xr:uid="{D98ADF22-0DA1-4FA1-A8E7-3B4CB750CCCB}"/>
    <cellStyle name="??A?_ÿÿÿÿÿÿ_1_¢¬???¢â? " xfId="1636" xr:uid="{FF388440-6088-4D37-BABA-20849F8FADC6}"/>
    <cellStyle name="?¡±¢¥?_?¨ù??¢´¢¥_¢¬???¢â? " xfId="1637" xr:uid="{69EA8A59-93A4-4618-A1E4-2B1E246B0184}"/>
    <cellStyle name="_x0001_?¶æµ_x001b_ºß­ " xfId="1638" xr:uid="{1F20A1F5-D567-4893-8B74-B2AE957A75E5}"/>
    <cellStyle name="_Book1" xfId="16" xr:uid="{00000000-0005-0000-0000-00000F000000}"/>
    <cellStyle name="_Book1 2" xfId="17" xr:uid="{00000000-0005-0000-0000-000010000000}"/>
    <cellStyle name="_Book1 2 2" xfId="1353" xr:uid="{47803C8D-0A03-4789-A5C2-C03CBF8D74FA}"/>
    <cellStyle name="_Book1 3" xfId="1354" xr:uid="{C121F110-9373-4B7D-AB2B-52A7E5ED903A}"/>
    <cellStyle name="_Book1_1" xfId="18" xr:uid="{00000000-0005-0000-0000-000011000000}"/>
    <cellStyle name="_Book1_1 2" xfId="1355" xr:uid="{6F1A8439-993B-45ED-8DF3-CF2A777B9595}"/>
    <cellStyle name="_Book1_1_Book1" xfId="19" xr:uid="{00000000-0005-0000-0000-000012000000}"/>
    <cellStyle name="_Book1_1_Book1 2" xfId="20" xr:uid="{00000000-0005-0000-0000-000013000000}"/>
    <cellStyle name="_Book1_1_Book1 2 2" xfId="1356" xr:uid="{D8E3E254-A4A4-45A7-93AA-278D4672B73C}"/>
    <cellStyle name="_Book1_1_Book1 3" xfId="1357" xr:uid="{D542101D-4441-49D4-AAD0-0DD23E616996}"/>
    <cellStyle name="_Book1_1_Can Tho DINH MUC lao dong 20-09-2004" xfId="21" xr:uid="{00000000-0005-0000-0000-000014000000}"/>
    <cellStyle name="_Book1_1_Can Tho DINH MUC lao dong 20-09-2004 2" xfId="1358" xr:uid="{B7DB7610-DD38-405E-93F1-9DECC7B26A00}"/>
    <cellStyle name="_Book1_1_ÿÿÿÿÿ" xfId="22" xr:uid="{00000000-0005-0000-0000-000015000000}"/>
    <cellStyle name="_Book1_2" xfId="23" xr:uid="{00000000-0005-0000-0000-000016000000}"/>
    <cellStyle name="_Book1_2 2" xfId="1359" xr:uid="{64D8E68C-6112-403F-AEB7-99870A13F8C8}"/>
    <cellStyle name="_Book1_2_Book1" xfId="24" xr:uid="{00000000-0005-0000-0000-000017000000}"/>
    <cellStyle name="_Book1_2_Book1 2" xfId="1360" xr:uid="{0FC159CA-6755-4D60-BA2F-D0DAF3B6980A}"/>
    <cellStyle name="_Book1_2_ÿÿÿÿÿ" xfId="25" xr:uid="{00000000-0005-0000-0000-000018000000}"/>
    <cellStyle name="_Book1_2_ÿÿÿÿÿ 2" xfId="1361" xr:uid="{C8158BB6-0C06-4FD4-8A09-5F2BCACD193B}"/>
    <cellStyle name="_Book1_3" xfId="26" xr:uid="{00000000-0005-0000-0000-000019000000}"/>
    <cellStyle name="_Book1_3 2" xfId="27" xr:uid="{00000000-0005-0000-0000-00001A000000}"/>
    <cellStyle name="_Book1_3 2 2" xfId="1362" xr:uid="{0EA54F54-CE28-4ECC-9E96-6592AD2BFD81}"/>
    <cellStyle name="_Book1_3 3" xfId="1363" xr:uid="{D09A484F-FB35-4750-ADA2-82DADF7E775B}"/>
    <cellStyle name="_Book1_4" xfId="28" xr:uid="{00000000-0005-0000-0000-00001B000000}"/>
    <cellStyle name="_Book1_4 2" xfId="1364" xr:uid="{0C77FF04-7AAD-4914-8B7A-F16326E33108}"/>
    <cellStyle name="_Book1_BC-QT-WB-dthao" xfId="29" xr:uid="{00000000-0005-0000-0000-00001C000000}"/>
    <cellStyle name="_Book1_BC-QT-WB-dthao 2" xfId="1365" xr:uid="{7B8A641C-C91B-42EF-85B2-6E59BD80D42F}"/>
    <cellStyle name="_Book1_Book1" xfId="30" xr:uid="{00000000-0005-0000-0000-00001D000000}"/>
    <cellStyle name="_Book1_Book1 2" xfId="31" xr:uid="{00000000-0005-0000-0000-00001E000000}"/>
    <cellStyle name="_Book1_Book1 2 2" xfId="1366" xr:uid="{209DD222-93E4-49F6-83EE-129A0335DBE9}"/>
    <cellStyle name="_Book1_Book1 3" xfId="1367" xr:uid="{C0042029-419B-41EF-AA12-6189A451419F}"/>
    <cellStyle name="_Book1_Book1_1" xfId="32" xr:uid="{00000000-0005-0000-0000-00001F000000}"/>
    <cellStyle name="_Book1_Book1_1 2" xfId="33" xr:uid="{00000000-0005-0000-0000-000020000000}"/>
    <cellStyle name="_Book1_Book1_1 2 2" xfId="1368" xr:uid="{69A8842A-4AB6-46E7-9D69-924D2100E47E}"/>
    <cellStyle name="_Book1_Book1_1 3" xfId="1369" xr:uid="{6858DF26-977C-446A-97BB-0D8FEAEFB5D5}"/>
    <cellStyle name="_Book1_Book1_2" xfId="34" xr:uid="{00000000-0005-0000-0000-000021000000}"/>
    <cellStyle name="_Book1_Book1_2 2" xfId="1370" xr:uid="{5482BA19-8EC1-46B4-BC6B-57015C4A0000}"/>
    <cellStyle name="_Book1_Book1_MAU du toan" xfId="35" xr:uid="{00000000-0005-0000-0000-000022000000}"/>
    <cellStyle name="_Book1_Book1_MAU du toan 2" xfId="1371" xr:uid="{0098FB7A-662E-41BE-8F8B-B155749EB32F}"/>
    <cellStyle name="_Book1_Book1_ÿÿÿÿÿ" xfId="36" xr:uid="{00000000-0005-0000-0000-000023000000}"/>
    <cellStyle name="_Book1_Can Tho DINH MUC lao dong 20-09-2004" xfId="37" xr:uid="{00000000-0005-0000-0000-000024000000}"/>
    <cellStyle name="_Book1_Can Tho DINH MUC lao dong 20-09-2004 2" xfId="1372" xr:uid="{7754FD3A-FE34-4D39-AD8E-1C9AD3CF2298}"/>
    <cellStyle name="_Book1_dongia" xfId="38" xr:uid="{00000000-0005-0000-0000-000025000000}"/>
    <cellStyle name="_Book1_dongia 2" xfId="1373" xr:uid="{E74BB05C-0750-4B3C-807A-74FC66283E58}"/>
    <cellStyle name="_Book1_MAU du toan" xfId="39" xr:uid="{00000000-0005-0000-0000-000026000000}"/>
    <cellStyle name="_Book1_MAU du toan 2" xfId="1374" xr:uid="{624762F0-F659-445F-B97B-EF4584F4B70F}"/>
    <cellStyle name="_Book1_mauBCC" xfId="40" xr:uid="{00000000-0005-0000-0000-000027000000}"/>
    <cellStyle name="_Book1_mauBCC 2" xfId="1375" xr:uid="{36A78DDF-0CB5-42EE-AA1A-D5244738B223}"/>
    <cellStyle name="_Book1_maubieuthuthap phandien" xfId="41" xr:uid="{00000000-0005-0000-0000-000028000000}"/>
    <cellStyle name="_Book1_maubieuthuthap phandien 2" xfId="1376" xr:uid="{6929EAA4-DC88-4F2A-B67E-FB4FD297B9F0}"/>
    <cellStyle name="_Book1_QD DIEU MBA" xfId="42" xr:uid="{00000000-0005-0000-0000-000029000000}"/>
    <cellStyle name="_Book1_QD DIEU MBA 2" xfId="1377" xr:uid="{AB99A5AA-3224-43A2-8A3C-BCC47FC1CE9F}"/>
    <cellStyle name="_Book1_QD DIEU MBA_ÿÿÿÿÿ" xfId="43" xr:uid="{00000000-0005-0000-0000-00002A000000}"/>
    <cellStyle name="_Book1_QD DIEU MBA_ÿÿÿÿÿ 2" xfId="1378" xr:uid="{060559F8-A215-4218-808A-018CFEB19280}"/>
    <cellStyle name="_Book1_TKHC-THOIQUAN-05-04-2004" xfId="44" xr:uid="{00000000-0005-0000-0000-00002B000000}"/>
    <cellStyle name="_Book1_TKHC-THOIQUAN-05-04-2004 2" xfId="1379" xr:uid="{32836A6C-043F-4A2E-A1FF-6D96DE2A0EE5}"/>
    <cellStyle name="_Book1_TSH - DINH MUC" xfId="45" xr:uid="{00000000-0005-0000-0000-00002C000000}"/>
    <cellStyle name="_Book1_TSH - DINH MUC 2" xfId="1380" xr:uid="{0E33ED49-494E-4A0E-AB09-DE2FDD51783B}"/>
    <cellStyle name="_Book1_ÿÿÿÿÿ" xfId="46" xr:uid="{00000000-0005-0000-0000-00002D000000}"/>
    <cellStyle name="_Book1_ÿÿÿÿÿ 2" xfId="47" xr:uid="{00000000-0005-0000-0000-00002E000000}"/>
    <cellStyle name="_Book1_ÿÿÿÿÿ 3" xfId="48" xr:uid="{00000000-0005-0000-0000-00002F000000}"/>
    <cellStyle name="_Book1_ÿÿÿÿÿ 4" xfId="1381" xr:uid="{5FA356BB-619C-4F34-A5BA-9025C0CDD279}"/>
    <cellStyle name="_Book1_ÿÿÿÿÿ_1" xfId="49" xr:uid="{00000000-0005-0000-0000-000030000000}"/>
    <cellStyle name="_Book1_ÿÿÿÿÿ_1 2" xfId="1382" xr:uid="{D48BFB6B-67F9-42F0-9788-B56D81B4AA16}"/>
    <cellStyle name="_Book1_ÿÿÿÿÿ_2" xfId="50" xr:uid="{00000000-0005-0000-0000-000031000000}"/>
    <cellStyle name="_Book1_ÿÿÿÿÿ_2 2" xfId="1383" xr:uid="{7234B696-8CB9-48E4-8C2F-1F7486AEEEC7}"/>
    <cellStyle name="_Can Tho DINH MUC lao dong 20-09-2004" xfId="51" xr:uid="{00000000-0005-0000-0000-000032000000}"/>
    <cellStyle name="_Can Tho DINH MUC lao dong 20-09-2004 2" xfId="1384" xr:uid="{D9849099-70C9-41CE-844F-C612BE563832}"/>
    <cellStyle name="_DM.NHANCONG" xfId="52" xr:uid="{00000000-0005-0000-0000-000033000000}"/>
    <cellStyle name="_DM.NHANCONG 2" xfId="1385" xr:uid="{0C7A1F86-6476-4ED2-B244-1731AF4B1D1E}"/>
    <cellStyle name="_dongia" xfId="53" xr:uid="{00000000-0005-0000-0000-000034000000}"/>
    <cellStyle name="_dongia 2" xfId="1386" xr:uid="{115B7118-DDC8-4C00-A338-F10FB7469E41}"/>
    <cellStyle name="_Dtoan1MBT3pha" xfId="54" xr:uid="{00000000-0005-0000-0000-000035000000}"/>
    <cellStyle name="_Dtoan1MBT3pha 2" xfId="55" xr:uid="{00000000-0005-0000-0000-000036000000}"/>
    <cellStyle name="_Dtoan1MBT3pha 3" xfId="56" xr:uid="{00000000-0005-0000-0000-000037000000}"/>
    <cellStyle name="_Dtoan1MBT3pha 4" xfId="1387" xr:uid="{2CDA925B-A584-4D8C-A2D3-34362D0DA5B4}"/>
    <cellStyle name="_Dtoan1MBT3pha_1" xfId="57" xr:uid="{00000000-0005-0000-0000-000038000000}"/>
    <cellStyle name="_Dtoan1MBT3pha_1 2" xfId="58" xr:uid="{00000000-0005-0000-0000-000039000000}"/>
    <cellStyle name="_Dtoan1MBT3pha_1 3" xfId="59" xr:uid="{00000000-0005-0000-0000-00003A000000}"/>
    <cellStyle name="_Dtoan1MBT3pha_1 4" xfId="1388" xr:uid="{E48256A0-ABE1-47BB-B4CE-678784C0FF58}"/>
    <cellStyle name="_DUTOAN_DAMDOI_PD1" xfId="60" xr:uid="{00000000-0005-0000-0000-00003B000000}"/>
    <cellStyle name="_DUTOAN_DAMDOI_PD1 2" xfId="1389" xr:uid="{0C313297-8A94-4E91-A8BF-9B8BA68AE653}"/>
    <cellStyle name="_KT (2)" xfId="61" xr:uid="{00000000-0005-0000-0000-00003C000000}"/>
    <cellStyle name="_KT (2) 2" xfId="62" xr:uid="{00000000-0005-0000-0000-00003D000000}"/>
    <cellStyle name="_KT (2) 2 2" xfId="1390" xr:uid="{5547BF87-08D8-447A-A60C-4086114BEFE4}"/>
    <cellStyle name="_KT (2) 3" xfId="1391" xr:uid="{68B21A21-898B-4507-BEA8-ACEBD52B918F}"/>
    <cellStyle name="_KT (2)_1" xfId="63" xr:uid="{00000000-0005-0000-0000-00003E000000}"/>
    <cellStyle name="_KT (2)_1 2" xfId="1392" xr:uid="{059CF232-6B32-4E1C-86ED-A60D3DF6BD54}"/>
    <cellStyle name="_KT (2)_1_Lora-tungchau" xfId="64" xr:uid="{00000000-0005-0000-0000-00003F000000}"/>
    <cellStyle name="_KT (2)_1_Lora-tungchau 2" xfId="1393" xr:uid="{B1282155-69BD-4E13-A10F-9791AA532B6F}"/>
    <cellStyle name="_KT (2)_1_Qt-HT3PQ1(CauKho)" xfId="65" xr:uid="{00000000-0005-0000-0000-000040000000}"/>
    <cellStyle name="_KT (2)_2" xfId="66" xr:uid="{00000000-0005-0000-0000-000041000000}"/>
    <cellStyle name="_KT (2)_2_TG-TH" xfId="67" xr:uid="{00000000-0005-0000-0000-000042000000}"/>
    <cellStyle name="_KT (2)_2_TG-TH 2" xfId="68" xr:uid="{00000000-0005-0000-0000-000043000000}"/>
    <cellStyle name="_KT (2)_2_TG-TH_BAO CAO KLCT PT2000" xfId="69" xr:uid="{00000000-0005-0000-0000-000044000000}"/>
    <cellStyle name="_KT (2)_2_TG-TH_BAO CAO PT2000" xfId="70" xr:uid="{00000000-0005-0000-0000-000045000000}"/>
    <cellStyle name="_KT (2)_2_TG-TH_BAO CAO PT2000_Book1" xfId="71" xr:uid="{00000000-0005-0000-0000-000046000000}"/>
    <cellStyle name="_KT (2)_2_TG-TH_Bao cao XDCB 2001 - T11 KH dieu chinh 20-11-THAI" xfId="72" xr:uid="{00000000-0005-0000-0000-000047000000}"/>
    <cellStyle name="_KT (2)_2_TG-TH_Book1" xfId="73" xr:uid="{00000000-0005-0000-0000-000048000000}"/>
    <cellStyle name="_KT (2)_2_TG-TH_Book1 2" xfId="74" xr:uid="{00000000-0005-0000-0000-000049000000}"/>
    <cellStyle name="_KT (2)_2_TG-TH_Book1_1" xfId="75" xr:uid="{00000000-0005-0000-0000-00004A000000}"/>
    <cellStyle name="_KT (2)_2_TG-TH_Book1_1_Book1" xfId="76" xr:uid="{00000000-0005-0000-0000-00004B000000}"/>
    <cellStyle name="_KT (2)_2_TG-TH_Book1_1_Book1 2" xfId="77" xr:uid="{00000000-0005-0000-0000-00004C000000}"/>
    <cellStyle name="_KT (2)_2_TG-TH_Book1_1_Book1 3" xfId="1394" xr:uid="{97F74524-88E2-4300-AFE9-1ECEC9948DBE}"/>
    <cellStyle name="_KT (2)_2_TG-TH_Book1_1_Book1_1" xfId="78" xr:uid="{00000000-0005-0000-0000-00004D000000}"/>
    <cellStyle name="_KT (2)_2_TG-TH_Book1_1_Can Tho DINH MUC lao dong 20-09-2004" xfId="79" xr:uid="{00000000-0005-0000-0000-00004E000000}"/>
    <cellStyle name="_KT (2)_2_TG-TH_Book1_1_ÿÿÿÿÿ" xfId="80" xr:uid="{00000000-0005-0000-0000-00004F000000}"/>
    <cellStyle name="_KT (2)_2_TG-TH_Book1_2" xfId="81" xr:uid="{00000000-0005-0000-0000-000050000000}"/>
    <cellStyle name="_KT (2)_2_TG-TH_Book1_2_Book1" xfId="82" xr:uid="{00000000-0005-0000-0000-000051000000}"/>
    <cellStyle name="_KT (2)_2_TG-TH_Book1_2_ÿÿÿÿÿ" xfId="83" xr:uid="{00000000-0005-0000-0000-000052000000}"/>
    <cellStyle name="_KT (2)_2_TG-TH_Book1_3" xfId="84" xr:uid="{00000000-0005-0000-0000-000053000000}"/>
    <cellStyle name="_KT (2)_2_TG-TH_Book1_4" xfId="85" xr:uid="{00000000-0005-0000-0000-000054000000}"/>
    <cellStyle name="_KT (2)_2_TG-TH_Book1_5" xfId="86" xr:uid="{00000000-0005-0000-0000-000055000000}"/>
    <cellStyle name="_KT (2)_2_TG-TH_Book1_Book1" xfId="87" xr:uid="{00000000-0005-0000-0000-000056000000}"/>
    <cellStyle name="_KT (2)_2_TG-TH_Book1_Book1 2" xfId="88" xr:uid="{00000000-0005-0000-0000-000057000000}"/>
    <cellStyle name="_KT (2)_2_TG-TH_Book1_Book1_1" xfId="89" xr:uid="{00000000-0005-0000-0000-000058000000}"/>
    <cellStyle name="_KT (2)_2_TG-TH_Book1_Book1_1 2" xfId="90" xr:uid="{00000000-0005-0000-0000-000059000000}"/>
    <cellStyle name="_KT (2)_2_TG-TH_Book1_Book1_2" xfId="91" xr:uid="{00000000-0005-0000-0000-00005A000000}"/>
    <cellStyle name="_KT (2)_2_TG-TH_Book1_Book1_Book1" xfId="92" xr:uid="{00000000-0005-0000-0000-00005B000000}"/>
    <cellStyle name="_KT (2)_2_TG-TH_Book1_Book1_MAU du toan" xfId="93" xr:uid="{00000000-0005-0000-0000-00005C000000}"/>
    <cellStyle name="_KT (2)_2_TG-TH_Book1_Book1_ÿÿÿÿÿ" xfId="94" xr:uid="{00000000-0005-0000-0000-00005D000000}"/>
    <cellStyle name="_KT (2)_2_TG-TH_Book1_Book1_ÿÿÿÿÿ 2" xfId="1395" xr:uid="{79BE1C7F-EED8-4AF6-B92F-52BC5634A364}"/>
    <cellStyle name="_KT (2)_2_TG-TH_Book1_Can Tho DINH MUC lao dong 20-09-2004" xfId="95" xr:uid="{00000000-0005-0000-0000-00005E000000}"/>
    <cellStyle name="_KT (2)_2_TG-TH_Book1_dongia" xfId="96" xr:uid="{00000000-0005-0000-0000-00005F000000}"/>
    <cellStyle name="_KT (2)_2_TG-TH_Book1_MAU du toan" xfId="97" xr:uid="{00000000-0005-0000-0000-000060000000}"/>
    <cellStyle name="_KT (2)_2_TG-TH_Book1_mauBCC" xfId="98" xr:uid="{00000000-0005-0000-0000-000061000000}"/>
    <cellStyle name="_KT (2)_2_TG-TH_Book1_maubieuthuthap phandien" xfId="99" xr:uid="{00000000-0005-0000-0000-000062000000}"/>
    <cellStyle name="_KT (2)_2_TG-TH_Book1_QD DIEU MBA" xfId="100" xr:uid="{00000000-0005-0000-0000-000063000000}"/>
    <cellStyle name="_KT (2)_2_TG-TH_Book1_TKHC-THOIQUAN-05-04-2004" xfId="101" xr:uid="{00000000-0005-0000-0000-000064000000}"/>
    <cellStyle name="_KT (2)_2_TG-TH_Book1_TSH - DINH MUC" xfId="102" xr:uid="{00000000-0005-0000-0000-000065000000}"/>
    <cellStyle name="_KT (2)_2_TG-TH_Book1_ÿÿÿÿÿ" xfId="103" xr:uid="{00000000-0005-0000-0000-000066000000}"/>
    <cellStyle name="_KT (2)_2_TG-TH_Book1_ÿÿÿÿÿ_1" xfId="104" xr:uid="{00000000-0005-0000-0000-000067000000}"/>
    <cellStyle name="_KT (2)_2_TG-TH_Book1_ÿÿÿÿÿ_2" xfId="105" xr:uid="{00000000-0005-0000-0000-000068000000}"/>
    <cellStyle name="_KT (2)_2_TG-TH_Can Tho DINH MUC lao dong 20-09-2004" xfId="106" xr:uid="{00000000-0005-0000-0000-000069000000}"/>
    <cellStyle name="_KT (2)_2_TG-TH_DAU NOI PL-CL TAI PHU LAMHC" xfId="107" xr:uid="{00000000-0005-0000-0000-00006A000000}"/>
    <cellStyle name="_KT (2)_2_TG-TH_Dcdtoan-bcnckt " xfId="1639" xr:uid="{72D9BF40-18AD-4A68-A1CA-9FABDD9F9E11}"/>
    <cellStyle name="_KT (2)_2_TG-TH_dongia" xfId="108" xr:uid="{00000000-0005-0000-0000-00006B000000}"/>
    <cellStyle name="_KT (2)_2_TG-TH_DTCDT MR.2N110.HOCMON.TDTOAN.CCUNG" xfId="109" xr:uid="{00000000-0005-0000-0000-00006C000000}"/>
    <cellStyle name="_KT (2)_2_TG-TH_DUTOAN_DAMDOI_PD1" xfId="110" xr:uid="{00000000-0005-0000-0000-00006D000000}"/>
    <cellStyle name="_KT (2)_2_TG-TH_Lora-tungchau" xfId="111" xr:uid="{00000000-0005-0000-0000-00006E000000}"/>
    <cellStyle name="_KT (2)_2_TG-TH_MAU du toan" xfId="112" xr:uid="{00000000-0005-0000-0000-00006F000000}"/>
    <cellStyle name="_KT (2)_2_TG-TH_mauBCC" xfId="113" xr:uid="{00000000-0005-0000-0000-000070000000}"/>
    <cellStyle name="_KT (2)_2_TG-TH_maubieuthuthap phandien" xfId="114" xr:uid="{00000000-0005-0000-0000-000071000000}"/>
    <cellStyle name="_KT (2)_2_TG-TH_PGIA-phieu tham tra Kho bac" xfId="115" xr:uid="{00000000-0005-0000-0000-000072000000}"/>
    <cellStyle name="_KT (2)_2_TG-TH_PT02-02" xfId="116" xr:uid="{00000000-0005-0000-0000-000073000000}"/>
    <cellStyle name="_KT (2)_2_TG-TH_PT02-02_Book1" xfId="117" xr:uid="{00000000-0005-0000-0000-000074000000}"/>
    <cellStyle name="_KT (2)_2_TG-TH_PT02-03" xfId="118" xr:uid="{00000000-0005-0000-0000-000075000000}"/>
    <cellStyle name="_KT (2)_2_TG-TH_PT02-03_Book1" xfId="119" xr:uid="{00000000-0005-0000-0000-000076000000}"/>
    <cellStyle name="_KT (2)_2_TG-TH_QD DIEU MBA" xfId="120" xr:uid="{00000000-0005-0000-0000-000077000000}"/>
    <cellStyle name="_KT (2)_2_TG-TH_QT TINH UNG 2002" xfId="121" xr:uid="{00000000-0005-0000-0000-000078000000}"/>
    <cellStyle name="_KT (2)_2_TG-TH_Qt-HT3PQ1(CauKho)" xfId="122" xr:uid="{00000000-0005-0000-0000-000079000000}"/>
    <cellStyle name="_KT (2)_2_TG-TH_TDT-MAU2" xfId="123" xr:uid="{00000000-0005-0000-0000-00007A000000}"/>
    <cellStyle name="_KT (2)_2_TG-TH_TKHC-THOIQUAN-05-04-2004" xfId="124" xr:uid="{00000000-0005-0000-0000-00007B000000}"/>
    <cellStyle name="_KT (2)_2_TG-TH_TSH - DINH MUC" xfId="126" xr:uid="{00000000-0005-0000-0000-00007C000000}"/>
    <cellStyle name="_KT (2)_2_TG-TH_Trung the 2005 Nguyen - Bang 3" xfId="125" xr:uid="{00000000-0005-0000-0000-00007D000000}"/>
    <cellStyle name="_KT (2)_2_TG-TH_ÿÿÿÿÿ" xfId="127" xr:uid="{00000000-0005-0000-0000-00007E000000}"/>
    <cellStyle name="_KT (2)_2_TG-TH_ÿÿÿÿÿ 2" xfId="1396" xr:uid="{494A9009-6BCD-4B14-9C52-4F13560E434A}"/>
    <cellStyle name="_KT (2)_2_TG-TH_ÿÿÿÿÿ_1" xfId="128" xr:uid="{00000000-0005-0000-0000-00007F000000}"/>
    <cellStyle name="_KT (2)_2_TG-TH_ÿÿÿÿÿ_2" xfId="129" xr:uid="{00000000-0005-0000-0000-000080000000}"/>
    <cellStyle name="_KT (2)_3" xfId="130" xr:uid="{00000000-0005-0000-0000-000081000000}"/>
    <cellStyle name="_KT (2)_3_TG-TH" xfId="131" xr:uid="{00000000-0005-0000-0000-000082000000}"/>
    <cellStyle name="_KT (2)_3_TG-TH 2" xfId="132" xr:uid="{00000000-0005-0000-0000-000083000000}"/>
    <cellStyle name="_KT (2)_3_TG-TH 2 2" xfId="1397" xr:uid="{940C5BC5-05C7-48BF-B29D-4AD94395FA5D}"/>
    <cellStyle name="_KT (2)_3_TG-TH 3" xfId="1398" xr:uid="{4B52CAA7-8A5D-4FBB-BB69-D18DF2A373D5}"/>
    <cellStyle name="_KT (2)_3_TG-TH_Book1" xfId="133" xr:uid="{00000000-0005-0000-0000-000084000000}"/>
    <cellStyle name="_KT (2)_3_TG-TH_Book1 2" xfId="134" xr:uid="{00000000-0005-0000-0000-000085000000}"/>
    <cellStyle name="_KT (2)_3_TG-TH_Book1 2 2" xfId="1399" xr:uid="{F30593CC-4676-484E-A42E-ECFDC3640927}"/>
    <cellStyle name="_KT (2)_3_TG-TH_Book1 3" xfId="1400" xr:uid="{B62F4D9A-B599-4AFE-A0A3-7156A7665467}"/>
    <cellStyle name="_KT (2)_3_TG-TH_Book1_1" xfId="135" xr:uid="{00000000-0005-0000-0000-000086000000}"/>
    <cellStyle name="_KT (2)_3_TG-TH_Book1_1 2" xfId="1401" xr:uid="{C660BAF8-7939-4A51-9EEE-33E4A63494BD}"/>
    <cellStyle name="_KT (2)_3_TG-TH_Book1_1_Book1" xfId="136" xr:uid="{00000000-0005-0000-0000-000087000000}"/>
    <cellStyle name="_KT (2)_3_TG-TH_Book1_1_Book1 2" xfId="1402" xr:uid="{816B7629-5C9D-434F-B646-DB38C861D3FE}"/>
    <cellStyle name="_KT (2)_3_TG-TH_Book1_1_Can Tho DINH MUC lao dong 20-09-2004" xfId="137" xr:uid="{00000000-0005-0000-0000-000088000000}"/>
    <cellStyle name="_KT (2)_3_TG-TH_Book1_1_Can Tho DINH MUC lao dong 20-09-2004 2" xfId="1403" xr:uid="{9D1885F6-5177-484C-BCF9-5211557E3708}"/>
    <cellStyle name="_KT (2)_3_TG-TH_Book1_2" xfId="138" xr:uid="{00000000-0005-0000-0000-000089000000}"/>
    <cellStyle name="_KT (2)_3_TG-TH_Book1_2 2" xfId="1404" xr:uid="{928B1C8D-D0CB-4F93-AD49-DCEB7BAD7708}"/>
    <cellStyle name="_KT (2)_3_TG-TH_Book1_3" xfId="139" xr:uid="{00000000-0005-0000-0000-00008A000000}"/>
    <cellStyle name="_KT (2)_3_TG-TH_Book1_3 2" xfId="1405" xr:uid="{F278B4F7-4C24-480F-ACAB-F41194AEB789}"/>
    <cellStyle name="_KT (2)_3_TG-TH_Book1_BC-QT-WB-dthao" xfId="140" xr:uid="{00000000-0005-0000-0000-00008B000000}"/>
    <cellStyle name="_KT (2)_3_TG-TH_Book1_BC-QT-WB-dthao 2" xfId="1406" xr:uid="{88239B6C-0606-4F8C-BD25-7D8E49873A6A}"/>
    <cellStyle name="_KT (2)_3_TG-TH_Book1_Book1" xfId="141" xr:uid="{00000000-0005-0000-0000-00008C000000}"/>
    <cellStyle name="_KT (2)_3_TG-TH_Book1_Book1 2" xfId="142" xr:uid="{00000000-0005-0000-0000-00008D000000}"/>
    <cellStyle name="_KT (2)_3_TG-TH_Book1_Book1 2 2" xfId="1407" xr:uid="{04D660E3-9DED-4EA1-AE38-40098EF31437}"/>
    <cellStyle name="_KT (2)_3_TG-TH_Book1_Book1 3" xfId="1408" xr:uid="{CB06AC33-4555-4F83-80C9-C35CAD9BD022}"/>
    <cellStyle name="_KT (2)_3_TG-TH_Book1_Book1_1" xfId="143" xr:uid="{00000000-0005-0000-0000-00008E000000}"/>
    <cellStyle name="_KT (2)_3_TG-TH_Book1_Book1_1 2" xfId="144" xr:uid="{00000000-0005-0000-0000-00008F000000}"/>
    <cellStyle name="_KT (2)_3_TG-TH_Book1_Book1_1 2 2" xfId="1409" xr:uid="{BC188191-2E1F-4120-AC69-BFC9A0C1FD0C}"/>
    <cellStyle name="_KT (2)_3_TG-TH_Book1_Book1_1 3" xfId="1410" xr:uid="{29EDC1C8-380A-4CC8-BCA0-4D2FB327AF97}"/>
    <cellStyle name="_KT (2)_3_TG-TH_Book1_Book1_MAU du toan" xfId="145" xr:uid="{00000000-0005-0000-0000-000090000000}"/>
    <cellStyle name="_KT (2)_3_TG-TH_Book1_Book1_MAU du toan 2" xfId="1411" xr:uid="{170C4053-4197-4394-9E90-12355276509A}"/>
    <cellStyle name="_KT (2)_3_TG-TH_Book1_Can Tho DINH MUC lao dong 20-09-2004" xfId="146" xr:uid="{00000000-0005-0000-0000-000091000000}"/>
    <cellStyle name="_KT (2)_3_TG-TH_Book1_Can Tho DINH MUC lao dong 20-09-2004 2" xfId="1412" xr:uid="{E07E81F1-D421-4EC7-8054-10AE30AA1A90}"/>
    <cellStyle name="_KT (2)_3_TG-TH_Book1_dongia" xfId="147" xr:uid="{00000000-0005-0000-0000-000092000000}"/>
    <cellStyle name="_KT (2)_3_TG-TH_Book1_dongia 2" xfId="1413" xr:uid="{6CF99635-A2B7-4C47-B9DC-37CE530F04D0}"/>
    <cellStyle name="_KT (2)_3_TG-TH_Book1_MAU du toan" xfId="148" xr:uid="{00000000-0005-0000-0000-000093000000}"/>
    <cellStyle name="_KT (2)_3_TG-TH_Book1_MAU du toan 2" xfId="1414" xr:uid="{89AA60C6-7BDA-4FCF-B3A3-5B8020777CEF}"/>
    <cellStyle name="_KT (2)_3_TG-TH_Book1_mauBCC" xfId="149" xr:uid="{00000000-0005-0000-0000-000094000000}"/>
    <cellStyle name="_KT (2)_3_TG-TH_Book1_mauBCC 2" xfId="1415" xr:uid="{52344971-3F05-4D4A-BFA8-76F46D7FF952}"/>
    <cellStyle name="_KT (2)_3_TG-TH_Book1_maubieuthuthap phandien" xfId="150" xr:uid="{00000000-0005-0000-0000-000095000000}"/>
    <cellStyle name="_KT (2)_3_TG-TH_Book1_maubieuthuthap phandien 2" xfId="1416" xr:uid="{45931564-001A-4D43-841B-C85166B26446}"/>
    <cellStyle name="_KT (2)_3_TG-TH_Book1_QD DIEU MBA" xfId="151" xr:uid="{00000000-0005-0000-0000-000096000000}"/>
    <cellStyle name="_KT (2)_3_TG-TH_Book1_QD DIEU MBA 2" xfId="1417" xr:uid="{1ED528F3-7340-4D41-8D39-14F3AB7CE08E}"/>
    <cellStyle name="_KT (2)_3_TG-TH_Book1_QD DIEU MBA_ÿÿÿÿÿ" xfId="152" xr:uid="{00000000-0005-0000-0000-000097000000}"/>
    <cellStyle name="_KT (2)_3_TG-TH_Book1_QD DIEU MBA_ÿÿÿÿÿ 2" xfId="1418" xr:uid="{BF415C21-F055-4BBE-AA37-AB514F13F00D}"/>
    <cellStyle name="_KT (2)_3_TG-TH_Book1_TKHC-THOIQUAN-05-04-2004" xfId="153" xr:uid="{00000000-0005-0000-0000-000098000000}"/>
    <cellStyle name="_KT (2)_3_TG-TH_Book1_TKHC-THOIQUAN-05-04-2004 2" xfId="1419" xr:uid="{E065E26A-9D30-432D-B577-C973713DA20F}"/>
    <cellStyle name="_KT (2)_3_TG-TH_Book1_TSH - DINH MUC" xfId="154" xr:uid="{00000000-0005-0000-0000-000099000000}"/>
    <cellStyle name="_KT (2)_3_TG-TH_Book1_TSH - DINH MUC 2" xfId="1420" xr:uid="{A3008771-4A9A-4243-86C3-71F667C8F8B5}"/>
    <cellStyle name="_KT (2)_3_TG-TH_Book1_ÿÿÿÿÿ" xfId="155" xr:uid="{00000000-0005-0000-0000-00009A000000}"/>
    <cellStyle name="_KT (2)_3_TG-TH_Book1_ÿÿÿÿÿ_1" xfId="156" xr:uid="{00000000-0005-0000-0000-00009B000000}"/>
    <cellStyle name="_KT (2)_3_TG-TH_Book1_ÿÿÿÿÿ_1 2" xfId="1421" xr:uid="{EC6D3FAD-8913-4C85-BA14-D8452B68F4F0}"/>
    <cellStyle name="_KT (2)_3_TG-TH_Book1_ÿÿÿÿÿ_2" xfId="157" xr:uid="{00000000-0005-0000-0000-00009C000000}"/>
    <cellStyle name="_KT (2)_3_TG-TH_Book1_ÿÿÿÿÿ_2 2" xfId="1422" xr:uid="{0686EC57-9DD0-454E-82B1-84A1A93A504A}"/>
    <cellStyle name="_KT (2)_3_TG-TH_Can Tho DINH MUC lao dong 20-09-2004" xfId="158" xr:uid="{00000000-0005-0000-0000-00009D000000}"/>
    <cellStyle name="_KT (2)_3_TG-TH_Can Tho DINH MUC lao dong 20-09-2004 2" xfId="1423" xr:uid="{2F78C992-AFDB-46EA-B453-315E762D17E2}"/>
    <cellStyle name="_KT (2)_3_TG-TH_DM.NHANCONG" xfId="159" xr:uid="{00000000-0005-0000-0000-00009E000000}"/>
    <cellStyle name="_KT (2)_3_TG-TH_DM.NHANCONG 2" xfId="1424" xr:uid="{3892A63C-BF50-46ED-9D4A-3F7C74A21C64}"/>
    <cellStyle name="_KT (2)_3_TG-TH_dongia" xfId="160" xr:uid="{00000000-0005-0000-0000-00009F000000}"/>
    <cellStyle name="_KT (2)_3_TG-TH_dongia 2" xfId="1425" xr:uid="{22538359-3895-4344-91E5-2CF03FC77186}"/>
    <cellStyle name="_KT (2)_3_TG-TH_DUTOAN_DAMDOI_PD1" xfId="161" xr:uid="{00000000-0005-0000-0000-0000A0000000}"/>
    <cellStyle name="_KT (2)_3_TG-TH_DUTOAN_DAMDOI_PD1 2" xfId="1426" xr:uid="{799EB5AB-8139-4DAA-AA72-E969BB78149A}"/>
    <cellStyle name="_KT (2)_3_TG-TH_Lora-tungchau" xfId="162" xr:uid="{00000000-0005-0000-0000-0000A1000000}"/>
    <cellStyle name="_KT (2)_3_TG-TH_Lora-tungchau 2" xfId="1427" xr:uid="{84F33658-8E04-4D8C-9633-D96F2A38BF4B}"/>
    <cellStyle name="_KT (2)_3_TG-TH_Lora-tungchau_DM.NHANCONG" xfId="163" xr:uid="{00000000-0005-0000-0000-0000A2000000}"/>
    <cellStyle name="_KT (2)_3_TG-TH_Lora-tungchau_DM.NHANCONG 2" xfId="1428" xr:uid="{67212D58-7A41-4803-B230-77DAB9770F6C}"/>
    <cellStyle name="_KT (2)_3_TG-TH_Lora-tungchau_ÿÿÿÿÿ" xfId="164" xr:uid="{00000000-0005-0000-0000-0000A3000000}"/>
    <cellStyle name="_KT (2)_3_TG-TH_Lora-tungchau_ÿÿÿÿÿ 2" xfId="1429" xr:uid="{B5DE3E31-9E19-468B-BB95-656A2FA88EA8}"/>
    <cellStyle name="_KT (2)_3_TG-TH_MAU du toan" xfId="165" xr:uid="{00000000-0005-0000-0000-0000A4000000}"/>
    <cellStyle name="_KT (2)_3_TG-TH_MAU du toan 2" xfId="1430" xr:uid="{3FE71F5D-FC67-42FA-8986-9CA7D09CF3DF}"/>
    <cellStyle name="_KT (2)_3_TG-TH_mauBCC" xfId="166" xr:uid="{00000000-0005-0000-0000-0000A5000000}"/>
    <cellStyle name="_KT (2)_3_TG-TH_mauBCC 2" xfId="1431" xr:uid="{29681CA5-0EEC-4539-8561-2AD2412C3FF5}"/>
    <cellStyle name="_KT (2)_3_TG-TH_maubieuthuthap phandien" xfId="167" xr:uid="{00000000-0005-0000-0000-0000A6000000}"/>
    <cellStyle name="_KT (2)_3_TG-TH_maubieuthuthap phandien 2" xfId="1432" xr:uid="{E65FFE34-F431-4FBB-9FAA-B62021356905}"/>
    <cellStyle name="_KT (2)_3_TG-TH_PERSONAL" xfId="168" xr:uid="{00000000-0005-0000-0000-0000A7000000}"/>
    <cellStyle name="_KT (2)_3_TG-TH_PERSONAL_HTQ.8 GD1" xfId="169" xr:uid="{00000000-0005-0000-0000-0000A8000000}"/>
    <cellStyle name="_KT (2)_3_TG-TH_PERSONAL_HTQ.8 GD1 2" xfId="1433" xr:uid="{00190486-E482-4DFB-BBD4-F216EB26D4B3}"/>
    <cellStyle name="_KT (2)_3_TG-TH_PERSONAL_Tong hop KHCB 2001" xfId="170" xr:uid="{00000000-0005-0000-0000-0000A9000000}"/>
    <cellStyle name="_KT (2)_3_TG-TH_QD DIEU MBA" xfId="171" xr:uid="{00000000-0005-0000-0000-0000AA000000}"/>
    <cellStyle name="_KT (2)_3_TG-TH_QD DIEU MBA 2" xfId="1434" xr:uid="{480F61AF-135B-4D61-BBC9-F185D7F3A619}"/>
    <cellStyle name="_KT (2)_3_TG-TH_QT TINH UNG 2002" xfId="172" xr:uid="{00000000-0005-0000-0000-0000AB000000}"/>
    <cellStyle name="_KT (2)_3_TG-TH_QT TINH UNG 2002 2" xfId="1435" xr:uid="{DB02073C-2885-4066-8F8C-01AD022983DE}"/>
    <cellStyle name="_KT (2)_3_TG-TH_Qt-HT3PQ1(CauKho)" xfId="173" xr:uid="{00000000-0005-0000-0000-0000AC000000}"/>
    <cellStyle name="_KT (2)_3_TG-TH_TDT-MAU2" xfId="174" xr:uid="{00000000-0005-0000-0000-0000AD000000}"/>
    <cellStyle name="_KT (2)_3_TG-TH_TDT-MAU2 2" xfId="1436" xr:uid="{EB4EA911-80E9-4354-A553-F21FF663CC61}"/>
    <cellStyle name="_KT (2)_3_TG-TH_TKHC-THOIQUAN-05-04-2004" xfId="175" xr:uid="{00000000-0005-0000-0000-0000AE000000}"/>
    <cellStyle name="_KT (2)_3_TG-TH_TKHC-THOIQUAN-05-04-2004 2" xfId="1437" xr:uid="{3D54852A-89B7-4A4F-B73E-03D069900D2C}"/>
    <cellStyle name="_KT (2)_3_TG-TH_TSH - DINH MUC" xfId="177" xr:uid="{00000000-0005-0000-0000-0000AF000000}"/>
    <cellStyle name="_KT (2)_3_TG-TH_TSH - DINH MUC 2" xfId="1439" xr:uid="{B8ABAD4C-9295-4F54-8C49-76CD776E66B5}"/>
    <cellStyle name="_KT (2)_3_TG-TH_Trung the 2005 Nguyen - Bang 3" xfId="176" xr:uid="{00000000-0005-0000-0000-0000B0000000}"/>
    <cellStyle name="_KT (2)_3_TG-TH_Trung the 2005 Nguyen - Bang 3 2" xfId="1438" xr:uid="{6162C28B-FC88-4413-880D-379190373B60}"/>
    <cellStyle name="_KT (2)_3_TG-TH_ÿÿÿÿÿ" xfId="178" xr:uid="{00000000-0005-0000-0000-0000B1000000}"/>
    <cellStyle name="_KT (2)_3_TG-TH_ÿÿÿÿÿ 2" xfId="1440" xr:uid="{FBAB8022-81EE-4BEF-A8A3-A1822C4833C8}"/>
    <cellStyle name="_KT (2)_3_TG-TH_ÿÿÿÿÿ_1" xfId="179" xr:uid="{00000000-0005-0000-0000-0000B2000000}"/>
    <cellStyle name="_KT (2)_3_TG-TH_ÿÿÿÿÿ_1 2" xfId="1441" xr:uid="{16D69D08-D4DC-465A-A5E5-268CF6912A82}"/>
    <cellStyle name="_KT (2)_3_TG-TH_ÿÿÿÿÿ_2" xfId="180" xr:uid="{00000000-0005-0000-0000-0000B3000000}"/>
    <cellStyle name="_KT (2)_3_TG-TH_ÿÿÿÿÿ_2 2" xfId="1442" xr:uid="{4D8942D2-638E-4B40-9517-8AED2C49E8D5}"/>
    <cellStyle name="_KT (2)_4" xfId="181" xr:uid="{00000000-0005-0000-0000-0000B4000000}"/>
    <cellStyle name="_KT (2)_4 2" xfId="182" xr:uid="{00000000-0005-0000-0000-0000B5000000}"/>
    <cellStyle name="_KT (2)_4_BAO CAO KLCT PT2000" xfId="183" xr:uid="{00000000-0005-0000-0000-0000B6000000}"/>
    <cellStyle name="_KT (2)_4_BAO CAO PT2000" xfId="184" xr:uid="{00000000-0005-0000-0000-0000B7000000}"/>
    <cellStyle name="_KT (2)_4_BAO CAO PT2000_Book1" xfId="185" xr:uid="{00000000-0005-0000-0000-0000B8000000}"/>
    <cellStyle name="_KT (2)_4_Bao cao XDCB 2001 - T11 KH dieu chinh 20-11-THAI" xfId="186" xr:uid="{00000000-0005-0000-0000-0000B9000000}"/>
    <cellStyle name="_KT (2)_4_Book1" xfId="187" xr:uid="{00000000-0005-0000-0000-0000BA000000}"/>
    <cellStyle name="_KT (2)_4_Book1 2" xfId="188" xr:uid="{00000000-0005-0000-0000-0000BB000000}"/>
    <cellStyle name="_KT (2)_4_Book1_1" xfId="189" xr:uid="{00000000-0005-0000-0000-0000BC000000}"/>
    <cellStyle name="_KT (2)_4_Book1_1_Book1" xfId="190" xr:uid="{00000000-0005-0000-0000-0000BD000000}"/>
    <cellStyle name="_KT (2)_4_Book1_1_Book1 2" xfId="191" xr:uid="{00000000-0005-0000-0000-0000BE000000}"/>
    <cellStyle name="_KT (2)_4_Book1_1_Book1 3" xfId="1443" xr:uid="{0D280477-0EEF-46B1-8DDB-3DBB4BB95F91}"/>
    <cellStyle name="_KT (2)_4_Book1_1_Book1_1" xfId="192" xr:uid="{00000000-0005-0000-0000-0000BF000000}"/>
    <cellStyle name="_KT (2)_4_Book1_1_Can Tho DINH MUC lao dong 20-09-2004" xfId="193" xr:uid="{00000000-0005-0000-0000-0000C0000000}"/>
    <cellStyle name="_KT (2)_4_Book1_1_ÿÿÿÿÿ" xfId="194" xr:uid="{00000000-0005-0000-0000-0000C1000000}"/>
    <cellStyle name="_KT (2)_4_Book1_2" xfId="195" xr:uid="{00000000-0005-0000-0000-0000C2000000}"/>
    <cellStyle name="_KT (2)_4_Book1_2_Book1" xfId="196" xr:uid="{00000000-0005-0000-0000-0000C3000000}"/>
    <cellStyle name="_KT (2)_4_Book1_2_ÿÿÿÿÿ" xfId="197" xr:uid="{00000000-0005-0000-0000-0000C4000000}"/>
    <cellStyle name="_KT (2)_4_Book1_3" xfId="198" xr:uid="{00000000-0005-0000-0000-0000C5000000}"/>
    <cellStyle name="_KT (2)_4_Book1_4" xfId="199" xr:uid="{00000000-0005-0000-0000-0000C6000000}"/>
    <cellStyle name="_KT (2)_4_Book1_5" xfId="200" xr:uid="{00000000-0005-0000-0000-0000C7000000}"/>
    <cellStyle name="_KT (2)_4_Book1_Book1" xfId="201" xr:uid="{00000000-0005-0000-0000-0000C8000000}"/>
    <cellStyle name="_KT (2)_4_Book1_Book1 2" xfId="202" xr:uid="{00000000-0005-0000-0000-0000C9000000}"/>
    <cellStyle name="_KT (2)_4_Book1_Book1_1" xfId="203" xr:uid="{00000000-0005-0000-0000-0000CA000000}"/>
    <cellStyle name="_KT (2)_4_Book1_Book1_1 2" xfId="204" xr:uid="{00000000-0005-0000-0000-0000CB000000}"/>
    <cellStyle name="_KT (2)_4_Book1_Book1_2" xfId="205" xr:uid="{00000000-0005-0000-0000-0000CC000000}"/>
    <cellStyle name="_KT (2)_4_Book1_Book1_Book1" xfId="206" xr:uid="{00000000-0005-0000-0000-0000CD000000}"/>
    <cellStyle name="_KT (2)_4_Book1_Book1_MAU du toan" xfId="207" xr:uid="{00000000-0005-0000-0000-0000CE000000}"/>
    <cellStyle name="_KT (2)_4_Book1_Book1_ÿÿÿÿÿ" xfId="208" xr:uid="{00000000-0005-0000-0000-0000CF000000}"/>
    <cellStyle name="_KT (2)_4_Book1_Book1_ÿÿÿÿÿ 2" xfId="1444" xr:uid="{C9FC69C3-0B5F-44E6-B395-1EE9C8CC5FB3}"/>
    <cellStyle name="_KT (2)_4_Book1_Can Tho DINH MUC lao dong 20-09-2004" xfId="209" xr:uid="{00000000-0005-0000-0000-0000D0000000}"/>
    <cellStyle name="_KT (2)_4_Book1_dongia" xfId="210" xr:uid="{00000000-0005-0000-0000-0000D1000000}"/>
    <cellStyle name="_KT (2)_4_Book1_MAU du toan" xfId="211" xr:uid="{00000000-0005-0000-0000-0000D2000000}"/>
    <cellStyle name="_KT (2)_4_Book1_mauBCC" xfId="212" xr:uid="{00000000-0005-0000-0000-0000D3000000}"/>
    <cellStyle name="_KT (2)_4_Book1_maubieuthuthap phandien" xfId="213" xr:uid="{00000000-0005-0000-0000-0000D4000000}"/>
    <cellStyle name="_KT (2)_4_Book1_QD DIEU MBA" xfId="214" xr:uid="{00000000-0005-0000-0000-0000D5000000}"/>
    <cellStyle name="_KT (2)_4_Book1_TKHC-THOIQUAN-05-04-2004" xfId="215" xr:uid="{00000000-0005-0000-0000-0000D6000000}"/>
    <cellStyle name="_KT (2)_4_Book1_TSH - DINH MUC" xfId="216" xr:uid="{00000000-0005-0000-0000-0000D7000000}"/>
    <cellStyle name="_KT (2)_4_Book1_ÿÿÿÿÿ" xfId="217" xr:uid="{00000000-0005-0000-0000-0000D8000000}"/>
    <cellStyle name="_KT (2)_4_Book1_ÿÿÿÿÿ_1" xfId="218" xr:uid="{00000000-0005-0000-0000-0000D9000000}"/>
    <cellStyle name="_KT (2)_4_Book1_ÿÿÿÿÿ_2" xfId="219" xr:uid="{00000000-0005-0000-0000-0000DA000000}"/>
    <cellStyle name="_KT (2)_4_Can Tho DINH MUC lao dong 20-09-2004" xfId="220" xr:uid="{00000000-0005-0000-0000-0000DB000000}"/>
    <cellStyle name="_KT (2)_4_DAU NOI PL-CL TAI PHU LAMHC" xfId="221" xr:uid="{00000000-0005-0000-0000-0000DC000000}"/>
    <cellStyle name="_KT (2)_4_dongia" xfId="222" xr:uid="{00000000-0005-0000-0000-0000DD000000}"/>
    <cellStyle name="_KT (2)_4_DTCDT MR.2N110.HOCMON.TDTOAN.CCUNG" xfId="223" xr:uid="{00000000-0005-0000-0000-0000DE000000}"/>
    <cellStyle name="_KT (2)_4_DUTOAN_DAMDOI_PD1" xfId="224" xr:uid="{00000000-0005-0000-0000-0000DF000000}"/>
    <cellStyle name="_KT (2)_4_Lora-tungchau" xfId="225" xr:uid="{00000000-0005-0000-0000-0000E0000000}"/>
    <cellStyle name="_KT (2)_4_MAU du toan" xfId="226" xr:uid="{00000000-0005-0000-0000-0000E1000000}"/>
    <cellStyle name="_KT (2)_4_mauBCC" xfId="227" xr:uid="{00000000-0005-0000-0000-0000E2000000}"/>
    <cellStyle name="_KT (2)_4_maubieuthuthap phandien" xfId="228" xr:uid="{00000000-0005-0000-0000-0000E3000000}"/>
    <cellStyle name="_KT (2)_4_PGIA-phieu tham tra Kho bac" xfId="229" xr:uid="{00000000-0005-0000-0000-0000E4000000}"/>
    <cellStyle name="_KT (2)_4_PT02-02" xfId="230" xr:uid="{00000000-0005-0000-0000-0000E5000000}"/>
    <cellStyle name="_KT (2)_4_PT02-02_Book1" xfId="231" xr:uid="{00000000-0005-0000-0000-0000E6000000}"/>
    <cellStyle name="_KT (2)_4_PT02-03" xfId="232" xr:uid="{00000000-0005-0000-0000-0000E7000000}"/>
    <cellStyle name="_KT (2)_4_PT02-03_Book1" xfId="233" xr:uid="{00000000-0005-0000-0000-0000E8000000}"/>
    <cellStyle name="_KT (2)_4_QD DIEU MBA" xfId="234" xr:uid="{00000000-0005-0000-0000-0000E9000000}"/>
    <cellStyle name="_KT (2)_4_QT TINH UNG 2002" xfId="235" xr:uid="{00000000-0005-0000-0000-0000EA000000}"/>
    <cellStyle name="_KT (2)_4_Qt-HT3PQ1(CauKho)" xfId="236" xr:uid="{00000000-0005-0000-0000-0000EB000000}"/>
    <cellStyle name="_KT (2)_4_TDT-MAU2" xfId="237" xr:uid="{00000000-0005-0000-0000-0000EC000000}"/>
    <cellStyle name="_KT (2)_4_TG-TH" xfId="238" xr:uid="{00000000-0005-0000-0000-0000ED000000}"/>
    <cellStyle name="_KT (2)_4_TKHC-THOIQUAN-05-04-2004" xfId="239" xr:uid="{00000000-0005-0000-0000-0000EE000000}"/>
    <cellStyle name="_KT (2)_4_TSH - DINH MUC" xfId="241" xr:uid="{00000000-0005-0000-0000-0000EF000000}"/>
    <cellStyle name="_KT (2)_4_Trung the 2005 Nguyen - Bang 3" xfId="240" xr:uid="{00000000-0005-0000-0000-0000F0000000}"/>
    <cellStyle name="_KT (2)_4_ÿÿÿÿÿ" xfId="242" xr:uid="{00000000-0005-0000-0000-0000F1000000}"/>
    <cellStyle name="_KT (2)_4_ÿÿÿÿÿ 2" xfId="1445" xr:uid="{7C2A3D5F-23F0-471A-A9B1-7CC22ABA0248}"/>
    <cellStyle name="_KT (2)_4_ÿÿÿÿÿ_1" xfId="243" xr:uid="{00000000-0005-0000-0000-0000F2000000}"/>
    <cellStyle name="_KT (2)_4_ÿÿÿÿÿ_2" xfId="244" xr:uid="{00000000-0005-0000-0000-0000F3000000}"/>
    <cellStyle name="_KT (2)_5" xfId="245" xr:uid="{00000000-0005-0000-0000-0000F4000000}"/>
    <cellStyle name="_KT (2)_5 2" xfId="246" xr:uid="{00000000-0005-0000-0000-0000F5000000}"/>
    <cellStyle name="_KT (2)_5_BAO CAO KLCT PT2000" xfId="247" xr:uid="{00000000-0005-0000-0000-0000F6000000}"/>
    <cellStyle name="_KT (2)_5_BAO CAO PT2000" xfId="248" xr:uid="{00000000-0005-0000-0000-0000F7000000}"/>
    <cellStyle name="_KT (2)_5_BAO CAO PT2000_Book1" xfId="249" xr:uid="{00000000-0005-0000-0000-0000F8000000}"/>
    <cellStyle name="_KT (2)_5_Bao cao XDCB 2001 - T11 KH dieu chinh 20-11-THAI" xfId="250" xr:uid="{00000000-0005-0000-0000-0000F9000000}"/>
    <cellStyle name="_KT (2)_5_Book1" xfId="251" xr:uid="{00000000-0005-0000-0000-0000FA000000}"/>
    <cellStyle name="_KT (2)_5_Book1 2" xfId="252" xr:uid="{00000000-0005-0000-0000-0000FB000000}"/>
    <cellStyle name="_KT (2)_5_Book1_1" xfId="253" xr:uid="{00000000-0005-0000-0000-0000FC000000}"/>
    <cellStyle name="_KT (2)_5_Book1_1_Book1" xfId="254" xr:uid="{00000000-0005-0000-0000-0000FD000000}"/>
    <cellStyle name="_KT (2)_5_Book1_1_Book1 2" xfId="255" xr:uid="{00000000-0005-0000-0000-0000FE000000}"/>
    <cellStyle name="_KT (2)_5_Book1_1_Book1 3" xfId="1446" xr:uid="{9AA8D375-AB2D-4D52-994B-B317A00A6A70}"/>
    <cellStyle name="_KT (2)_5_Book1_1_Book1_1" xfId="256" xr:uid="{00000000-0005-0000-0000-0000FF000000}"/>
    <cellStyle name="_KT (2)_5_Book1_1_Can Tho DINH MUC lao dong 20-09-2004" xfId="257" xr:uid="{00000000-0005-0000-0000-000000010000}"/>
    <cellStyle name="_KT (2)_5_Book1_1_ÿÿÿÿÿ" xfId="258" xr:uid="{00000000-0005-0000-0000-000001010000}"/>
    <cellStyle name="_KT (2)_5_Book1_2" xfId="259" xr:uid="{00000000-0005-0000-0000-000002010000}"/>
    <cellStyle name="_KT (2)_5_Book1_2_Book1" xfId="260" xr:uid="{00000000-0005-0000-0000-000003010000}"/>
    <cellStyle name="_KT (2)_5_Book1_2_ÿÿÿÿÿ" xfId="261" xr:uid="{00000000-0005-0000-0000-000004010000}"/>
    <cellStyle name="_KT (2)_5_Book1_3" xfId="262" xr:uid="{00000000-0005-0000-0000-000005010000}"/>
    <cellStyle name="_KT (2)_5_Book1_4" xfId="263" xr:uid="{00000000-0005-0000-0000-000006010000}"/>
    <cellStyle name="_KT (2)_5_Book1_5" xfId="264" xr:uid="{00000000-0005-0000-0000-000007010000}"/>
    <cellStyle name="_KT (2)_5_Book1_BC-QT-WB-dthao" xfId="265" xr:uid="{00000000-0005-0000-0000-000008010000}"/>
    <cellStyle name="_KT (2)_5_Book1_Book1" xfId="266" xr:uid="{00000000-0005-0000-0000-000009010000}"/>
    <cellStyle name="_KT (2)_5_Book1_Book1 2" xfId="267" xr:uid="{00000000-0005-0000-0000-00000A010000}"/>
    <cellStyle name="_KT (2)_5_Book1_Book1_1" xfId="268" xr:uid="{00000000-0005-0000-0000-00000B010000}"/>
    <cellStyle name="_KT (2)_5_Book1_Book1_1 2" xfId="269" xr:uid="{00000000-0005-0000-0000-00000C010000}"/>
    <cellStyle name="_KT (2)_5_Book1_Book1_2" xfId="270" xr:uid="{00000000-0005-0000-0000-00000D010000}"/>
    <cellStyle name="_KT (2)_5_Book1_Book1_Book1" xfId="271" xr:uid="{00000000-0005-0000-0000-00000E010000}"/>
    <cellStyle name="_KT (2)_5_Book1_Book1_MAU du toan" xfId="272" xr:uid="{00000000-0005-0000-0000-00000F010000}"/>
    <cellStyle name="_KT (2)_5_Book1_Book1_ÿÿÿÿÿ" xfId="273" xr:uid="{00000000-0005-0000-0000-000010010000}"/>
    <cellStyle name="_KT (2)_5_Book1_Book1_ÿÿÿÿÿ 2" xfId="1447" xr:uid="{E62D1827-6015-40BE-BBB0-34F4011F1539}"/>
    <cellStyle name="_KT (2)_5_Book1_Can Tho DINH MUC lao dong 20-09-2004" xfId="274" xr:uid="{00000000-0005-0000-0000-000011010000}"/>
    <cellStyle name="_KT (2)_5_Book1_dongia" xfId="275" xr:uid="{00000000-0005-0000-0000-000012010000}"/>
    <cellStyle name="_KT (2)_5_Book1_MAU du toan" xfId="276" xr:uid="{00000000-0005-0000-0000-000013010000}"/>
    <cellStyle name="_KT (2)_5_Book1_mauBCC" xfId="277" xr:uid="{00000000-0005-0000-0000-000014010000}"/>
    <cellStyle name="_KT (2)_5_Book1_maubieuthuthap phandien" xfId="278" xr:uid="{00000000-0005-0000-0000-000015010000}"/>
    <cellStyle name="_KT (2)_5_Book1_QD DIEU MBA" xfId="279" xr:uid="{00000000-0005-0000-0000-000016010000}"/>
    <cellStyle name="_KT (2)_5_Book1_TKHC-THOIQUAN-05-04-2004" xfId="280" xr:uid="{00000000-0005-0000-0000-000017010000}"/>
    <cellStyle name="_KT (2)_5_Book1_TSH - DINH MUC" xfId="281" xr:uid="{00000000-0005-0000-0000-000018010000}"/>
    <cellStyle name="_KT (2)_5_Book1_ÿÿÿÿÿ" xfId="282" xr:uid="{00000000-0005-0000-0000-000019010000}"/>
    <cellStyle name="_KT (2)_5_Book1_ÿÿÿÿÿ_1" xfId="283" xr:uid="{00000000-0005-0000-0000-00001A010000}"/>
    <cellStyle name="_KT (2)_5_Book1_ÿÿÿÿÿ_2" xfId="284" xr:uid="{00000000-0005-0000-0000-00001B010000}"/>
    <cellStyle name="_KT (2)_5_Can Tho DINH MUC lao dong 20-09-2004" xfId="285" xr:uid="{00000000-0005-0000-0000-00001C010000}"/>
    <cellStyle name="_KT (2)_5_DAU NOI PL-CL TAI PHU LAMHC" xfId="286" xr:uid="{00000000-0005-0000-0000-00001D010000}"/>
    <cellStyle name="_KT (2)_5_dongia" xfId="287" xr:uid="{00000000-0005-0000-0000-00001E010000}"/>
    <cellStyle name="_KT (2)_5_DTCDT MR.2N110.HOCMON.TDTOAN.CCUNG" xfId="288" xr:uid="{00000000-0005-0000-0000-00001F010000}"/>
    <cellStyle name="_KT (2)_5_DUTOAN_DAMDOI_PD1" xfId="289" xr:uid="{00000000-0005-0000-0000-000020010000}"/>
    <cellStyle name="_KT (2)_5_Lora-tungchau" xfId="290" xr:uid="{00000000-0005-0000-0000-000021010000}"/>
    <cellStyle name="_KT (2)_5_MAU du toan" xfId="291" xr:uid="{00000000-0005-0000-0000-000022010000}"/>
    <cellStyle name="_KT (2)_5_mauBCC" xfId="292" xr:uid="{00000000-0005-0000-0000-000023010000}"/>
    <cellStyle name="_KT (2)_5_maubieuthuthap phandien" xfId="293" xr:uid="{00000000-0005-0000-0000-000024010000}"/>
    <cellStyle name="_KT (2)_5_PGIA-phieu tham tra Kho bac" xfId="294" xr:uid="{00000000-0005-0000-0000-000025010000}"/>
    <cellStyle name="_KT (2)_5_PT02-02" xfId="295" xr:uid="{00000000-0005-0000-0000-000026010000}"/>
    <cellStyle name="_KT (2)_5_PT02-02_Book1" xfId="296" xr:uid="{00000000-0005-0000-0000-000027010000}"/>
    <cellStyle name="_KT (2)_5_PT02-03" xfId="297" xr:uid="{00000000-0005-0000-0000-000028010000}"/>
    <cellStyle name="_KT (2)_5_PT02-03_Book1" xfId="298" xr:uid="{00000000-0005-0000-0000-000029010000}"/>
    <cellStyle name="_KT (2)_5_QD DIEU MBA" xfId="299" xr:uid="{00000000-0005-0000-0000-00002A010000}"/>
    <cellStyle name="_KT (2)_5_QT TINH UNG 2002" xfId="300" xr:uid="{00000000-0005-0000-0000-00002B010000}"/>
    <cellStyle name="_KT (2)_5_Qt-HT3PQ1(CauKho)" xfId="301" xr:uid="{00000000-0005-0000-0000-00002C010000}"/>
    <cellStyle name="_KT (2)_5_TDT-MAU2" xfId="302" xr:uid="{00000000-0005-0000-0000-00002D010000}"/>
    <cellStyle name="_KT (2)_5_TKHC-THOIQUAN-05-04-2004" xfId="303" xr:uid="{00000000-0005-0000-0000-00002E010000}"/>
    <cellStyle name="_KT (2)_5_TSH - DINH MUC" xfId="305" xr:uid="{00000000-0005-0000-0000-00002F010000}"/>
    <cellStyle name="_KT (2)_5_Trung the 2005 Nguyen - Bang 3" xfId="304" xr:uid="{00000000-0005-0000-0000-000030010000}"/>
    <cellStyle name="_KT (2)_5_ÿÿÿÿÿ" xfId="306" xr:uid="{00000000-0005-0000-0000-000031010000}"/>
    <cellStyle name="_KT (2)_5_ÿÿÿÿÿ 2" xfId="1448" xr:uid="{753E97D4-E856-4038-92BD-744E8E3E5130}"/>
    <cellStyle name="_KT (2)_5_ÿÿÿÿÿ_1" xfId="307" xr:uid="{00000000-0005-0000-0000-000032010000}"/>
    <cellStyle name="_KT (2)_5_ÿÿÿÿÿ_2" xfId="308" xr:uid="{00000000-0005-0000-0000-000033010000}"/>
    <cellStyle name="_KT (2)_Book1" xfId="309" xr:uid="{00000000-0005-0000-0000-000034010000}"/>
    <cellStyle name="_KT (2)_Book1 2" xfId="310" xr:uid="{00000000-0005-0000-0000-000035010000}"/>
    <cellStyle name="_KT (2)_Book1 2 2" xfId="1449" xr:uid="{CB03FA17-D23E-44AD-AD76-00379D08F442}"/>
    <cellStyle name="_KT (2)_Book1 3" xfId="1450" xr:uid="{72FCFC87-0218-41B5-B33B-B1B6D43B7207}"/>
    <cellStyle name="_KT (2)_Book1_1" xfId="311" xr:uid="{00000000-0005-0000-0000-000036010000}"/>
    <cellStyle name="_KT (2)_Book1_1 2" xfId="1451" xr:uid="{5C6B1514-5CD8-4FF4-8500-7348BDDDFD2B}"/>
    <cellStyle name="_KT (2)_Book1_1_Book1" xfId="312" xr:uid="{00000000-0005-0000-0000-000037010000}"/>
    <cellStyle name="_KT (2)_Book1_1_Book1 2" xfId="1452" xr:uid="{26CA4058-366E-4D04-8076-447FCB777B71}"/>
    <cellStyle name="_KT (2)_Book1_1_Can Tho DINH MUC lao dong 20-09-2004" xfId="313" xr:uid="{00000000-0005-0000-0000-000038010000}"/>
    <cellStyle name="_KT (2)_Book1_1_Can Tho DINH MUC lao dong 20-09-2004 2" xfId="1453" xr:uid="{7D406C7F-DFA1-450A-9FCA-AE31CF749E27}"/>
    <cellStyle name="_KT (2)_Book1_2" xfId="314" xr:uid="{00000000-0005-0000-0000-000039010000}"/>
    <cellStyle name="_KT (2)_Book1_2 2" xfId="1454" xr:uid="{67744283-C285-4AB9-83EE-4C290E178DB7}"/>
    <cellStyle name="_KT (2)_Book1_3" xfId="315" xr:uid="{00000000-0005-0000-0000-00003A010000}"/>
    <cellStyle name="_KT (2)_Book1_3 2" xfId="1455" xr:uid="{555A05EE-5FBC-426E-958B-63DC666D3D46}"/>
    <cellStyle name="_KT (2)_Book1_BC-QT-WB-dthao" xfId="316" xr:uid="{00000000-0005-0000-0000-00003B010000}"/>
    <cellStyle name="_KT (2)_Book1_BC-QT-WB-dthao 2" xfId="1456" xr:uid="{2885ECAC-3302-4468-8C13-1162839444A6}"/>
    <cellStyle name="_KT (2)_Book1_Book1" xfId="317" xr:uid="{00000000-0005-0000-0000-00003C010000}"/>
    <cellStyle name="_KT (2)_Book1_Book1 2" xfId="318" xr:uid="{00000000-0005-0000-0000-00003D010000}"/>
    <cellStyle name="_KT (2)_Book1_Book1 2 2" xfId="1457" xr:uid="{061A0D1A-06FA-4B0D-9A1B-D059D8A8946C}"/>
    <cellStyle name="_KT (2)_Book1_Book1 3" xfId="1458" xr:uid="{1150A83C-8A47-427D-84C7-B040B1BC3C8E}"/>
    <cellStyle name="_KT (2)_Book1_Book1_1" xfId="319" xr:uid="{00000000-0005-0000-0000-00003E010000}"/>
    <cellStyle name="_KT (2)_Book1_Book1_1 2" xfId="320" xr:uid="{00000000-0005-0000-0000-00003F010000}"/>
    <cellStyle name="_KT (2)_Book1_Book1_1 2 2" xfId="1459" xr:uid="{C1229B8A-DFDC-40D7-8A53-E739461EA3B7}"/>
    <cellStyle name="_KT (2)_Book1_Book1_1 3" xfId="1460" xr:uid="{D083F6E1-0721-4181-B3C4-0B81FFD49E68}"/>
    <cellStyle name="_KT (2)_Book1_Book1_MAU du toan" xfId="321" xr:uid="{00000000-0005-0000-0000-000040010000}"/>
    <cellStyle name="_KT (2)_Book1_Book1_MAU du toan 2" xfId="1461" xr:uid="{DC7760C8-F629-48B3-9186-B43CD04FA830}"/>
    <cellStyle name="_KT (2)_Book1_Can Tho DINH MUC lao dong 20-09-2004" xfId="322" xr:uid="{00000000-0005-0000-0000-000041010000}"/>
    <cellStyle name="_KT (2)_Book1_Can Tho DINH MUC lao dong 20-09-2004 2" xfId="1462" xr:uid="{E145D01B-6239-4010-B39D-B5D99D183476}"/>
    <cellStyle name="_KT (2)_Book1_dongia" xfId="323" xr:uid="{00000000-0005-0000-0000-000042010000}"/>
    <cellStyle name="_KT (2)_Book1_dongia 2" xfId="1463" xr:uid="{0BD0B5DA-CD20-4CF3-B0BA-1F6DE7EBD5FE}"/>
    <cellStyle name="_KT (2)_Book1_MAU du toan" xfId="324" xr:uid="{00000000-0005-0000-0000-000043010000}"/>
    <cellStyle name="_KT (2)_Book1_MAU du toan 2" xfId="1464" xr:uid="{D4C8E491-8B05-4082-87D7-7874F0015EDC}"/>
    <cellStyle name="_KT (2)_Book1_mauBCC" xfId="325" xr:uid="{00000000-0005-0000-0000-000044010000}"/>
    <cellStyle name="_KT (2)_Book1_mauBCC 2" xfId="1465" xr:uid="{7DC545BB-0492-471C-AA83-8A1C31C272F4}"/>
    <cellStyle name="_KT (2)_Book1_maubieuthuthap phandien" xfId="326" xr:uid="{00000000-0005-0000-0000-000045010000}"/>
    <cellStyle name="_KT (2)_Book1_maubieuthuthap phandien 2" xfId="1466" xr:uid="{D1EC25B5-61EE-4A8B-B0BE-A56332B14A76}"/>
    <cellStyle name="_KT (2)_Book1_QD DIEU MBA" xfId="327" xr:uid="{00000000-0005-0000-0000-000046010000}"/>
    <cellStyle name="_KT (2)_Book1_QD DIEU MBA 2" xfId="1467" xr:uid="{0597E9B1-60C7-44BF-8AAD-5D6D1070C697}"/>
    <cellStyle name="_KT (2)_Book1_QD DIEU MBA_ÿÿÿÿÿ" xfId="328" xr:uid="{00000000-0005-0000-0000-000047010000}"/>
    <cellStyle name="_KT (2)_Book1_QD DIEU MBA_ÿÿÿÿÿ 2" xfId="1468" xr:uid="{D287818D-97FC-4AFE-875B-8ED5E64E26C3}"/>
    <cellStyle name="_KT (2)_Book1_TKHC-THOIQUAN-05-04-2004" xfId="329" xr:uid="{00000000-0005-0000-0000-000048010000}"/>
    <cellStyle name="_KT (2)_Book1_TKHC-THOIQUAN-05-04-2004 2" xfId="1469" xr:uid="{31B30783-CE3C-4B22-872C-7B1F2157790F}"/>
    <cellStyle name="_KT (2)_Book1_TSH - DINH MUC" xfId="330" xr:uid="{00000000-0005-0000-0000-000049010000}"/>
    <cellStyle name="_KT (2)_Book1_TSH - DINH MUC 2" xfId="1470" xr:uid="{001541E7-14D4-4256-83A8-C030E5024BC5}"/>
    <cellStyle name="_KT (2)_Book1_ÿÿÿÿÿ" xfId="331" xr:uid="{00000000-0005-0000-0000-00004A010000}"/>
    <cellStyle name="_KT (2)_Book1_ÿÿÿÿÿ_1" xfId="332" xr:uid="{00000000-0005-0000-0000-00004B010000}"/>
    <cellStyle name="_KT (2)_Book1_ÿÿÿÿÿ_1 2" xfId="1471" xr:uid="{8863C9C7-6FE5-4791-806C-D652F1A42F52}"/>
    <cellStyle name="_KT (2)_Book1_ÿÿÿÿÿ_2" xfId="333" xr:uid="{00000000-0005-0000-0000-00004C010000}"/>
    <cellStyle name="_KT (2)_Book1_ÿÿÿÿÿ_2 2" xfId="1472" xr:uid="{EED4A740-DAF2-43F7-A50B-2B910282CAC5}"/>
    <cellStyle name="_KT (2)_Can Tho DINH MUC lao dong 20-09-2004" xfId="334" xr:uid="{00000000-0005-0000-0000-00004D010000}"/>
    <cellStyle name="_KT (2)_Can Tho DINH MUC lao dong 20-09-2004 2" xfId="1473" xr:uid="{1144D737-03A9-47DD-9C0E-4E1FF8058795}"/>
    <cellStyle name="_KT (2)_DM.NHANCONG" xfId="335" xr:uid="{00000000-0005-0000-0000-00004E010000}"/>
    <cellStyle name="_KT (2)_DM.NHANCONG 2" xfId="1474" xr:uid="{907F2416-A528-4E89-B7DA-43EA29875A09}"/>
    <cellStyle name="_KT (2)_dongia" xfId="336" xr:uid="{00000000-0005-0000-0000-00004F010000}"/>
    <cellStyle name="_KT (2)_dongia 2" xfId="1475" xr:uid="{D88AC3B9-CADC-457B-98EB-2693A35D6E89}"/>
    <cellStyle name="_KT (2)_DUTOAN_DAMDOI_PD1" xfId="337" xr:uid="{00000000-0005-0000-0000-000050010000}"/>
    <cellStyle name="_KT (2)_DUTOAN_DAMDOI_PD1 2" xfId="1476" xr:uid="{BCA17802-7268-495A-AD31-FA1475AD6D59}"/>
    <cellStyle name="_KT (2)_Lora-tungchau" xfId="338" xr:uid="{00000000-0005-0000-0000-000051010000}"/>
    <cellStyle name="_KT (2)_Lora-tungchau 2" xfId="1477" xr:uid="{7AD09077-F925-447F-87F4-A58A8AA30B50}"/>
    <cellStyle name="_KT (2)_Lora-tungchau_DM.NHANCONG" xfId="339" xr:uid="{00000000-0005-0000-0000-000052010000}"/>
    <cellStyle name="_KT (2)_Lora-tungchau_DM.NHANCONG 2" xfId="1478" xr:uid="{1049A619-F63E-408B-A930-875E046831DF}"/>
    <cellStyle name="_KT (2)_Lora-tungchau_ÿÿÿÿÿ" xfId="340" xr:uid="{00000000-0005-0000-0000-000053010000}"/>
    <cellStyle name="_KT (2)_Lora-tungchau_ÿÿÿÿÿ 2" xfId="1479" xr:uid="{DBD4DCEE-FA79-4C0F-A41E-941CD28D4B3A}"/>
    <cellStyle name="_KT (2)_MAU du toan" xfId="341" xr:uid="{00000000-0005-0000-0000-000054010000}"/>
    <cellStyle name="_KT (2)_MAU du toan 2" xfId="1480" xr:uid="{4C3BDBCD-4229-499D-863A-CCD5709F62F8}"/>
    <cellStyle name="_KT (2)_mauBCC" xfId="342" xr:uid="{00000000-0005-0000-0000-000055010000}"/>
    <cellStyle name="_KT (2)_mauBCC 2" xfId="1481" xr:uid="{9EBDDFF3-336C-412E-88E6-27BBFA1E46AA}"/>
    <cellStyle name="_KT (2)_maubieuthuthap phandien" xfId="343" xr:uid="{00000000-0005-0000-0000-000056010000}"/>
    <cellStyle name="_KT (2)_maubieuthuthap phandien 2" xfId="1482" xr:uid="{B69C67B2-A118-4EED-B0CC-F6E0281CB7FB}"/>
    <cellStyle name="_KT (2)_PERSONAL" xfId="344" xr:uid="{00000000-0005-0000-0000-000057010000}"/>
    <cellStyle name="_KT (2)_PERSONAL_HTQ.8 GD1" xfId="345" xr:uid="{00000000-0005-0000-0000-000058010000}"/>
    <cellStyle name="_KT (2)_PERSONAL_HTQ.8 GD1 2" xfId="1483" xr:uid="{8C52CD82-642B-4195-BB0F-753A7CB80B9B}"/>
    <cellStyle name="_KT (2)_PERSONAL_Tong hop KHCB 2001" xfId="346" xr:uid="{00000000-0005-0000-0000-000059010000}"/>
    <cellStyle name="_KT (2)_QD DIEU MBA" xfId="347" xr:uid="{00000000-0005-0000-0000-00005A010000}"/>
    <cellStyle name="_KT (2)_QD DIEU MBA 2" xfId="1484" xr:uid="{39A9B722-4974-492C-B254-12E06E584134}"/>
    <cellStyle name="_KT (2)_QT TINH UNG 2002" xfId="348" xr:uid="{00000000-0005-0000-0000-00005B010000}"/>
    <cellStyle name="_KT (2)_QT TINH UNG 2002 2" xfId="1485" xr:uid="{2882F30D-FFD6-4DFA-BA81-76EE9FFAE746}"/>
    <cellStyle name="_KT (2)_Qt-HT3PQ1(CauKho)" xfId="349" xr:uid="{00000000-0005-0000-0000-00005C010000}"/>
    <cellStyle name="_KT (2)_TDT-MAU2" xfId="350" xr:uid="{00000000-0005-0000-0000-00005D010000}"/>
    <cellStyle name="_KT (2)_TDT-MAU2 2" xfId="1486" xr:uid="{545F574A-F634-4E43-8591-76E7F7B80F13}"/>
    <cellStyle name="_KT (2)_TG-TH" xfId="351" xr:uid="{00000000-0005-0000-0000-00005E010000}"/>
    <cellStyle name="_KT (2)_TKHC-THOIQUAN-05-04-2004" xfId="352" xr:uid="{00000000-0005-0000-0000-00005F010000}"/>
    <cellStyle name="_KT (2)_TKHC-THOIQUAN-05-04-2004 2" xfId="1487" xr:uid="{A5DECAEB-8BF7-4ABC-9BE8-CE6299E5F983}"/>
    <cellStyle name="_KT (2)_TSH - DINH MUC" xfId="354" xr:uid="{00000000-0005-0000-0000-000060010000}"/>
    <cellStyle name="_KT (2)_TSH - DINH MUC 2" xfId="1489" xr:uid="{78325B9D-BC82-4A0B-B3BA-3E9A03F2E422}"/>
    <cellStyle name="_KT (2)_Trung the 2005 Nguyen - Bang 3" xfId="353" xr:uid="{00000000-0005-0000-0000-000061010000}"/>
    <cellStyle name="_KT (2)_Trung the 2005 Nguyen - Bang 3 2" xfId="1488" xr:uid="{3CF3E2FA-7FD2-4787-8E34-39D87D263A9E}"/>
    <cellStyle name="_KT (2)_ÿÿÿÿÿ" xfId="355" xr:uid="{00000000-0005-0000-0000-000062010000}"/>
    <cellStyle name="_KT (2)_ÿÿÿÿÿ 2" xfId="1490" xr:uid="{2BD99D2E-2FF0-42C8-82CE-6043F7CFC577}"/>
    <cellStyle name="_KT (2)_ÿÿÿÿÿ_1" xfId="356" xr:uid="{00000000-0005-0000-0000-000063010000}"/>
    <cellStyle name="_KT (2)_ÿÿÿÿÿ_1 2" xfId="1491" xr:uid="{46B6E793-C643-42FE-B26F-6B231F26016E}"/>
    <cellStyle name="_KT (2)_ÿÿÿÿÿ_2" xfId="357" xr:uid="{00000000-0005-0000-0000-000064010000}"/>
    <cellStyle name="_KT (2)_ÿÿÿÿÿ_2 2" xfId="1492" xr:uid="{B18563EE-A477-46DA-BF80-26508586E9C0}"/>
    <cellStyle name="_KT_TG" xfId="358" xr:uid="{00000000-0005-0000-0000-000065010000}"/>
    <cellStyle name="_KT_TG_1" xfId="359" xr:uid="{00000000-0005-0000-0000-000066010000}"/>
    <cellStyle name="_KT_TG_1 2" xfId="360" xr:uid="{00000000-0005-0000-0000-000067010000}"/>
    <cellStyle name="_KT_TG_1_BAO CAO KLCT PT2000" xfId="361" xr:uid="{00000000-0005-0000-0000-000068010000}"/>
    <cellStyle name="_KT_TG_1_BAO CAO PT2000" xfId="362" xr:uid="{00000000-0005-0000-0000-000069010000}"/>
    <cellStyle name="_KT_TG_1_BAO CAO PT2000_Book1" xfId="363" xr:uid="{00000000-0005-0000-0000-00006A010000}"/>
    <cellStyle name="_KT_TG_1_Bao cao XDCB 2001 - T11 KH dieu chinh 20-11-THAI" xfId="364" xr:uid="{00000000-0005-0000-0000-00006B010000}"/>
    <cellStyle name="_KT_TG_1_Book1" xfId="365" xr:uid="{00000000-0005-0000-0000-00006C010000}"/>
    <cellStyle name="_KT_TG_1_Book1 2" xfId="366" xr:uid="{00000000-0005-0000-0000-00006D010000}"/>
    <cellStyle name="_KT_TG_1_Book1_1" xfId="367" xr:uid="{00000000-0005-0000-0000-00006E010000}"/>
    <cellStyle name="_KT_TG_1_Book1_1_Book1" xfId="368" xr:uid="{00000000-0005-0000-0000-00006F010000}"/>
    <cellStyle name="_KT_TG_1_Book1_1_Book1 2" xfId="369" xr:uid="{00000000-0005-0000-0000-000070010000}"/>
    <cellStyle name="_KT_TG_1_Book1_1_Book1 3" xfId="1493" xr:uid="{9D354409-4E85-4BA4-8689-E3C490B7993E}"/>
    <cellStyle name="_KT_TG_1_Book1_1_Book1_1" xfId="370" xr:uid="{00000000-0005-0000-0000-000071010000}"/>
    <cellStyle name="_KT_TG_1_Book1_1_Can Tho DINH MUC lao dong 20-09-2004" xfId="371" xr:uid="{00000000-0005-0000-0000-000072010000}"/>
    <cellStyle name="_KT_TG_1_Book1_1_ÿÿÿÿÿ" xfId="372" xr:uid="{00000000-0005-0000-0000-000073010000}"/>
    <cellStyle name="_KT_TG_1_Book1_2" xfId="373" xr:uid="{00000000-0005-0000-0000-000074010000}"/>
    <cellStyle name="_KT_TG_1_Book1_2_Book1" xfId="374" xr:uid="{00000000-0005-0000-0000-000075010000}"/>
    <cellStyle name="_KT_TG_1_Book1_2_ÿÿÿÿÿ" xfId="375" xr:uid="{00000000-0005-0000-0000-000076010000}"/>
    <cellStyle name="_KT_TG_1_Book1_3" xfId="376" xr:uid="{00000000-0005-0000-0000-000077010000}"/>
    <cellStyle name="_KT_TG_1_Book1_4" xfId="377" xr:uid="{00000000-0005-0000-0000-000078010000}"/>
    <cellStyle name="_KT_TG_1_Book1_5" xfId="378" xr:uid="{00000000-0005-0000-0000-000079010000}"/>
    <cellStyle name="_KT_TG_1_Book1_BC-QT-WB-dthao" xfId="379" xr:uid="{00000000-0005-0000-0000-00007A010000}"/>
    <cellStyle name="_KT_TG_1_Book1_Book1" xfId="380" xr:uid="{00000000-0005-0000-0000-00007B010000}"/>
    <cellStyle name="_KT_TG_1_Book1_Book1 2" xfId="381" xr:uid="{00000000-0005-0000-0000-00007C010000}"/>
    <cellStyle name="_KT_TG_1_Book1_Book1_1" xfId="382" xr:uid="{00000000-0005-0000-0000-00007D010000}"/>
    <cellStyle name="_KT_TG_1_Book1_Book1_1 2" xfId="383" xr:uid="{00000000-0005-0000-0000-00007E010000}"/>
    <cellStyle name="_KT_TG_1_Book1_Book1_2" xfId="384" xr:uid="{00000000-0005-0000-0000-00007F010000}"/>
    <cellStyle name="_KT_TG_1_Book1_Book1_Book1" xfId="385" xr:uid="{00000000-0005-0000-0000-000080010000}"/>
    <cellStyle name="_KT_TG_1_Book1_Book1_MAU du toan" xfId="386" xr:uid="{00000000-0005-0000-0000-000081010000}"/>
    <cellStyle name="_KT_TG_1_Book1_Book1_ÿÿÿÿÿ" xfId="387" xr:uid="{00000000-0005-0000-0000-000082010000}"/>
    <cellStyle name="_KT_TG_1_Book1_Book1_ÿÿÿÿÿ 2" xfId="1494" xr:uid="{433E3C95-BC47-4C11-B939-8952268D8F4D}"/>
    <cellStyle name="_KT_TG_1_Book1_Can Tho DINH MUC lao dong 20-09-2004" xfId="388" xr:uid="{00000000-0005-0000-0000-000083010000}"/>
    <cellStyle name="_KT_TG_1_Book1_dongia" xfId="389" xr:uid="{00000000-0005-0000-0000-000084010000}"/>
    <cellStyle name="_KT_TG_1_Book1_MAU du toan" xfId="390" xr:uid="{00000000-0005-0000-0000-000085010000}"/>
    <cellStyle name="_KT_TG_1_Book1_mauBCC" xfId="391" xr:uid="{00000000-0005-0000-0000-000086010000}"/>
    <cellStyle name="_KT_TG_1_Book1_maubieuthuthap phandien" xfId="392" xr:uid="{00000000-0005-0000-0000-000087010000}"/>
    <cellStyle name="_KT_TG_1_Book1_QD DIEU MBA" xfId="393" xr:uid="{00000000-0005-0000-0000-000088010000}"/>
    <cellStyle name="_KT_TG_1_Book1_TKHC-THOIQUAN-05-04-2004" xfId="394" xr:uid="{00000000-0005-0000-0000-000089010000}"/>
    <cellStyle name="_KT_TG_1_Book1_TSH - DINH MUC" xfId="395" xr:uid="{00000000-0005-0000-0000-00008A010000}"/>
    <cellStyle name="_KT_TG_1_Book1_ÿÿÿÿÿ" xfId="396" xr:uid="{00000000-0005-0000-0000-00008B010000}"/>
    <cellStyle name="_KT_TG_1_Book1_ÿÿÿÿÿ_1" xfId="397" xr:uid="{00000000-0005-0000-0000-00008C010000}"/>
    <cellStyle name="_KT_TG_1_Book1_ÿÿÿÿÿ_2" xfId="398" xr:uid="{00000000-0005-0000-0000-00008D010000}"/>
    <cellStyle name="_KT_TG_1_Can Tho DINH MUC lao dong 20-09-2004" xfId="399" xr:uid="{00000000-0005-0000-0000-00008E010000}"/>
    <cellStyle name="_KT_TG_1_DAU NOI PL-CL TAI PHU LAMHC" xfId="400" xr:uid="{00000000-0005-0000-0000-00008F010000}"/>
    <cellStyle name="_KT_TG_1_dongia" xfId="401" xr:uid="{00000000-0005-0000-0000-000090010000}"/>
    <cellStyle name="_KT_TG_1_DTCDT MR.2N110.HOCMON.TDTOAN.CCUNG" xfId="402" xr:uid="{00000000-0005-0000-0000-000091010000}"/>
    <cellStyle name="_KT_TG_1_DUTOAN_DAMDOI_PD1" xfId="403" xr:uid="{00000000-0005-0000-0000-000092010000}"/>
    <cellStyle name="_KT_TG_1_Lora-tungchau" xfId="404" xr:uid="{00000000-0005-0000-0000-000093010000}"/>
    <cellStyle name="_KT_TG_1_MAU du toan" xfId="405" xr:uid="{00000000-0005-0000-0000-000094010000}"/>
    <cellStyle name="_KT_TG_1_mauBCC" xfId="406" xr:uid="{00000000-0005-0000-0000-000095010000}"/>
    <cellStyle name="_KT_TG_1_maubieuthuthap phandien" xfId="407" xr:uid="{00000000-0005-0000-0000-000096010000}"/>
    <cellStyle name="_KT_TG_1_PGIA-phieu tham tra Kho bac" xfId="408" xr:uid="{00000000-0005-0000-0000-000097010000}"/>
    <cellStyle name="_KT_TG_1_PT02-02" xfId="409" xr:uid="{00000000-0005-0000-0000-000098010000}"/>
    <cellStyle name="_KT_TG_1_PT02-02_Book1" xfId="410" xr:uid="{00000000-0005-0000-0000-000099010000}"/>
    <cellStyle name="_KT_TG_1_PT02-03" xfId="411" xr:uid="{00000000-0005-0000-0000-00009A010000}"/>
    <cellStyle name="_KT_TG_1_PT02-03_Book1" xfId="412" xr:uid="{00000000-0005-0000-0000-00009B010000}"/>
    <cellStyle name="_KT_TG_1_QD DIEU MBA" xfId="413" xr:uid="{00000000-0005-0000-0000-00009C010000}"/>
    <cellStyle name="_KT_TG_1_QT TINH UNG 2002" xfId="414" xr:uid="{00000000-0005-0000-0000-00009D010000}"/>
    <cellStyle name="_KT_TG_1_Qt-HT3PQ1(CauKho)" xfId="415" xr:uid="{00000000-0005-0000-0000-00009E010000}"/>
    <cellStyle name="_KT_TG_1_TDT-MAU2" xfId="416" xr:uid="{00000000-0005-0000-0000-00009F010000}"/>
    <cellStyle name="_KT_TG_1_TKHC-THOIQUAN-05-04-2004" xfId="417" xr:uid="{00000000-0005-0000-0000-0000A0010000}"/>
    <cellStyle name="_KT_TG_1_TSH - DINH MUC" xfId="419" xr:uid="{00000000-0005-0000-0000-0000A1010000}"/>
    <cellStyle name="_KT_TG_1_Trung the 2005 Nguyen - Bang 3" xfId="418" xr:uid="{00000000-0005-0000-0000-0000A2010000}"/>
    <cellStyle name="_KT_TG_1_ÿÿÿÿÿ" xfId="420" xr:uid="{00000000-0005-0000-0000-0000A3010000}"/>
    <cellStyle name="_KT_TG_1_ÿÿÿÿÿ 2" xfId="1495" xr:uid="{EC1435EA-6C09-47DF-99C5-C6B07098A432}"/>
    <cellStyle name="_KT_TG_1_ÿÿÿÿÿ_1" xfId="421" xr:uid="{00000000-0005-0000-0000-0000A4010000}"/>
    <cellStyle name="_KT_TG_1_ÿÿÿÿÿ_2" xfId="422" xr:uid="{00000000-0005-0000-0000-0000A5010000}"/>
    <cellStyle name="_KT_TG_2" xfId="423" xr:uid="{00000000-0005-0000-0000-0000A6010000}"/>
    <cellStyle name="_KT_TG_2 2" xfId="424" xr:uid="{00000000-0005-0000-0000-0000A7010000}"/>
    <cellStyle name="_KT_TG_2_BAO CAO KLCT PT2000" xfId="425" xr:uid="{00000000-0005-0000-0000-0000A8010000}"/>
    <cellStyle name="_KT_TG_2_BAO CAO PT2000" xfId="426" xr:uid="{00000000-0005-0000-0000-0000A9010000}"/>
    <cellStyle name="_KT_TG_2_BAO CAO PT2000_Book1" xfId="427" xr:uid="{00000000-0005-0000-0000-0000AA010000}"/>
    <cellStyle name="_KT_TG_2_Bao cao XDCB 2001 - T11 KH dieu chinh 20-11-THAI" xfId="428" xr:uid="{00000000-0005-0000-0000-0000AB010000}"/>
    <cellStyle name="_KT_TG_2_Book1" xfId="429" xr:uid="{00000000-0005-0000-0000-0000AC010000}"/>
    <cellStyle name="_KT_TG_2_Book1 2" xfId="430" xr:uid="{00000000-0005-0000-0000-0000AD010000}"/>
    <cellStyle name="_KT_TG_2_Book1_1" xfId="431" xr:uid="{00000000-0005-0000-0000-0000AE010000}"/>
    <cellStyle name="_KT_TG_2_Book1_1_Book1" xfId="432" xr:uid="{00000000-0005-0000-0000-0000AF010000}"/>
    <cellStyle name="_KT_TG_2_Book1_1_Book1 2" xfId="433" xr:uid="{00000000-0005-0000-0000-0000B0010000}"/>
    <cellStyle name="_KT_TG_2_Book1_1_Book1 3" xfId="1496" xr:uid="{FFF3789E-871B-4ED7-A9E8-5D3E4F85B649}"/>
    <cellStyle name="_KT_TG_2_Book1_1_Book1_1" xfId="434" xr:uid="{00000000-0005-0000-0000-0000B1010000}"/>
    <cellStyle name="_KT_TG_2_Book1_1_Can Tho DINH MUC lao dong 20-09-2004" xfId="435" xr:uid="{00000000-0005-0000-0000-0000B2010000}"/>
    <cellStyle name="_KT_TG_2_Book1_1_ÿÿÿÿÿ" xfId="436" xr:uid="{00000000-0005-0000-0000-0000B3010000}"/>
    <cellStyle name="_KT_TG_2_Book1_2" xfId="437" xr:uid="{00000000-0005-0000-0000-0000B4010000}"/>
    <cellStyle name="_KT_TG_2_Book1_2_Book1" xfId="438" xr:uid="{00000000-0005-0000-0000-0000B5010000}"/>
    <cellStyle name="_KT_TG_2_Book1_2_ÿÿÿÿÿ" xfId="439" xr:uid="{00000000-0005-0000-0000-0000B6010000}"/>
    <cellStyle name="_KT_TG_2_Book1_3" xfId="440" xr:uid="{00000000-0005-0000-0000-0000B7010000}"/>
    <cellStyle name="_KT_TG_2_Book1_4" xfId="441" xr:uid="{00000000-0005-0000-0000-0000B8010000}"/>
    <cellStyle name="_KT_TG_2_Book1_5" xfId="442" xr:uid="{00000000-0005-0000-0000-0000B9010000}"/>
    <cellStyle name="_KT_TG_2_Book1_Book1" xfId="443" xr:uid="{00000000-0005-0000-0000-0000BA010000}"/>
    <cellStyle name="_KT_TG_2_Book1_Book1 2" xfId="444" xr:uid="{00000000-0005-0000-0000-0000BB010000}"/>
    <cellStyle name="_KT_TG_2_Book1_Book1_1" xfId="445" xr:uid="{00000000-0005-0000-0000-0000BC010000}"/>
    <cellStyle name="_KT_TG_2_Book1_Book1_1 2" xfId="446" xr:uid="{00000000-0005-0000-0000-0000BD010000}"/>
    <cellStyle name="_KT_TG_2_Book1_Book1_2" xfId="447" xr:uid="{00000000-0005-0000-0000-0000BE010000}"/>
    <cellStyle name="_KT_TG_2_Book1_Book1_Book1" xfId="448" xr:uid="{00000000-0005-0000-0000-0000BF010000}"/>
    <cellStyle name="_KT_TG_2_Book1_Book1_MAU du toan" xfId="449" xr:uid="{00000000-0005-0000-0000-0000C0010000}"/>
    <cellStyle name="_KT_TG_2_Book1_Book1_ÿÿÿÿÿ" xfId="450" xr:uid="{00000000-0005-0000-0000-0000C1010000}"/>
    <cellStyle name="_KT_TG_2_Book1_Book1_ÿÿÿÿÿ 2" xfId="1497" xr:uid="{7FA75A42-860F-4940-9293-05E10D762E7E}"/>
    <cellStyle name="_KT_TG_2_Book1_Can Tho DINH MUC lao dong 20-09-2004" xfId="451" xr:uid="{00000000-0005-0000-0000-0000C2010000}"/>
    <cellStyle name="_KT_TG_2_Book1_dongia" xfId="452" xr:uid="{00000000-0005-0000-0000-0000C3010000}"/>
    <cellStyle name="_KT_TG_2_Book1_MAU du toan" xfId="453" xr:uid="{00000000-0005-0000-0000-0000C4010000}"/>
    <cellStyle name="_KT_TG_2_Book1_mauBCC" xfId="454" xr:uid="{00000000-0005-0000-0000-0000C5010000}"/>
    <cellStyle name="_KT_TG_2_Book1_maubieuthuthap phandien" xfId="455" xr:uid="{00000000-0005-0000-0000-0000C6010000}"/>
    <cellStyle name="_KT_TG_2_Book1_QD DIEU MBA" xfId="456" xr:uid="{00000000-0005-0000-0000-0000C7010000}"/>
    <cellStyle name="_KT_TG_2_Book1_TKHC-THOIQUAN-05-04-2004" xfId="457" xr:uid="{00000000-0005-0000-0000-0000C8010000}"/>
    <cellStyle name="_KT_TG_2_Book1_TSH - DINH MUC" xfId="458" xr:uid="{00000000-0005-0000-0000-0000C9010000}"/>
    <cellStyle name="_KT_TG_2_Book1_ÿÿÿÿÿ" xfId="459" xr:uid="{00000000-0005-0000-0000-0000CA010000}"/>
    <cellStyle name="_KT_TG_2_Book1_ÿÿÿÿÿ_1" xfId="460" xr:uid="{00000000-0005-0000-0000-0000CB010000}"/>
    <cellStyle name="_KT_TG_2_Book1_ÿÿÿÿÿ_2" xfId="461" xr:uid="{00000000-0005-0000-0000-0000CC010000}"/>
    <cellStyle name="_KT_TG_2_Can Tho DINH MUC lao dong 20-09-2004" xfId="462" xr:uid="{00000000-0005-0000-0000-0000CD010000}"/>
    <cellStyle name="_KT_TG_2_DAU NOI PL-CL TAI PHU LAMHC" xfId="463" xr:uid="{00000000-0005-0000-0000-0000CE010000}"/>
    <cellStyle name="_KT_TG_2_dongia" xfId="464" xr:uid="{00000000-0005-0000-0000-0000CF010000}"/>
    <cellStyle name="_KT_TG_2_DTCDT MR.2N110.HOCMON.TDTOAN.CCUNG" xfId="465" xr:uid="{00000000-0005-0000-0000-0000D0010000}"/>
    <cellStyle name="_KT_TG_2_DUTOAN_DAMDOI_PD1" xfId="466" xr:uid="{00000000-0005-0000-0000-0000D1010000}"/>
    <cellStyle name="_KT_TG_2_Lora-tungchau" xfId="467" xr:uid="{00000000-0005-0000-0000-0000D2010000}"/>
    <cellStyle name="_KT_TG_2_MAU du toan" xfId="468" xr:uid="{00000000-0005-0000-0000-0000D3010000}"/>
    <cellStyle name="_KT_TG_2_mauBCC" xfId="469" xr:uid="{00000000-0005-0000-0000-0000D4010000}"/>
    <cellStyle name="_KT_TG_2_maubieuthuthap phandien" xfId="470" xr:uid="{00000000-0005-0000-0000-0000D5010000}"/>
    <cellStyle name="_KT_TG_2_PGIA-phieu tham tra Kho bac" xfId="471" xr:uid="{00000000-0005-0000-0000-0000D6010000}"/>
    <cellStyle name="_KT_TG_2_PT02-02" xfId="472" xr:uid="{00000000-0005-0000-0000-0000D7010000}"/>
    <cellStyle name="_KT_TG_2_PT02-02_Book1" xfId="473" xr:uid="{00000000-0005-0000-0000-0000D8010000}"/>
    <cellStyle name="_KT_TG_2_PT02-03" xfId="474" xr:uid="{00000000-0005-0000-0000-0000D9010000}"/>
    <cellStyle name="_KT_TG_2_PT02-03_Book1" xfId="475" xr:uid="{00000000-0005-0000-0000-0000DA010000}"/>
    <cellStyle name="_KT_TG_2_QD DIEU MBA" xfId="476" xr:uid="{00000000-0005-0000-0000-0000DB010000}"/>
    <cellStyle name="_KT_TG_2_QT TINH UNG 2002" xfId="477" xr:uid="{00000000-0005-0000-0000-0000DC010000}"/>
    <cellStyle name="_KT_TG_2_Qt-HT3PQ1(CauKho)" xfId="478" xr:uid="{00000000-0005-0000-0000-0000DD010000}"/>
    <cellStyle name="_KT_TG_2_TDT-MAU2" xfId="479" xr:uid="{00000000-0005-0000-0000-0000DE010000}"/>
    <cellStyle name="_KT_TG_2_TKHC-THOIQUAN-05-04-2004" xfId="480" xr:uid="{00000000-0005-0000-0000-0000DF010000}"/>
    <cellStyle name="_KT_TG_2_TSH - DINH MUC" xfId="482" xr:uid="{00000000-0005-0000-0000-0000E0010000}"/>
    <cellStyle name="_KT_TG_2_Trung the 2005 Nguyen - Bang 3" xfId="481" xr:uid="{00000000-0005-0000-0000-0000E1010000}"/>
    <cellStyle name="_KT_TG_2_ÿÿÿÿÿ" xfId="483" xr:uid="{00000000-0005-0000-0000-0000E2010000}"/>
    <cellStyle name="_KT_TG_2_ÿÿÿÿÿ 2" xfId="1499" xr:uid="{D557F343-C7BF-42A3-8566-F73F37172E36}"/>
    <cellStyle name="_KT_TG_2_ÿÿÿÿÿ_1" xfId="484" xr:uid="{00000000-0005-0000-0000-0000E3010000}"/>
    <cellStyle name="_KT_TG_2_ÿÿÿÿÿ_2" xfId="485" xr:uid="{00000000-0005-0000-0000-0000E4010000}"/>
    <cellStyle name="_KT_TG_3" xfId="486" xr:uid="{00000000-0005-0000-0000-0000E5010000}"/>
    <cellStyle name="_KT_TG_4" xfId="487" xr:uid="{00000000-0005-0000-0000-0000E6010000}"/>
    <cellStyle name="_KT_TG_4 2" xfId="1500" xr:uid="{947A7DBE-8991-43A9-A9D8-0F7780C57835}"/>
    <cellStyle name="_KT_TG_4_Lora-tungchau" xfId="488" xr:uid="{00000000-0005-0000-0000-0000E7010000}"/>
    <cellStyle name="_KT_TG_4_Lora-tungchau 2" xfId="1501" xr:uid="{9EEF5496-E11D-4643-AF7C-6D1A4DAC1DE2}"/>
    <cellStyle name="_KT_TG_4_Qt-HT3PQ1(CauKho)" xfId="489" xr:uid="{00000000-0005-0000-0000-0000E8010000}"/>
    <cellStyle name="_Lora-tungchau" xfId="490" xr:uid="{00000000-0005-0000-0000-0000E9010000}"/>
    <cellStyle name="_Lora-tungchau 2" xfId="1502" xr:uid="{1FDC07D0-5595-422E-8ED8-FF842A781FCA}"/>
    <cellStyle name="_Lora-tungchau_DM.NHANCONG" xfId="491" xr:uid="{00000000-0005-0000-0000-0000EA010000}"/>
    <cellStyle name="_Lora-tungchau_DM.NHANCONG 2" xfId="1503" xr:uid="{6C98AD9B-B54D-40A8-937B-8505E8106ED1}"/>
    <cellStyle name="_Lora-tungchau_ÿÿÿÿÿ" xfId="492" xr:uid="{00000000-0005-0000-0000-0000EB010000}"/>
    <cellStyle name="_Lora-tungchau_ÿÿÿÿÿ 2" xfId="1504" xr:uid="{5101BE6E-30FE-4442-B7DE-3BA8C5DD67EF}"/>
    <cellStyle name="_MAU du toan" xfId="493" xr:uid="{00000000-0005-0000-0000-0000EC010000}"/>
    <cellStyle name="_MAU du toan 2" xfId="1505" xr:uid="{09BA4849-23D7-4FCB-AD6E-F7B9B7034410}"/>
    <cellStyle name="_mauBCC" xfId="494" xr:uid="{00000000-0005-0000-0000-0000ED010000}"/>
    <cellStyle name="_mauBCC 2" xfId="1506" xr:uid="{9465795B-0C1B-4455-9AC7-E8064FE712C4}"/>
    <cellStyle name="_maubieuthuthap phandien" xfId="495" xr:uid="{00000000-0005-0000-0000-0000EE010000}"/>
    <cellStyle name="_maubieuthuthap phandien 2" xfId="1507" xr:uid="{83CC913B-D22C-487C-AC54-7235FA32C9C3}"/>
    <cellStyle name="_PERSONAL" xfId="496" xr:uid="{00000000-0005-0000-0000-0000EF010000}"/>
    <cellStyle name="_PERSONAL_HTQ.8 GD1" xfId="497" xr:uid="{00000000-0005-0000-0000-0000F0010000}"/>
    <cellStyle name="_PERSONAL_HTQ.8 GD1 2" xfId="1508" xr:uid="{027EDE9C-360A-4526-AF4A-CB39DD7A346F}"/>
    <cellStyle name="_PERSONAL_Tong hop KHCB 2001" xfId="498" xr:uid="{00000000-0005-0000-0000-0000F1010000}"/>
    <cellStyle name="_QD DIEU MBA" xfId="499" xr:uid="{00000000-0005-0000-0000-0000F2010000}"/>
    <cellStyle name="_QD DIEU MBA 2" xfId="1509" xr:uid="{677A418B-756F-4D78-B4E6-37C3B476BABC}"/>
    <cellStyle name="_QT TINH UNG 2002" xfId="500" xr:uid="{00000000-0005-0000-0000-0000F3010000}"/>
    <cellStyle name="_QT TINH UNG 2002 2" xfId="1510" xr:uid="{AD5DBB8B-4C51-46AC-B213-19CD2A867BEC}"/>
    <cellStyle name="_Qt-HT3PQ1(CauKho)" xfId="501" xr:uid="{00000000-0005-0000-0000-0000F4010000}"/>
    <cellStyle name="_TDT-MAU2" xfId="502" xr:uid="{00000000-0005-0000-0000-0000F5010000}"/>
    <cellStyle name="_TDT-MAU2 2" xfId="1511" xr:uid="{ECF3026C-975E-4BFB-B05F-65F4331FF41C}"/>
    <cellStyle name="_TG-TH" xfId="503" xr:uid="{00000000-0005-0000-0000-0000F6010000}"/>
    <cellStyle name="_TG-TH_1" xfId="504" xr:uid="{00000000-0005-0000-0000-0000F7010000}"/>
    <cellStyle name="_TG-TH_1 2" xfId="505" xr:uid="{00000000-0005-0000-0000-0000F8010000}"/>
    <cellStyle name="_TG-TH_1_BAO CAO KLCT PT2000" xfId="506" xr:uid="{00000000-0005-0000-0000-0000F9010000}"/>
    <cellStyle name="_TG-TH_1_BAO CAO PT2000" xfId="507" xr:uid="{00000000-0005-0000-0000-0000FA010000}"/>
    <cellStyle name="_TG-TH_1_BAO CAO PT2000_Book1" xfId="508" xr:uid="{00000000-0005-0000-0000-0000FB010000}"/>
    <cellStyle name="_TG-TH_1_Bao cao XDCB 2001 - T11 KH dieu chinh 20-11-THAI" xfId="509" xr:uid="{00000000-0005-0000-0000-0000FC010000}"/>
    <cellStyle name="_TG-TH_1_Book1" xfId="510" xr:uid="{00000000-0005-0000-0000-0000FD010000}"/>
    <cellStyle name="_TG-TH_1_Book1 2" xfId="511" xr:uid="{00000000-0005-0000-0000-0000FE010000}"/>
    <cellStyle name="_TG-TH_1_Book1_1" xfId="512" xr:uid="{00000000-0005-0000-0000-0000FF010000}"/>
    <cellStyle name="_TG-TH_1_Book1_1_Book1" xfId="513" xr:uid="{00000000-0005-0000-0000-000000020000}"/>
    <cellStyle name="_TG-TH_1_Book1_1_Book1 2" xfId="514" xr:uid="{00000000-0005-0000-0000-000001020000}"/>
    <cellStyle name="_TG-TH_1_Book1_1_Book1 3" xfId="1512" xr:uid="{61B78413-7161-42CA-8270-8D706DACF19D}"/>
    <cellStyle name="_TG-TH_1_Book1_1_Book1_1" xfId="515" xr:uid="{00000000-0005-0000-0000-000002020000}"/>
    <cellStyle name="_TG-TH_1_Book1_1_Can Tho DINH MUC lao dong 20-09-2004" xfId="516" xr:uid="{00000000-0005-0000-0000-000003020000}"/>
    <cellStyle name="_TG-TH_1_Book1_1_ÿÿÿÿÿ" xfId="517" xr:uid="{00000000-0005-0000-0000-000004020000}"/>
    <cellStyle name="_TG-TH_1_Book1_2" xfId="518" xr:uid="{00000000-0005-0000-0000-000005020000}"/>
    <cellStyle name="_TG-TH_1_Book1_2_Book1" xfId="519" xr:uid="{00000000-0005-0000-0000-000006020000}"/>
    <cellStyle name="_TG-TH_1_Book1_2_ÿÿÿÿÿ" xfId="520" xr:uid="{00000000-0005-0000-0000-000007020000}"/>
    <cellStyle name="_TG-TH_1_Book1_3" xfId="521" xr:uid="{00000000-0005-0000-0000-000008020000}"/>
    <cellStyle name="_TG-TH_1_Book1_4" xfId="522" xr:uid="{00000000-0005-0000-0000-000009020000}"/>
    <cellStyle name="_TG-TH_1_Book1_5" xfId="523" xr:uid="{00000000-0005-0000-0000-00000A020000}"/>
    <cellStyle name="_TG-TH_1_Book1_BC-QT-WB-dthao" xfId="524" xr:uid="{00000000-0005-0000-0000-00000B020000}"/>
    <cellStyle name="_TG-TH_1_Book1_Book1" xfId="525" xr:uid="{00000000-0005-0000-0000-00000C020000}"/>
    <cellStyle name="_TG-TH_1_Book1_Book1 2" xfId="526" xr:uid="{00000000-0005-0000-0000-00000D020000}"/>
    <cellStyle name="_TG-TH_1_Book1_Book1_1" xfId="527" xr:uid="{00000000-0005-0000-0000-00000E020000}"/>
    <cellStyle name="_TG-TH_1_Book1_Book1_1 2" xfId="528" xr:uid="{00000000-0005-0000-0000-00000F020000}"/>
    <cellStyle name="_TG-TH_1_Book1_Book1_2" xfId="529" xr:uid="{00000000-0005-0000-0000-000010020000}"/>
    <cellStyle name="_TG-TH_1_Book1_Book1_Book1" xfId="530" xr:uid="{00000000-0005-0000-0000-000011020000}"/>
    <cellStyle name="_TG-TH_1_Book1_Book1_MAU du toan" xfId="531" xr:uid="{00000000-0005-0000-0000-000012020000}"/>
    <cellStyle name="_TG-TH_1_Book1_Book1_ÿÿÿÿÿ" xfId="532" xr:uid="{00000000-0005-0000-0000-000013020000}"/>
    <cellStyle name="_TG-TH_1_Book1_Book1_ÿÿÿÿÿ 2" xfId="1513" xr:uid="{D3619B64-769E-4928-8BD4-305EEE225C35}"/>
    <cellStyle name="_TG-TH_1_Book1_Can Tho DINH MUC lao dong 20-09-2004" xfId="533" xr:uid="{00000000-0005-0000-0000-000014020000}"/>
    <cellStyle name="_TG-TH_1_Book1_dongia" xfId="534" xr:uid="{00000000-0005-0000-0000-000015020000}"/>
    <cellStyle name="_TG-TH_1_Book1_MAU du toan" xfId="535" xr:uid="{00000000-0005-0000-0000-000016020000}"/>
    <cellStyle name="_TG-TH_1_Book1_mauBCC" xfId="536" xr:uid="{00000000-0005-0000-0000-000017020000}"/>
    <cellStyle name="_TG-TH_1_Book1_maubieuthuthap phandien" xfId="537" xr:uid="{00000000-0005-0000-0000-000018020000}"/>
    <cellStyle name="_TG-TH_1_Book1_QD DIEU MBA" xfId="538" xr:uid="{00000000-0005-0000-0000-000019020000}"/>
    <cellStyle name="_TG-TH_1_Book1_TKHC-THOIQUAN-05-04-2004" xfId="539" xr:uid="{00000000-0005-0000-0000-00001A020000}"/>
    <cellStyle name="_TG-TH_1_Book1_TSH - DINH MUC" xfId="540" xr:uid="{00000000-0005-0000-0000-00001B020000}"/>
    <cellStyle name="_TG-TH_1_Book1_ÿÿÿÿÿ" xfId="541" xr:uid="{00000000-0005-0000-0000-00001C020000}"/>
    <cellStyle name="_TG-TH_1_Book1_ÿÿÿÿÿ_1" xfId="542" xr:uid="{00000000-0005-0000-0000-00001D020000}"/>
    <cellStyle name="_TG-TH_1_Book1_ÿÿÿÿÿ_2" xfId="543" xr:uid="{00000000-0005-0000-0000-00001E020000}"/>
    <cellStyle name="_TG-TH_1_Can Tho DINH MUC lao dong 20-09-2004" xfId="544" xr:uid="{00000000-0005-0000-0000-00001F020000}"/>
    <cellStyle name="_TG-TH_1_DAU NOI PL-CL TAI PHU LAMHC" xfId="545" xr:uid="{00000000-0005-0000-0000-000020020000}"/>
    <cellStyle name="_TG-TH_1_dongia" xfId="546" xr:uid="{00000000-0005-0000-0000-000021020000}"/>
    <cellStyle name="_TG-TH_1_DTCDT MR.2N110.HOCMON.TDTOAN.CCUNG" xfId="547" xr:uid="{00000000-0005-0000-0000-000022020000}"/>
    <cellStyle name="_TG-TH_1_DUTOAN_DAMDOI_PD1" xfId="548" xr:uid="{00000000-0005-0000-0000-000023020000}"/>
    <cellStyle name="_TG-TH_1_Lora-tungchau" xfId="549" xr:uid="{00000000-0005-0000-0000-000024020000}"/>
    <cellStyle name="_TG-TH_1_MAU du toan" xfId="550" xr:uid="{00000000-0005-0000-0000-000025020000}"/>
    <cellStyle name="_TG-TH_1_mauBCC" xfId="551" xr:uid="{00000000-0005-0000-0000-000026020000}"/>
    <cellStyle name="_TG-TH_1_maubieuthuthap phandien" xfId="552" xr:uid="{00000000-0005-0000-0000-000027020000}"/>
    <cellStyle name="_TG-TH_1_PGIA-phieu tham tra Kho bac" xfId="553" xr:uid="{00000000-0005-0000-0000-000028020000}"/>
    <cellStyle name="_TG-TH_1_PT02-02" xfId="554" xr:uid="{00000000-0005-0000-0000-000029020000}"/>
    <cellStyle name="_TG-TH_1_PT02-02_Book1" xfId="555" xr:uid="{00000000-0005-0000-0000-00002A020000}"/>
    <cellStyle name="_TG-TH_1_PT02-03" xfId="556" xr:uid="{00000000-0005-0000-0000-00002B020000}"/>
    <cellStyle name="_TG-TH_1_PT02-03_Book1" xfId="557" xr:uid="{00000000-0005-0000-0000-00002C020000}"/>
    <cellStyle name="_TG-TH_1_QD DIEU MBA" xfId="558" xr:uid="{00000000-0005-0000-0000-00002D020000}"/>
    <cellStyle name="_TG-TH_1_QT TINH UNG 2002" xfId="559" xr:uid="{00000000-0005-0000-0000-00002E020000}"/>
    <cellStyle name="_TG-TH_1_Qt-HT3PQ1(CauKho)" xfId="560" xr:uid="{00000000-0005-0000-0000-00002F020000}"/>
    <cellStyle name="_TG-TH_1_TDT-MAU2" xfId="561" xr:uid="{00000000-0005-0000-0000-000030020000}"/>
    <cellStyle name="_TG-TH_1_TKHC-THOIQUAN-05-04-2004" xfId="562" xr:uid="{00000000-0005-0000-0000-000031020000}"/>
    <cellStyle name="_TG-TH_1_TSH - DINH MUC" xfId="564" xr:uid="{00000000-0005-0000-0000-000032020000}"/>
    <cellStyle name="_TG-TH_1_Trung the 2005 Nguyen - Bang 3" xfId="563" xr:uid="{00000000-0005-0000-0000-000033020000}"/>
    <cellStyle name="_TG-TH_1_ÿÿÿÿÿ" xfId="565" xr:uid="{00000000-0005-0000-0000-000034020000}"/>
    <cellStyle name="_TG-TH_1_ÿÿÿÿÿ 2" xfId="1514" xr:uid="{1D1BC379-05F7-43DE-A97F-ECFAE4502415}"/>
    <cellStyle name="_TG-TH_1_ÿÿÿÿÿ_1" xfId="566" xr:uid="{00000000-0005-0000-0000-000035020000}"/>
    <cellStyle name="_TG-TH_1_ÿÿÿÿÿ_2" xfId="567" xr:uid="{00000000-0005-0000-0000-000036020000}"/>
    <cellStyle name="_TG-TH_2" xfId="568" xr:uid="{00000000-0005-0000-0000-000037020000}"/>
    <cellStyle name="_TG-TH_2 2" xfId="569" xr:uid="{00000000-0005-0000-0000-000038020000}"/>
    <cellStyle name="_TG-TH_2_BAO CAO KLCT PT2000" xfId="570" xr:uid="{00000000-0005-0000-0000-000039020000}"/>
    <cellStyle name="_TG-TH_2_BAO CAO PT2000" xfId="571" xr:uid="{00000000-0005-0000-0000-00003A020000}"/>
    <cellStyle name="_TG-TH_2_BAO CAO PT2000_Book1" xfId="572" xr:uid="{00000000-0005-0000-0000-00003B020000}"/>
    <cellStyle name="_TG-TH_2_Bao cao XDCB 2001 - T11 KH dieu chinh 20-11-THAI" xfId="573" xr:uid="{00000000-0005-0000-0000-00003C020000}"/>
    <cellStyle name="_TG-TH_2_Book1" xfId="574" xr:uid="{00000000-0005-0000-0000-00003D020000}"/>
    <cellStyle name="_TG-TH_2_Book1 2" xfId="575" xr:uid="{00000000-0005-0000-0000-00003E020000}"/>
    <cellStyle name="_TG-TH_2_Book1_1" xfId="576" xr:uid="{00000000-0005-0000-0000-00003F020000}"/>
    <cellStyle name="_TG-TH_2_Book1_1_Book1" xfId="577" xr:uid="{00000000-0005-0000-0000-000040020000}"/>
    <cellStyle name="_TG-TH_2_Book1_1_Book1 2" xfId="578" xr:uid="{00000000-0005-0000-0000-000041020000}"/>
    <cellStyle name="_TG-TH_2_Book1_1_Book1 3" xfId="1515" xr:uid="{32E49461-C375-44E6-A114-6021543ACC62}"/>
    <cellStyle name="_TG-TH_2_Book1_1_Book1_1" xfId="579" xr:uid="{00000000-0005-0000-0000-000042020000}"/>
    <cellStyle name="_TG-TH_2_Book1_1_Can Tho DINH MUC lao dong 20-09-2004" xfId="580" xr:uid="{00000000-0005-0000-0000-000043020000}"/>
    <cellStyle name="_TG-TH_2_Book1_1_ÿÿÿÿÿ" xfId="581" xr:uid="{00000000-0005-0000-0000-000044020000}"/>
    <cellStyle name="_TG-TH_2_Book1_2" xfId="582" xr:uid="{00000000-0005-0000-0000-000045020000}"/>
    <cellStyle name="_TG-TH_2_Book1_2_Book1" xfId="583" xr:uid="{00000000-0005-0000-0000-000046020000}"/>
    <cellStyle name="_TG-TH_2_Book1_2_ÿÿÿÿÿ" xfId="584" xr:uid="{00000000-0005-0000-0000-000047020000}"/>
    <cellStyle name="_TG-TH_2_Book1_3" xfId="585" xr:uid="{00000000-0005-0000-0000-000048020000}"/>
    <cellStyle name="_TG-TH_2_Book1_4" xfId="586" xr:uid="{00000000-0005-0000-0000-000049020000}"/>
    <cellStyle name="_TG-TH_2_Book1_5" xfId="587" xr:uid="{00000000-0005-0000-0000-00004A020000}"/>
    <cellStyle name="_TG-TH_2_Book1_Book1" xfId="588" xr:uid="{00000000-0005-0000-0000-00004B020000}"/>
    <cellStyle name="_TG-TH_2_Book1_Book1 2" xfId="589" xr:uid="{00000000-0005-0000-0000-00004C020000}"/>
    <cellStyle name="_TG-TH_2_Book1_Book1_1" xfId="590" xr:uid="{00000000-0005-0000-0000-00004D020000}"/>
    <cellStyle name="_TG-TH_2_Book1_Book1_1 2" xfId="591" xr:uid="{00000000-0005-0000-0000-00004E020000}"/>
    <cellStyle name="_TG-TH_2_Book1_Book1_2" xfId="592" xr:uid="{00000000-0005-0000-0000-00004F020000}"/>
    <cellStyle name="_TG-TH_2_Book1_Book1_Book1" xfId="593" xr:uid="{00000000-0005-0000-0000-000050020000}"/>
    <cellStyle name="_TG-TH_2_Book1_Book1_MAU du toan" xfId="594" xr:uid="{00000000-0005-0000-0000-000051020000}"/>
    <cellStyle name="_TG-TH_2_Book1_Book1_ÿÿÿÿÿ" xfId="595" xr:uid="{00000000-0005-0000-0000-000052020000}"/>
    <cellStyle name="_TG-TH_2_Book1_Book1_ÿÿÿÿÿ 2" xfId="1516" xr:uid="{DFC6E7BB-2CF9-4D9C-A7B5-9AE0BC2C9718}"/>
    <cellStyle name="_TG-TH_2_Book1_Can Tho DINH MUC lao dong 20-09-2004" xfId="596" xr:uid="{00000000-0005-0000-0000-000053020000}"/>
    <cellStyle name="_TG-TH_2_Book1_dongia" xfId="597" xr:uid="{00000000-0005-0000-0000-000054020000}"/>
    <cellStyle name="_TG-TH_2_Book1_MAU du toan" xfId="598" xr:uid="{00000000-0005-0000-0000-000055020000}"/>
    <cellStyle name="_TG-TH_2_Book1_mauBCC" xfId="599" xr:uid="{00000000-0005-0000-0000-000056020000}"/>
    <cellStyle name="_TG-TH_2_Book1_maubieuthuthap phandien" xfId="600" xr:uid="{00000000-0005-0000-0000-000057020000}"/>
    <cellStyle name="_TG-TH_2_Book1_QD DIEU MBA" xfId="601" xr:uid="{00000000-0005-0000-0000-000058020000}"/>
    <cellStyle name="_TG-TH_2_Book1_TKHC-THOIQUAN-05-04-2004" xfId="602" xr:uid="{00000000-0005-0000-0000-000059020000}"/>
    <cellStyle name="_TG-TH_2_Book1_TSH - DINH MUC" xfId="603" xr:uid="{00000000-0005-0000-0000-00005A020000}"/>
    <cellStyle name="_TG-TH_2_Book1_ÿÿÿÿÿ" xfId="604" xr:uid="{00000000-0005-0000-0000-00005B020000}"/>
    <cellStyle name="_TG-TH_2_Book1_ÿÿÿÿÿ_1" xfId="605" xr:uid="{00000000-0005-0000-0000-00005C020000}"/>
    <cellStyle name="_TG-TH_2_Book1_ÿÿÿÿÿ_2" xfId="606" xr:uid="{00000000-0005-0000-0000-00005D020000}"/>
    <cellStyle name="_TG-TH_2_Can Tho DINH MUC lao dong 20-09-2004" xfId="607" xr:uid="{00000000-0005-0000-0000-00005E020000}"/>
    <cellStyle name="_TG-TH_2_DAU NOI PL-CL TAI PHU LAMHC" xfId="608" xr:uid="{00000000-0005-0000-0000-00005F020000}"/>
    <cellStyle name="_TG-TH_2_dongia" xfId="609" xr:uid="{00000000-0005-0000-0000-000060020000}"/>
    <cellStyle name="_TG-TH_2_DTCDT MR.2N110.HOCMON.TDTOAN.CCUNG" xfId="610" xr:uid="{00000000-0005-0000-0000-000061020000}"/>
    <cellStyle name="_TG-TH_2_DUTOAN_DAMDOI_PD1" xfId="611" xr:uid="{00000000-0005-0000-0000-000062020000}"/>
    <cellStyle name="_TG-TH_2_Lora-tungchau" xfId="612" xr:uid="{00000000-0005-0000-0000-000063020000}"/>
    <cellStyle name="_TG-TH_2_MAU du toan" xfId="613" xr:uid="{00000000-0005-0000-0000-000064020000}"/>
    <cellStyle name="_TG-TH_2_mauBCC" xfId="614" xr:uid="{00000000-0005-0000-0000-000065020000}"/>
    <cellStyle name="_TG-TH_2_maubieuthuthap phandien" xfId="615" xr:uid="{00000000-0005-0000-0000-000066020000}"/>
    <cellStyle name="_TG-TH_2_PGIA-phieu tham tra Kho bac" xfId="616" xr:uid="{00000000-0005-0000-0000-000067020000}"/>
    <cellStyle name="_TG-TH_2_PT02-02" xfId="617" xr:uid="{00000000-0005-0000-0000-000068020000}"/>
    <cellStyle name="_TG-TH_2_PT02-02_Book1" xfId="618" xr:uid="{00000000-0005-0000-0000-000069020000}"/>
    <cellStyle name="_TG-TH_2_PT02-03" xfId="619" xr:uid="{00000000-0005-0000-0000-00006A020000}"/>
    <cellStyle name="_TG-TH_2_PT02-03_Book1" xfId="620" xr:uid="{00000000-0005-0000-0000-00006B020000}"/>
    <cellStyle name="_TG-TH_2_QD DIEU MBA" xfId="621" xr:uid="{00000000-0005-0000-0000-00006C020000}"/>
    <cellStyle name="_TG-TH_2_QT TINH UNG 2002" xfId="622" xr:uid="{00000000-0005-0000-0000-00006D020000}"/>
    <cellStyle name="_TG-TH_2_Qt-HT3PQ1(CauKho)" xfId="623" xr:uid="{00000000-0005-0000-0000-00006E020000}"/>
    <cellStyle name="_TG-TH_2_TDT-MAU2" xfId="624" xr:uid="{00000000-0005-0000-0000-00006F020000}"/>
    <cellStyle name="_TG-TH_2_TKHC-THOIQUAN-05-04-2004" xfId="625" xr:uid="{00000000-0005-0000-0000-000070020000}"/>
    <cellStyle name="_TG-TH_2_TSH - DINH MUC" xfId="627" xr:uid="{00000000-0005-0000-0000-000071020000}"/>
    <cellStyle name="_TG-TH_2_Trung the 2005 Nguyen - Bang 3" xfId="626" xr:uid="{00000000-0005-0000-0000-000072020000}"/>
    <cellStyle name="_TG-TH_2_ÿÿÿÿÿ" xfId="628" xr:uid="{00000000-0005-0000-0000-000073020000}"/>
    <cellStyle name="_TG-TH_2_ÿÿÿÿÿ 2" xfId="1517" xr:uid="{8D28DCE9-39AB-4783-A911-C839898764B4}"/>
    <cellStyle name="_TG-TH_2_ÿÿÿÿÿ_1" xfId="629" xr:uid="{00000000-0005-0000-0000-000074020000}"/>
    <cellStyle name="_TG-TH_2_ÿÿÿÿÿ_2" xfId="630" xr:uid="{00000000-0005-0000-0000-000075020000}"/>
    <cellStyle name="_TG-TH_3" xfId="631" xr:uid="{00000000-0005-0000-0000-000076020000}"/>
    <cellStyle name="_TG-TH_3 2" xfId="1518" xr:uid="{7F3901B0-38BD-4F3E-96C1-870B09376D55}"/>
    <cellStyle name="_TG-TH_3_Lora-tungchau" xfId="632" xr:uid="{00000000-0005-0000-0000-000077020000}"/>
    <cellStyle name="_TG-TH_3_Lora-tungchau 2" xfId="1519" xr:uid="{803363B3-6228-47A3-91FA-8AC2B1858B7B}"/>
    <cellStyle name="_TG-TH_3_Qt-HT3PQ1(CauKho)" xfId="633" xr:uid="{00000000-0005-0000-0000-000078020000}"/>
    <cellStyle name="_TG-TH_4" xfId="634" xr:uid="{00000000-0005-0000-0000-000079020000}"/>
    <cellStyle name="_TKHC-THOIQUAN-05-04-2004" xfId="635" xr:uid="{00000000-0005-0000-0000-00007A020000}"/>
    <cellStyle name="_TKHC-THOIQUAN-05-04-2004 2" xfId="1520" xr:uid="{D0D0BA81-939F-48D6-B5B8-E22B74F5A0F8}"/>
    <cellStyle name="_TSH - DINH MUC" xfId="637" xr:uid="{00000000-0005-0000-0000-00007B020000}"/>
    <cellStyle name="_TSH - DINH MUC 2" xfId="1522" xr:uid="{392AE7FB-B8A1-4ECB-962A-474D13182D3F}"/>
    <cellStyle name="_Trung the 2005 Nguyen - Bang 3" xfId="636" xr:uid="{00000000-0005-0000-0000-00007C020000}"/>
    <cellStyle name="_Trung the 2005 Nguyen - Bang 3 2" xfId="1521" xr:uid="{406B378E-AFCF-46EA-B251-30D355D41B32}"/>
    <cellStyle name="_ÿÿÿÿÿ" xfId="638" xr:uid="{00000000-0005-0000-0000-00007D020000}"/>
    <cellStyle name="_ÿÿÿÿÿ 2" xfId="1523" xr:uid="{AB3409C1-965B-440F-B2CF-69386B1F1BE8}"/>
    <cellStyle name="_ÿÿÿÿÿ_1" xfId="639" xr:uid="{00000000-0005-0000-0000-00007E020000}"/>
    <cellStyle name="_ÿÿÿÿÿ_1 2" xfId="1524" xr:uid="{380027D7-0B97-4E99-9CF4-F4BE2F3A7D81}"/>
    <cellStyle name="_ÿÿÿÿÿ_2" xfId="640" xr:uid="{00000000-0005-0000-0000-00007F020000}"/>
    <cellStyle name="_ÿÿÿÿÿ_2 2" xfId="1525" xr:uid="{3CB9207E-C017-48EA-B5B4-992D3D56CAC8}"/>
    <cellStyle name="_x0001_¨c^ " xfId="1640" xr:uid="{5904FB32-3B0E-4D77-A2E4-1F0B412D3F19}"/>
    <cellStyle name="_x0001_¨Œc^ " xfId="1641" xr:uid="{D8F99EA5-E0BD-4A6D-B031-1102BEC5A9F6}"/>
    <cellStyle name="_x0001_µÑTÖ " xfId="1642" xr:uid="{5F6ED96C-CECC-48A1-9A42-362C881F454D}"/>
    <cellStyle name="•W€_STDFOR" xfId="641" xr:uid="{00000000-0005-0000-0000-000080020000}"/>
    <cellStyle name="1" xfId="1643" xr:uid="{2BF379EE-40FB-4C8C-997A-548F0A5BABBD}"/>
    <cellStyle name="¹éºÐÀ²_      " xfId="642" xr:uid="{00000000-0005-0000-0000-000081020000}"/>
    <cellStyle name="_x0001_Å»_x001e_´ " xfId="1644" xr:uid="{24A1D309-88E7-4BD9-9751-FA4D7BDD302A}"/>
    <cellStyle name="ÅëÈ­ [0]_      " xfId="643" xr:uid="{00000000-0005-0000-0000-000082020000}"/>
    <cellStyle name="AeE­ [0]_INQUIRY ¿?¾÷AßAø " xfId="644" xr:uid="{00000000-0005-0000-0000-000083020000}"/>
    <cellStyle name="ÅëÈ­ [0]_L601CPT" xfId="645" xr:uid="{00000000-0005-0000-0000-000084020000}"/>
    <cellStyle name="ÅëÈ­_      " xfId="646" xr:uid="{00000000-0005-0000-0000-000085020000}"/>
    <cellStyle name="AeE­_INQUIRY ¿?¾÷AßAø " xfId="647" xr:uid="{00000000-0005-0000-0000-000086020000}"/>
    <cellStyle name="ÅëÈ­_L601CPT" xfId="648" xr:uid="{00000000-0005-0000-0000-000087020000}"/>
    <cellStyle name="ÅëÈ­䡟倀 䰀愀猀攀爀䨀攀琀 ㄀㄀" xfId="649" xr:uid="{00000000-0005-0000-0000-000088020000}"/>
    <cellStyle name="ÅëÈ­䡟倀 䰀愀猀攀爀䨀攀琀 ㄀㄀ 2" xfId="650" xr:uid="{00000000-0005-0000-0000-000089020000}"/>
    <cellStyle name="ÅëÈ­䡟倀 䰀愀猀攀爀䨀攀琀 ㄀㄀ 3" xfId="651" xr:uid="{00000000-0005-0000-0000-00008A020000}"/>
    <cellStyle name="ÅëÈ­䡟倀 䰀愀猀攀爀䨀攀琀 ㄀㄀ 4" xfId="1526" xr:uid="{CBC0B578-84E6-45EE-8355-6C04DE4A1421}"/>
    <cellStyle name="ÄÞ¸¶ [0]_      " xfId="652" xr:uid="{00000000-0005-0000-0000-00008B020000}"/>
    <cellStyle name="AÞ¸¶ [0]_INQUIRY ¿?¾÷AßAø " xfId="653" xr:uid="{00000000-0005-0000-0000-00008C020000}"/>
    <cellStyle name="ÄÞ¸¶ [0]_L601CPT" xfId="654" xr:uid="{00000000-0005-0000-0000-00008D020000}"/>
    <cellStyle name="ÄÞ¸¶_      " xfId="655" xr:uid="{00000000-0005-0000-0000-00008E020000}"/>
    <cellStyle name="AÞ¸¶_INQUIRY ¿?¾÷AßAø " xfId="656" xr:uid="{00000000-0005-0000-0000-00008F020000}"/>
    <cellStyle name="ÄÞ¸¶_L601CPT" xfId="657" xr:uid="{00000000-0005-0000-0000-000090020000}"/>
    <cellStyle name="AutoFormat Options" xfId="658" xr:uid="{00000000-0005-0000-0000-000091020000}"/>
    <cellStyle name="AutoFormat Options 2" xfId="1527" xr:uid="{6F9B8C7B-78C4-40D5-B16B-AEAB27230C5E}"/>
    <cellStyle name="Ąऀ餀㐋搈Ā܀堀ĂĀ堀Ȃ" xfId="659" xr:uid="{00000000-0005-0000-0000-000092020000}"/>
    <cellStyle name="Ąऀ餀㐋搈Ā܀堀ĂĀ堀Ȃ 2" xfId="660" xr:uid="{00000000-0005-0000-0000-000093020000}"/>
    <cellStyle name="Ąऀ餀㐋搈Ā܀堀ĂĀ堀Ȃ 3" xfId="661" xr:uid="{00000000-0005-0000-0000-000094020000}"/>
    <cellStyle name="Ąऀ餀㐋搈Ā܀堀ĂĀ堀Ȃ 4" xfId="1528" xr:uid="{C525A737-297A-40C3-8A8F-DD6E4BDD9A2C}"/>
    <cellStyle name="C?AØ_¿?¾÷CoE² " xfId="662" xr:uid="{00000000-0005-0000-0000-000095020000}"/>
    <cellStyle name="Ç¥ÁØ_      " xfId="663" xr:uid="{00000000-0005-0000-0000-000096020000}"/>
    <cellStyle name="C￥AØ_´eAN°yC￥ " xfId="1645" xr:uid="{FB4A9D5A-652C-4392-AA5C-AE4633C30630}"/>
    <cellStyle name="Ç¥ÁØ_±¸¹Ì´ëÃ¥" xfId="664" xr:uid="{00000000-0005-0000-0000-000098020000}"/>
    <cellStyle name="category" xfId="665" xr:uid="{00000000-0005-0000-0000-000099020000}"/>
    <cellStyle name="Cerrency_Sheet2_XANGDAU" xfId="666" xr:uid="{00000000-0005-0000-0000-00009A020000}"/>
    <cellStyle name="Comma" xfId="667" builtinId="3"/>
    <cellStyle name="Comma 10" xfId="668" xr:uid="{00000000-0005-0000-0000-00009C020000}"/>
    <cellStyle name="Comma 11" xfId="1337" xr:uid="{53E19C35-4CE8-4706-8C9C-200FCF7DE7DC}"/>
    <cellStyle name="Comma 12" xfId="1646" xr:uid="{4F0FF386-04B4-444B-B250-5800715D7582}"/>
    <cellStyle name="Comma 2" xfId="669" xr:uid="{00000000-0005-0000-0000-00009D020000}"/>
    <cellStyle name="Comma 2 2" xfId="670" xr:uid="{00000000-0005-0000-0000-00009E020000}"/>
    <cellStyle name="Comma 2 2 2" xfId="1530" xr:uid="{4788F69E-C14E-449F-BFA1-932F9BFE2466}"/>
    <cellStyle name="Comma 2 2 3" xfId="1647" xr:uid="{C38D31F6-D285-45A9-897E-FC1C368E30FF}"/>
    <cellStyle name="Comma 2 3" xfId="671" xr:uid="{00000000-0005-0000-0000-00009F020000}"/>
    <cellStyle name="Comma 2 4" xfId="1338" xr:uid="{0F56BEB7-94E3-4A8A-98CA-68D101C38EC7}"/>
    <cellStyle name="Comma 3" xfId="672" xr:uid="{00000000-0005-0000-0000-0000A0020000}"/>
    <cellStyle name="Comma 3 2" xfId="1531" xr:uid="{BE2797B0-894C-4D64-ACFD-18911BB533C0}"/>
    <cellStyle name="Comma 3 3" xfId="1648" xr:uid="{AC1E2155-0914-420D-B4E7-958E46C035C3}"/>
    <cellStyle name="Comma 4" xfId="673" xr:uid="{00000000-0005-0000-0000-0000A1020000}"/>
    <cellStyle name="Comma 4 2" xfId="674" xr:uid="{00000000-0005-0000-0000-0000A2020000}"/>
    <cellStyle name="Comma 4 2 2" xfId="1533" xr:uid="{7863D59D-DE69-44A8-9CEC-D3E073408B6F}"/>
    <cellStyle name="Comma 4 2 3" xfId="1649" xr:uid="{36ECC5E5-5EDC-4FBC-AEA9-F8B763F21E03}"/>
    <cellStyle name="Comma 4 3" xfId="675" xr:uid="{00000000-0005-0000-0000-0000A3020000}"/>
    <cellStyle name="Comma 4 4" xfId="676" xr:uid="{00000000-0005-0000-0000-0000A4020000}"/>
    <cellStyle name="Comma 4 5" xfId="1532" xr:uid="{FFE3C518-0AB7-4FBA-9164-D290A7D67C7F}"/>
    <cellStyle name="Comma 5" xfId="677" xr:uid="{00000000-0005-0000-0000-0000A5020000}"/>
    <cellStyle name="Comma 5 2" xfId="1534" xr:uid="{3A4684E5-4285-420C-B7A5-66DF5B1E82F7}"/>
    <cellStyle name="Comma 6" xfId="678" xr:uid="{00000000-0005-0000-0000-0000A6020000}"/>
    <cellStyle name="Comma 6 2" xfId="1529" xr:uid="{8A216889-FA06-49DB-8994-435A60C37ABF}"/>
    <cellStyle name="Comma 7" xfId="679" xr:uid="{00000000-0005-0000-0000-0000A7020000}"/>
    <cellStyle name="Comma 8" xfId="680" xr:uid="{00000000-0005-0000-0000-0000A8020000}"/>
    <cellStyle name="Comma 8 2" xfId="1650" xr:uid="{9E550338-1835-492B-B81A-CB5B7000BB28}"/>
    <cellStyle name="Comma 9" xfId="681" xr:uid="{00000000-0005-0000-0000-0000A9020000}"/>
    <cellStyle name="Comma_Sheet2_1" xfId="682" xr:uid="{00000000-0005-0000-0000-0000AA020000}"/>
    <cellStyle name="Comma0" xfId="683" xr:uid="{00000000-0005-0000-0000-0000AB020000}"/>
    <cellStyle name="Commaɟpldt_6" xfId="684" xr:uid="{00000000-0005-0000-0000-0000AC020000}"/>
    <cellStyle name="Co聭ma_Sheet1" xfId="685" xr:uid="{00000000-0005-0000-0000-0000AD020000}"/>
    <cellStyle name="Curråncy [0]_FCST_RESULTS" xfId="686" xr:uid="{00000000-0005-0000-0000-0000AE020000}"/>
    <cellStyle name="Curre " xfId="1651" xr:uid="{CC9AC1FF-09E8-42C5-A569-9E485F5B9D98}"/>
    <cellStyle name="Currenc " xfId="1652" xr:uid="{9966C223-3B70-4E81-A481-E43EFEB1104B}"/>
    <cellStyle name="Currency [0]ßmud plant bolted_RESULTS" xfId="687" xr:uid="{00000000-0005-0000-0000-0000AF020000}"/>
    <cellStyle name="Currency![0]_FCSt (2)" xfId="688" xr:uid="{00000000-0005-0000-0000-0000B0020000}"/>
    <cellStyle name="Currency0" xfId="689" xr:uid="{00000000-0005-0000-0000-0000B1020000}"/>
    <cellStyle name="Currency0 2" xfId="690" xr:uid="{00000000-0005-0000-0000-0000B2020000}"/>
    <cellStyle name="Date" xfId="691" xr:uid="{00000000-0005-0000-0000-0000B3020000}"/>
    <cellStyle name="Dấu phẩy 2" xfId="692" xr:uid="{00000000-0005-0000-0000-0000B4020000}"/>
    <cellStyle name="Dấu phẩy 2 2" xfId="693" xr:uid="{00000000-0005-0000-0000-0000B5020000}"/>
    <cellStyle name="Dấu phẩy 2 2 2" xfId="1536" xr:uid="{8AB1DF61-D700-414B-B6A2-FE8A34A94BEF}"/>
    <cellStyle name="Dấu phẩy 2 3" xfId="1535" xr:uid="{B92FEB43-C511-47BC-8B62-B1F3DA004978}"/>
    <cellStyle name="Dezimal [0]_UXO VII" xfId="694" xr:uid="{00000000-0005-0000-0000-0000B6020000}"/>
    <cellStyle name="Dezimal_UXO VII" xfId="695" xr:uid="{00000000-0005-0000-0000-0000B7020000}"/>
    <cellStyle name="_x0001_dÏÈ¹ " xfId="1653" xr:uid="{5F8A8E10-32AF-4AA0-866C-0C973DBBAAB4}"/>
    <cellStyle name="Fixed" xfId="696" xr:uid="{00000000-0005-0000-0000-0000B8020000}"/>
    <cellStyle name="Grey" xfId="697" xr:uid="{00000000-0005-0000-0000-0000B9020000}"/>
    <cellStyle name="HEADER" xfId="698" xr:uid="{00000000-0005-0000-0000-0000BA020000}"/>
    <cellStyle name="Header1" xfId="699" xr:uid="{00000000-0005-0000-0000-0000BB020000}"/>
    <cellStyle name="Header2" xfId="700" xr:uid="{00000000-0005-0000-0000-0000BC020000}"/>
    <cellStyle name="Heading 1" xfId="701" builtinId="16" customBuiltin="1"/>
    <cellStyle name="Heading 1 2" xfId="702" xr:uid="{00000000-0005-0000-0000-0000BE020000}"/>
    <cellStyle name="Heading 2" xfId="703" builtinId="17" customBuiltin="1"/>
    <cellStyle name="Heading 2 2" xfId="704" xr:uid="{00000000-0005-0000-0000-0000C0020000}"/>
    <cellStyle name="Heading1" xfId="705" xr:uid="{00000000-0005-0000-0000-0000C1020000}"/>
    <cellStyle name="Heading2" xfId="706" xr:uid="{00000000-0005-0000-0000-0000C2020000}"/>
    <cellStyle name="Hyperlink 2" xfId="707" xr:uid="{00000000-0005-0000-0000-0000C3020000}"/>
    <cellStyle name="Hyperlink 2 2" xfId="1654" xr:uid="{13FB1442-FB6A-407D-856C-29B5F106113E}"/>
    <cellStyle name="Hyperlink 3" xfId="708" xr:uid="{00000000-0005-0000-0000-0000C4020000}"/>
    <cellStyle name="i·0" xfId="709" xr:uid="{00000000-0005-0000-0000-0000C5020000}"/>
    <cellStyle name="_x0001_íå_x001b_ô " xfId="1655" xr:uid="{1903739F-9607-4432-A81F-829E97EEDCC4}"/>
    <cellStyle name="Input [yellow]" xfId="710" xr:uid="{00000000-0005-0000-0000-0000C6020000}"/>
    <cellStyle name="Line" xfId="711" xr:uid="{00000000-0005-0000-0000-0000C7020000}"/>
    <cellStyle name="Line 2" xfId="712" xr:uid="{00000000-0005-0000-0000-0000C8020000}"/>
    <cellStyle name="Millares [0]_Well Timing" xfId="713" xr:uid="{00000000-0005-0000-0000-0000C9020000}"/>
    <cellStyle name="Millares_Well Timing" xfId="714" xr:uid="{00000000-0005-0000-0000-0000CA020000}"/>
    <cellStyle name="Milliers [0]_      " xfId="1656" xr:uid="{1AB8A838-78CE-45B1-B055-664897B49272}"/>
    <cellStyle name="Milliers_      " xfId="1657" xr:uid="{AFC53617-5D0C-41CF-A742-D0777CFFB42B}"/>
    <cellStyle name="Model" xfId="715" xr:uid="{00000000-0005-0000-0000-0000CB020000}"/>
    <cellStyle name="Mon?aire [0]_      " xfId="1658" xr:uid="{946DB4AC-521E-485D-BC24-9A8013B8B170}"/>
    <cellStyle name="Mon?aire_      " xfId="1659" xr:uid="{682B164D-DA8E-4DCA-9F44-98ED6D8F98AB}"/>
    <cellStyle name="Moneda [0]_Well Timing" xfId="716" xr:uid="{00000000-0005-0000-0000-0000CC020000}"/>
    <cellStyle name="Moneda_Well Timing" xfId="717" xr:uid="{00000000-0005-0000-0000-0000CD020000}"/>
    <cellStyle name="n" xfId="718" xr:uid="{00000000-0005-0000-0000-0000CE020000}"/>
    <cellStyle name="Normal" xfId="0" builtinId="0"/>
    <cellStyle name="Normal - Style1" xfId="719" xr:uid="{00000000-0005-0000-0000-0000D0020000}"/>
    <cellStyle name="Normal 10" xfId="720" xr:uid="{00000000-0005-0000-0000-0000D1020000}"/>
    <cellStyle name="Normal 10 2" xfId="721" xr:uid="{00000000-0005-0000-0000-0000D2020000}"/>
    <cellStyle name="Normal 10 2 2" xfId="1340" xr:uid="{7827D373-40A2-4E4C-8F4A-100756FE0E42}"/>
    <cellStyle name="Normal 10 3" xfId="722" xr:uid="{00000000-0005-0000-0000-0000D3020000}"/>
    <cellStyle name="Normal 10 4" xfId="723" xr:uid="{00000000-0005-0000-0000-0000D4020000}"/>
    <cellStyle name="Normal 10 5" xfId="1339" xr:uid="{28B9C752-6368-4163-A15D-B9657620E27F}"/>
    <cellStyle name="Normal 100" xfId="724" xr:uid="{00000000-0005-0000-0000-0000D5020000}"/>
    <cellStyle name="Normal 101" xfId="725" xr:uid="{00000000-0005-0000-0000-0000D6020000}"/>
    <cellStyle name="Normal 102" xfId="726" xr:uid="{00000000-0005-0000-0000-0000D7020000}"/>
    <cellStyle name="Normal 103" xfId="727" xr:uid="{00000000-0005-0000-0000-0000D8020000}"/>
    <cellStyle name="Normal 104" xfId="728" xr:uid="{00000000-0005-0000-0000-0000D9020000}"/>
    <cellStyle name="Normal 105" xfId="729" xr:uid="{00000000-0005-0000-0000-0000DA020000}"/>
    <cellStyle name="Normal 106" xfId="730" xr:uid="{00000000-0005-0000-0000-0000DB020000}"/>
    <cellStyle name="Normal 107" xfId="731" xr:uid="{00000000-0005-0000-0000-0000DC020000}"/>
    <cellStyle name="Normal 108" xfId="732" xr:uid="{00000000-0005-0000-0000-0000DD020000}"/>
    <cellStyle name="Normal 109" xfId="1633" xr:uid="{A1554B26-BD4B-4B4C-888B-D07DCDECA9A4}"/>
    <cellStyle name="Normal 11" xfId="733" xr:uid="{00000000-0005-0000-0000-0000DE020000}"/>
    <cellStyle name="Normal 11 2" xfId="734" xr:uid="{00000000-0005-0000-0000-0000DF020000}"/>
    <cellStyle name="Normal 11 3" xfId="735" xr:uid="{00000000-0005-0000-0000-0000E0020000}"/>
    <cellStyle name="Normal 11 4" xfId="736" xr:uid="{00000000-0005-0000-0000-0000E1020000}"/>
    <cellStyle name="Normal 110" xfId="1662" xr:uid="{4DC4FBAF-C02A-470A-B01D-CA99263C5BF3}"/>
    <cellStyle name="Normal 111" xfId="1697" xr:uid="{91111F95-1BF9-462A-8F45-4F1B8E445316}"/>
    <cellStyle name="Normal 112" xfId="1698" xr:uid="{4B87C0D4-8A18-4B9A-949E-12CEF5CB5048}"/>
    <cellStyle name="Normal 113" xfId="1699" xr:uid="{E005BCF3-A376-44AA-8D8C-6F1B1280ABCE}"/>
    <cellStyle name="Normal 114" xfId="1700" xr:uid="{43747FB7-CC5D-4180-A97C-5F81C03E4F30}"/>
    <cellStyle name="Normal 115" xfId="1701" xr:uid="{43F7690B-D0D7-4EA0-9EE1-F447EE3B9D14}"/>
    <cellStyle name="Normal 116" xfId="1702" xr:uid="{E2DB93FF-9CBF-42F9-B534-7A4FF4B4E79D}"/>
    <cellStyle name="Normal 117" xfId="1703" xr:uid="{6D625C63-2B67-46F2-AEEB-0B007B32CA72}"/>
    <cellStyle name="Normal 118" xfId="1704" xr:uid="{40752A4F-E27F-475B-A039-83C5A85E40C0}"/>
    <cellStyle name="Normal 119" xfId="1705" xr:uid="{CABB738E-D995-4E74-8991-94D268B89019}"/>
    <cellStyle name="Normal 12" xfId="737" xr:uid="{00000000-0005-0000-0000-0000E2020000}"/>
    <cellStyle name="Normal 12 2" xfId="738" xr:uid="{00000000-0005-0000-0000-0000E3020000}"/>
    <cellStyle name="Normal 12 3" xfId="739" xr:uid="{00000000-0005-0000-0000-0000E4020000}"/>
    <cellStyle name="Normal 12 4" xfId="740" xr:uid="{00000000-0005-0000-0000-0000E5020000}"/>
    <cellStyle name="Normal 12 5" xfId="1341" xr:uid="{025CF5D5-8082-4723-A6AD-6B26E0DD6916}"/>
    <cellStyle name="Normal 120" xfId="1706" xr:uid="{40F709A2-2479-4197-AFD6-D07436B6472C}"/>
    <cellStyle name="Normal 121" xfId="1707" xr:uid="{2A6FA13C-7B64-448F-9916-05E90727A6F7}"/>
    <cellStyle name="Normal 122" xfId="1708" xr:uid="{15AE067F-5823-45F3-B0B0-BE9CB4182291}"/>
    <cellStyle name="Normal 123" xfId="1709" xr:uid="{3E2DD93E-913F-4CFF-B93F-5778323C75E9}"/>
    <cellStyle name="Normal 124" xfId="1710" xr:uid="{E8F0F794-E549-48FD-A10A-5D651D150350}"/>
    <cellStyle name="Normal 125" xfId="1718" xr:uid="{315E5C99-E3CC-4E38-A03C-01A6A84551C1}"/>
    <cellStyle name="Normal 126" xfId="1724" xr:uid="{1B0D47AC-F963-439F-A29B-F81792090371}"/>
    <cellStyle name="Normal 127" xfId="1725" xr:uid="{E45E9F18-E357-4EE6-8126-092B689AD42D}"/>
    <cellStyle name="Normal 128" xfId="1726" xr:uid="{D72B719B-AD77-4D11-ACDB-965E9DF8A882}"/>
    <cellStyle name="Normal 129" xfId="1727" xr:uid="{BB793EC5-158F-444A-AE2D-2961A10C7855}"/>
    <cellStyle name="Normal 13" xfId="741" xr:uid="{00000000-0005-0000-0000-0000E6020000}"/>
    <cellStyle name="Normal 13 2" xfId="742" xr:uid="{00000000-0005-0000-0000-0000E7020000}"/>
    <cellStyle name="Normal 13 3" xfId="743" xr:uid="{00000000-0005-0000-0000-0000E8020000}"/>
    <cellStyle name="Normal 13 4" xfId="744" xr:uid="{00000000-0005-0000-0000-0000E9020000}"/>
    <cellStyle name="Normal 130" xfId="1728" xr:uid="{A867F471-D8C1-4B7D-8E94-2B0921A76F98}"/>
    <cellStyle name="Normal 131" xfId="1729" xr:uid="{7725CC78-7F0E-444B-9E14-A5BA71D13E85}"/>
    <cellStyle name="Normal 132" xfId="1730" xr:uid="{53E1D9C5-2F98-4E83-BFED-2D95E68FBFAC}"/>
    <cellStyle name="Normal 133" xfId="1731" xr:uid="{1817D90C-3F25-4A28-A637-A9C8451A5F41}"/>
    <cellStyle name="Normal 134" xfId="1732" xr:uid="{0B7D1DB0-DD48-4B75-A646-D70BC7127EE4}"/>
    <cellStyle name="Normal 135" xfId="1733" xr:uid="{4B448C34-EFAD-48FB-81B2-7DB19EFAB3BE}"/>
    <cellStyle name="Normal 14" xfId="745" xr:uid="{00000000-0005-0000-0000-0000EA020000}"/>
    <cellStyle name="Normal 14 2" xfId="746" xr:uid="{00000000-0005-0000-0000-0000EB020000}"/>
    <cellStyle name="Normal 14 2 2" xfId="1538" xr:uid="{9FC0FA58-48A2-4DDD-9505-04339BD69137}"/>
    <cellStyle name="Normal 14 3" xfId="747" xr:uid="{00000000-0005-0000-0000-0000EC020000}"/>
    <cellStyle name="Normal 14 4" xfId="748" xr:uid="{00000000-0005-0000-0000-0000ED020000}"/>
    <cellStyle name="Normal 14 5" xfId="1537" xr:uid="{2018A697-F839-4B62-81EF-87225E1CCFB7}"/>
    <cellStyle name="Normal 146" xfId="1539" xr:uid="{65BD69C9-4FFA-4007-BE34-B9895A12E32C}"/>
    <cellStyle name="Normal 146 2" xfId="1342" xr:uid="{8E806A93-79E3-40DF-9BA3-21448536B181}"/>
    <cellStyle name="Normal 147" xfId="1343" xr:uid="{34F9CA69-A463-4CE5-8542-D864BFCDCD91}"/>
    <cellStyle name="Normal 15" xfId="749" xr:uid="{00000000-0005-0000-0000-0000EE020000}"/>
    <cellStyle name="Normal 15 2" xfId="750" xr:uid="{00000000-0005-0000-0000-0000EF020000}"/>
    <cellStyle name="Normal 15 3" xfId="751" xr:uid="{00000000-0005-0000-0000-0000F0020000}"/>
    <cellStyle name="Normal 15 4" xfId="752" xr:uid="{00000000-0005-0000-0000-0000F1020000}"/>
    <cellStyle name="Normal 15 5" xfId="1660" xr:uid="{0F9E02D5-0C51-4FAA-9F7E-795215041FD0}"/>
    <cellStyle name="Normal 16" xfId="753" xr:uid="{00000000-0005-0000-0000-0000F2020000}"/>
    <cellStyle name="Normal 16 2" xfId="754" xr:uid="{00000000-0005-0000-0000-0000F3020000}"/>
    <cellStyle name="Normal 16 3" xfId="755" xr:uid="{00000000-0005-0000-0000-0000F4020000}"/>
    <cellStyle name="Normal 16 4" xfId="756" xr:uid="{00000000-0005-0000-0000-0000F5020000}"/>
    <cellStyle name="Normal 16 5" xfId="1540" xr:uid="{7B4F89AB-202E-46C9-A474-803150E3B987}"/>
    <cellStyle name="Normal 17" xfId="757" xr:uid="{00000000-0005-0000-0000-0000F6020000}"/>
    <cellStyle name="Normal 17 2" xfId="758" xr:uid="{00000000-0005-0000-0000-0000F7020000}"/>
    <cellStyle name="Normal 17 3" xfId="759" xr:uid="{00000000-0005-0000-0000-0000F8020000}"/>
    <cellStyle name="Normal 17 4" xfId="760" xr:uid="{00000000-0005-0000-0000-0000F9020000}"/>
    <cellStyle name="Normal 18" xfId="761" xr:uid="{00000000-0005-0000-0000-0000FA020000}"/>
    <cellStyle name="Normal 18 2" xfId="762" xr:uid="{00000000-0005-0000-0000-0000FB020000}"/>
    <cellStyle name="Normal 18 3" xfId="763" xr:uid="{00000000-0005-0000-0000-0000FC020000}"/>
    <cellStyle name="Normal 18 4" xfId="764" xr:uid="{00000000-0005-0000-0000-0000FD020000}"/>
    <cellStyle name="Normal 19" xfId="765" xr:uid="{00000000-0005-0000-0000-0000FE020000}"/>
    <cellStyle name="Normal 19 2" xfId="766" xr:uid="{00000000-0005-0000-0000-0000FF020000}"/>
    <cellStyle name="Normal 19 3" xfId="767" xr:uid="{00000000-0005-0000-0000-000000030000}"/>
    <cellStyle name="Normal 19 4" xfId="768" xr:uid="{00000000-0005-0000-0000-000001030000}"/>
    <cellStyle name="Normal 2" xfId="769" xr:uid="{00000000-0005-0000-0000-000002030000}"/>
    <cellStyle name="Normal 2 2" xfId="1344" xr:uid="{622ED780-A188-4417-AF0D-459B005BA25A}"/>
    <cellStyle name="Normal 2 3" xfId="1661" xr:uid="{9B3C0E28-0FDA-4759-B0D4-A60CF775F84F}"/>
    <cellStyle name="Normal 20" xfId="770" xr:uid="{00000000-0005-0000-0000-000003030000}"/>
    <cellStyle name="Normal 20 2" xfId="771" xr:uid="{00000000-0005-0000-0000-000004030000}"/>
    <cellStyle name="Normal 20 3" xfId="772" xr:uid="{00000000-0005-0000-0000-000005030000}"/>
    <cellStyle name="Normal 20 4" xfId="773" xr:uid="{00000000-0005-0000-0000-000006030000}"/>
    <cellStyle name="Normal 21" xfId="774" xr:uid="{00000000-0005-0000-0000-000007030000}"/>
    <cellStyle name="Normal 21 2" xfId="775" xr:uid="{00000000-0005-0000-0000-000008030000}"/>
    <cellStyle name="Normal 21 2 2" xfId="1345" xr:uid="{82CFB046-D86F-43CE-B7D3-EA2261A5544B}"/>
    <cellStyle name="Normal 21 3" xfId="776" xr:uid="{00000000-0005-0000-0000-000009030000}"/>
    <cellStyle name="Normal 21 4" xfId="777" xr:uid="{00000000-0005-0000-0000-00000A030000}"/>
    <cellStyle name="Normal 22" xfId="778" xr:uid="{00000000-0005-0000-0000-00000B030000}"/>
    <cellStyle name="Normal 22 2" xfId="779" xr:uid="{00000000-0005-0000-0000-00000C030000}"/>
    <cellStyle name="Normal 22 3" xfId="780" xr:uid="{00000000-0005-0000-0000-00000D030000}"/>
    <cellStyle name="Normal 22 4" xfId="781" xr:uid="{00000000-0005-0000-0000-00000E030000}"/>
    <cellStyle name="Normal 23" xfId="782" xr:uid="{00000000-0005-0000-0000-00000F030000}"/>
    <cellStyle name="Normal 23 2" xfId="783" xr:uid="{00000000-0005-0000-0000-000010030000}"/>
    <cellStyle name="Normal 23 3" xfId="784" xr:uid="{00000000-0005-0000-0000-000011030000}"/>
    <cellStyle name="Normal 23 4" xfId="785" xr:uid="{00000000-0005-0000-0000-000012030000}"/>
    <cellStyle name="Normal 24" xfId="786" xr:uid="{00000000-0005-0000-0000-000013030000}"/>
    <cellStyle name="Normal 24 2" xfId="787" xr:uid="{00000000-0005-0000-0000-000014030000}"/>
    <cellStyle name="Normal 24 3" xfId="788" xr:uid="{00000000-0005-0000-0000-000015030000}"/>
    <cellStyle name="Normal 24 4" xfId="789" xr:uid="{00000000-0005-0000-0000-000016030000}"/>
    <cellStyle name="Normal 25" xfId="790" xr:uid="{00000000-0005-0000-0000-000017030000}"/>
    <cellStyle name="Normal 25 2" xfId="791" xr:uid="{00000000-0005-0000-0000-000018030000}"/>
    <cellStyle name="Normal 25 3" xfId="792" xr:uid="{00000000-0005-0000-0000-000019030000}"/>
    <cellStyle name="Normal 25 4" xfId="793" xr:uid="{00000000-0005-0000-0000-00001A030000}"/>
    <cellStyle name="Normal 26" xfId="794" xr:uid="{00000000-0005-0000-0000-00001B030000}"/>
    <cellStyle name="Normal 26 2" xfId="795" xr:uid="{00000000-0005-0000-0000-00001C030000}"/>
    <cellStyle name="Normal 26 3" xfId="796" xr:uid="{00000000-0005-0000-0000-00001D030000}"/>
    <cellStyle name="Normal 26 4" xfId="797" xr:uid="{00000000-0005-0000-0000-00001E030000}"/>
    <cellStyle name="Normal 27" xfId="798" xr:uid="{00000000-0005-0000-0000-00001F030000}"/>
    <cellStyle name="Normal 27 2" xfId="799" xr:uid="{00000000-0005-0000-0000-000020030000}"/>
    <cellStyle name="Normal 27 3" xfId="800" xr:uid="{00000000-0005-0000-0000-000021030000}"/>
    <cellStyle name="Normal 27 4" xfId="801" xr:uid="{00000000-0005-0000-0000-000022030000}"/>
    <cellStyle name="Normal 28" xfId="802" xr:uid="{00000000-0005-0000-0000-000023030000}"/>
    <cellStyle name="Normal 28 2" xfId="803" xr:uid="{00000000-0005-0000-0000-000024030000}"/>
    <cellStyle name="Normal 28 3" xfId="804" xr:uid="{00000000-0005-0000-0000-000025030000}"/>
    <cellStyle name="Normal 28 4" xfId="805" xr:uid="{00000000-0005-0000-0000-000026030000}"/>
    <cellStyle name="Normal 29" xfId="806" xr:uid="{00000000-0005-0000-0000-000027030000}"/>
    <cellStyle name="Normal 29 2" xfId="807" xr:uid="{00000000-0005-0000-0000-000028030000}"/>
    <cellStyle name="Normal 29 3" xfId="808" xr:uid="{00000000-0005-0000-0000-000029030000}"/>
    <cellStyle name="Normal 29 4" xfId="809" xr:uid="{00000000-0005-0000-0000-00002A030000}"/>
    <cellStyle name="Normal 3" xfId="810" xr:uid="{00000000-0005-0000-0000-00002B030000}"/>
    <cellStyle name="Normal 3 2" xfId="1663" xr:uid="{C8DF6854-A20A-4715-B160-CD24C0F01DDB}"/>
    <cellStyle name="Normal 30" xfId="811" xr:uid="{00000000-0005-0000-0000-00002C030000}"/>
    <cellStyle name="Normal 31" xfId="812" xr:uid="{00000000-0005-0000-0000-00002D030000}"/>
    <cellStyle name="Normal 32" xfId="813" xr:uid="{00000000-0005-0000-0000-00002E030000}"/>
    <cellStyle name="Normal 33" xfId="814" xr:uid="{00000000-0005-0000-0000-00002F030000}"/>
    <cellStyle name="Normal 33 2" xfId="815" xr:uid="{00000000-0005-0000-0000-000030030000}"/>
    <cellStyle name="Normal 33 3" xfId="816" xr:uid="{00000000-0005-0000-0000-000031030000}"/>
    <cellStyle name="Normal 33 4" xfId="817" xr:uid="{00000000-0005-0000-0000-000032030000}"/>
    <cellStyle name="Normal 34" xfId="818" xr:uid="{00000000-0005-0000-0000-000033030000}"/>
    <cellStyle name="Normal 34 2" xfId="819" xr:uid="{00000000-0005-0000-0000-000034030000}"/>
    <cellStyle name="Normal 34 3" xfId="820" xr:uid="{00000000-0005-0000-0000-000035030000}"/>
    <cellStyle name="Normal 34 4" xfId="821" xr:uid="{00000000-0005-0000-0000-000036030000}"/>
    <cellStyle name="Normal 35" xfId="822" xr:uid="{00000000-0005-0000-0000-000037030000}"/>
    <cellStyle name="Normal 35 2" xfId="823" xr:uid="{00000000-0005-0000-0000-000038030000}"/>
    <cellStyle name="Normal 35 3" xfId="824" xr:uid="{00000000-0005-0000-0000-000039030000}"/>
    <cellStyle name="Normal 35 4" xfId="825" xr:uid="{00000000-0005-0000-0000-00003A030000}"/>
    <cellStyle name="Normal 36" xfId="826" xr:uid="{00000000-0005-0000-0000-00003B030000}"/>
    <cellStyle name="Normal 36 2" xfId="827" xr:uid="{00000000-0005-0000-0000-00003C030000}"/>
    <cellStyle name="Normal 36 3" xfId="828" xr:uid="{00000000-0005-0000-0000-00003D030000}"/>
    <cellStyle name="Normal 36 4" xfId="829" xr:uid="{00000000-0005-0000-0000-00003E030000}"/>
    <cellStyle name="Normal 37" xfId="830" xr:uid="{00000000-0005-0000-0000-00003F030000}"/>
    <cellStyle name="Normal 37 2" xfId="831" xr:uid="{00000000-0005-0000-0000-000040030000}"/>
    <cellStyle name="Normal 37 3" xfId="832" xr:uid="{00000000-0005-0000-0000-000041030000}"/>
    <cellStyle name="Normal 37 4" xfId="833" xr:uid="{00000000-0005-0000-0000-000042030000}"/>
    <cellStyle name="Normal 38" xfId="834" xr:uid="{00000000-0005-0000-0000-000043030000}"/>
    <cellStyle name="Normal 38 2" xfId="835" xr:uid="{00000000-0005-0000-0000-000044030000}"/>
    <cellStyle name="Normal 38 3" xfId="836" xr:uid="{00000000-0005-0000-0000-000045030000}"/>
    <cellStyle name="Normal 38 4" xfId="837" xr:uid="{00000000-0005-0000-0000-000046030000}"/>
    <cellStyle name="Normal 39" xfId="838" xr:uid="{00000000-0005-0000-0000-000047030000}"/>
    <cellStyle name="Normal 39 2" xfId="839" xr:uid="{00000000-0005-0000-0000-000048030000}"/>
    <cellStyle name="Normal 39 3" xfId="840" xr:uid="{00000000-0005-0000-0000-000049030000}"/>
    <cellStyle name="Normal 39 4" xfId="841" xr:uid="{00000000-0005-0000-0000-00004A030000}"/>
    <cellStyle name="Normal 4" xfId="842" xr:uid="{00000000-0005-0000-0000-00004B030000}"/>
    <cellStyle name="Normal 4 2" xfId="1541" xr:uid="{6F37B320-D1B4-40A6-821D-80C510710BC2}"/>
    <cellStyle name="Normal 4 3" xfId="1346" xr:uid="{D4419981-6468-4943-BA71-F83E2E26B90E}"/>
    <cellStyle name="Normal 4 4" xfId="1664" xr:uid="{C6F113CE-4EC0-4A6E-BB41-AFB4FD155DD9}"/>
    <cellStyle name="Normal 40" xfId="843" xr:uid="{00000000-0005-0000-0000-00004C030000}"/>
    <cellStyle name="Normal 40 2" xfId="844" xr:uid="{00000000-0005-0000-0000-00004D030000}"/>
    <cellStyle name="Normal 40 3" xfId="845" xr:uid="{00000000-0005-0000-0000-00004E030000}"/>
    <cellStyle name="Normal 40 4" xfId="846" xr:uid="{00000000-0005-0000-0000-00004F030000}"/>
    <cellStyle name="Normal 41" xfId="847" xr:uid="{00000000-0005-0000-0000-000050030000}"/>
    <cellStyle name="Normal 41 2" xfId="848" xr:uid="{00000000-0005-0000-0000-000051030000}"/>
    <cellStyle name="Normal 41 3" xfId="849" xr:uid="{00000000-0005-0000-0000-000052030000}"/>
    <cellStyle name="Normal 41 4" xfId="850" xr:uid="{00000000-0005-0000-0000-000053030000}"/>
    <cellStyle name="Normal 42" xfId="851" xr:uid="{00000000-0005-0000-0000-000054030000}"/>
    <cellStyle name="Normal 42 2" xfId="852" xr:uid="{00000000-0005-0000-0000-000055030000}"/>
    <cellStyle name="Normal 42 3" xfId="853" xr:uid="{00000000-0005-0000-0000-000056030000}"/>
    <cellStyle name="Normal 42 4" xfId="854" xr:uid="{00000000-0005-0000-0000-000057030000}"/>
    <cellStyle name="Normal 43" xfId="855" xr:uid="{00000000-0005-0000-0000-000058030000}"/>
    <cellStyle name="Normal 43 2" xfId="856" xr:uid="{00000000-0005-0000-0000-000059030000}"/>
    <cellStyle name="Normal 43 3" xfId="857" xr:uid="{00000000-0005-0000-0000-00005A030000}"/>
    <cellStyle name="Normal 43 4" xfId="858" xr:uid="{00000000-0005-0000-0000-00005B030000}"/>
    <cellStyle name="Normal 44" xfId="859" xr:uid="{00000000-0005-0000-0000-00005C030000}"/>
    <cellStyle name="Normal 44 2" xfId="860" xr:uid="{00000000-0005-0000-0000-00005D030000}"/>
    <cellStyle name="Normal 44 3" xfId="861" xr:uid="{00000000-0005-0000-0000-00005E030000}"/>
    <cellStyle name="Normal 44 4" xfId="862" xr:uid="{00000000-0005-0000-0000-00005F030000}"/>
    <cellStyle name="Normal 45" xfId="863" xr:uid="{00000000-0005-0000-0000-000060030000}"/>
    <cellStyle name="Normal 45 2" xfId="864" xr:uid="{00000000-0005-0000-0000-000061030000}"/>
    <cellStyle name="Normal 45 3" xfId="865" xr:uid="{00000000-0005-0000-0000-000062030000}"/>
    <cellStyle name="Normal 45 4" xfId="866" xr:uid="{00000000-0005-0000-0000-000063030000}"/>
    <cellStyle name="Normal 46" xfId="867" xr:uid="{00000000-0005-0000-0000-000064030000}"/>
    <cellStyle name="Normal 46 2" xfId="868" xr:uid="{00000000-0005-0000-0000-000065030000}"/>
    <cellStyle name="Normal 46 3" xfId="869" xr:uid="{00000000-0005-0000-0000-000066030000}"/>
    <cellStyle name="Normal 46 4" xfId="870" xr:uid="{00000000-0005-0000-0000-000067030000}"/>
    <cellStyle name="Normal 47" xfId="871" xr:uid="{00000000-0005-0000-0000-000068030000}"/>
    <cellStyle name="Normal 48" xfId="872" xr:uid="{00000000-0005-0000-0000-000069030000}"/>
    <cellStyle name="Normal 49" xfId="873" xr:uid="{00000000-0005-0000-0000-00006A030000}"/>
    <cellStyle name="Normal 49 2" xfId="874" xr:uid="{00000000-0005-0000-0000-00006B030000}"/>
    <cellStyle name="Normal 49 3" xfId="875" xr:uid="{00000000-0005-0000-0000-00006C030000}"/>
    <cellStyle name="Normal 5" xfId="876" xr:uid="{00000000-0005-0000-0000-00006D030000}"/>
    <cellStyle name="Normal 5 2" xfId="1347" xr:uid="{2A53D042-C7C4-49A1-9C29-3B14B797AF27}"/>
    <cellStyle name="Normal 50" xfId="877" xr:uid="{00000000-0005-0000-0000-00006E030000}"/>
    <cellStyle name="Normal 51" xfId="878" xr:uid="{00000000-0005-0000-0000-00006F030000}"/>
    <cellStyle name="Normal 52" xfId="879" xr:uid="{00000000-0005-0000-0000-000070030000}"/>
    <cellStyle name="Normal 53" xfId="880" xr:uid="{00000000-0005-0000-0000-000071030000}"/>
    <cellStyle name="Normal 54" xfId="881" xr:uid="{00000000-0005-0000-0000-000072030000}"/>
    <cellStyle name="Normal 55" xfId="882" xr:uid="{00000000-0005-0000-0000-000073030000}"/>
    <cellStyle name="Normal 56" xfId="883" xr:uid="{00000000-0005-0000-0000-000074030000}"/>
    <cellStyle name="Normal 57" xfId="884" xr:uid="{00000000-0005-0000-0000-000075030000}"/>
    <cellStyle name="Normal 58" xfId="885" xr:uid="{00000000-0005-0000-0000-000076030000}"/>
    <cellStyle name="Normal 59" xfId="886" xr:uid="{00000000-0005-0000-0000-000077030000}"/>
    <cellStyle name="Normal 6" xfId="887" xr:uid="{00000000-0005-0000-0000-000078030000}"/>
    <cellStyle name="Normal 6 2" xfId="888" xr:uid="{00000000-0005-0000-0000-000079030000}"/>
    <cellStyle name="Normal 6 2 2" xfId="1498" xr:uid="{7AA9B4E9-50FF-4A78-81A0-16D0EEA47719}"/>
    <cellStyle name="Normal 6 3" xfId="889" xr:uid="{00000000-0005-0000-0000-00007A030000}"/>
    <cellStyle name="Normal 6 4" xfId="890" xr:uid="{00000000-0005-0000-0000-00007B030000}"/>
    <cellStyle name="Normal 6 5" xfId="1348" xr:uid="{1EDB1F7D-A8EC-49C5-B9BC-22E9A80ECD63}"/>
    <cellStyle name="Normal 60" xfId="891" xr:uid="{00000000-0005-0000-0000-00007C030000}"/>
    <cellStyle name="Normal 61" xfId="892" xr:uid="{00000000-0005-0000-0000-00007D030000}"/>
    <cellStyle name="Normal 62" xfId="893" xr:uid="{00000000-0005-0000-0000-00007E030000}"/>
    <cellStyle name="Normal 63" xfId="894" xr:uid="{00000000-0005-0000-0000-00007F030000}"/>
    <cellStyle name="Normal 64" xfId="895" xr:uid="{00000000-0005-0000-0000-000080030000}"/>
    <cellStyle name="Normal 65" xfId="896" xr:uid="{00000000-0005-0000-0000-000081030000}"/>
    <cellStyle name="Normal 66" xfId="897" xr:uid="{00000000-0005-0000-0000-000082030000}"/>
    <cellStyle name="Normal 67" xfId="898" xr:uid="{00000000-0005-0000-0000-000083030000}"/>
    <cellStyle name="Normal 68" xfId="899" xr:uid="{00000000-0005-0000-0000-000084030000}"/>
    <cellStyle name="Normal 69" xfId="900" xr:uid="{00000000-0005-0000-0000-000085030000}"/>
    <cellStyle name="Normal 7" xfId="901" xr:uid="{00000000-0005-0000-0000-000086030000}"/>
    <cellStyle name="Normal 7 2" xfId="902" xr:uid="{00000000-0005-0000-0000-000087030000}"/>
    <cellStyle name="Normal 7 3" xfId="903" xr:uid="{00000000-0005-0000-0000-000088030000}"/>
    <cellStyle name="Normal 7 4" xfId="904" xr:uid="{00000000-0005-0000-0000-000089030000}"/>
    <cellStyle name="Normal 7 5" xfId="1349" xr:uid="{36CB54EA-4BBD-4EBC-A760-DCD8645CCFD6}"/>
    <cellStyle name="Normal 70" xfId="905" xr:uid="{00000000-0005-0000-0000-00008A030000}"/>
    <cellStyle name="Normal 71" xfId="906" xr:uid="{00000000-0005-0000-0000-00008B030000}"/>
    <cellStyle name="Normal 72" xfId="907" xr:uid="{00000000-0005-0000-0000-00008C030000}"/>
    <cellStyle name="Normal 73" xfId="908" xr:uid="{00000000-0005-0000-0000-00008D030000}"/>
    <cellStyle name="Normal 74" xfId="909" xr:uid="{00000000-0005-0000-0000-00008E030000}"/>
    <cellStyle name="Normal 75" xfId="910" xr:uid="{00000000-0005-0000-0000-00008F030000}"/>
    <cellStyle name="Normal 76" xfId="911" xr:uid="{00000000-0005-0000-0000-000090030000}"/>
    <cellStyle name="Normal 77" xfId="912" xr:uid="{00000000-0005-0000-0000-000091030000}"/>
    <cellStyle name="Normal 78" xfId="913" xr:uid="{00000000-0005-0000-0000-000092030000}"/>
    <cellStyle name="Normal 79" xfId="914" xr:uid="{00000000-0005-0000-0000-000093030000}"/>
    <cellStyle name="Normal 8" xfId="915" xr:uid="{00000000-0005-0000-0000-000094030000}"/>
    <cellStyle name="Normal 8 2" xfId="916" xr:uid="{00000000-0005-0000-0000-000095030000}"/>
    <cellStyle name="Normal 8 3" xfId="917" xr:uid="{00000000-0005-0000-0000-000096030000}"/>
    <cellStyle name="Normal 8 4" xfId="918" xr:uid="{00000000-0005-0000-0000-000097030000}"/>
    <cellStyle name="Normal 8 5" xfId="1350" xr:uid="{8833607F-957C-4566-987B-224CB3784695}"/>
    <cellStyle name="Normal 8 6" xfId="1665" xr:uid="{4495EC9B-0B95-4FB9-AFE6-FDC94D3945A3}"/>
    <cellStyle name="Normal 80" xfId="919" xr:uid="{00000000-0005-0000-0000-000098030000}"/>
    <cellStyle name="Normal 81" xfId="920" xr:uid="{00000000-0005-0000-0000-000099030000}"/>
    <cellStyle name="Normal 82" xfId="921" xr:uid="{00000000-0005-0000-0000-00009A030000}"/>
    <cellStyle name="Normal 83" xfId="922" xr:uid="{00000000-0005-0000-0000-00009B030000}"/>
    <cellStyle name="Normal 84" xfId="923" xr:uid="{00000000-0005-0000-0000-00009C030000}"/>
    <cellStyle name="Normal 85" xfId="924" xr:uid="{00000000-0005-0000-0000-00009D030000}"/>
    <cellStyle name="Normal 86" xfId="925" xr:uid="{00000000-0005-0000-0000-00009E030000}"/>
    <cellStyle name="Normal 87" xfId="926" xr:uid="{00000000-0005-0000-0000-00009F030000}"/>
    <cellStyle name="Normal 88" xfId="927" xr:uid="{00000000-0005-0000-0000-0000A0030000}"/>
    <cellStyle name="Normal 89" xfId="928" xr:uid="{00000000-0005-0000-0000-0000A1030000}"/>
    <cellStyle name="Normal 9" xfId="929" xr:uid="{00000000-0005-0000-0000-0000A2030000}"/>
    <cellStyle name="Normal 9 2" xfId="930" xr:uid="{00000000-0005-0000-0000-0000A3030000}"/>
    <cellStyle name="Normal 9 3" xfId="931" xr:uid="{00000000-0005-0000-0000-0000A4030000}"/>
    <cellStyle name="Normal 9 4" xfId="932" xr:uid="{00000000-0005-0000-0000-0000A5030000}"/>
    <cellStyle name="Normal 9 5" xfId="1351" xr:uid="{69E1BB19-4158-4072-B94D-FB7CE956E9A8}"/>
    <cellStyle name="Normal 90" xfId="933" xr:uid="{00000000-0005-0000-0000-0000A6030000}"/>
    <cellStyle name="Normal 91" xfId="934" xr:uid="{00000000-0005-0000-0000-0000A7030000}"/>
    <cellStyle name="Normal 92" xfId="935" xr:uid="{00000000-0005-0000-0000-0000A8030000}"/>
    <cellStyle name="Normal 93" xfId="936" xr:uid="{00000000-0005-0000-0000-0000A9030000}"/>
    <cellStyle name="Normal 94" xfId="937" xr:uid="{00000000-0005-0000-0000-0000AA030000}"/>
    <cellStyle name="Normal 95" xfId="938" xr:uid="{00000000-0005-0000-0000-0000AB030000}"/>
    <cellStyle name="Normal 96" xfId="939" xr:uid="{00000000-0005-0000-0000-0000AC030000}"/>
    <cellStyle name="Normal 97" xfId="940" xr:uid="{00000000-0005-0000-0000-0000AD030000}"/>
    <cellStyle name="Normal 98" xfId="941" xr:uid="{00000000-0005-0000-0000-0000AE030000}"/>
    <cellStyle name="Normal 99" xfId="942" xr:uid="{00000000-0005-0000-0000-0000AF030000}"/>
    <cellStyle name="Normal_Copy of DT KSDADT DZ110kV ChauDoc-AnPhu(10-09-08)" xfId="943" xr:uid="{00000000-0005-0000-0000-0000B0030000}"/>
    <cellStyle name="Normal_G1-Cap" xfId="944" xr:uid="{00000000-0005-0000-0000-0000B1030000}"/>
    <cellStyle name="Normal_ÑN110MYTHO" xfId="945" xr:uid="{00000000-0005-0000-0000-0000B2030000}"/>
    <cellStyle name="Normal_Sheet1" xfId="946" xr:uid="{00000000-0005-0000-0000-0000B3030000}"/>
    <cellStyle name="Normal_Sheet2_1" xfId="947" xr:uid="{00000000-0005-0000-0000-0000B4030000}"/>
    <cellStyle name="Normal_THPDMoi " xfId="948" xr:uid="{00000000-0005-0000-0000-0000B5030000}"/>
    <cellStyle name="omma [0]_Mktg Prog" xfId="949" xr:uid="{00000000-0005-0000-0000-0000B6030000}"/>
    <cellStyle name="ormal_Sheet1_1" xfId="950" xr:uid="{00000000-0005-0000-0000-0000B7030000}"/>
    <cellStyle name="Percent" xfId="951" builtinId="5"/>
    <cellStyle name="Percent [2]" xfId="952" xr:uid="{00000000-0005-0000-0000-0000B9030000}"/>
    <cellStyle name="Percent [2] 2" xfId="953" xr:uid="{00000000-0005-0000-0000-0000BA030000}"/>
    <cellStyle name="Percent [2] 3" xfId="954" xr:uid="{00000000-0005-0000-0000-0000BB030000}"/>
    <cellStyle name="Percent [2] 4" xfId="1542" xr:uid="{B6486330-3448-4FBF-A10B-D6BBA186D332}"/>
    <cellStyle name="Percent 10" xfId="955" xr:uid="{00000000-0005-0000-0000-0000BC030000}"/>
    <cellStyle name="Percent 11" xfId="956" xr:uid="{00000000-0005-0000-0000-0000BD030000}"/>
    <cellStyle name="Percent 12" xfId="957" xr:uid="{00000000-0005-0000-0000-0000BE030000}"/>
    <cellStyle name="Percent 13" xfId="958" xr:uid="{00000000-0005-0000-0000-0000BF030000}"/>
    <cellStyle name="Percent 14" xfId="959" xr:uid="{00000000-0005-0000-0000-0000C0030000}"/>
    <cellStyle name="Percent 15" xfId="960" xr:uid="{00000000-0005-0000-0000-0000C1030000}"/>
    <cellStyle name="Percent 16" xfId="961" xr:uid="{00000000-0005-0000-0000-0000C2030000}"/>
    <cellStyle name="Percent 17" xfId="962" xr:uid="{00000000-0005-0000-0000-0000C3030000}"/>
    <cellStyle name="Percent 18" xfId="963" xr:uid="{00000000-0005-0000-0000-0000C4030000}"/>
    <cellStyle name="Percent 19" xfId="964" xr:uid="{00000000-0005-0000-0000-0000C5030000}"/>
    <cellStyle name="Percent 2" xfId="965" xr:uid="{00000000-0005-0000-0000-0000C6030000}"/>
    <cellStyle name="Percent 20" xfId="966" xr:uid="{00000000-0005-0000-0000-0000C7030000}"/>
    <cellStyle name="Percent 21" xfId="967" xr:uid="{00000000-0005-0000-0000-0000C8030000}"/>
    <cellStyle name="Percent 22" xfId="968" xr:uid="{00000000-0005-0000-0000-0000C9030000}"/>
    <cellStyle name="Percent 23" xfId="969" xr:uid="{00000000-0005-0000-0000-0000CA030000}"/>
    <cellStyle name="Percent 24" xfId="970" xr:uid="{00000000-0005-0000-0000-0000CB030000}"/>
    <cellStyle name="Percent 25" xfId="971" xr:uid="{00000000-0005-0000-0000-0000CC030000}"/>
    <cellStyle name="Percent 26" xfId="972" xr:uid="{00000000-0005-0000-0000-0000CD030000}"/>
    <cellStyle name="Percent 27" xfId="973" xr:uid="{00000000-0005-0000-0000-0000CE030000}"/>
    <cellStyle name="Percent 28" xfId="974" xr:uid="{00000000-0005-0000-0000-0000CF030000}"/>
    <cellStyle name="Percent 29" xfId="975" xr:uid="{00000000-0005-0000-0000-0000D0030000}"/>
    <cellStyle name="Percent 3" xfId="976" xr:uid="{00000000-0005-0000-0000-0000D1030000}"/>
    <cellStyle name="Percent 3 2" xfId="1667" xr:uid="{7A780533-ADEE-4BB3-BA1F-CE3973125085}"/>
    <cellStyle name="Percent 30" xfId="977" xr:uid="{00000000-0005-0000-0000-0000D2030000}"/>
    <cellStyle name="Percent 31" xfId="978" xr:uid="{00000000-0005-0000-0000-0000D3030000}"/>
    <cellStyle name="Percent 32" xfId="979" xr:uid="{00000000-0005-0000-0000-0000D4030000}"/>
    <cellStyle name="Percent 33" xfId="980" xr:uid="{00000000-0005-0000-0000-0000D5030000}"/>
    <cellStyle name="Percent 34" xfId="981" xr:uid="{00000000-0005-0000-0000-0000D6030000}"/>
    <cellStyle name="Percent 35" xfId="982" xr:uid="{00000000-0005-0000-0000-0000D7030000}"/>
    <cellStyle name="Percent 36" xfId="983" xr:uid="{00000000-0005-0000-0000-0000D8030000}"/>
    <cellStyle name="Percent 37" xfId="984" xr:uid="{00000000-0005-0000-0000-0000D9030000}"/>
    <cellStyle name="Percent 38" xfId="985" xr:uid="{00000000-0005-0000-0000-0000DA030000}"/>
    <cellStyle name="Percent 39" xfId="986" xr:uid="{00000000-0005-0000-0000-0000DB030000}"/>
    <cellStyle name="Percent 4" xfId="987" xr:uid="{00000000-0005-0000-0000-0000DC030000}"/>
    <cellStyle name="Percent 40" xfId="988" xr:uid="{00000000-0005-0000-0000-0000DD030000}"/>
    <cellStyle name="Percent 41" xfId="989" xr:uid="{00000000-0005-0000-0000-0000DE030000}"/>
    <cellStyle name="Percent 42" xfId="990" xr:uid="{00000000-0005-0000-0000-0000DF030000}"/>
    <cellStyle name="Percent 43" xfId="991" xr:uid="{00000000-0005-0000-0000-0000E0030000}"/>
    <cellStyle name="Percent 44" xfId="992" xr:uid="{00000000-0005-0000-0000-0000E1030000}"/>
    <cellStyle name="Percent 45" xfId="993" xr:uid="{00000000-0005-0000-0000-0000E2030000}"/>
    <cellStyle name="Percent 46" xfId="994" xr:uid="{00000000-0005-0000-0000-0000E3030000}"/>
    <cellStyle name="Percent 47" xfId="995" xr:uid="{00000000-0005-0000-0000-0000E4030000}"/>
    <cellStyle name="Percent 48" xfId="996" xr:uid="{00000000-0005-0000-0000-0000E5030000}"/>
    <cellStyle name="Percent 49" xfId="997" xr:uid="{00000000-0005-0000-0000-0000E6030000}"/>
    <cellStyle name="Percent 5" xfId="998" xr:uid="{00000000-0005-0000-0000-0000E7030000}"/>
    <cellStyle name="Percent 50" xfId="999" xr:uid="{00000000-0005-0000-0000-0000E8030000}"/>
    <cellStyle name="Percent 51" xfId="1000" xr:uid="{00000000-0005-0000-0000-0000E9030000}"/>
    <cellStyle name="Percent 52" xfId="1001" xr:uid="{00000000-0005-0000-0000-0000EA030000}"/>
    <cellStyle name="Percent 53" xfId="1002" xr:uid="{00000000-0005-0000-0000-0000EB030000}"/>
    <cellStyle name="Percent 54" xfId="1003" xr:uid="{00000000-0005-0000-0000-0000EC030000}"/>
    <cellStyle name="Percent 55" xfId="1352" xr:uid="{7B003B72-F0CC-46E5-A3A0-BB07ABB3CAD0}"/>
    <cellStyle name="Percent 56" xfId="1336" xr:uid="{0402E404-814D-4F8C-9EE9-448181FF386F}"/>
    <cellStyle name="Percent 57" xfId="1666" xr:uid="{343DDD91-5AD2-49B3-80A7-BAC7B41FE4D4}"/>
    <cellStyle name="Percent 58" xfId="1690" xr:uid="{D3970F65-3F62-4D54-9D44-BE9ABFE4F542}"/>
    <cellStyle name="Percent 59" xfId="1689" xr:uid="{36D2114F-3700-4757-839A-9CB5BF17DD78}"/>
    <cellStyle name="Percent 6" xfId="1004" xr:uid="{00000000-0005-0000-0000-0000ED030000}"/>
    <cellStyle name="Percent 60" xfId="1691" xr:uid="{791E455F-FC93-42D8-B9B0-8A70CBCDCE79}"/>
    <cellStyle name="Percent 61" xfId="1688" xr:uid="{03CEF600-CE9D-4228-A0EC-FD1D345DAF0A}"/>
    <cellStyle name="Percent 62" xfId="1692" xr:uid="{01BFCF9E-5D22-4A9E-8039-00BDCFD2874A}"/>
    <cellStyle name="Percent 63" xfId="1687" xr:uid="{9BF1B808-7F7B-4156-9D7A-DDAC5CF1FE99}"/>
    <cellStyle name="Percent 64" xfId="1693" xr:uid="{B74676A6-3799-4562-93C8-732EFE348BF8}"/>
    <cellStyle name="Percent 65" xfId="1686" xr:uid="{6291F785-9DAE-4A81-91C7-41159762C08C}"/>
    <cellStyle name="Percent 66" xfId="1694" xr:uid="{4F912F3E-1449-4642-8092-A8326DC12430}"/>
    <cellStyle name="Percent 67" xfId="1685" xr:uid="{15442246-9F0D-4E3E-8B3C-4D4FB329EB10}"/>
    <cellStyle name="Percent 68" xfId="1695" xr:uid="{88925591-7D34-40F4-9406-13CA24F693EB}"/>
    <cellStyle name="Percent 69" xfId="1684" xr:uid="{D51BB914-A997-4857-A766-6007E452C186}"/>
    <cellStyle name="Percent 7" xfId="1005" xr:uid="{00000000-0005-0000-0000-0000EE030000}"/>
    <cellStyle name="Percent 70" xfId="1696" xr:uid="{65855100-DDA2-45C2-8570-F6755CF0EFE2}"/>
    <cellStyle name="Percent 71" xfId="1683" xr:uid="{5E5F469C-D65B-4332-A51D-F3DA26473B13}"/>
    <cellStyle name="Percent 72" xfId="1712" xr:uid="{3A3F233C-CBA4-4209-A035-0686C34E3F55}"/>
    <cellStyle name="Percent 73" xfId="1711" xr:uid="{F3489803-3B90-47A4-BE54-49B218DEA5FF}"/>
    <cellStyle name="Percent 74" xfId="1713" xr:uid="{AC56B7D0-D641-4774-B414-876A943BA566}"/>
    <cellStyle name="Percent 75" xfId="1719" xr:uid="{9CA0218D-A14F-421D-BF46-13FE4F14DF4C}"/>
    <cellStyle name="Percent 76" xfId="1714" xr:uid="{08ED3BB6-7370-4D8F-B83F-75F36E2BE111}"/>
    <cellStyle name="Percent 77" xfId="1720" xr:uid="{267BEFE1-BD79-4DA7-BFCB-966BEA17FB68}"/>
    <cellStyle name="Percent 78" xfId="1715" xr:uid="{12FE6327-D530-4D5D-ABD6-AA1DDE905134}"/>
    <cellStyle name="Percent 79" xfId="1721" xr:uid="{8F533B5D-F13F-4799-838D-E79000C438EA}"/>
    <cellStyle name="Percent 8" xfId="1006" xr:uid="{00000000-0005-0000-0000-0000EF030000}"/>
    <cellStyle name="Percent 80" xfId="1716" xr:uid="{39BB8CB7-6B70-4DD5-B697-039BAFFE2FF7}"/>
    <cellStyle name="Percent 81" xfId="1722" xr:uid="{A20AB99C-4B9F-4863-9374-345692A9E79D}"/>
    <cellStyle name="Percent 82" xfId="1717" xr:uid="{2B8E3596-F4F3-4665-873D-934E40C00C4C}"/>
    <cellStyle name="Percent 83" xfId="1723" xr:uid="{826749D8-7426-4700-ABF5-0E1E4FBFE99E}"/>
    <cellStyle name="Percent 9" xfId="1007" xr:uid="{00000000-0005-0000-0000-0000F0030000}"/>
    <cellStyle name="S—_x0008_" xfId="1008" xr:uid="{00000000-0005-0000-0000-0000F1030000}"/>
    <cellStyle name="Standard_KALK-054" xfId="1009" xr:uid="{00000000-0005-0000-0000-0000F2030000}"/>
    <cellStyle name="Style 1" xfId="1010" xr:uid="{00000000-0005-0000-0000-0000F3030000}"/>
    <cellStyle name="Style 1 2" xfId="1011" xr:uid="{00000000-0005-0000-0000-0000F4030000}"/>
    <cellStyle name="Style 1 2 2" xfId="1543" xr:uid="{D14D1DC9-81DA-4D04-8C93-30BDD1BF3FD5}"/>
    <cellStyle name="Style 1 3" xfId="1544" xr:uid="{3A1017A6-1D4E-4021-A09A-675F76D466F3}"/>
    <cellStyle name="Style 1 4" xfId="1668" xr:uid="{57E903FD-C0C5-4020-A08D-0C277FAD0A0E}"/>
    <cellStyle name="Style 10" xfId="1012" xr:uid="{00000000-0005-0000-0000-0000F5030000}"/>
    <cellStyle name="Style 100" xfId="1013" xr:uid="{00000000-0005-0000-0000-0000F6030000}"/>
    <cellStyle name="Style 101" xfId="1014" xr:uid="{00000000-0005-0000-0000-0000F7030000}"/>
    <cellStyle name="Style 102" xfId="1015" xr:uid="{00000000-0005-0000-0000-0000F8030000}"/>
    <cellStyle name="Style 103" xfId="1016" xr:uid="{00000000-0005-0000-0000-0000F9030000}"/>
    <cellStyle name="Style 104" xfId="1017" xr:uid="{00000000-0005-0000-0000-0000FA030000}"/>
    <cellStyle name="Style 105" xfId="1018" xr:uid="{00000000-0005-0000-0000-0000FB030000}"/>
    <cellStyle name="Style 105 2" xfId="1545" xr:uid="{5A099936-EC4B-4E5E-B2EF-A6DA4549570A}"/>
    <cellStyle name="Style 106" xfId="1019" xr:uid="{00000000-0005-0000-0000-0000FC030000}"/>
    <cellStyle name="Style 107" xfId="1020" xr:uid="{00000000-0005-0000-0000-0000FD030000}"/>
    <cellStyle name="Style 108" xfId="1021" xr:uid="{00000000-0005-0000-0000-0000FE030000}"/>
    <cellStyle name="Style 108 2" xfId="1546" xr:uid="{5AD8E004-A575-4C85-BDC0-B0C82094BBE2}"/>
    <cellStyle name="Style 109" xfId="1022" xr:uid="{00000000-0005-0000-0000-0000FF030000}"/>
    <cellStyle name="Style 109 2" xfId="1547" xr:uid="{D1FBE936-CC22-4B0D-AA09-52E6A0498676}"/>
    <cellStyle name="Style 11" xfId="1023" xr:uid="{00000000-0005-0000-0000-000000040000}"/>
    <cellStyle name="Style 11 2" xfId="1024" xr:uid="{00000000-0005-0000-0000-000001040000}"/>
    <cellStyle name="Style 110" xfId="1025" xr:uid="{00000000-0005-0000-0000-000002040000}"/>
    <cellStyle name="Style 110 2" xfId="1548" xr:uid="{E03814A4-8207-4E10-A3C7-E38C44C9E720}"/>
    <cellStyle name="Style 111" xfId="1026" xr:uid="{00000000-0005-0000-0000-000003040000}"/>
    <cellStyle name="Style 111 2" xfId="1549" xr:uid="{4230C9DC-9B34-498F-BDF8-126F9F899294}"/>
    <cellStyle name="Style 112" xfId="1027" xr:uid="{00000000-0005-0000-0000-000004040000}"/>
    <cellStyle name="Style 112 2" xfId="1550" xr:uid="{D2E244D5-7E01-45A9-8E20-A972DEE51F1E}"/>
    <cellStyle name="Style 113" xfId="1028" xr:uid="{00000000-0005-0000-0000-000005040000}"/>
    <cellStyle name="Style 113 2" xfId="1551" xr:uid="{AC363FF5-B566-43A8-A264-FDC731977828}"/>
    <cellStyle name="Style 114" xfId="1029" xr:uid="{00000000-0005-0000-0000-000006040000}"/>
    <cellStyle name="Style 114 2" xfId="1552" xr:uid="{3B2C4A09-B0BB-4D18-9F88-28DA87DF9FC5}"/>
    <cellStyle name="Style 115" xfId="1030" xr:uid="{00000000-0005-0000-0000-000007040000}"/>
    <cellStyle name="Style 115 2" xfId="1553" xr:uid="{9CB2D4AE-AA93-4ADE-9524-4ED11C30AA43}"/>
    <cellStyle name="Style 116" xfId="1031" xr:uid="{00000000-0005-0000-0000-000008040000}"/>
    <cellStyle name="Style 116 2" xfId="1554" xr:uid="{97F3DB14-5A17-4A82-AE41-4EA7CD0C9B0E}"/>
    <cellStyle name="Style 117" xfId="1032" xr:uid="{00000000-0005-0000-0000-000009040000}"/>
    <cellStyle name="Style 117 2" xfId="1555" xr:uid="{4EC7BD3A-D022-4B48-A438-C860F1018142}"/>
    <cellStyle name="Style 118" xfId="1033" xr:uid="{00000000-0005-0000-0000-00000A040000}"/>
    <cellStyle name="Style 118 2" xfId="1556" xr:uid="{47AF9F24-9EC4-4E17-A093-D3774D1ED426}"/>
    <cellStyle name="Style 119" xfId="1034" xr:uid="{00000000-0005-0000-0000-00000B040000}"/>
    <cellStyle name="Style 119 2" xfId="1557" xr:uid="{0B1812DE-C0AF-4406-A6AA-A5A2E5AF4839}"/>
    <cellStyle name="Style 12" xfId="1035" xr:uid="{00000000-0005-0000-0000-00000C040000}"/>
    <cellStyle name="Style 12 2" xfId="1036" xr:uid="{00000000-0005-0000-0000-00000D040000}"/>
    <cellStyle name="Style 120" xfId="1037" xr:uid="{00000000-0005-0000-0000-00000E040000}"/>
    <cellStyle name="Style 120 2" xfId="1558" xr:uid="{D730EA3C-B427-49A7-AF6C-FE1F952434AC}"/>
    <cellStyle name="Style 121" xfId="1038" xr:uid="{00000000-0005-0000-0000-00000F040000}"/>
    <cellStyle name="Style 121 2" xfId="1559" xr:uid="{4803A9CB-B634-48CF-8568-C1DAB528CBCA}"/>
    <cellStyle name="Style 122" xfId="1039" xr:uid="{00000000-0005-0000-0000-000010040000}"/>
    <cellStyle name="Style 122 2" xfId="1560" xr:uid="{71ECDB5B-31F4-4C60-B213-7B7B87516ACE}"/>
    <cellStyle name="Style 123" xfId="1040" xr:uid="{00000000-0005-0000-0000-000011040000}"/>
    <cellStyle name="Style 124" xfId="1041" xr:uid="{00000000-0005-0000-0000-000012040000}"/>
    <cellStyle name="Style 124 2" xfId="1561" xr:uid="{84D8EB34-902B-4DEB-B2FD-24B45DC3AC00}"/>
    <cellStyle name="Style 125" xfId="1042" xr:uid="{00000000-0005-0000-0000-000013040000}"/>
    <cellStyle name="Style 125 2" xfId="1562" xr:uid="{A33C1BAA-F865-4920-8F0E-21B0C70B41F8}"/>
    <cellStyle name="Style 126" xfId="1043" xr:uid="{00000000-0005-0000-0000-000014040000}"/>
    <cellStyle name="Style 126 2" xfId="1563" xr:uid="{3EEC6A8E-F804-424A-8666-614B6D0FB4D7}"/>
    <cellStyle name="Style 127" xfId="1044" xr:uid="{00000000-0005-0000-0000-000015040000}"/>
    <cellStyle name="Style 127 2" xfId="1564" xr:uid="{F04F177C-6BD4-4B38-A9BC-5BC9E892C064}"/>
    <cellStyle name="Style 128" xfId="1045" xr:uid="{00000000-0005-0000-0000-000016040000}"/>
    <cellStyle name="Style 128 2" xfId="1565" xr:uid="{85E33A3C-CD88-4C9C-A4AA-8F647579E5B9}"/>
    <cellStyle name="Style 129" xfId="1046" xr:uid="{00000000-0005-0000-0000-000017040000}"/>
    <cellStyle name="Style 129 2" xfId="1566" xr:uid="{F3801100-B8C4-4D1D-BDB1-8F273C2E19DA}"/>
    <cellStyle name="Style 13" xfId="1047" xr:uid="{00000000-0005-0000-0000-000018040000}"/>
    <cellStyle name="Style 13 2" xfId="1048" xr:uid="{00000000-0005-0000-0000-000019040000}"/>
    <cellStyle name="Style 130" xfId="1049" xr:uid="{00000000-0005-0000-0000-00001A040000}"/>
    <cellStyle name="Style 130 2" xfId="1567" xr:uid="{92FE2A00-B16F-4FCA-8B85-42B8B22E2533}"/>
    <cellStyle name="Style 131" xfId="1050" xr:uid="{00000000-0005-0000-0000-00001B040000}"/>
    <cellStyle name="Style 131 2" xfId="1568" xr:uid="{6E384ED9-93E9-4D89-A5B4-B858A38BE5F6}"/>
    <cellStyle name="Style 132" xfId="1051" xr:uid="{00000000-0005-0000-0000-00001C040000}"/>
    <cellStyle name="Style 132 2" xfId="1569" xr:uid="{BDD4B115-0DFC-4B22-970C-EF7D56C93229}"/>
    <cellStyle name="Style 133" xfId="1052" xr:uid="{00000000-0005-0000-0000-00001D040000}"/>
    <cellStyle name="Style 133 2" xfId="1570" xr:uid="{B8DEA098-ABAC-4ADD-9A1E-66F722F219A3}"/>
    <cellStyle name="Style 134" xfId="1053" xr:uid="{00000000-0005-0000-0000-00001E040000}"/>
    <cellStyle name="Style 135" xfId="1054" xr:uid="{00000000-0005-0000-0000-00001F040000}"/>
    <cellStyle name="Style 135 2" xfId="1571" xr:uid="{560B0E53-E95B-447D-848E-D3497801F950}"/>
    <cellStyle name="Style 136" xfId="1055" xr:uid="{00000000-0005-0000-0000-000020040000}"/>
    <cellStyle name="Style 137" xfId="1056" xr:uid="{00000000-0005-0000-0000-000021040000}"/>
    <cellStyle name="Style 137 2" xfId="1572" xr:uid="{E32C9AD5-3BF3-4AFE-93C0-B6D0B152D2B0}"/>
    <cellStyle name="Style 138" xfId="1057" xr:uid="{00000000-0005-0000-0000-000022040000}"/>
    <cellStyle name="Style 138 2" xfId="1573" xr:uid="{17649EBF-2FE1-4E56-9119-D904B53A679B}"/>
    <cellStyle name="Style 139" xfId="1058" xr:uid="{00000000-0005-0000-0000-000023040000}"/>
    <cellStyle name="Style 14" xfId="1059" xr:uid="{00000000-0005-0000-0000-000024040000}"/>
    <cellStyle name="Style 14 2" xfId="1060" xr:uid="{00000000-0005-0000-0000-000025040000}"/>
    <cellStyle name="Style 140" xfId="1061" xr:uid="{00000000-0005-0000-0000-000026040000}"/>
    <cellStyle name="Style 140 2" xfId="1574" xr:uid="{706CE34C-50C4-483D-9947-02084F5B240A}"/>
    <cellStyle name="Style 141" xfId="1062" xr:uid="{00000000-0005-0000-0000-000027040000}"/>
    <cellStyle name="Style 141 2" xfId="1575" xr:uid="{635C9951-321C-4255-985F-35F7B5344AB5}"/>
    <cellStyle name="Style 142" xfId="1063" xr:uid="{00000000-0005-0000-0000-000028040000}"/>
    <cellStyle name="Style 142 2" xfId="1576" xr:uid="{D88D0558-5E63-4324-A047-D7271B01E543}"/>
    <cellStyle name="Style 143" xfId="1064" xr:uid="{00000000-0005-0000-0000-000029040000}"/>
    <cellStyle name="Style 143 2" xfId="1577" xr:uid="{BB16539A-9328-4017-95E6-C72808A47ACF}"/>
    <cellStyle name="Style 144" xfId="1065" xr:uid="{00000000-0005-0000-0000-00002A040000}"/>
    <cellStyle name="Style 144 2" xfId="1578" xr:uid="{A280E6BD-4389-44E5-859E-200EAE39A66A}"/>
    <cellStyle name="Style 145" xfId="1066" xr:uid="{00000000-0005-0000-0000-00002B040000}"/>
    <cellStyle name="Style 145 2" xfId="1579" xr:uid="{1E7CFED8-9E1F-4AEB-A4A4-98F8D2AC7EE0}"/>
    <cellStyle name="Style 146" xfId="1067" xr:uid="{00000000-0005-0000-0000-00002C040000}"/>
    <cellStyle name="Style 146 2" xfId="1580" xr:uid="{68B00C76-A36C-4FD6-B664-45A7094BF348}"/>
    <cellStyle name="Style 15" xfId="1068" xr:uid="{00000000-0005-0000-0000-00002D040000}"/>
    <cellStyle name="Style 15 2" xfId="1069" xr:uid="{00000000-0005-0000-0000-00002E040000}"/>
    <cellStyle name="Style 16" xfId="1070" xr:uid="{00000000-0005-0000-0000-00002F040000}"/>
    <cellStyle name="Style 16 2" xfId="1071" xr:uid="{00000000-0005-0000-0000-000030040000}"/>
    <cellStyle name="Style 17" xfId="1072" xr:uid="{00000000-0005-0000-0000-000031040000}"/>
    <cellStyle name="Style 18" xfId="1073" xr:uid="{00000000-0005-0000-0000-000032040000}"/>
    <cellStyle name="Style 18 2" xfId="1074" xr:uid="{00000000-0005-0000-0000-000033040000}"/>
    <cellStyle name="Style 19" xfId="1075" xr:uid="{00000000-0005-0000-0000-000034040000}"/>
    <cellStyle name="Style 19 2" xfId="1076" xr:uid="{00000000-0005-0000-0000-000035040000}"/>
    <cellStyle name="Style 2" xfId="1077" xr:uid="{00000000-0005-0000-0000-000036040000}"/>
    <cellStyle name="Style 2 2" xfId="1078" xr:uid="{00000000-0005-0000-0000-000037040000}"/>
    <cellStyle name="Style 20" xfId="1079" xr:uid="{00000000-0005-0000-0000-000038040000}"/>
    <cellStyle name="Style 20 2" xfId="1080" xr:uid="{00000000-0005-0000-0000-000039040000}"/>
    <cellStyle name="Style 21" xfId="1081" xr:uid="{00000000-0005-0000-0000-00003A040000}"/>
    <cellStyle name="Style 21 2" xfId="1082" xr:uid="{00000000-0005-0000-0000-00003B040000}"/>
    <cellStyle name="Style 22" xfId="1083" xr:uid="{00000000-0005-0000-0000-00003C040000}"/>
    <cellStyle name="Style 22 2" xfId="1084" xr:uid="{00000000-0005-0000-0000-00003D040000}"/>
    <cellStyle name="Style 23" xfId="1085" xr:uid="{00000000-0005-0000-0000-00003E040000}"/>
    <cellStyle name="Style 23 2" xfId="1086" xr:uid="{00000000-0005-0000-0000-00003F040000}"/>
    <cellStyle name="Style 23 3" xfId="1581" xr:uid="{3F50FA20-1674-446F-BB6F-E9D0475EF41E}"/>
    <cellStyle name="Style 24" xfId="1087" xr:uid="{00000000-0005-0000-0000-000040040000}"/>
    <cellStyle name="Style 24 2" xfId="1088" xr:uid="{00000000-0005-0000-0000-000041040000}"/>
    <cellStyle name="Style 25" xfId="1089" xr:uid="{00000000-0005-0000-0000-000042040000}"/>
    <cellStyle name="Style 25 2" xfId="1090" xr:uid="{00000000-0005-0000-0000-000043040000}"/>
    <cellStyle name="Style 26" xfId="1091" xr:uid="{00000000-0005-0000-0000-000044040000}"/>
    <cellStyle name="Style 26 2" xfId="1092" xr:uid="{00000000-0005-0000-0000-000045040000}"/>
    <cellStyle name="Style 27" xfId="1093" xr:uid="{00000000-0005-0000-0000-000046040000}"/>
    <cellStyle name="Style 27 2" xfId="1094" xr:uid="{00000000-0005-0000-0000-000047040000}"/>
    <cellStyle name="Style 28" xfId="1095" xr:uid="{00000000-0005-0000-0000-000048040000}"/>
    <cellStyle name="Style 28 2" xfId="1096" xr:uid="{00000000-0005-0000-0000-000049040000}"/>
    <cellStyle name="Style 29" xfId="1097" xr:uid="{00000000-0005-0000-0000-00004A040000}"/>
    <cellStyle name="Style 29 2" xfId="1098" xr:uid="{00000000-0005-0000-0000-00004B040000}"/>
    <cellStyle name="Style 3" xfId="1099" xr:uid="{00000000-0005-0000-0000-00004C040000}"/>
    <cellStyle name="Style 3 2" xfId="1100" xr:uid="{00000000-0005-0000-0000-00004D040000}"/>
    <cellStyle name="Style 30" xfId="1101" xr:uid="{00000000-0005-0000-0000-00004E040000}"/>
    <cellStyle name="Style 30 2" xfId="1102" xr:uid="{00000000-0005-0000-0000-00004F040000}"/>
    <cellStyle name="Style 31" xfId="1103" xr:uid="{00000000-0005-0000-0000-000050040000}"/>
    <cellStyle name="Style 31 2" xfId="1104" xr:uid="{00000000-0005-0000-0000-000051040000}"/>
    <cellStyle name="Style 32" xfId="1105" xr:uid="{00000000-0005-0000-0000-000052040000}"/>
    <cellStyle name="Style 32 2" xfId="1106" xr:uid="{00000000-0005-0000-0000-000053040000}"/>
    <cellStyle name="Style 33" xfId="1107" xr:uid="{00000000-0005-0000-0000-000054040000}"/>
    <cellStyle name="Style 33 2" xfId="1108" xr:uid="{00000000-0005-0000-0000-000055040000}"/>
    <cellStyle name="Style 34" xfId="1109" xr:uid="{00000000-0005-0000-0000-000056040000}"/>
    <cellStyle name="Style 34 2" xfId="1110" xr:uid="{00000000-0005-0000-0000-000057040000}"/>
    <cellStyle name="Style 35" xfId="1111" xr:uid="{00000000-0005-0000-0000-000058040000}"/>
    <cellStyle name="Style 35 2" xfId="1112" xr:uid="{00000000-0005-0000-0000-000059040000}"/>
    <cellStyle name="Style 36" xfId="1113" xr:uid="{00000000-0005-0000-0000-00005A040000}"/>
    <cellStyle name="Style 36 2" xfId="1114" xr:uid="{00000000-0005-0000-0000-00005B040000}"/>
    <cellStyle name="Style 37" xfId="1115" xr:uid="{00000000-0005-0000-0000-00005C040000}"/>
    <cellStyle name="Style 37 2" xfId="1116" xr:uid="{00000000-0005-0000-0000-00005D040000}"/>
    <cellStyle name="Style 38" xfId="1117" xr:uid="{00000000-0005-0000-0000-00005E040000}"/>
    <cellStyle name="Style 39" xfId="1118" xr:uid="{00000000-0005-0000-0000-00005F040000}"/>
    <cellStyle name="Style 39 2" xfId="1119" xr:uid="{00000000-0005-0000-0000-000060040000}"/>
    <cellStyle name="Style 4" xfId="1120" xr:uid="{00000000-0005-0000-0000-000061040000}"/>
    <cellStyle name="Style 4 2" xfId="1121" xr:uid="{00000000-0005-0000-0000-000062040000}"/>
    <cellStyle name="Style 40" xfId="1122" xr:uid="{00000000-0005-0000-0000-000063040000}"/>
    <cellStyle name="Style 40 2" xfId="1123" xr:uid="{00000000-0005-0000-0000-000064040000}"/>
    <cellStyle name="Style 41" xfId="1124" xr:uid="{00000000-0005-0000-0000-000065040000}"/>
    <cellStyle name="Style 41 2" xfId="1125" xr:uid="{00000000-0005-0000-0000-000066040000}"/>
    <cellStyle name="Style 42" xfId="1126" xr:uid="{00000000-0005-0000-0000-000067040000}"/>
    <cellStyle name="Style 42 2" xfId="1127" xr:uid="{00000000-0005-0000-0000-000068040000}"/>
    <cellStyle name="Style 43" xfId="1128" xr:uid="{00000000-0005-0000-0000-000069040000}"/>
    <cellStyle name="Style 43 2" xfId="1129" xr:uid="{00000000-0005-0000-0000-00006A040000}"/>
    <cellStyle name="Style 44" xfId="1130" xr:uid="{00000000-0005-0000-0000-00006B040000}"/>
    <cellStyle name="Style 44 2" xfId="1131" xr:uid="{00000000-0005-0000-0000-00006C040000}"/>
    <cellStyle name="Style 45" xfId="1132" xr:uid="{00000000-0005-0000-0000-00006D040000}"/>
    <cellStyle name="Style 45 2" xfId="1133" xr:uid="{00000000-0005-0000-0000-00006E040000}"/>
    <cellStyle name="Style 46" xfId="1134" xr:uid="{00000000-0005-0000-0000-00006F040000}"/>
    <cellStyle name="Style 46 2" xfId="1135" xr:uid="{00000000-0005-0000-0000-000070040000}"/>
    <cellStyle name="Style 47" xfId="1136" xr:uid="{00000000-0005-0000-0000-000071040000}"/>
    <cellStyle name="Style 47 2" xfId="1137" xr:uid="{00000000-0005-0000-0000-000072040000}"/>
    <cellStyle name="Style 48" xfId="1138" xr:uid="{00000000-0005-0000-0000-000073040000}"/>
    <cellStyle name="Style 49" xfId="1139" xr:uid="{00000000-0005-0000-0000-000074040000}"/>
    <cellStyle name="Style 5" xfId="1140" xr:uid="{00000000-0005-0000-0000-000075040000}"/>
    <cellStyle name="Style 5 2" xfId="1141" xr:uid="{00000000-0005-0000-0000-000076040000}"/>
    <cellStyle name="Style 50" xfId="1142" xr:uid="{00000000-0005-0000-0000-000077040000}"/>
    <cellStyle name="Style 50 2" xfId="1143" xr:uid="{00000000-0005-0000-0000-000078040000}"/>
    <cellStyle name="Style 51" xfId="1144" xr:uid="{00000000-0005-0000-0000-000079040000}"/>
    <cellStyle name="Style 51 2" xfId="1145" xr:uid="{00000000-0005-0000-0000-00007A040000}"/>
    <cellStyle name="Style 52" xfId="1146" xr:uid="{00000000-0005-0000-0000-00007B040000}"/>
    <cellStyle name="Style 52 2" xfId="1147" xr:uid="{00000000-0005-0000-0000-00007C040000}"/>
    <cellStyle name="Style 52 3" xfId="1582" xr:uid="{ADF2EE59-297C-4C95-BCBC-ECC7B97DDA97}"/>
    <cellStyle name="Style 53" xfId="1148" xr:uid="{00000000-0005-0000-0000-00007D040000}"/>
    <cellStyle name="Style 53 2" xfId="1149" xr:uid="{00000000-0005-0000-0000-00007E040000}"/>
    <cellStyle name="Style 54" xfId="1150" xr:uid="{00000000-0005-0000-0000-00007F040000}"/>
    <cellStyle name="Style 54 2" xfId="1151" xr:uid="{00000000-0005-0000-0000-000080040000}"/>
    <cellStyle name="Style 55" xfId="1152" xr:uid="{00000000-0005-0000-0000-000081040000}"/>
    <cellStyle name="Style 56" xfId="1153" xr:uid="{00000000-0005-0000-0000-000082040000}"/>
    <cellStyle name="Style 56 2" xfId="1154" xr:uid="{00000000-0005-0000-0000-000083040000}"/>
    <cellStyle name="Style 57" xfId="1155" xr:uid="{00000000-0005-0000-0000-000084040000}"/>
    <cellStyle name="Style 57 2" xfId="1156" xr:uid="{00000000-0005-0000-0000-000085040000}"/>
    <cellStyle name="Style 58" xfId="1157" xr:uid="{00000000-0005-0000-0000-000086040000}"/>
    <cellStyle name="Style 58 2" xfId="1158" xr:uid="{00000000-0005-0000-0000-000087040000}"/>
    <cellStyle name="Style 59" xfId="1159" xr:uid="{00000000-0005-0000-0000-000088040000}"/>
    <cellStyle name="Style 59 2" xfId="1160" xr:uid="{00000000-0005-0000-0000-000089040000}"/>
    <cellStyle name="Style 6" xfId="1161" xr:uid="{00000000-0005-0000-0000-00008A040000}"/>
    <cellStyle name="Style 6 2" xfId="1162" xr:uid="{00000000-0005-0000-0000-00008B040000}"/>
    <cellStyle name="Style 60" xfId="1163" xr:uid="{00000000-0005-0000-0000-00008C040000}"/>
    <cellStyle name="Style 60 2" xfId="1164" xr:uid="{00000000-0005-0000-0000-00008D040000}"/>
    <cellStyle name="Style 61" xfId="1165" xr:uid="{00000000-0005-0000-0000-00008E040000}"/>
    <cellStyle name="Style 61 2" xfId="1166" xr:uid="{00000000-0005-0000-0000-00008F040000}"/>
    <cellStyle name="Style 62" xfId="1167" xr:uid="{00000000-0005-0000-0000-000090040000}"/>
    <cellStyle name="Style 62 2" xfId="1168" xr:uid="{00000000-0005-0000-0000-000091040000}"/>
    <cellStyle name="Style 62 3" xfId="1583" xr:uid="{29347065-7D7E-4799-A2DE-B7E326EC8B13}"/>
    <cellStyle name="Style 63" xfId="1169" xr:uid="{00000000-0005-0000-0000-000092040000}"/>
    <cellStyle name="Style 64" xfId="1170" xr:uid="{00000000-0005-0000-0000-000093040000}"/>
    <cellStyle name="Style 64 2" xfId="1171" xr:uid="{00000000-0005-0000-0000-000094040000}"/>
    <cellStyle name="Style 64 2 2" xfId="1584" xr:uid="{A687AD44-DE4B-41D3-A15F-63B9AF1A0531}"/>
    <cellStyle name="Style 65" xfId="1172" xr:uid="{00000000-0005-0000-0000-000095040000}"/>
    <cellStyle name="Style 65 2" xfId="1173" xr:uid="{00000000-0005-0000-0000-000096040000}"/>
    <cellStyle name="Style 65 2 2" xfId="1585" xr:uid="{1E5CB363-5E35-459E-ABA8-614886D6D100}"/>
    <cellStyle name="Style 66" xfId="1174" xr:uid="{00000000-0005-0000-0000-000097040000}"/>
    <cellStyle name="Style 66 2" xfId="1175" xr:uid="{00000000-0005-0000-0000-000098040000}"/>
    <cellStyle name="Style 66 2 2" xfId="1586" xr:uid="{AB38C8F0-28E2-4CB1-BBDB-E19232E9CF07}"/>
    <cellStyle name="Style 67" xfId="1176" xr:uid="{00000000-0005-0000-0000-000099040000}"/>
    <cellStyle name="Style 67 2" xfId="1177" xr:uid="{00000000-0005-0000-0000-00009A040000}"/>
    <cellStyle name="Style 67 2 2" xfId="1587" xr:uid="{0A97303D-C518-4351-A9A6-740B3F51644A}"/>
    <cellStyle name="Style 68" xfId="1178" xr:uid="{00000000-0005-0000-0000-00009B040000}"/>
    <cellStyle name="Style 68 2" xfId="1179" xr:uid="{00000000-0005-0000-0000-00009C040000}"/>
    <cellStyle name="Style 68 2 2" xfId="1588" xr:uid="{CC4AE44C-37B5-4903-B80A-CE143F4F127B}"/>
    <cellStyle name="Style 69" xfId="1180" xr:uid="{00000000-0005-0000-0000-00009D040000}"/>
    <cellStyle name="Style 69 2" xfId="1181" xr:uid="{00000000-0005-0000-0000-00009E040000}"/>
    <cellStyle name="Style 69 2 2" xfId="1589" xr:uid="{F24D5093-17A9-44C7-AAB6-2EC3123940A1}"/>
    <cellStyle name="Style 7" xfId="1182" xr:uid="{00000000-0005-0000-0000-00009F040000}"/>
    <cellStyle name="Style 7 2" xfId="1183" xr:uid="{00000000-0005-0000-0000-0000A0040000}"/>
    <cellStyle name="Style 70" xfId="1184" xr:uid="{00000000-0005-0000-0000-0000A1040000}"/>
    <cellStyle name="Style 70 2" xfId="1185" xr:uid="{00000000-0005-0000-0000-0000A2040000}"/>
    <cellStyle name="Style 70 2 2" xfId="1590" xr:uid="{7408A84D-F1A2-40E2-B68A-D52D6539EC77}"/>
    <cellStyle name="Style 71" xfId="1186" xr:uid="{00000000-0005-0000-0000-0000A3040000}"/>
    <cellStyle name="Style 71 2" xfId="1187" xr:uid="{00000000-0005-0000-0000-0000A4040000}"/>
    <cellStyle name="Style 71 2 2" xfId="1591" xr:uid="{8FA67AF1-0093-4640-AE3D-409975063348}"/>
    <cellStyle name="Style 72" xfId="1188" xr:uid="{00000000-0005-0000-0000-0000A5040000}"/>
    <cellStyle name="Style 72 2" xfId="1189" xr:uid="{00000000-0005-0000-0000-0000A6040000}"/>
    <cellStyle name="Style 72 2 2" xfId="1592" xr:uid="{82F15CB2-59E0-4FED-98EB-2B71438D428E}"/>
    <cellStyle name="Style 73" xfId="1190" xr:uid="{00000000-0005-0000-0000-0000A7040000}"/>
    <cellStyle name="Style 73 2" xfId="1191" xr:uid="{00000000-0005-0000-0000-0000A8040000}"/>
    <cellStyle name="Style 73 2 2" xfId="1593" xr:uid="{9FB2671B-432F-461D-84B2-B25E0D9D153B}"/>
    <cellStyle name="Style 74" xfId="1192" xr:uid="{00000000-0005-0000-0000-0000A9040000}"/>
    <cellStyle name="Style 74 2" xfId="1193" xr:uid="{00000000-0005-0000-0000-0000AA040000}"/>
    <cellStyle name="Style 74 2 2" xfId="1594" xr:uid="{00AE5C8A-2ECD-4A50-8E0E-7BE5EC30C234}"/>
    <cellStyle name="Style 75" xfId="1194" xr:uid="{00000000-0005-0000-0000-0000AB040000}"/>
    <cellStyle name="Style 75 2" xfId="1195" xr:uid="{00000000-0005-0000-0000-0000AC040000}"/>
    <cellStyle name="Style 75 2 2" xfId="1595" xr:uid="{B4D6AD5F-6EFF-4FA9-91BA-78115C15782D}"/>
    <cellStyle name="Style 76" xfId="1196" xr:uid="{00000000-0005-0000-0000-0000AD040000}"/>
    <cellStyle name="Style 76 2" xfId="1197" xr:uid="{00000000-0005-0000-0000-0000AE040000}"/>
    <cellStyle name="Style 76 2 2" xfId="1596" xr:uid="{1F3B97C1-BB60-43FE-A3F6-034F8C152894}"/>
    <cellStyle name="Style 76 3" xfId="1597" xr:uid="{E52876AC-56B6-4CB0-8493-268AA457399B}"/>
    <cellStyle name="Style 77" xfId="1198" xr:uid="{00000000-0005-0000-0000-0000AF040000}"/>
    <cellStyle name="Style 77 2" xfId="1199" xr:uid="{00000000-0005-0000-0000-0000B0040000}"/>
    <cellStyle name="Style 77 2 2" xfId="1598" xr:uid="{368E0A0A-4244-4A5C-BEA5-EDB17E54BBCA}"/>
    <cellStyle name="Style 78" xfId="1200" xr:uid="{00000000-0005-0000-0000-0000B1040000}"/>
    <cellStyle name="Style 78 2" xfId="1201" xr:uid="{00000000-0005-0000-0000-0000B2040000}"/>
    <cellStyle name="Style 78 2 2" xfId="1599" xr:uid="{CBD9D179-B44F-4D11-A89C-BEE4514EF4F7}"/>
    <cellStyle name="Style 79" xfId="1202" xr:uid="{00000000-0005-0000-0000-0000B3040000}"/>
    <cellStyle name="Style 79 2" xfId="1203" xr:uid="{00000000-0005-0000-0000-0000B4040000}"/>
    <cellStyle name="Style 79 2 2" xfId="1600" xr:uid="{E9D50967-D15C-40DF-B503-D9C9E02171F6}"/>
    <cellStyle name="Style 8" xfId="1204" xr:uid="{00000000-0005-0000-0000-0000B5040000}"/>
    <cellStyle name="Style 8 2" xfId="1205" xr:uid="{00000000-0005-0000-0000-0000B6040000}"/>
    <cellStyle name="Style 80" xfId="1206" xr:uid="{00000000-0005-0000-0000-0000B7040000}"/>
    <cellStyle name="Style 80 2" xfId="1207" xr:uid="{00000000-0005-0000-0000-0000B8040000}"/>
    <cellStyle name="Style 80 2 2" xfId="1601" xr:uid="{BFA9470B-0A77-436D-BB77-7415DAA9D2D2}"/>
    <cellStyle name="Style 81" xfId="1208" xr:uid="{00000000-0005-0000-0000-0000B9040000}"/>
    <cellStyle name="Style 81 2" xfId="1209" xr:uid="{00000000-0005-0000-0000-0000BA040000}"/>
    <cellStyle name="Style 81 2 2" xfId="1602" xr:uid="{DEAED76A-7643-45A9-8738-F713212541C3}"/>
    <cellStyle name="Style 82" xfId="1210" xr:uid="{00000000-0005-0000-0000-0000BB040000}"/>
    <cellStyle name="Style 82 2" xfId="1211" xr:uid="{00000000-0005-0000-0000-0000BC040000}"/>
    <cellStyle name="Style 82 2 2" xfId="1603" xr:uid="{A1271B7F-5729-4359-A4DC-77FE9BB6E4D4}"/>
    <cellStyle name="Style 83" xfId="1212" xr:uid="{00000000-0005-0000-0000-0000BD040000}"/>
    <cellStyle name="Style 83 2" xfId="1213" xr:uid="{00000000-0005-0000-0000-0000BE040000}"/>
    <cellStyle name="Style 83 2 2" xfId="1604" xr:uid="{5C43DF46-A7D8-46D5-85CB-925FF4E57755}"/>
    <cellStyle name="Style 84" xfId="1214" xr:uid="{00000000-0005-0000-0000-0000BF040000}"/>
    <cellStyle name="Style 84 2" xfId="1215" xr:uid="{00000000-0005-0000-0000-0000C0040000}"/>
    <cellStyle name="Style 84 2 2" xfId="1605" xr:uid="{2F63FBBC-645F-4A80-9026-AC27D47AFC6F}"/>
    <cellStyle name="Style 85" xfId="1216" xr:uid="{00000000-0005-0000-0000-0000C1040000}"/>
    <cellStyle name="Style 85 2" xfId="1217" xr:uid="{00000000-0005-0000-0000-0000C2040000}"/>
    <cellStyle name="Style 85 2 2" xfId="1606" xr:uid="{AB3581FC-31D8-4EB5-8C22-FB499401E8D6}"/>
    <cellStyle name="Style 86" xfId="1218" xr:uid="{00000000-0005-0000-0000-0000C3040000}"/>
    <cellStyle name="Style 86 2" xfId="1219" xr:uid="{00000000-0005-0000-0000-0000C4040000}"/>
    <cellStyle name="Style 86 2 2" xfId="1607" xr:uid="{431600B7-105A-4E21-8AEC-36788E737378}"/>
    <cellStyle name="Style 87" xfId="1220" xr:uid="{00000000-0005-0000-0000-0000C5040000}"/>
    <cellStyle name="Style 87 2" xfId="1221" xr:uid="{00000000-0005-0000-0000-0000C6040000}"/>
    <cellStyle name="Style 87 2 2" xfId="1608" xr:uid="{605F3C8B-A591-4A96-BD46-68824E2DC42E}"/>
    <cellStyle name="Style 88" xfId="1222" xr:uid="{00000000-0005-0000-0000-0000C7040000}"/>
    <cellStyle name="Style 88 2" xfId="1223" xr:uid="{00000000-0005-0000-0000-0000C8040000}"/>
    <cellStyle name="Style 88 2 2" xfId="1609" xr:uid="{1500161B-8B76-4B2A-8A0D-65D4970C83E5}"/>
    <cellStyle name="Style 89" xfId="1224" xr:uid="{00000000-0005-0000-0000-0000C9040000}"/>
    <cellStyle name="Style 89 2" xfId="1225" xr:uid="{00000000-0005-0000-0000-0000CA040000}"/>
    <cellStyle name="Style 89 2 2" xfId="1610" xr:uid="{BA325465-D2AD-459B-A8C4-43CB13C28F98}"/>
    <cellStyle name="Style 9" xfId="1226" xr:uid="{00000000-0005-0000-0000-0000CB040000}"/>
    <cellStyle name="Style 9 2" xfId="1227" xr:uid="{00000000-0005-0000-0000-0000CC040000}"/>
    <cellStyle name="Style 9 3" xfId="1611" xr:uid="{4D24908A-3269-47F0-810B-4DE0D5EA5783}"/>
    <cellStyle name="Style 90" xfId="1228" xr:uid="{00000000-0005-0000-0000-0000CD040000}"/>
    <cellStyle name="Style 90 2" xfId="1229" xr:uid="{00000000-0005-0000-0000-0000CE040000}"/>
    <cellStyle name="Style 90 2 2" xfId="1612" xr:uid="{A76EEB42-6AA7-4542-B8C9-671A8B22EA06}"/>
    <cellStyle name="Style 91" xfId="1230" xr:uid="{00000000-0005-0000-0000-0000CF040000}"/>
    <cellStyle name="Style 91 2" xfId="1231" xr:uid="{00000000-0005-0000-0000-0000D0040000}"/>
    <cellStyle name="Style 92" xfId="1232" xr:uid="{00000000-0005-0000-0000-0000D1040000}"/>
    <cellStyle name="Style 92 2" xfId="1233" xr:uid="{00000000-0005-0000-0000-0000D2040000}"/>
    <cellStyle name="Style 92 2 2" xfId="1613" xr:uid="{35E10E0B-8B6F-4086-ADD2-B845DAAC6E3E}"/>
    <cellStyle name="Style 93" xfId="1234" xr:uid="{00000000-0005-0000-0000-0000D3040000}"/>
    <cellStyle name="Style 93 2" xfId="1235" xr:uid="{00000000-0005-0000-0000-0000D4040000}"/>
    <cellStyle name="Style 93 2 2" xfId="1614" xr:uid="{8C1D7EB8-8A11-4CB4-A60F-446A5966071E}"/>
    <cellStyle name="Style 94" xfId="1236" xr:uid="{00000000-0005-0000-0000-0000D5040000}"/>
    <cellStyle name="Style 94 2" xfId="1237" xr:uid="{00000000-0005-0000-0000-0000D6040000}"/>
    <cellStyle name="Style 94 2 2" xfId="1615" xr:uid="{E928BD87-33D1-4715-AF1F-B62A7F773155}"/>
    <cellStyle name="Style 95" xfId="1238" xr:uid="{00000000-0005-0000-0000-0000D7040000}"/>
    <cellStyle name="Style 95 2" xfId="1239" xr:uid="{00000000-0005-0000-0000-0000D8040000}"/>
    <cellStyle name="Style 95 2 2" xfId="1616" xr:uid="{4F7C3398-47EB-49BC-8B0A-81DA4F5B4BB7}"/>
    <cellStyle name="Style 96" xfId="1240" xr:uid="{00000000-0005-0000-0000-0000D9040000}"/>
    <cellStyle name="Style 97" xfId="1241" xr:uid="{00000000-0005-0000-0000-0000DA040000}"/>
    <cellStyle name="Style 98" xfId="1242" xr:uid="{00000000-0005-0000-0000-0000DB040000}"/>
    <cellStyle name="Style 99" xfId="1243" xr:uid="{00000000-0005-0000-0000-0000DC040000}"/>
    <cellStyle name="subhead" xfId="1244" xr:uid="{00000000-0005-0000-0000-0000DD040000}"/>
    <cellStyle name="symbol" xfId="1245" xr:uid="{00000000-0005-0000-0000-0000DE040000}"/>
    <cellStyle name="T" xfId="1246" xr:uid="{00000000-0005-0000-0000-0000DF040000}"/>
    <cellStyle name="T 2" xfId="1247" xr:uid="{00000000-0005-0000-0000-0000E0040000}"/>
    <cellStyle name="T_Book1" xfId="1248" xr:uid="{00000000-0005-0000-0000-0000E1040000}"/>
    <cellStyle name="T_Book1 2" xfId="1249" xr:uid="{00000000-0005-0000-0000-0000E2040000}"/>
    <cellStyle name="T_Book1_1" xfId="1250" xr:uid="{00000000-0005-0000-0000-0000E3040000}"/>
    <cellStyle name="T_Book1_1 2" xfId="1251" xr:uid="{00000000-0005-0000-0000-0000E4040000}"/>
    <cellStyle name="T_Book1_1 3" xfId="1252" xr:uid="{00000000-0005-0000-0000-0000E5040000}"/>
    <cellStyle name="T_Book1_1 4" xfId="1617" xr:uid="{7A40D230-AE59-4024-83A2-3477A8F2EB84}"/>
    <cellStyle name="T_Book1_1_ÿÿÿÿÿ" xfId="1253" xr:uid="{00000000-0005-0000-0000-0000E6040000}"/>
    <cellStyle name="T_Book1_1_ÿÿÿÿÿ 2" xfId="1254" xr:uid="{00000000-0005-0000-0000-0000E7040000}"/>
    <cellStyle name="T_Book1_1_ÿÿÿÿÿ 3" xfId="1255" xr:uid="{00000000-0005-0000-0000-0000E8040000}"/>
    <cellStyle name="T_Book1_1_ÿÿÿÿÿ 4" xfId="1618" xr:uid="{F6EE91BC-52AC-44AD-B5A5-6984DB7489A0}"/>
    <cellStyle name="T_Book1_1_ÿÿÿÿÿ_1" xfId="1256" xr:uid="{00000000-0005-0000-0000-0000E9040000}"/>
    <cellStyle name="T_Book1_2" xfId="1257" xr:uid="{00000000-0005-0000-0000-0000EA040000}"/>
    <cellStyle name="T_Book1_2_ÿÿÿÿÿ" xfId="1258" xr:uid="{00000000-0005-0000-0000-0000EB040000}"/>
    <cellStyle name="T_Book1_2_ÿÿÿÿÿ 2" xfId="1259" xr:uid="{00000000-0005-0000-0000-0000EC040000}"/>
    <cellStyle name="T_Book1_2_ÿÿÿÿÿ 3" xfId="1260" xr:uid="{00000000-0005-0000-0000-0000ED040000}"/>
    <cellStyle name="T_Book1_2_ÿÿÿÿÿ 4" xfId="1619" xr:uid="{30346A2A-C73E-4F95-82F1-CD1BA182F3FD}"/>
    <cellStyle name="T_Book1_Book1" xfId="1261" xr:uid="{00000000-0005-0000-0000-0000EE040000}"/>
    <cellStyle name="T_Book1_Book1 2" xfId="1262" xr:uid="{00000000-0005-0000-0000-0000EF040000}"/>
    <cellStyle name="T_Book1_Book1 3" xfId="1263" xr:uid="{00000000-0005-0000-0000-0000F0040000}"/>
    <cellStyle name="T_Book1_Book1 4" xfId="1620" xr:uid="{199B4784-00A6-47EF-AC71-A85859D19B27}"/>
    <cellStyle name="T_Book1_Book1_ÿÿÿÿÿ" xfId="1264" xr:uid="{00000000-0005-0000-0000-0000F1040000}"/>
    <cellStyle name="T_Book1_Book1_ÿÿÿÿÿ 2" xfId="1265" xr:uid="{00000000-0005-0000-0000-0000F2040000}"/>
    <cellStyle name="T_Book1_Book1_ÿÿÿÿÿ 3" xfId="1266" xr:uid="{00000000-0005-0000-0000-0000F3040000}"/>
    <cellStyle name="T_Book1_Book1_ÿÿÿÿÿ 4" xfId="1621" xr:uid="{14DD30D3-62AD-4363-B402-EBCDDBEF9695}"/>
    <cellStyle name="T_Book1_DEN BU " xfId="1669" xr:uid="{CE2F9ABF-AA32-49D8-957C-0819951836CA}"/>
    <cellStyle name="T_Book1_Den bu tram Thanh Phu_DEN BU " xfId="1670" xr:uid="{5FEFD586-48EF-463A-80E1-BFDA0BF435F5}"/>
    <cellStyle name="T_Book1_dongia" xfId="1267" xr:uid="{00000000-0005-0000-0000-0000F4040000}"/>
    <cellStyle name="T_Book1_dongia 2" xfId="1268" xr:uid="{00000000-0005-0000-0000-0000F5040000}"/>
    <cellStyle name="T_Book1_dongia 3" xfId="1269" xr:uid="{00000000-0005-0000-0000-0000F6040000}"/>
    <cellStyle name="T_Book1_dongia 4" xfId="1622" xr:uid="{50364790-D2E4-418D-80E0-E431F92F89E3}"/>
    <cellStyle name="T_Book1_MAU du toan" xfId="1270" xr:uid="{00000000-0005-0000-0000-0000F7040000}"/>
    <cellStyle name="T_Book1_maubieuthuthap phandien" xfId="1271" xr:uid="{00000000-0005-0000-0000-0000F8040000}"/>
    <cellStyle name="T_Book1_maubieuthuthap phandien 2" xfId="1272" xr:uid="{00000000-0005-0000-0000-0000F9040000}"/>
    <cellStyle name="T_Book1_maubieuthuthap phandien 3" xfId="1273" xr:uid="{00000000-0005-0000-0000-0000FA040000}"/>
    <cellStyle name="T_Book1_maubieuthuthap phandien 4" xfId="1623" xr:uid="{BBFF2FDC-D20B-4BE1-89BE-96D1AEB37E82}"/>
    <cellStyle name="T_Book1_QD DIEU MBA" xfId="1274" xr:uid="{00000000-0005-0000-0000-0000FB040000}"/>
    <cellStyle name="T_Book1_QD DIEU MBA 2" xfId="1275" xr:uid="{00000000-0005-0000-0000-0000FC040000}"/>
    <cellStyle name="T_Book1_QD DIEU MBA 3" xfId="1276" xr:uid="{00000000-0005-0000-0000-0000FD040000}"/>
    <cellStyle name="T_Book1_QD DIEU MBA 4" xfId="1624" xr:uid="{F959E463-16A1-4B92-A82E-ABB140068493}"/>
    <cellStyle name="T_Book1_TDCTac 2005" xfId="1277" xr:uid="{00000000-0005-0000-0000-0000FE040000}"/>
    <cellStyle name="T_Book1_TDCTac 2005 2" xfId="1278" xr:uid="{00000000-0005-0000-0000-0000FF040000}"/>
    <cellStyle name="T_Book1_TDCTac 2005 3" xfId="1279" xr:uid="{00000000-0005-0000-0000-000000050000}"/>
    <cellStyle name="T_Book1_TDCTac 2005 4" xfId="1625" xr:uid="{B786AA97-C042-487B-A92E-FF74D03E3865}"/>
    <cellStyle name="T_Book1_TDT-MAU2" xfId="1280" xr:uid="{00000000-0005-0000-0000-000001050000}"/>
    <cellStyle name="T_Book1_TDT-MAU2 2" xfId="1281" xr:uid="{00000000-0005-0000-0000-000002050000}"/>
    <cellStyle name="T_Book1_TDT-MAU2 3" xfId="1282" xr:uid="{00000000-0005-0000-0000-000003050000}"/>
    <cellStyle name="T_Book1_TDT-MAU2 4" xfId="1626" xr:uid="{A38AD54C-3E7C-4429-A343-27ABA0A8D4D0}"/>
    <cellStyle name="T_Book1_TSH - DINH MUC" xfId="1283" xr:uid="{00000000-0005-0000-0000-000004050000}"/>
    <cellStyle name="T_Book1_TSH - DINH MUC 2" xfId="1284" xr:uid="{00000000-0005-0000-0000-000005050000}"/>
    <cellStyle name="T_Book1_TSH - DINH MUC 3" xfId="1285" xr:uid="{00000000-0005-0000-0000-000006050000}"/>
    <cellStyle name="T_Book1_TSH - DINH MUC 4" xfId="1627" xr:uid="{77ACD635-ED33-495E-812D-7ED39B8EF330}"/>
    <cellStyle name="T_Book1_Uoctinh GTGT Tan Hiep_DEN BU " xfId="1671" xr:uid="{F8F87F3C-0009-4C54-A9BB-915E72A15DE4}"/>
    <cellStyle name="T_Book1_Uoctinh GTGT Tan Hiep_Den bu tram Thanh Phu_DEN BU " xfId="1672" xr:uid="{2293166A-0D5A-4F03-BDE7-8A4C1453FC00}"/>
    <cellStyle name="T_Book1_ÿÿÿÿÿ" xfId="1286" xr:uid="{00000000-0005-0000-0000-000007050000}"/>
    <cellStyle name="T_Book1_ÿÿÿÿÿ_1" xfId="1287" xr:uid="{00000000-0005-0000-0000-000008050000}"/>
    <cellStyle name="T_Book1_ÿÿÿÿÿ_1 2" xfId="1288" xr:uid="{00000000-0005-0000-0000-000009050000}"/>
    <cellStyle name="T_Book1_ÿÿÿÿÿ_1 3" xfId="1289" xr:uid="{00000000-0005-0000-0000-00000A050000}"/>
    <cellStyle name="T_Book1_ÿÿÿÿÿ_1 4" xfId="1628" xr:uid="{245292C1-F97D-4E33-8FC8-C7CA3B915523}"/>
    <cellStyle name="T_Book1_ÿÿÿÿÿ_2" xfId="1290" xr:uid="{00000000-0005-0000-0000-00000B050000}"/>
    <cellStyle name="T_Book1_ÿÿÿÿÿ_2 2" xfId="1291" xr:uid="{00000000-0005-0000-0000-00000C050000}"/>
    <cellStyle name="T_Book1_ÿÿÿÿÿ_2 3" xfId="1292" xr:uid="{00000000-0005-0000-0000-00000D050000}"/>
    <cellStyle name="T_Book1_ÿÿÿÿÿ_2 4" xfId="1629" xr:uid="{C9EFE56F-F9F8-46E8-B724-D0024EE15E8F}"/>
    <cellStyle name="T_DataDT1_DEN BU " xfId="1673" xr:uid="{2FBA619E-D4C6-4B15-BA49-89EE56C4C3F7}"/>
    <cellStyle name="T_DataDT1_Den bu tram Thanh Phu_DEN BU " xfId="1674" xr:uid="{BE29CA4A-EAAD-4BB1-A194-4322B760664D}"/>
    <cellStyle name="T_DEN BU " xfId="1675" xr:uid="{8AAA4730-2696-4F70-B367-38C82C329AE8}"/>
    <cellStyle name="T_dongia" xfId="1293" xr:uid="{00000000-0005-0000-0000-00000E050000}"/>
    <cellStyle name="T_Ht-PTq1-03" xfId="1294" xr:uid="{00000000-0005-0000-0000-00000F050000}"/>
    <cellStyle name="T_MAU du toan" xfId="1295" xr:uid="{00000000-0005-0000-0000-000010050000}"/>
    <cellStyle name="T_maubieuthuthap phandien" xfId="1296" xr:uid="{00000000-0005-0000-0000-000011050000}"/>
    <cellStyle name="T_QD DIEU MBA" xfId="1297" xr:uid="{00000000-0005-0000-0000-000012050000}"/>
    <cellStyle name="T_QD DIEU MBA 2" xfId="1298" xr:uid="{00000000-0005-0000-0000-000013050000}"/>
    <cellStyle name="T_QD DIEU MBA 3" xfId="1299" xr:uid="{00000000-0005-0000-0000-000014050000}"/>
    <cellStyle name="T_QD DIEU MBA 4" xfId="1630" xr:uid="{F08F3E8A-3A0D-4C2B-9E5C-9608CA8C8F46}"/>
    <cellStyle name="T_TanQuy-22-8-05_DEN BU " xfId="1676" xr:uid="{8D385797-F556-4DC0-89EB-59E9B3348DC0}"/>
    <cellStyle name="T_TDCTac 2005" xfId="1300" xr:uid="{00000000-0005-0000-0000-000015050000}"/>
    <cellStyle name="T_TDCTac 2005 2" xfId="1301" xr:uid="{00000000-0005-0000-0000-000016050000}"/>
    <cellStyle name="T_TDCTac 2005 3" xfId="1302" xr:uid="{00000000-0005-0000-0000-000017050000}"/>
    <cellStyle name="T_TDCTac 2005 4" xfId="1631" xr:uid="{618A0947-F5F0-4702-971A-B48FE1845ED2}"/>
    <cellStyle name="T_TK_HT" xfId="1303" xr:uid="{00000000-0005-0000-0000-000018050000}"/>
    <cellStyle name="T_ÿÿÿÿÿ" xfId="1304" xr:uid="{00000000-0005-0000-0000-000019050000}"/>
    <cellStyle name="T_ÿÿÿÿÿ_1" xfId="1305" xr:uid="{00000000-0005-0000-0000-00001A050000}"/>
    <cellStyle name="T_ÿÿÿÿÿ_1 2" xfId="1306" xr:uid="{00000000-0005-0000-0000-00001B050000}"/>
    <cellStyle name="T_ÿÿÿÿÿ_1 3" xfId="1307" xr:uid="{00000000-0005-0000-0000-00001C050000}"/>
    <cellStyle name="T_ÿÿÿÿÿ_1 4" xfId="1632" xr:uid="{9731EE9F-4473-43F3-AE4D-435F8F4AC2F8}"/>
    <cellStyle name="Total" xfId="1311" builtinId="25" customBuiltin="1"/>
    <cellStyle name="Total 2" xfId="1312" xr:uid="{00000000-0005-0000-0000-00001E050000}"/>
    <cellStyle name="th" xfId="1308" xr:uid="{00000000-0005-0000-0000-00001F050000}"/>
    <cellStyle name="th 2" xfId="1309" xr:uid="{00000000-0005-0000-0000-000020050000}"/>
    <cellStyle name="thvt" xfId="1310" xr:uid="{00000000-0005-0000-0000-000021050000}"/>
    <cellStyle name="viet" xfId="1313" xr:uid="{00000000-0005-0000-0000-000022050000}"/>
    <cellStyle name="viet2" xfId="1314" xr:uid="{00000000-0005-0000-0000-000023050000}"/>
    <cellStyle name="viet2 2" xfId="1315" xr:uid="{00000000-0005-0000-0000-000024050000}"/>
    <cellStyle name="Währung [0]_UXO VII" xfId="1316" xr:uid="{00000000-0005-0000-0000-000025050000}"/>
    <cellStyle name="Währung_UXO VII" xfId="1317" xr:uid="{00000000-0005-0000-0000-000026050000}"/>
    <cellStyle name=" [0.00]_ Att. 1- Cover" xfId="1318" xr:uid="{00000000-0005-0000-0000-000027050000}"/>
    <cellStyle name="_ Att. 1- Cover" xfId="1319" xr:uid="{00000000-0005-0000-0000-000028050000}"/>
    <cellStyle name="?_ Att. 1- Cover" xfId="1320" xr:uid="{00000000-0005-0000-0000-000029050000}"/>
    <cellStyle name="똿뗦먛귟 [0.00]_PRODUCT DETAIL Q1" xfId="1321" xr:uid="{00000000-0005-0000-0000-00002A050000}"/>
    <cellStyle name="똿뗦먛귟_PRODUCT DETAIL Q1" xfId="1322" xr:uid="{00000000-0005-0000-0000-00002B050000}"/>
    <cellStyle name="믅됞 [0.00]_PRODUCT DETAIL Q1" xfId="1323" xr:uid="{00000000-0005-0000-0000-00002C050000}"/>
    <cellStyle name="믅됞_PRODUCT DETAIL Q1" xfId="1324" xr:uid="{00000000-0005-0000-0000-00002D050000}"/>
    <cellStyle name="백분율_95" xfId="1325" xr:uid="{00000000-0005-0000-0000-00002E050000}"/>
    <cellStyle name="뷭?_BOOKSHIP" xfId="1326" xr:uid="{00000000-0005-0000-0000-00002F050000}"/>
    <cellStyle name="콤마 [0]_ 비목별 월별기술 " xfId="1677" xr:uid="{46B2A01E-0547-46F1-8CDD-59E3333FFA38}"/>
    <cellStyle name="콤마_ 비목별 월별기술 " xfId="1678" xr:uid="{45A4C3AF-2E31-47CB-9531-AEE2B69CBD90}"/>
    <cellStyle name="통화 [0]_1202" xfId="1327" xr:uid="{00000000-0005-0000-0000-000032050000}"/>
    <cellStyle name="통화_1202" xfId="1328" xr:uid="{00000000-0005-0000-0000-000033050000}"/>
    <cellStyle name="표준_(정보부문)월별인원계획" xfId="1329" xr:uid="{00000000-0005-0000-0000-000034050000}"/>
    <cellStyle name="一般_99Q3647-ALL-CAS2" xfId="1330" xr:uid="{00000000-0005-0000-0000-000035050000}"/>
    <cellStyle name="千分位[0]_Book1" xfId="1331" xr:uid="{00000000-0005-0000-0000-000036050000}"/>
    <cellStyle name="千分位_99Q3647-ALL-CAS2" xfId="1332" xr:uid="{00000000-0005-0000-0000-000037050000}"/>
    <cellStyle name="桁区切り [0.00]_††††† " xfId="1679" xr:uid="{7ECE0410-61A6-4714-A53E-0DE07A0661B5}"/>
    <cellStyle name="桁区切り_††††† " xfId="1680" xr:uid="{928B3084-2F48-4FA5-A9C7-BB088A3B3C37}"/>
    <cellStyle name="貨幣 [0]_Book1" xfId="1333" xr:uid="{00000000-0005-0000-0000-000038050000}"/>
    <cellStyle name="貨幣[0]_BRE" xfId="1334" xr:uid="{00000000-0005-0000-0000-000039050000}"/>
    <cellStyle name="貨幣_Book1" xfId="1335" xr:uid="{00000000-0005-0000-0000-00003A050000}"/>
    <cellStyle name="通貨 [0.00]_††††† " xfId="1681" xr:uid="{546D2F0A-3302-40EC-BA5B-02F5D62A3303}"/>
    <cellStyle name="通貨_††††† " xfId="1682" xr:uid="{B5258E28-47F8-40E4-974F-C53ACA498E8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6.emf"/></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2.emf"/><Relationship Id="rId13" Type="http://schemas.openxmlformats.org/officeDocument/2006/relationships/image" Target="../media/image4.emf"/><Relationship Id="rId3" Type="http://schemas.openxmlformats.org/officeDocument/2006/relationships/image" Target="../media/image1.emf"/><Relationship Id="rId7" Type="http://schemas.openxmlformats.org/officeDocument/2006/relationships/image" Target="../media/image11.emf"/><Relationship Id="rId12" Type="http://schemas.openxmlformats.org/officeDocument/2006/relationships/image" Target="../media/image3.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0.emf"/><Relationship Id="rId11" Type="http://schemas.openxmlformats.org/officeDocument/2006/relationships/image" Target="../media/image2.emf"/><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96</xdr:col>
      <xdr:colOff>9525</xdr:colOff>
      <xdr:row>28</xdr:row>
      <xdr:rowOff>7144</xdr:rowOff>
    </xdr:from>
    <xdr:to>
      <xdr:col>97</xdr:col>
      <xdr:colOff>9525</xdr:colOff>
      <xdr:row>28</xdr:row>
      <xdr:rowOff>247650</xdr:rowOff>
    </xdr:to>
    <xdr:sp macro="" textlink="">
      <xdr:nvSpPr>
        <xdr:cNvPr id="33866" name="Text Box 74">
          <a:extLst>
            <a:ext uri="{FF2B5EF4-FFF2-40B4-BE49-F238E27FC236}">
              <a16:creationId xmlns:a16="http://schemas.microsoft.com/office/drawing/2014/main" id="{00000000-0008-0000-0000-00004A840000}"/>
            </a:ext>
          </a:extLst>
        </xdr:cNvPr>
        <xdr:cNvSpPr txBox="1">
          <a:spLocks noChangeArrowheads="1"/>
        </xdr:cNvSpPr>
      </xdr:nvSpPr>
      <xdr:spPr bwMode="auto">
        <a:xfrm>
          <a:off x="19507200" y="6696075"/>
          <a:ext cx="542925" cy="238125"/>
        </a:xfrm>
        <a:prstGeom prst="rect">
          <a:avLst/>
        </a:prstGeom>
        <a:noFill/>
        <a:ln w="9525">
          <a:noFill/>
          <a:miter lim="800000"/>
          <a:headEnd/>
          <a:tailEnd/>
        </a:ln>
      </xdr:spPr>
      <xdr:txBody>
        <a:bodyPr vertOverflow="clip" wrap="square" lIns="27432" tIns="27432" rIns="27432" bIns="0" anchor="t" upright="1"/>
        <a:lstStyle/>
        <a:p>
          <a:pPr algn="ctr" rtl="1">
            <a:defRPr sz="1000"/>
          </a:pPr>
          <a:r>
            <a:rPr lang="en-US" sz="1200" b="0" i="0" strike="noStrike">
              <a:solidFill>
                <a:srgbClr val="000000"/>
              </a:solidFill>
              <a:latin typeface="Times New Roman"/>
              <a:cs typeface="Times New Roman"/>
            </a:rPr>
            <a:t>Ttiếp</a:t>
          </a:r>
        </a:p>
      </xdr:txBody>
    </xdr:sp>
    <xdr:clientData/>
  </xdr:twoCellAnchor>
  <xdr:twoCellAnchor>
    <xdr:from>
      <xdr:col>96</xdr:col>
      <xdr:colOff>9525</xdr:colOff>
      <xdr:row>32</xdr:row>
      <xdr:rowOff>7144</xdr:rowOff>
    </xdr:from>
    <xdr:to>
      <xdr:col>97</xdr:col>
      <xdr:colOff>9525</xdr:colOff>
      <xdr:row>32</xdr:row>
      <xdr:rowOff>247650</xdr:rowOff>
    </xdr:to>
    <xdr:sp macro="" textlink="">
      <xdr:nvSpPr>
        <xdr:cNvPr id="33867" name="Text Box 75">
          <a:extLst>
            <a:ext uri="{FF2B5EF4-FFF2-40B4-BE49-F238E27FC236}">
              <a16:creationId xmlns:a16="http://schemas.microsoft.com/office/drawing/2014/main" id="{00000000-0008-0000-0000-00004B840000}"/>
            </a:ext>
          </a:extLst>
        </xdr:cNvPr>
        <xdr:cNvSpPr txBox="1">
          <a:spLocks noChangeArrowheads="1"/>
        </xdr:cNvSpPr>
      </xdr:nvSpPr>
      <xdr:spPr bwMode="auto">
        <a:xfrm>
          <a:off x="19507200" y="7686675"/>
          <a:ext cx="542925" cy="238125"/>
        </a:xfrm>
        <a:prstGeom prst="rect">
          <a:avLst/>
        </a:prstGeom>
        <a:noFill/>
        <a:ln w="9525">
          <a:noFill/>
          <a:miter lim="800000"/>
          <a:headEnd/>
          <a:tailEnd/>
        </a:ln>
      </xdr:spPr>
      <xdr:txBody>
        <a:bodyPr vertOverflow="clip" wrap="square" lIns="27432" tIns="27432" rIns="27432" bIns="0" anchor="t" upright="1"/>
        <a:lstStyle/>
        <a:p>
          <a:pPr algn="ctr" rtl="1">
            <a:defRPr sz="1000"/>
          </a:pPr>
          <a:r>
            <a:rPr lang="en-US" sz="1200" b="0" i="0" strike="noStrike">
              <a:solidFill>
                <a:srgbClr val="000000"/>
              </a:solidFill>
              <a:latin typeface="Times New Roman"/>
              <a:cs typeface="Times New Roman"/>
            </a:rPr>
            <a:t>Ttiếp</a:t>
          </a:r>
        </a:p>
      </xdr:txBody>
    </xdr:sp>
    <xdr:clientData/>
  </xdr:twoCellAnchor>
  <xdr:twoCellAnchor>
    <xdr:from>
      <xdr:col>96</xdr:col>
      <xdr:colOff>9525</xdr:colOff>
      <xdr:row>35</xdr:row>
      <xdr:rowOff>247650</xdr:rowOff>
    </xdr:from>
    <xdr:to>
      <xdr:col>97</xdr:col>
      <xdr:colOff>9525</xdr:colOff>
      <xdr:row>36</xdr:row>
      <xdr:rowOff>235744</xdr:rowOff>
    </xdr:to>
    <xdr:sp macro="" textlink="">
      <xdr:nvSpPr>
        <xdr:cNvPr id="33868" name="Text Box 76">
          <a:extLst>
            <a:ext uri="{FF2B5EF4-FFF2-40B4-BE49-F238E27FC236}">
              <a16:creationId xmlns:a16="http://schemas.microsoft.com/office/drawing/2014/main" id="{00000000-0008-0000-0000-00004C840000}"/>
            </a:ext>
          </a:extLst>
        </xdr:cNvPr>
        <xdr:cNvSpPr txBox="1">
          <a:spLocks noChangeArrowheads="1"/>
        </xdr:cNvSpPr>
      </xdr:nvSpPr>
      <xdr:spPr bwMode="auto">
        <a:xfrm>
          <a:off x="19507200" y="8667750"/>
          <a:ext cx="542925" cy="238125"/>
        </a:xfrm>
        <a:prstGeom prst="rect">
          <a:avLst/>
        </a:prstGeom>
        <a:noFill/>
        <a:ln w="9525">
          <a:noFill/>
          <a:miter lim="800000"/>
          <a:headEnd/>
          <a:tailEnd/>
        </a:ln>
      </xdr:spPr>
      <xdr:txBody>
        <a:bodyPr vertOverflow="clip" wrap="square" lIns="27432" tIns="27432" rIns="27432" bIns="0" anchor="t" upright="1"/>
        <a:lstStyle/>
        <a:p>
          <a:pPr algn="ctr" rtl="1">
            <a:defRPr sz="1000"/>
          </a:pPr>
          <a:r>
            <a:rPr lang="en-US" sz="1200" b="0" i="0" strike="noStrike">
              <a:solidFill>
                <a:srgbClr val="000000"/>
              </a:solidFill>
              <a:latin typeface="Times New Roman"/>
              <a:cs typeface="Times New Roman"/>
            </a:rPr>
            <a:t>Ttiếp</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19050</xdr:colOff>
      <xdr:row>502</xdr:row>
      <xdr:rowOff>0</xdr:rowOff>
    </xdr:from>
    <xdr:to>
      <xdr:col>36</xdr:col>
      <xdr:colOff>76200</xdr:colOff>
      <xdr:row>502</xdr:row>
      <xdr:rowOff>0</xdr:rowOff>
    </xdr:to>
    <xdr:sp macro="" textlink="">
      <xdr:nvSpPr>
        <xdr:cNvPr id="18618" name="Line 21">
          <a:extLst>
            <a:ext uri="{FF2B5EF4-FFF2-40B4-BE49-F238E27FC236}">
              <a16:creationId xmlns:a16="http://schemas.microsoft.com/office/drawing/2014/main" id="{00000000-0008-0000-2800-0000BA480000}"/>
            </a:ext>
          </a:extLst>
        </xdr:cNvPr>
        <xdr:cNvSpPr>
          <a:spLocks noChangeShapeType="1"/>
        </xdr:cNvSpPr>
      </xdr:nvSpPr>
      <xdr:spPr bwMode="auto">
        <a:xfrm>
          <a:off x="2971800" y="2286000"/>
          <a:ext cx="1943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28575</xdr:colOff>
      <xdr:row>10</xdr:row>
      <xdr:rowOff>0</xdr:rowOff>
    </xdr:from>
    <xdr:to>
      <xdr:col>8</xdr:col>
      <xdr:colOff>152400</xdr:colOff>
      <xdr:row>10</xdr:row>
      <xdr:rowOff>0</xdr:rowOff>
    </xdr:to>
    <xdr:sp macro="" textlink="">
      <xdr:nvSpPr>
        <xdr:cNvPr id="61924" name="Line 1">
          <a:extLst>
            <a:ext uri="{FF2B5EF4-FFF2-40B4-BE49-F238E27FC236}">
              <a16:creationId xmlns:a16="http://schemas.microsoft.com/office/drawing/2014/main" id="{00000000-0008-0000-2A00-0000E4F10000}"/>
            </a:ext>
          </a:extLst>
        </xdr:cNvPr>
        <xdr:cNvSpPr>
          <a:spLocks noChangeShapeType="1"/>
        </xdr:cNvSpPr>
      </xdr:nvSpPr>
      <xdr:spPr bwMode="auto">
        <a:xfrm>
          <a:off x="3171825" y="1962150"/>
          <a:ext cx="2495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381000</xdr:colOff>
      <xdr:row>3</xdr:row>
      <xdr:rowOff>19050</xdr:rowOff>
    </xdr:from>
    <xdr:to>
      <xdr:col>4</xdr:col>
      <xdr:colOff>523875</xdr:colOff>
      <xdr:row>3</xdr:row>
      <xdr:rowOff>19050</xdr:rowOff>
    </xdr:to>
    <xdr:sp macro="" textlink="">
      <xdr:nvSpPr>
        <xdr:cNvPr id="61925" name="Line 2">
          <a:extLst>
            <a:ext uri="{FF2B5EF4-FFF2-40B4-BE49-F238E27FC236}">
              <a16:creationId xmlns:a16="http://schemas.microsoft.com/office/drawing/2014/main" id="{00000000-0008-0000-2A00-0000E5F10000}"/>
            </a:ext>
          </a:extLst>
        </xdr:cNvPr>
        <xdr:cNvSpPr>
          <a:spLocks noChangeShapeType="1"/>
        </xdr:cNvSpPr>
      </xdr:nvSpPr>
      <xdr:spPr bwMode="auto">
        <a:xfrm>
          <a:off x="2114550" y="552450"/>
          <a:ext cx="15525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219075</xdr:colOff>
      <xdr:row>3</xdr:row>
      <xdr:rowOff>9525</xdr:rowOff>
    </xdr:from>
    <xdr:to>
      <xdr:col>9</xdr:col>
      <xdr:colOff>485775</xdr:colOff>
      <xdr:row>3</xdr:row>
      <xdr:rowOff>9525</xdr:rowOff>
    </xdr:to>
    <xdr:sp macro="" textlink="">
      <xdr:nvSpPr>
        <xdr:cNvPr id="61926" name="Line 3">
          <a:extLst>
            <a:ext uri="{FF2B5EF4-FFF2-40B4-BE49-F238E27FC236}">
              <a16:creationId xmlns:a16="http://schemas.microsoft.com/office/drawing/2014/main" id="{00000000-0008-0000-2A00-0000E6F10000}"/>
            </a:ext>
          </a:extLst>
        </xdr:cNvPr>
        <xdr:cNvSpPr>
          <a:spLocks noChangeShapeType="1"/>
        </xdr:cNvSpPr>
      </xdr:nvSpPr>
      <xdr:spPr bwMode="auto">
        <a:xfrm>
          <a:off x="5200650" y="542925"/>
          <a:ext cx="15525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7</xdr:row>
      <xdr:rowOff>0</xdr:rowOff>
    </xdr:from>
    <xdr:to>
      <xdr:col>7</xdr:col>
      <xdr:colOff>238125</xdr:colOff>
      <xdr:row>14</xdr:row>
      <xdr:rowOff>0</xdr:rowOff>
    </xdr:to>
    <xdr:grpSp>
      <xdr:nvGrpSpPr>
        <xdr:cNvPr id="84754" name="Group 1">
          <a:extLst>
            <a:ext uri="{FF2B5EF4-FFF2-40B4-BE49-F238E27FC236}">
              <a16:creationId xmlns:a16="http://schemas.microsoft.com/office/drawing/2014/main" id="{00000000-0008-0000-3000-0000124B0100}"/>
            </a:ext>
          </a:extLst>
        </xdr:cNvPr>
        <xdr:cNvGrpSpPr>
          <a:grpSpLocks/>
        </xdr:cNvGrpSpPr>
      </xdr:nvGrpSpPr>
      <xdr:grpSpPr bwMode="auto">
        <a:xfrm>
          <a:off x="1952625" y="1276350"/>
          <a:ext cx="1143000" cy="1133475"/>
          <a:chOff x="285" y="126"/>
          <a:chExt cx="102" cy="135"/>
        </a:xfrm>
      </xdr:grpSpPr>
      <xdr:pic>
        <xdr:nvPicPr>
          <xdr:cNvPr id="84757" name="Picture 20">
            <a:extLst>
              <a:ext uri="{FF2B5EF4-FFF2-40B4-BE49-F238E27FC236}">
                <a16:creationId xmlns:a16="http://schemas.microsoft.com/office/drawing/2014/main" id="{00000000-0008-0000-3000-0000154B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 y="126"/>
            <a:ext cx="102" cy="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00000000-0008-0000-3000-000004000000}"/>
              </a:ext>
            </a:extLst>
          </xdr:cNvPr>
          <xdr:cNvSpPr txBox="1">
            <a:spLocks noChangeArrowheads="1"/>
          </xdr:cNvSpPr>
        </xdr:nvSpPr>
        <xdr:spPr bwMode="auto">
          <a:xfrm>
            <a:off x="294" y="238"/>
            <a:ext cx="88" cy="23"/>
          </a:xfrm>
          <a:prstGeom prst="rect">
            <a:avLst/>
          </a:prstGeom>
          <a:noFill/>
          <a:ln w="9525" algn="ctr">
            <a:noFill/>
            <a:miter lim="800000"/>
            <a:headEnd/>
            <a:tailEnd/>
          </a:ln>
          <a:effectLst/>
        </xdr:spPr>
        <xdr:txBody>
          <a:bodyPr vertOverflow="clip" wrap="square" lIns="27432" tIns="27432" rIns="27432" bIns="0" anchor="t" upright="1"/>
          <a:lstStyle/>
          <a:p>
            <a:pPr algn="ctr" rtl="1">
              <a:defRPr sz="1000"/>
            </a:pPr>
            <a:r>
              <a:rPr lang="en-US" sz="1200" b="1" i="0" strike="noStrike">
                <a:solidFill>
                  <a:srgbClr val="000000"/>
                </a:solidFill>
                <a:latin typeface="Times New Roman"/>
                <a:cs typeface="Times New Roman"/>
              </a:rPr>
              <a:t>EVN</a:t>
            </a:r>
            <a:r>
              <a:rPr lang="en-US" sz="1400" b="1" i="0" strike="noStrike">
                <a:solidFill>
                  <a:srgbClr val="000000"/>
                </a:solidFill>
                <a:latin typeface="Times New Roman"/>
                <a:cs typeface="Times New Roman"/>
              </a:rPr>
              <a:t> SPC</a:t>
            </a:r>
          </a:p>
        </xdr:txBody>
      </xdr:sp>
    </xdr:grpSp>
    <xdr:clientData/>
  </xdr:twoCellAnchor>
  <xdr:twoCellAnchor>
    <xdr:from>
      <xdr:col>1</xdr:col>
      <xdr:colOff>457200</xdr:colOff>
      <xdr:row>5</xdr:row>
      <xdr:rowOff>19050</xdr:rowOff>
    </xdr:from>
    <xdr:to>
      <xdr:col>3</xdr:col>
      <xdr:colOff>476250</xdr:colOff>
      <xdr:row>5</xdr:row>
      <xdr:rowOff>19050</xdr:rowOff>
    </xdr:to>
    <xdr:sp macro="" textlink="">
      <xdr:nvSpPr>
        <xdr:cNvPr id="84755" name="Line 4">
          <a:extLst>
            <a:ext uri="{FF2B5EF4-FFF2-40B4-BE49-F238E27FC236}">
              <a16:creationId xmlns:a16="http://schemas.microsoft.com/office/drawing/2014/main" id="{00000000-0008-0000-3000-0000134B0100}"/>
            </a:ext>
          </a:extLst>
        </xdr:cNvPr>
        <xdr:cNvSpPr>
          <a:spLocks noChangeShapeType="1"/>
        </xdr:cNvSpPr>
      </xdr:nvSpPr>
      <xdr:spPr bwMode="auto">
        <a:xfrm>
          <a:off x="790575" y="895350"/>
          <a:ext cx="866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409575</xdr:colOff>
      <xdr:row>4</xdr:row>
      <xdr:rowOff>38100</xdr:rowOff>
    </xdr:from>
    <xdr:to>
      <xdr:col>10</xdr:col>
      <xdr:colOff>95250</xdr:colOff>
      <xdr:row>4</xdr:row>
      <xdr:rowOff>38100</xdr:rowOff>
    </xdr:to>
    <xdr:sp macro="" textlink="">
      <xdr:nvSpPr>
        <xdr:cNvPr id="84756" name="Line 5">
          <a:extLst>
            <a:ext uri="{FF2B5EF4-FFF2-40B4-BE49-F238E27FC236}">
              <a16:creationId xmlns:a16="http://schemas.microsoft.com/office/drawing/2014/main" id="{00000000-0008-0000-3000-0000144B0100}"/>
            </a:ext>
          </a:extLst>
        </xdr:cNvPr>
        <xdr:cNvSpPr>
          <a:spLocks noChangeShapeType="1"/>
        </xdr:cNvSpPr>
      </xdr:nvSpPr>
      <xdr:spPr bwMode="auto">
        <a:xfrm>
          <a:off x="3267075" y="704850"/>
          <a:ext cx="1209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352425</xdr:colOff>
      <xdr:row>6</xdr:row>
      <xdr:rowOff>28575</xdr:rowOff>
    </xdr:from>
    <xdr:to>
      <xdr:col>4</xdr:col>
      <xdr:colOff>285750</xdr:colOff>
      <xdr:row>6</xdr:row>
      <xdr:rowOff>28575</xdr:rowOff>
    </xdr:to>
    <xdr:sp macro="" textlink="">
      <xdr:nvSpPr>
        <xdr:cNvPr id="134269" name="Line 5">
          <a:extLst>
            <a:ext uri="{FF2B5EF4-FFF2-40B4-BE49-F238E27FC236}">
              <a16:creationId xmlns:a16="http://schemas.microsoft.com/office/drawing/2014/main" id="{00000000-0008-0000-3A00-00007D0C0200}"/>
            </a:ext>
          </a:extLst>
        </xdr:cNvPr>
        <xdr:cNvSpPr>
          <a:spLocks noChangeShapeType="1"/>
        </xdr:cNvSpPr>
      </xdr:nvSpPr>
      <xdr:spPr bwMode="auto">
        <a:xfrm>
          <a:off x="885825" y="1000125"/>
          <a:ext cx="1533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228600</xdr:colOff>
      <xdr:row>5</xdr:row>
      <xdr:rowOff>38100</xdr:rowOff>
    </xdr:from>
    <xdr:to>
      <xdr:col>10</xdr:col>
      <xdr:colOff>161925</xdr:colOff>
      <xdr:row>5</xdr:row>
      <xdr:rowOff>38100</xdr:rowOff>
    </xdr:to>
    <xdr:sp macro="" textlink="">
      <xdr:nvSpPr>
        <xdr:cNvPr id="134270" name="Line 5">
          <a:extLst>
            <a:ext uri="{FF2B5EF4-FFF2-40B4-BE49-F238E27FC236}">
              <a16:creationId xmlns:a16="http://schemas.microsoft.com/office/drawing/2014/main" id="{00000000-0008-0000-3A00-00007E0C0200}"/>
            </a:ext>
          </a:extLst>
        </xdr:cNvPr>
        <xdr:cNvSpPr>
          <a:spLocks noChangeShapeType="1"/>
        </xdr:cNvSpPr>
      </xdr:nvSpPr>
      <xdr:spPr bwMode="auto">
        <a:xfrm>
          <a:off x="3962400" y="847725"/>
          <a:ext cx="1533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9</xdr:row>
      <xdr:rowOff>0</xdr:rowOff>
    </xdr:from>
    <xdr:to>
      <xdr:col>7</xdr:col>
      <xdr:colOff>419100</xdr:colOff>
      <xdr:row>18</xdr:row>
      <xdr:rowOff>152400</xdr:rowOff>
    </xdr:to>
    <xdr:grpSp>
      <xdr:nvGrpSpPr>
        <xdr:cNvPr id="134271" name="Group 1">
          <a:extLst>
            <a:ext uri="{FF2B5EF4-FFF2-40B4-BE49-F238E27FC236}">
              <a16:creationId xmlns:a16="http://schemas.microsoft.com/office/drawing/2014/main" id="{00000000-0008-0000-3A00-00007F0C0200}"/>
            </a:ext>
          </a:extLst>
        </xdr:cNvPr>
        <xdr:cNvGrpSpPr>
          <a:grpSpLocks/>
        </xdr:cNvGrpSpPr>
      </xdr:nvGrpSpPr>
      <xdr:grpSpPr bwMode="auto">
        <a:xfrm>
          <a:off x="2209800" y="1457325"/>
          <a:ext cx="1943100" cy="1609725"/>
          <a:chOff x="285" y="126"/>
          <a:chExt cx="102" cy="135"/>
        </a:xfrm>
      </xdr:grpSpPr>
      <xdr:pic>
        <xdr:nvPicPr>
          <xdr:cNvPr id="134272" name="Picture 20">
            <a:extLst>
              <a:ext uri="{FF2B5EF4-FFF2-40B4-BE49-F238E27FC236}">
                <a16:creationId xmlns:a16="http://schemas.microsoft.com/office/drawing/2014/main" id="{00000000-0008-0000-3A00-0000800C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 y="126"/>
            <a:ext cx="102" cy="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Text Box 3">
            <a:extLst>
              <a:ext uri="{FF2B5EF4-FFF2-40B4-BE49-F238E27FC236}">
                <a16:creationId xmlns:a16="http://schemas.microsoft.com/office/drawing/2014/main" id="{00000000-0008-0000-3A00-000006000000}"/>
              </a:ext>
            </a:extLst>
          </xdr:cNvPr>
          <xdr:cNvSpPr txBox="1">
            <a:spLocks noChangeArrowheads="1"/>
          </xdr:cNvSpPr>
        </xdr:nvSpPr>
        <xdr:spPr bwMode="auto">
          <a:xfrm>
            <a:off x="294" y="238"/>
            <a:ext cx="89" cy="23"/>
          </a:xfrm>
          <a:prstGeom prst="rect">
            <a:avLst/>
          </a:prstGeom>
          <a:noFill/>
          <a:ln w="9525" algn="ctr">
            <a:noFill/>
            <a:miter lim="800000"/>
            <a:headEnd/>
            <a:tailEnd/>
          </a:ln>
          <a:effectLst/>
        </xdr:spPr>
        <xdr:txBody>
          <a:bodyPr vertOverflow="clip" wrap="square" lIns="27432" tIns="27432" rIns="27432" bIns="0" anchor="t" upright="1"/>
          <a:lstStyle/>
          <a:p>
            <a:pPr algn="ctr" rtl="1">
              <a:defRPr sz="1000"/>
            </a:pPr>
            <a:r>
              <a:rPr lang="en-US" sz="1200" b="1" i="0" strike="noStrike">
                <a:solidFill>
                  <a:srgbClr val="000000"/>
                </a:solidFill>
                <a:latin typeface="Times New Roman"/>
                <a:cs typeface="Times New Roman"/>
              </a:rPr>
              <a:t>EVN</a:t>
            </a:r>
            <a:r>
              <a:rPr lang="en-US" sz="1400" b="1" i="0" strike="noStrike">
                <a:solidFill>
                  <a:srgbClr val="000000"/>
                </a:solidFill>
                <a:latin typeface="Times New Roman"/>
                <a:cs typeface="Times New Roman"/>
              </a:rPr>
              <a:t> SPC</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151986</xdr:colOff>
      <xdr:row>1306</xdr:row>
      <xdr:rowOff>4141</xdr:rowOff>
    </xdr:from>
    <xdr:to>
      <xdr:col>5</xdr:col>
      <xdr:colOff>351999</xdr:colOff>
      <xdr:row>1308</xdr:row>
      <xdr:rowOff>108915</xdr:rowOff>
    </xdr:to>
    <xdr:sp macro="" textlink="">
      <xdr:nvSpPr>
        <xdr:cNvPr id="35846" name="Text Box 6">
          <a:extLst>
            <a:ext uri="{FF2B5EF4-FFF2-40B4-BE49-F238E27FC236}">
              <a16:creationId xmlns:a16="http://schemas.microsoft.com/office/drawing/2014/main" id="{00000000-0008-0000-0100-0000068C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1306</xdr:row>
      <xdr:rowOff>4141</xdr:rowOff>
    </xdr:from>
    <xdr:to>
      <xdr:col>5</xdr:col>
      <xdr:colOff>351999</xdr:colOff>
      <xdr:row>1308</xdr:row>
      <xdr:rowOff>108915</xdr:rowOff>
    </xdr:to>
    <xdr:sp macro="" textlink="">
      <xdr:nvSpPr>
        <xdr:cNvPr id="2" name="Text Box 6">
          <a:extLst>
            <a:ext uri="{FF2B5EF4-FFF2-40B4-BE49-F238E27FC236}">
              <a16:creationId xmlns:a16="http://schemas.microsoft.com/office/drawing/2014/main" id="{00000000-0008-0000-0100-000002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3</xdr:col>
      <xdr:colOff>450436</xdr:colOff>
      <xdr:row>1299</xdr:row>
      <xdr:rowOff>70816</xdr:rowOff>
    </xdr:from>
    <xdr:to>
      <xdr:col>7</xdr:col>
      <xdr:colOff>155161</xdr:colOff>
      <xdr:row>1302</xdr:row>
      <xdr:rowOff>23190</xdr:rowOff>
    </xdr:to>
    <xdr:sp macro="" textlink="">
      <xdr:nvSpPr>
        <xdr:cNvPr id="3" name="Text Box 6">
          <a:extLst>
            <a:ext uri="{FF2B5EF4-FFF2-40B4-BE49-F238E27FC236}">
              <a16:creationId xmlns:a16="http://schemas.microsoft.com/office/drawing/2014/main" id="{00000000-0008-0000-0100-000003000000}"/>
            </a:ext>
          </a:extLst>
        </xdr:cNvPr>
        <xdr:cNvSpPr txBox="1">
          <a:spLocks noChangeArrowheads="1"/>
        </xdr:cNvSpPr>
      </xdr:nvSpPr>
      <xdr:spPr bwMode="auto">
        <a:xfrm>
          <a:off x="4142961" y="217326541"/>
          <a:ext cx="4010025" cy="438149"/>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1306</xdr:row>
      <xdr:rowOff>4141</xdr:rowOff>
    </xdr:from>
    <xdr:to>
      <xdr:col>5</xdr:col>
      <xdr:colOff>351999</xdr:colOff>
      <xdr:row>1308</xdr:row>
      <xdr:rowOff>108915</xdr:rowOff>
    </xdr:to>
    <xdr:sp macro="" textlink="">
      <xdr:nvSpPr>
        <xdr:cNvPr id="4" name="Text Box 6">
          <a:extLst>
            <a:ext uri="{FF2B5EF4-FFF2-40B4-BE49-F238E27FC236}">
              <a16:creationId xmlns:a16="http://schemas.microsoft.com/office/drawing/2014/main" id="{00000000-0008-0000-0100-000004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3</xdr:col>
      <xdr:colOff>450436</xdr:colOff>
      <xdr:row>1299</xdr:row>
      <xdr:rowOff>70816</xdr:rowOff>
    </xdr:from>
    <xdr:to>
      <xdr:col>7</xdr:col>
      <xdr:colOff>155161</xdr:colOff>
      <xdr:row>1302</xdr:row>
      <xdr:rowOff>23190</xdr:rowOff>
    </xdr:to>
    <xdr:sp macro="" textlink="">
      <xdr:nvSpPr>
        <xdr:cNvPr id="5" name="Text Box 6">
          <a:extLst>
            <a:ext uri="{FF2B5EF4-FFF2-40B4-BE49-F238E27FC236}">
              <a16:creationId xmlns:a16="http://schemas.microsoft.com/office/drawing/2014/main" id="{00000000-0008-0000-0100-000005000000}"/>
            </a:ext>
          </a:extLst>
        </xdr:cNvPr>
        <xdr:cNvSpPr txBox="1">
          <a:spLocks noChangeArrowheads="1"/>
        </xdr:cNvSpPr>
      </xdr:nvSpPr>
      <xdr:spPr bwMode="auto">
        <a:xfrm>
          <a:off x="4142961" y="217326541"/>
          <a:ext cx="4010025" cy="438149"/>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1306</xdr:row>
      <xdr:rowOff>4141</xdr:rowOff>
    </xdr:from>
    <xdr:to>
      <xdr:col>5</xdr:col>
      <xdr:colOff>351999</xdr:colOff>
      <xdr:row>1308</xdr:row>
      <xdr:rowOff>108915</xdr:rowOff>
    </xdr:to>
    <xdr:sp macro="" textlink="">
      <xdr:nvSpPr>
        <xdr:cNvPr id="6" name="Text Box 6">
          <a:extLst>
            <a:ext uri="{FF2B5EF4-FFF2-40B4-BE49-F238E27FC236}">
              <a16:creationId xmlns:a16="http://schemas.microsoft.com/office/drawing/2014/main" id="{00000000-0008-0000-0100-000006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1306</xdr:row>
      <xdr:rowOff>4141</xdr:rowOff>
    </xdr:from>
    <xdr:to>
      <xdr:col>5</xdr:col>
      <xdr:colOff>351999</xdr:colOff>
      <xdr:row>1308</xdr:row>
      <xdr:rowOff>108915</xdr:rowOff>
    </xdr:to>
    <xdr:sp macro="" textlink="">
      <xdr:nvSpPr>
        <xdr:cNvPr id="7" name="Text Box 6">
          <a:extLst>
            <a:ext uri="{FF2B5EF4-FFF2-40B4-BE49-F238E27FC236}">
              <a16:creationId xmlns:a16="http://schemas.microsoft.com/office/drawing/2014/main" id="{00000000-0008-0000-0100-000007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1306</xdr:row>
      <xdr:rowOff>4141</xdr:rowOff>
    </xdr:from>
    <xdr:to>
      <xdr:col>5</xdr:col>
      <xdr:colOff>351999</xdr:colOff>
      <xdr:row>1308</xdr:row>
      <xdr:rowOff>108915</xdr:rowOff>
    </xdr:to>
    <xdr:sp macro="" textlink="">
      <xdr:nvSpPr>
        <xdr:cNvPr id="8" name="Text Box 6">
          <a:extLst>
            <a:ext uri="{FF2B5EF4-FFF2-40B4-BE49-F238E27FC236}">
              <a16:creationId xmlns:a16="http://schemas.microsoft.com/office/drawing/2014/main" id="{00000000-0008-0000-0100-000008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3</xdr:col>
      <xdr:colOff>450436</xdr:colOff>
      <xdr:row>1299</xdr:row>
      <xdr:rowOff>70816</xdr:rowOff>
    </xdr:from>
    <xdr:to>
      <xdr:col>7</xdr:col>
      <xdr:colOff>155161</xdr:colOff>
      <xdr:row>1302</xdr:row>
      <xdr:rowOff>23190</xdr:rowOff>
    </xdr:to>
    <xdr:sp macro="" textlink="">
      <xdr:nvSpPr>
        <xdr:cNvPr id="9" name="Text Box 6">
          <a:extLst>
            <a:ext uri="{FF2B5EF4-FFF2-40B4-BE49-F238E27FC236}">
              <a16:creationId xmlns:a16="http://schemas.microsoft.com/office/drawing/2014/main" id="{00000000-0008-0000-0100-000009000000}"/>
            </a:ext>
          </a:extLst>
        </xdr:cNvPr>
        <xdr:cNvSpPr txBox="1">
          <a:spLocks noChangeArrowheads="1"/>
        </xdr:cNvSpPr>
      </xdr:nvSpPr>
      <xdr:spPr bwMode="auto">
        <a:xfrm>
          <a:off x="4142961" y="217326541"/>
          <a:ext cx="4010025" cy="438149"/>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1306</xdr:row>
      <xdr:rowOff>4141</xdr:rowOff>
    </xdr:from>
    <xdr:to>
      <xdr:col>5</xdr:col>
      <xdr:colOff>351999</xdr:colOff>
      <xdr:row>1308</xdr:row>
      <xdr:rowOff>108915</xdr:rowOff>
    </xdr:to>
    <xdr:sp macro="" textlink="">
      <xdr:nvSpPr>
        <xdr:cNvPr id="10" name="Text Box 6">
          <a:extLst>
            <a:ext uri="{FF2B5EF4-FFF2-40B4-BE49-F238E27FC236}">
              <a16:creationId xmlns:a16="http://schemas.microsoft.com/office/drawing/2014/main" id="{00000000-0008-0000-0100-00000A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3</xdr:col>
      <xdr:colOff>450436</xdr:colOff>
      <xdr:row>1428</xdr:row>
      <xdr:rowOff>70816</xdr:rowOff>
    </xdr:from>
    <xdr:to>
      <xdr:col>7</xdr:col>
      <xdr:colOff>155161</xdr:colOff>
      <xdr:row>1431</xdr:row>
      <xdr:rowOff>23190</xdr:rowOff>
    </xdr:to>
    <xdr:sp macro="" textlink="">
      <xdr:nvSpPr>
        <xdr:cNvPr id="11" name="Text Box 6">
          <a:extLst>
            <a:ext uri="{FF2B5EF4-FFF2-40B4-BE49-F238E27FC236}">
              <a16:creationId xmlns:a16="http://schemas.microsoft.com/office/drawing/2014/main" id="{00000000-0008-0000-0100-00000B000000}"/>
            </a:ext>
          </a:extLst>
        </xdr:cNvPr>
        <xdr:cNvSpPr txBox="1">
          <a:spLocks noChangeArrowheads="1"/>
        </xdr:cNvSpPr>
      </xdr:nvSpPr>
      <xdr:spPr bwMode="auto">
        <a:xfrm>
          <a:off x="4142961" y="217326541"/>
          <a:ext cx="4010025" cy="438149"/>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1435</xdr:row>
      <xdr:rowOff>4141</xdr:rowOff>
    </xdr:from>
    <xdr:to>
      <xdr:col>5</xdr:col>
      <xdr:colOff>351999</xdr:colOff>
      <xdr:row>1437</xdr:row>
      <xdr:rowOff>108915</xdr:rowOff>
    </xdr:to>
    <xdr:sp macro="" textlink="">
      <xdr:nvSpPr>
        <xdr:cNvPr id="12" name="Text Box 6">
          <a:extLst>
            <a:ext uri="{FF2B5EF4-FFF2-40B4-BE49-F238E27FC236}">
              <a16:creationId xmlns:a16="http://schemas.microsoft.com/office/drawing/2014/main" id="{00000000-0008-0000-0100-00000C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1435</xdr:row>
      <xdr:rowOff>4141</xdr:rowOff>
    </xdr:from>
    <xdr:to>
      <xdr:col>5</xdr:col>
      <xdr:colOff>351999</xdr:colOff>
      <xdr:row>1437</xdr:row>
      <xdr:rowOff>108915</xdr:rowOff>
    </xdr:to>
    <xdr:sp macro="" textlink="">
      <xdr:nvSpPr>
        <xdr:cNvPr id="13" name="Text Box 6">
          <a:extLst>
            <a:ext uri="{FF2B5EF4-FFF2-40B4-BE49-F238E27FC236}">
              <a16:creationId xmlns:a16="http://schemas.microsoft.com/office/drawing/2014/main" id="{00000000-0008-0000-0100-00000D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1435</xdr:row>
      <xdr:rowOff>4141</xdr:rowOff>
    </xdr:from>
    <xdr:to>
      <xdr:col>5</xdr:col>
      <xdr:colOff>351999</xdr:colOff>
      <xdr:row>1437</xdr:row>
      <xdr:rowOff>108915</xdr:rowOff>
    </xdr:to>
    <xdr:sp macro="" textlink="">
      <xdr:nvSpPr>
        <xdr:cNvPr id="14" name="Text Box 6">
          <a:extLst>
            <a:ext uri="{FF2B5EF4-FFF2-40B4-BE49-F238E27FC236}">
              <a16:creationId xmlns:a16="http://schemas.microsoft.com/office/drawing/2014/main" id="{00000000-0008-0000-0100-00000E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3</xdr:col>
      <xdr:colOff>450436</xdr:colOff>
      <xdr:row>1428</xdr:row>
      <xdr:rowOff>70816</xdr:rowOff>
    </xdr:from>
    <xdr:to>
      <xdr:col>7</xdr:col>
      <xdr:colOff>155161</xdr:colOff>
      <xdr:row>1431</xdr:row>
      <xdr:rowOff>23190</xdr:rowOff>
    </xdr:to>
    <xdr:sp macro="" textlink="">
      <xdr:nvSpPr>
        <xdr:cNvPr id="15" name="Text Box 6">
          <a:extLst>
            <a:ext uri="{FF2B5EF4-FFF2-40B4-BE49-F238E27FC236}">
              <a16:creationId xmlns:a16="http://schemas.microsoft.com/office/drawing/2014/main" id="{00000000-0008-0000-0100-00000F000000}"/>
            </a:ext>
          </a:extLst>
        </xdr:cNvPr>
        <xdr:cNvSpPr txBox="1">
          <a:spLocks noChangeArrowheads="1"/>
        </xdr:cNvSpPr>
      </xdr:nvSpPr>
      <xdr:spPr bwMode="auto">
        <a:xfrm>
          <a:off x="4142961" y="217326541"/>
          <a:ext cx="4010025" cy="438149"/>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1435</xdr:row>
      <xdr:rowOff>4141</xdr:rowOff>
    </xdr:from>
    <xdr:to>
      <xdr:col>5</xdr:col>
      <xdr:colOff>351999</xdr:colOff>
      <xdr:row>1437</xdr:row>
      <xdr:rowOff>108915</xdr:rowOff>
    </xdr:to>
    <xdr:sp macro="" textlink="">
      <xdr:nvSpPr>
        <xdr:cNvPr id="16" name="Text Box 6">
          <a:extLst>
            <a:ext uri="{FF2B5EF4-FFF2-40B4-BE49-F238E27FC236}">
              <a16:creationId xmlns:a16="http://schemas.microsoft.com/office/drawing/2014/main" id="{00000000-0008-0000-0100-000010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3</xdr:col>
      <xdr:colOff>450436</xdr:colOff>
      <xdr:row>1428</xdr:row>
      <xdr:rowOff>70816</xdr:rowOff>
    </xdr:from>
    <xdr:to>
      <xdr:col>7</xdr:col>
      <xdr:colOff>155161</xdr:colOff>
      <xdr:row>1431</xdr:row>
      <xdr:rowOff>23190</xdr:rowOff>
    </xdr:to>
    <xdr:sp macro="" textlink="">
      <xdr:nvSpPr>
        <xdr:cNvPr id="17" name="Text Box 6">
          <a:extLst>
            <a:ext uri="{FF2B5EF4-FFF2-40B4-BE49-F238E27FC236}">
              <a16:creationId xmlns:a16="http://schemas.microsoft.com/office/drawing/2014/main" id="{00000000-0008-0000-0100-000011000000}"/>
            </a:ext>
          </a:extLst>
        </xdr:cNvPr>
        <xdr:cNvSpPr txBox="1">
          <a:spLocks noChangeArrowheads="1"/>
        </xdr:cNvSpPr>
      </xdr:nvSpPr>
      <xdr:spPr bwMode="auto">
        <a:xfrm>
          <a:off x="4142961" y="217326541"/>
          <a:ext cx="4010025" cy="438149"/>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1435</xdr:row>
      <xdr:rowOff>4141</xdr:rowOff>
    </xdr:from>
    <xdr:to>
      <xdr:col>5</xdr:col>
      <xdr:colOff>351999</xdr:colOff>
      <xdr:row>1437</xdr:row>
      <xdr:rowOff>108915</xdr:rowOff>
    </xdr:to>
    <xdr:sp macro="" textlink="">
      <xdr:nvSpPr>
        <xdr:cNvPr id="18" name="Text Box 298">
          <a:extLst>
            <a:ext uri="{FF2B5EF4-FFF2-40B4-BE49-F238E27FC236}">
              <a16:creationId xmlns:a16="http://schemas.microsoft.com/office/drawing/2014/main" id="{00000000-0008-0000-0100-000012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1435</xdr:row>
      <xdr:rowOff>4141</xdr:rowOff>
    </xdr:from>
    <xdr:to>
      <xdr:col>5</xdr:col>
      <xdr:colOff>351999</xdr:colOff>
      <xdr:row>1437</xdr:row>
      <xdr:rowOff>108915</xdr:rowOff>
    </xdr:to>
    <xdr:sp macro="" textlink="">
      <xdr:nvSpPr>
        <xdr:cNvPr id="19" name="Text Box 299">
          <a:extLst>
            <a:ext uri="{FF2B5EF4-FFF2-40B4-BE49-F238E27FC236}">
              <a16:creationId xmlns:a16="http://schemas.microsoft.com/office/drawing/2014/main" id="{00000000-0008-0000-0100-000013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1435</xdr:row>
      <xdr:rowOff>4141</xdr:rowOff>
    </xdr:from>
    <xdr:to>
      <xdr:col>5</xdr:col>
      <xdr:colOff>351999</xdr:colOff>
      <xdr:row>1437</xdr:row>
      <xdr:rowOff>108915</xdr:rowOff>
    </xdr:to>
    <xdr:sp macro="" textlink="">
      <xdr:nvSpPr>
        <xdr:cNvPr id="20" name="Text Box 300">
          <a:extLst>
            <a:ext uri="{FF2B5EF4-FFF2-40B4-BE49-F238E27FC236}">
              <a16:creationId xmlns:a16="http://schemas.microsoft.com/office/drawing/2014/main" id="{00000000-0008-0000-0100-000014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3</xdr:col>
      <xdr:colOff>450436</xdr:colOff>
      <xdr:row>1428</xdr:row>
      <xdr:rowOff>70816</xdr:rowOff>
    </xdr:from>
    <xdr:to>
      <xdr:col>7</xdr:col>
      <xdr:colOff>155161</xdr:colOff>
      <xdr:row>1431</xdr:row>
      <xdr:rowOff>23190</xdr:rowOff>
    </xdr:to>
    <xdr:sp macro="" textlink="">
      <xdr:nvSpPr>
        <xdr:cNvPr id="21" name="Text Box 301">
          <a:extLst>
            <a:ext uri="{FF2B5EF4-FFF2-40B4-BE49-F238E27FC236}">
              <a16:creationId xmlns:a16="http://schemas.microsoft.com/office/drawing/2014/main" id="{00000000-0008-0000-0100-000015000000}"/>
            </a:ext>
          </a:extLst>
        </xdr:cNvPr>
        <xdr:cNvSpPr txBox="1">
          <a:spLocks noChangeArrowheads="1"/>
        </xdr:cNvSpPr>
      </xdr:nvSpPr>
      <xdr:spPr bwMode="auto">
        <a:xfrm>
          <a:off x="4142961" y="217326541"/>
          <a:ext cx="4010025" cy="438149"/>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twoCellAnchor>
    <xdr:from>
      <xdr:col>2</xdr:col>
      <xdr:colOff>151986</xdr:colOff>
      <xdr:row>1435</xdr:row>
      <xdr:rowOff>4141</xdr:rowOff>
    </xdr:from>
    <xdr:to>
      <xdr:col>5</xdr:col>
      <xdr:colOff>351999</xdr:colOff>
      <xdr:row>1437</xdr:row>
      <xdr:rowOff>108915</xdr:rowOff>
    </xdr:to>
    <xdr:sp macro="" textlink="">
      <xdr:nvSpPr>
        <xdr:cNvPr id="22" name="Text Box 302">
          <a:extLst>
            <a:ext uri="{FF2B5EF4-FFF2-40B4-BE49-F238E27FC236}">
              <a16:creationId xmlns:a16="http://schemas.microsoft.com/office/drawing/2014/main" id="{00000000-0008-0000-0100-000016000000}"/>
            </a:ext>
          </a:extLst>
        </xdr:cNvPr>
        <xdr:cNvSpPr txBox="1">
          <a:spLocks noChangeArrowheads="1"/>
        </xdr:cNvSpPr>
      </xdr:nvSpPr>
      <xdr:spPr bwMode="auto">
        <a:xfrm>
          <a:off x="1849921" y="218716776"/>
          <a:ext cx="4018307" cy="445605"/>
        </a:xfrm>
        <a:prstGeom prst="rect">
          <a:avLst/>
        </a:prstGeom>
        <a:solidFill>
          <a:srgbClr val="CCFFCC"/>
        </a:solidFill>
        <a:ln w="57150" cmpd="thickThin" algn="ctr">
          <a:solidFill>
            <a:srgbClr val="000000"/>
          </a:solidFill>
          <a:miter lim="800000"/>
          <a:headEnd/>
          <a:tailEnd/>
        </a:ln>
        <a:effectLst/>
      </xdr:spPr>
      <xdr:txBody>
        <a:bodyPr vertOverflow="clip" wrap="square" lIns="27432" tIns="27432" rIns="27432" bIns="27432" anchor="ctr" upright="1"/>
        <a:lstStyle/>
        <a:p>
          <a:pPr algn="ctr" rtl="1">
            <a:defRPr sz="1000"/>
          </a:pPr>
          <a:r>
            <a:rPr lang="vi-VN" sz="1200" b="1" i="0" strike="noStrike">
              <a:solidFill>
                <a:srgbClr val="000000"/>
              </a:solidFill>
              <a:latin typeface="Times New Roman"/>
              <a:cs typeface="Times New Roman"/>
            </a:rPr>
            <a:t>Chi phí NC đường dây có cấp điện áp &lt; 110kV x 0,9</a:t>
          </a:r>
        </a:p>
        <a:p>
          <a:pPr algn="ctr" rtl="1">
            <a:defRPr sz="1000"/>
          </a:pPr>
          <a:r>
            <a:rPr lang="vi-VN" sz="1200" b="1" i="0" strike="noStrike">
              <a:solidFill>
                <a:srgbClr val="000000"/>
              </a:solidFill>
              <a:latin typeface="Times New Roman"/>
              <a:cs typeface="Times New Roman"/>
            </a:rPr>
            <a:t>trang 8 - đơn giá 7606</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57150</xdr:colOff>
      <xdr:row>0</xdr:row>
      <xdr:rowOff>0</xdr:rowOff>
    </xdr:from>
    <xdr:to>
      <xdr:col>2</xdr:col>
      <xdr:colOff>161925</xdr:colOff>
      <xdr:row>0</xdr:row>
      <xdr:rowOff>0</xdr:rowOff>
    </xdr:to>
    <xdr:pic>
      <xdr:nvPicPr>
        <xdr:cNvPr id="139642" name="Picture 2">
          <a:extLst>
            <a:ext uri="{FF2B5EF4-FFF2-40B4-BE49-F238E27FC236}">
              <a16:creationId xmlns:a16="http://schemas.microsoft.com/office/drawing/2014/main" id="{00000000-0008-0000-0200-00007A21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206" b="-29120"/>
        <a:stretch>
          <a:fillRect/>
        </a:stretch>
      </xdr:blipFill>
      <xdr:spPr bwMode="auto">
        <a:xfrm>
          <a:off x="361950" y="0"/>
          <a:ext cx="104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0</xdr:row>
      <xdr:rowOff>0</xdr:rowOff>
    </xdr:from>
    <xdr:to>
      <xdr:col>10</xdr:col>
      <xdr:colOff>0</xdr:colOff>
      <xdr:row>0</xdr:row>
      <xdr:rowOff>0</xdr:rowOff>
    </xdr:to>
    <xdr:sp macro="" textlink="">
      <xdr:nvSpPr>
        <xdr:cNvPr id="32771" name="WordArt 3">
          <a:extLst>
            <a:ext uri="{FF2B5EF4-FFF2-40B4-BE49-F238E27FC236}">
              <a16:creationId xmlns:a16="http://schemas.microsoft.com/office/drawing/2014/main" id="{00000000-0008-0000-0200-000003800000}"/>
            </a:ext>
          </a:extLst>
        </xdr:cNvPr>
        <xdr:cNvSpPr>
          <a:spLocks noChangeArrowheads="1" noChangeShapeType="1"/>
        </xdr:cNvSpPr>
      </xdr:nvSpPr>
      <xdr:spPr bwMode="auto">
        <a:xfrm>
          <a:off x="628650" y="0"/>
          <a:ext cx="971550" cy="0"/>
        </a:xfrm>
        <a:prstGeom prst="rect">
          <a:avLst/>
        </a:prstGeom>
      </xdr:spPr>
      <xdr:txBody>
        <a:bodyPr wrap="none" fromWordArt="1">
          <a:prstTxWarp prst="textPlain">
            <a:avLst>
              <a:gd name="adj" fmla="val 50000"/>
            </a:avLst>
          </a:prstTxWarp>
        </a:bodyPr>
        <a:lstStyle/>
        <a:p>
          <a:pPr algn="ctr" rtl="0"/>
          <a:r>
            <a:rPr lang="en-US" sz="3600" b="1" kern="10" spc="0">
              <a:ln w="9525">
                <a:noFill/>
                <a:round/>
                <a:headEnd/>
                <a:tailEnd/>
              </a:ln>
              <a:solidFill>
                <a:srgbClr val="000000"/>
              </a:solidFill>
              <a:effectLst>
                <a:outerShdw dist="45791" dir="2021404" algn="ctr" rotWithShape="0">
                  <a:srgbClr val="C0C0C0"/>
                </a:outerShdw>
              </a:effectLst>
              <a:latin typeface="Times New Roman"/>
              <a:cs typeface="Times New Roman"/>
            </a:rPr>
            <a:t>THIếT Kế Kỹ THUậT THI CôNG</a:t>
          </a:r>
        </a:p>
      </xdr:txBody>
    </xdr:sp>
    <xdr:clientData/>
  </xdr:twoCellAnchor>
  <xdr:twoCellAnchor>
    <xdr:from>
      <xdr:col>3</xdr:col>
      <xdr:colOff>371475</xdr:colOff>
      <xdr:row>0</xdr:row>
      <xdr:rowOff>0</xdr:rowOff>
    </xdr:from>
    <xdr:to>
      <xdr:col>10</xdr:col>
      <xdr:colOff>0</xdr:colOff>
      <xdr:row>0</xdr:row>
      <xdr:rowOff>0</xdr:rowOff>
    </xdr:to>
    <xdr:sp macro="" textlink="">
      <xdr:nvSpPr>
        <xdr:cNvPr id="32772" name="WordArt 4">
          <a:extLst>
            <a:ext uri="{FF2B5EF4-FFF2-40B4-BE49-F238E27FC236}">
              <a16:creationId xmlns:a16="http://schemas.microsoft.com/office/drawing/2014/main" id="{00000000-0008-0000-0200-000004800000}"/>
            </a:ext>
          </a:extLst>
        </xdr:cNvPr>
        <xdr:cNvSpPr>
          <a:spLocks noChangeArrowheads="1" noChangeShapeType="1"/>
        </xdr:cNvSpPr>
      </xdr:nvSpPr>
      <xdr:spPr bwMode="auto">
        <a:xfrm>
          <a:off x="628650" y="0"/>
          <a:ext cx="971550" cy="0"/>
        </a:xfrm>
        <a:prstGeom prst="rect">
          <a:avLst/>
        </a:prstGeom>
      </xdr:spPr>
      <xdr:txBody>
        <a:bodyPr wrap="none" fromWordArt="1">
          <a:prstTxWarp prst="textPlain">
            <a:avLst>
              <a:gd name="adj" fmla="val 50000"/>
            </a:avLst>
          </a:prstTxWarp>
        </a:bodyPr>
        <a:lstStyle/>
        <a:p>
          <a:pPr algn="ctr" rtl="0"/>
          <a:r>
            <a:rPr lang="en-US" sz="3600" b="1" kern="10" spc="0">
              <a:ln w="9525">
                <a:noFill/>
                <a:round/>
                <a:headEnd/>
                <a:tailEnd/>
              </a:ln>
              <a:solidFill>
                <a:srgbClr val="000000"/>
              </a:solidFill>
              <a:effectLst>
                <a:outerShdw dist="45791" dir="2021404" algn="ctr" rotWithShape="0">
                  <a:srgbClr val="C0C0C0"/>
                </a:outerShdw>
              </a:effectLst>
              <a:latin typeface="Times New Roman"/>
              <a:cs typeface="Times New Roman"/>
            </a:rPr>
            <a:t>THIếT Kế Kỹ THUậT THI CôNG</a:t>
          </a:r>
        </a:p>
      </xdr:txBody>
    </xdr:sp>
    <xdr:clientData/>
  </xdr:twoCellAnchor>
  <xdr:twoCellAnchor>
    <xdr:from>
      <xdr:col>1</xdr:col>
      <xdr:colOff>82550</xdr:colOff>
      <xdr:row>0</xdr:row>
      <xdr:rowOff>0</xdr:rowOff>
    </xdr:from>
    <xdr:to>
      <xdr:col>1</xdr:col>
      <xdr:colOff>158491</xdr:colOff>
      <xdr:row>0</xdr:row>
      <xdr:rowOff>0</xdr:rowOff>
    </xdr:to>
    <xdr:sp macro="" textlink="">
      <xdr:nvSpPr>
        <xdr:cNvPr id="32849" name="Text Box 81">
          <a:extLst>
            <a:ext uri="{FF2B5EF4-FFF2-40B4-BE49-F238E27FC236}">
              <a16:creationId xmlns:a16="http://schemas.microsoft.com/office/drawing/2014/main" id="{00000000-0008-0000-0200-000051800000}"/>
            </a:ext>
          </a:extLst>
        </xdr:cNvPr>
        <xdr:cNvSpPr txBox="1">
          <a:spLocks noChangeArrowheads="1"/>
        </xdr:cNvSpPr>
      </xdr:nvSpPr>
      <xdr:spPr bwMode="auto">
        <a:xfrm>
          <a:off x="228600" y="16973550"/>
          <a:ext cx="7620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22kV</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2852" name="Text Box 84">
          <a:extLst>
            <a:ext uri="{FF2B5EF4-FFF2-40B4-BE49-F238E27FC236}">
              <a16:creationId xmlns:a16="http://schemas.microsoft.com/office/drawing/2014/main" id="{00000000-0008-0000-0200-000054800000}"/>
            </a:ext>
          </a:extLst>
        </xdr:cNvPr>
        <xdr:cNvSpPr txBox="1">
          <a:spLocks noChangeArrowheads="1"/>
        </xdr:cNvSpPr>
      </xdr:nvSpPr>
      <xdr:spPr bwMode="auto">
        <a:xfrm>
          <a:off x="790575" y="16973550"/>
          <a:ext cx="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10m</a:t>
          </a:r>
        </a:p>
      </xdr:txBody>
    </xdr:sp>
    <xdr:clientData/>
  </xdr:twoCellAnchor>
  <xdr:twoCellAnchor>
    <xdr:from>
      <xdr:col>8</xdr:col>
      <xdr:colOff>0</xdr:colOff>
      <xdr:row>0</xdr:row>
      <xdr:rowOff>0</xdr:rowOff>
    </xdr:from>
    <xdr:to>
      <xdr:col>8</xdr:col>
      <xdr:colOff>145593</xdr:colOff>
      <xdr:row>0</xdr:row>
      <xdr:rowOff>0</xdr:rowOff>
    </xdr:to>
    <xdr:sp macro="" textlink="">
      <xdr:nvSpPr>
        <xdr:cNvPr id="32853" name="Text Box 85">
          <a:extLst>
            <a:ext uri="{FF2B5EF4-FFF2-40B4-BE49-F238E27FC236}">
              <a16:creationId xmlns:a16="http://schemas.microsoft.com/office/drawing/2014/main" id="{00000000-0008-0000-0200-000055800000}"/>
            </a:ext>
          </a:extLst>
        </xdr:cNvPr>
        <xdr:cNvSpPr txBox="1">
          <a:spLocks noChangeArrowheads="1"/>
        </xdr:cNvSpPr>
      </xdr:nvSpPr>
      <xdr:spPr bwMode="auto">
        <a:xfrm>
          <a:off x="1276350" y="16973550"/>
          <a:ext cx="14287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0,38kV</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2952" name="Text Box 184">
          <a:extLst>
            <a:ext uri="{FF2B5EF4-FFF2-40B4-BE49-F238E27FC236}">
              <a16:creationId xmlns:a16="http://schemas.microsoft.com/office/drawing/2014/main" id="{00000000-0008-0000-0200-0000B8800000}"/>
            </a:ext>
          </a:extLst>
        </xdr:cNvPr>
        <xdr:cNvSpPr txBox="1">
          <a:spLocks noChangeArrowheads="1"/>
        </xdr:cNvSpPr>
      </xdr:nvSpPr>
      <xdr:spPr bwMode="auto">
        <a:xfrm>
          <a:off x="790575" y="51158775"/>
          <a:ext cx="0" cy="45720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l-GR" sz="1000" b="0" i="0" strike="noStrike">
              <a:solidFill>
                <a:srgbClr val="000000"/>
              </a:solidFill>
              <a:latin typeface="Arial"/>
              <a:cs typeface="Arial"/>
            </a:rPr>
            <a:t>1</a:t>
          </a:r>
        </a:p>
        <a:p>
          <a:pPr algn="ctr" rtl="1">
            <a:defRPr sz="1000"/>
          </a:pPr>
          <a:r>
            <a:rPr lang="el-GR" sz="1000" b="0" i="0" strike="noStrike">
              <a:solidFill>
                <a:srgbClr val="000000"/>
              </a:solidFill>
              <a:latin typeface="Arial"/>
              <a:cs typeface="Arial"/>
            </a:rPr>
            <a:t>2*Π*</a:t>
          </a:r>
          <a:r>
            <a:rPr lang="en-US" sz="1000" b="0" i="0" strike="noStrike">
              <a:solidFill>
                <a:srgbClr val="000000"/>
              </a:solidFill>
              <a:latin typeface="Arial"/>
              <a:cs typeface="Arial"/>
            </a:rPr>
            <a:t>L</a:t>
          </a:r>
        </a:p>
      </xdr:txBody>
    </xdr:sp>
    <xdr:clientData/>
  </xdr:twoCellAnchor>
  <xdr:twoCellAnchor>
    <xdr:from>
      <xdr:col>4</xdr:col>
      <xdr:colOff>200025</xdr:colOff>
      <xdr:row>0</xdr:row>
      <xdr:rowOff>0</xdr:rowOff>
    </xdr:from>
    <xdr:to>
      <xdr:col>4</xdr:col>
      <xdr:colOff>161925</xdr:colOff>
      <xdr:row>0</xdr:row>
      <xdr:rowOff>0</xdr:rowOff>
    </xdr:to>
    <xdr:sp macro="" textlink="">
      <xdr:nvSpPr>
        <xdr:cNvPr id="139649" name="Line 185">
          <a:extLst>
            <a:ext uri="{FF2B5EF4-FFF2-40B4-BE49-F238E27FC236}">
              <a16:creationId xmlns:a16="http://schemas.microsoft.com/office/drawing/2014/main" id="{00000000-0008-0000-0200-000081210200}"/>
            </a:ext>
          </a:extLst>
        </xdr:cNvPr>
        <xdr:cNvSpPr>
          <a:spLocks noChangeShapeType="1"/>
        </xdr:cNvSpPr>
      </xdr:nvSpPr>
      <xdr:spPr bwMode="auto">
        <a:xfrm>
          <a:off x="7905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371475</xdr:colOff>
      <xdr:row>0</xdr:row>
      <xdr:rowOff>0</xdr:rowOff>
    </xdr:from>
    <xdr:to>
      <xdr:col>5</xdr:col>
      <xdr:colOff>161925</xdr:colOff>
      <xdr:row>0</xdr:row>
      <xdr:rowOff>0</xdr:rowOff>
    </xdr:to>
    <xdr:grpSp>
      <xdr:nvGrpSpPr>
        <xdr:cNvPr id="139650" name="Group 187">
          <a:extLst>
            <a:ext uri="{FF2B5EF4-FFF2-40B4-BE49-F238E27FC236}">
              <a16:creationId xmlns:a16="http://schemas.microsoft.com/office/drawing/2014/main" id="{00000000-0008-0000-0200-000082210200}"/>
            </a:ext>
          </a:extLst>
        </xdr:cNvPr>
        <xdr:cNvGrpSpPr>
          <a:grpSpLocks/>
        </xdr:cNvGrpSpPr>
      </xdr:nvGrpSpPr>
      <xdr:grpSpPr bwMode="auto">
        <a:xfrm>
          <a:off x="952500" y="0"/>
          <a:ext cx="0" cy="0"/>
          <a:chOff x="373" y="1124"/>
          <a:chExt cx="22" cy="36"/>
        </a:xfrm>
      </xdr:grpSpPr>
      <xdr:sp macro="" textlink="">
        <xdr:nvSpPr>
          <xdr:cNvPr id="32956" name="Text Box 188">
            <a:extLst>
              <a:ext uri="{FF2B5EF4-FFF2-40B4-BE49-F238E27FC236}">
                <a16:creationId xmlns:a16="http://schemas.microsoft.com/office/drawing/2014/main" id="{00000000-0008-0000-0200-0000BC800000}"/>
              </a:ext>
            </a:extLst>
          </xdr:cNvPr>
          <xdr:cNvSpPr txBox="1">
            <a:spLocks noChangeArrowheads="1"/>
          </xdr:cNvSpPr>
        </xdr:nvSpPr>
        <xdr:spPr bwMode="auto">
          <a:xfrm>
            <a:off x="952500" y="0"/>
            <a:ext cx="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2L</a:t>
            </a:r>
          </a:p>
          <a:p>
            <a:pPr algn="ctr" rtl="1">
              <a:defRPr sz="1000"/>
            </a:pPr>
            <a:r>
              <a:rPr lang="en-US" sz="1000" b="0" i="0" strike="noStrike">
                <a:solidFill>
                  <a:srgbClr val="000000"/>
                </a:solidFill>
                <a:latin typeface="Arial"/>
                <a:cs typeface="Arial"/>
              </a:rPr>
              <a:t>d</a:t>
            </a:r>
          </a:p>
        </xdr:txBody>
      </xdr:sp>
      <xdr:sp macro="" textlink="">
        <xdr:nvSpPr>
          <xdr:cNvPr id="139716" name="Line 189">
            <a:extLst>
              <a:ext uri="{FF2B5EF4-FFF2-40B4-BE49-F238E27FC236}">
                <a16:creationId xmlns:a16="http://schemas.microsoft.com/office/drawing/2014/main" id="{00000000-0008-0000-0200-0000C4210200}"/>
              </a:ext>
            </a:extLst>
          </xdr:cNvPr>
          <xdr:cNvSpPr>
            <a:spLocks noChangeShapeType="1"/>
          </xdr:cNvSpPr>
        </xdr:nvSpPr>
        <xdr:spPr bwMode="auto">
          <a:xfrm>
            <a:off x="375" y="1142"/>
            <a:ext cx="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6</xdr:col>
      <xdr:colOff>0</xdr:colOff>
      <xdr:row>0</xdr:row>
      <xdr:rowOff>0</xdr:rowOff>
    </xdr:from>
    <xdr:to>
      <xdr:col>6</xdr:col>
      <xdr:colOff>9525</xdr:colOff>
      <xdr:row>0</xdr:row>
      <xdr:rowOff>0</xdr:rowOff>
    </xdr:to>
    <xdr:sp macro="" textlink="">
      <xdr:nvSpPr>
        <xdr:cNvPr id="32966" name="Text Box 198">
          <a:extLst>
            <a:ext uri="{FF2B5EF4-FFF2-40B4-BE49-F238E27FC236}">
              <a16:creationId xmlns:a16="http://schemas.microsoft.com/office/drawing/2014/main" id="{00000000-0008-0000-0200-0000C6800000}"/>
            </a:ext>
          </a:extLst>
        </xdr:cNvPr>
        <xdr:cNvSpPr txBox="1">
          <a:spLocks noChangeArrowheads="1"/>
        </xdr:cNvSpPr>
      </xdr:nvSpPr>
      <xdr:spPr bwMode="auto">
        <a:xfrm>
          <a:off x="952500" y="54711600"/>
          <a:ext cx="95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a:t>
          </a:r>
        </a:p>
      </xdr:txBody>
    </xdr:sp>
    <xdr:clientData/>
  </xdr:twoCellAnchor>
  <xdr:twoCellAnchor>
    <xdr:from>
      <xdr:col>7</xdr:col>
      <xdr:colOff>0</xdr:colOff>
      <xdr:row>0</xdr:row>
      <xdr:rowOff>0</xdr:rowOff>
    </xdr:from>
    <xdr:to>
      <xdr:col>7</xdr:col>
      <xdr:colOff>73378</xdr:colOff>
      <xdr:row>0</xdr:row>
      <xdr:rowOff>0</xdr:rowOff>
    </xdr:to>
    <xdr:sp macro="" textlink="">
      <xdr:nvSpPr>
        <xdr:cNvPr id="32968" name="Text Box 200">
          <a:extLst>
            <a:ext uri="{FF2B5EF4-FFF2-40B4-BE49-F238E27FC236}">
              <a16:creationId xmlns:a16="http://schemas.microsoft.com/office/drawing/2014/main" id="{00000000-0008-0000-0200-0000C8800000}"/>
            </a:ext>
          </a:extLst>
        </xdr:cNvPr>
        <xdr:cNvSpPr txBox="1">
          <a:spLocks noChangeArrowheads="1"/>
        </xdr:cNvSpPr>
      </xdr:nvSpPr>
      <xdr:spPr bwMode="auto">
        <a:xfrm>
          <a:off x="1114425" y="54711600"/>
          <a:ext cx="7620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a:t>
          </a:r>
        </a:p>
      </xdr:txBody>
    </xdr:sp>
    <xdr:clientData/>
  </xdr:twoCellAnchor>
  <xdr:twoCellAnchor>
    <xdr:from>
      <xdr:col>7</xdr:col>
      <xdr:colOff>0</xdr:colOff>
      <xdr:row>345</xdr:row>
      <xdr:rowOff>0</xdr:rowOff>
    </xdr:from>
    <xdr:to>
      <xdr:col>8</xdr:col>
      <xdr:colOff>9525</xdr:colOff>
      <xdr:row>345</xdr:row>
      <xdr:rowOff>0</xdr:rowOff>
    </xdr:to>
    <xdr:sp macro="" textlink="">
      <xdr:nvSpPr>
        <xdr:cNvPr id="32969" name="Text Box 201">
          <a:extLst>
            <a:ext uri="{FF2B5EF4-FFF2-40B4-BE49-F238E27FC236}">
              <a16:creationId xmlns:a16="http://schemas.microsoft.com/office/drawing/2014/main" id="{00000000-0008-0000-0200-0000C9800000}"/>
            </a:ext>
          </a:extLst>
        </xdr:cNvPr>
        <xdr:cNvSpPr txBox="1">
          <a:spLocks noChangeArrowheads="1"/>
        </xdr:cNvSpPr>
      </xdr:nvSpPr>
      <xdr:spPr bwMode="auto">
        <a:xfrm>
          <a:off x="1114425" y="127463550"/>
          <a:ext cx="17145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x</a:t>
          </a:r>
          <a:r>
            <a:rPr lang="en-US" sz="1000" b="0" i="0" strike="noStrike" baseline="-25000">
              <a:solidFill>
                <a:srgbClr val="000000"/>
              </a:solidFill>
              <a:latin typeface="Arial"/>
              <a:cs typeface="Arial"/>
            </a:rPr>
            <a:t>0</a:t>
          </a:r>
          <a:r>
            <a:rPr lang="en-US" sz="1000" b="0" i="0" strike="noStrike">
              <a:solidFill>
                <a:srgbClr val="000000"/>
              </a:solidFill>
              <a:latin typeface="Arial"/>
              <a:cs typeface="Arial"/>
            </a:rPr>
            <a:t>x</a:t>
          </a:r>
        </a:p>
      </xdr:txBody>
    </xdr:sp>
    <xdr:clientData/>
  </xdr:twoCellAnchor>
  <xdr:twoCellAnchor>
    <xdr:from>
      <xdr:col>8</xdr:col>
      <xdr:colOff>0</xdr:colOff>
      <xdr:row>345</xdr:row>
      <xdr:rowOff>0</xdr:rowOff>
    </xdr:from>
    <xdr:to>
      <xdr:col>9</xdr:col>
      <xdr:colOff>19050</xdr:colOff>
      <xdr:row>345</xdr:row>
      <xdr:rowOff>0</xdr:rowOff>
    </xdr:to>
    <xdr:sp macro="" textlink="">
      <xdr:nvSpPr>
        <xdr:cNvPr id="32970" name="Text Box 202">
          <a:extLst>
            <a:ext uri="{FF2B5EF4-FFF2-40B4-BE49-F238E27FC236}">
              <a16:creationId xmlns:a16="http://schemas.microsoft.com/office/drawing/2014/main" id="{00000000-0008-0000-0200-0000CA800000}"/>
            </a:ext>
          </a:extLst>
        </xdr:cNvPr>
        <xdr:cNvSpPr txBox="1">
          <a:spLocks noChangeArrowheads="1"/>
        </xdr:cNvSpPr>
      </xdr:nvSpPr>
      <xdr:spPr bwMode="auto">
        <a:xfrm>
          <a:off x="1276350" y="127463550"/>
          <a:ext cx="18097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sin</a:t>
          </a:r>
          <a:r>
            <a:rPr lang="el-GR" sz="1000" b="0" i="0" strike="noStrike">
              <a:solidFill>
                <a:srgbClr val="000000"/>
              </a:solidFill>
              <a:latin typeface="Tahoma"/>
              <a:cs typeface="Tahoma"/>
            </a:rPr>
            <a:t>φ</a:t>
          </a:r>
        </a:p>
      </xdr:txBody>
    </xdr:sp>
    <xdr:clientData/>
  </xdr:twoCellAnchor>
  <xdr:twoCellAnchor>
    <xdr:from>
      <xdr:col>4</xdr:col>
      <xdr:colOff>155575</xdr:colOff>
      <xdr:row>345</xdr:row>
      <xdr:rowOff>0</xdr:rowOff>
    </xdr:from>
    <xdr:to>
      <xdr:col>6</xdr:col>
      <xdr:colOff>161832</xdr:colOff>
      <xdr:row>345</xdr:row>
      <xdr:rowOff>0</xdr:rowOff>
    </xdr:to>
    <xdr:sp macro="" textlink="">
      <xdr:nvSpPr>
        <xdr:cNvPr id="32971" name="Text Box 203">
          <a:extLst>
            <a:ext uri="{FF2B5EF4-FFF2-40B4-BE49-F238E27FC236}">
              <a16:creationId xmlns:a16="http://schemas.microsoft.com/office/drawing/2014/main" id="{00000000-0008-0000-0200-0000CB800000}"/>
            </a:ext>
          </a:extLst>
        </xdr:cNvPr>
        <xdr:cNvSpPr txBox="1">
          <a:spLocks noChangeArrowheads="1"/>
        </xdr:cNvSpPr>
      </xdr:nvSpPr>
      <xdr:spPr bwMode="auto">
        <a:xfrm>
          <a:off x="781050" y="127463550"/>
          <a:ext cx="33337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Symbol"/>
            </a:rPr>
            <a:t>D</a:t>
          </a:r>
          <a:r>
            <a:rPr lang="en-US" sz="1000" b="0" i="0" strike="noStrike">
              <a:solidFill>
                <a:srgbClr val="000000"/>
              </a:solidFill>
              <a:latin typeface="Arial"/>
              <a:cs typeface="Arial"/>
            </a:rPr>
            <a:t>U</a:t>
          </a:r>
          <a:r>
            <a:rPr lang="en-US" sz="1000" b="0" i="0" strike="noStrike" baseline="-25000">
              <a:solidFill>
                <a:srgbClr val="000000"/>
              </a:solidFill>
              <a:latin typeface="Arial"/>
              <a:cs typeface="Arial"/>
            </a:rPr>
            <a:t>cp</a:t>
          </a:r>
          <a:r>
            <a:rPr lang="en-US" sz="1000" b="0" i="0" strike="noStrike">
              <a:solidFill>
                <a:srgbClr val="000000"/>
              </a:solidFill>
              <a:latin typeface="Arial"/>
              <a:cs typeface="Arial"/>
            </a:rPr>
            <a:t>%x10xU</a:t>
          </a:r>
          <a:r>
            <a:rPr lang="en-US" sz="1000" b="0" i="0" strike="noStrike" baseline="30000">
              <a:solidFill>
                <a:srgbClr val="000000"/>
              </a:solidFill>
              <a:latin typeface="Arial"/>
              <a:cs typeface="Arial"/>
            </a:rPr>
            <a:t>2</a:t>
          </a:r>
          <a:r>
            <a:rPr lang="en-US" sz="1000" b="0" i="0" strike="noStrike" baseline="-25000">
              <a:solidFill>
                <a:srgbClr val="000000"/>
              </a:solidFill>
              <a:latin typeface="Arial"/>
              <a:cs typeface="Arial"/>
            </a:rPr>
            <a:t>dm</a:t>
          </a: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S</a:t>
          </a:r>
          <a:r>
            <a:rPr lang="en-US" sz="1000" b="0" i="0" strike="noStrike" baseline="-25000">
              <a:solidFill>
                <a:srgbClr val="000000"/>
              </a:solidFill>
              <a:latin typeface="Arial"/>
              <a:cs typeface="Arial"/>
            </a:rPr>
            <a:t>td</a:t>
          </a:r>
          <a:r>
            <a:rPr lang="en-US" sz="1000" b="0" i="0" strike="noStrike">
              <a:solidFill>
                <a:srgbClr val="000000"/>
              </a:solidFill>
              <a:latin typeface="Arial"/>
              <a:cs typeface="Arial"/>
            </a:rPr>
            <a:t>xl</a:t>
          </a:r>
        </a:p>
      </xdr:txBody>
    </xdr:sp>
    <xdr:clientData/>
  </xdr:twoCellAnchor>
  <xdr:twoCellAnchor>
    <xdr:from>
      <xdr:col>6</xdr:col>
      <xdr:colOff>0</xdr:colOff>
      <xdr:row>345</xdr:row>
      <xdr:rowOff>0</xdr:rowOff>
    </xdr:from>
    <xdr:to>
      <xdr:col>6</xdr:col>
      <xdr:colOff>120015</xdr:colOff>
      <xdr:row>345</xdr:row>
      <xdr:rowOff>0</xdr:rowOff>
    </xdr:to>
    <xdr:sp macro="" textlink="">
      <xdr:nvSpPr>
        <xdr:cNvPr id="32972" name="Text Box 204">
          <a:extLst>
            <a:ext uri="{FF2B5EF4-FFF2-40B4-BE49-F238E27FC236}">
              <a16:creationId xmlns:a16="http://schemas.microsoft.com/office/drawing/2014/main" id="{00000000-0008-0000-0200-0000CC800000}"/>
            </a:ext>
          </a:extLst>
        </xdr:cNvPr>
        <xdr:cNvSpPr txBox="1">
          <a:spLocks noChangeArrowheads="1"/>
        </xdr:cNvSpPr>
      </xdr:nvSpPr>
      <xdr:spPr bwMode="auto">
        <a:xfrm>
          <a:off x="952500" y="127463550"/>
          <a:ext cx="1238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cos</a:t>
          </a:r>
        </a:p>
      </xdr:txBody>
    </xdr:sp>
    <xdr:clientData/>
  </xdr:twoCellAnchor>
  <xdr:twoCellAnchor>
    <xdr:from>
      <xdr:col>4</xdr:col>
      <xdr:colOff>0</xdr:colOff>
      <xdr:row>345</xdr:row>
      <xdr:rowOff>0</xdr:rowOff>
    </xdr:from>
    <xdr:to>
      <xdr:col>5</xdr:col>
      <xdr:colOff>0</xdr:colOff>
      <xdr:row>345</xdr:row>
      <xdr:rowOff>0</xdr:rowOff>
    </xdr:to>
    <xdr:sp macro="" textlink="">
      <xdr:nvSpPr>
        <xdr:cNvPr id="32973" name="Text Box 205">
          <a:extLst>
            <a:ext uri="{FF2B5EF4-FFF2-40B4-BE49-F238E27FC236}">
              <a16:creationId xmlns:a16="http://schemas.microsoft.com/office/drawing/2014/main" id="{00000000-0008-0000-0200-0000CD800000}"/>
            </a:ext>
          </a:extLst>
        </xdr:cNvPr>
        <xdr:cNvSpPr txBox="1">
          <a:spLocks noChangeArrowheads="1"/>
        </xdr:cNvSpPr>
      </xdr:nvSpPr>
      <xdr:spPr bwMode="auto">
        <a:xfrm>
          <a:off x="628650" y="127463550"/>
          <a:ext cx="1619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r</a:t>
          </a:r>
          <a:r>
            <a:rPr lang="en-US" sz="1000" b="0" i="0" strike="noStrike" baseline="-25000">
              <a:solidFill>
                <a:srgbClr val="000000"/>
              </a:solidFill>
              <a:latin typeface="Arial"/>
              <a:cs typeface="Arial"/>
            </a:rPr>
            <a:t>0 =</a:t>
          </a:r>
        </a:p>
      </xdr:txBody>
    </xdr:sp>
    <xdr:clientData/>
  </xdr:twoCellAnchor>
  <xdr:twoCellAnchor>
    <xdr:from>
      <xdr:col>8</xdr:col>
      <xdr:colOff>120650</xdr:colOff>
      <xdr:row>345</xdr:row>
      <xdr:rowOff>0</xdr:rowOff>
    </xdr:from>
    <xdr:to>
      <xdr:col>8</xdr:col>
      <xdr:colOff>158221</xdr:colOff>
      <xdr:row>345</xdr:row>
      <xdr:rowOff>0</xdr:rowOff>
    </xdr:to>
    <xdr:sp macro="" textlink="">
      <xdr:nvSpPr>
        <xdr:cNvPr id="32974" name="Text Box 206">
          <a:extLst>
            <a:ext uri="{FF2B5EF4-FFF2-40B4-BE49-F238E27FC236}">
              <a16:creationId xmlns:a16="http://schemas.microsoft.com/office/drawing/2014/main" id="{00000000-0008-0000-0200-0000CE800000}"/>
            </a:ext>
          </a:extLst>
        </xdr:cNvPr>
        <xdr:cNvSpPr txBox="1">
          <a:spLocks noChangeArrowheads="1"/>
        </xdr:cNvSpPr>
      </xdr:nvSpPr>
      <xdr:spPr bwMode="auto">
        <a:xfrm>
          <a:off x="1400175" y="127463550"/>
          <a:ext cx="3810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t>
          </a:r>
        </a:p>
      </xdr:txBody>
    </xdr:sp>
    <xdr:clientData/>
  </xdr:twoCellAnchor>
  <xdr:twoCellAnchor>
    <xdr:from>
      <xdr:col>7</xdr:col>
      <xdr:colOff>0</xdr:colOff>
      <xdr:row>345</xdr:row>
      <xdr:rowOff>0</xdr:rowOff>
    </xdr:from>
    <xdr:to>
      <xdr:col>8</xdr:col>
      <xdr:colOff>9525</xdr:colOff>
      <xdr:row>345</xdr:row>
      <xdr:rowOff>0</xdr:rowOff>
    </xdr:to>
    <xdr:sp macro="" textlink="">
      <xdr:nvSpPr>
        <xdr:cNvPr id="32975" name="Text Box 207">
          <a:extLst>
            <a:ext uri="{FF2B5EF4-FFF2-40B4-BE49-F238E27FC236}">
              <a16:creationId xmlns:a16="http://schemas.microsoft.com/office/drawing/2014/main" id="{00000000-0008-0000-0200-0000CF800000}"/>
            </a:ext>
          </a:extLst>
        </xdr:cNvPr>
        <xdr:cNvSpPr txBox="1">
          <a:spLocks noChangeArrowheads="1"/>
        </xdr:cNvSpPr>
      </xdr:nvSpPr>
      <xdr:spPr bwMode="auto">
        <a:xfrm>
          <a:off x="1114425" y="127463550"/>
          <a:ext cx="17145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x</a:t>
          </a:r>
          <a:r>
            <a:rPr lang="en-US" sz="1000" b="0" i="0" strike="noStrike" baseline="-25000">
              <a:solidFill>
                <a:srgbClr val="000000"/>
              </a:solidFill>
              <a:latin typeface="Arial"/>
              <a:cs typeface="Arial"/>
            </a:rPr>
            <a:t>0</a:t>
          </a:r>
          <a:r>
            <a:rPr lang="en-US" sz="1000" b="0" i="0" strike="noStrike">
              <a:solidFill>
                <a:srgbClr val="000000"/>
              </a:solidFill>
              <a:latin typeface="Arial"/>
              <a:cs typeface="Arial"/>
            </a:rPr>
            <a:t>x</a:t>
          </a:r>
        </a:p>
      </xdr:txBody>
    </xdr:sp>
    <xdr:clientData/>
  </xdr:twoCellAnchor>
  <xdr:twoCellAnchor>
    <xdr:from>
      <xdr:col>8</xdr:col>
      <xdr:colOff>0</xdr:colOff>
      <xdr:row>345</xdr:row>
      <xdr:rowOff>0</xdr:rowOff>
    </xdr:from>
    <xdr:to>
      <xdr:col>9</xdr:col>
      <xdr:colOff>19050</xdr:colOff>
      <xdr:row>345</xdr:row>
      <xdr:rowOff>0</xdr:rowOff>
    </xdr:to>
    <xdr:sp macro="" textlink="">
      <xdr:nvSpPr>
        <xdr:cNvPr id="32976" name="Text Box 208">
          <a:extLst>
            <a:ext uri="{FF2B5EF4-FFF2-40B4-BE49-F238E27FC236}">
              <a16:creationId xmlns:a16="http://schemas.microsoft.com/office/drawing/2014/main" id="{00000000-0008-0000-0200-0000D0800000}"/>
            </a:ext>
          </a:extLst>
        </xdr:cNvPr>
        <xdr:cNvSpPr txBox="1">
          <a:spLocks noChangeArrowheads="1"/>
        </xdr:cNvSpPr>
      </xdr:nvSpPr>
      <xdr:spPr bwMode="auto">
        <a:xfrm>
          <a:off x="1276350" y="127463550"/>
          <a:ext cx="18097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sin</a:t>
          </a:r>
          <a:r>
            <a:rPr lang="el-GR" sz="1000" b="0" i="0" strike="noStrike">
              <a:solidFill>
                <a:srgbClr val="000000"/>
              </a:solidFill>
              <a:latin typeface="Tahoma"/>
              <a:cs typeface="Tahoma"/>
            </a:rPr>
            <a:t>φ</a:t>
          </a:r>
        </a:p>
      </xdr:txBody>
    </xdr:sp>
    <xdr:clientData/>
  </xdr:twoCellAnchor>
  <xdr:twoCellAnchor>
    <xdr:from>
      <xdr:col>4</xdr:col>
      <xdr:colOff>155575</xdr:colOff>
      <xdr:row>345</xdr:row>
      <xdr:rowOff>0</xdr:rowOff>
    </xdr:from>
    <xdr:to>
      <xdr:col>6</xdr:col>
      <xdr:colOff>161832</xdr:colOff>
      <xdr:row>345</xdr:row>
      <xdr:rowOff>0</xdr:rowOff>
    </xdr:to>
    <xdr:sp macro="" textlink="">
      <xdr:nvSpPr>
        <xdr:cNvPr id="32977" name="Text Box 209">
          <a:extLst>
            <a:ext uri="{FF2B5EF4-FFF2-40B4-BE49-F238E27FC236}">
              <a16:creationId xmlns:a16="http://schemas.microsoft.com/office/drawing/2014/main" id="{00000000-0008-0000-0200-0000D1800000}"/>
            </a:ext>
          </a:extLst>
        </xdr:cNvPr>
        <xdr:cNvSpPr txBox="1">
          <a:spLocks noChangeArrowheads="1"/>
        </xdr:cNvSpPr>
      </xdr:nvSpPr>
      <xdr:spPr bwMode="auto">
        <a:xfrm>
          <a:off x="781050" y="127463550"/>
          <a:ext cx="33337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Symbol"/>
            </a:rPr>
            <a:t>D</a:t>
          </a:r>
          <a:r>
            <a:rPr lang="en-US" sz="1000" b="0" i="0" strike="noStrike">
              <a:solidFill>
                <a:srgbClr val="000000"/>
              </a:solidFill>
              <a:latin typeface="Arial"/>
              <a:cs typeface="Arial"/>
            </a:rPr>
            <a:t>U</a:t>
          </a:r>
          <a:r>
            <a:rPr lang="en-US" sz="1000" b="0" i="0" strike="noStrike" baseline="-25000">
              <a:solidFill>
                <a:srgbClr val="000000"/>
              </a:solidFill>
              <a:latin typeface="Arial"/>
              <a:cs typeface="Arial"/>
            </a:rPr>
            <a:t>cp</a:t>
          </a:r>
          <a:r>
            <a:rPr lang="en-US" sz="1000" b="0" i="0" strike="noStrike">
              <a:solidFill>
                <a:srgbClr val="000000"/>
              </a:solidFill>
              <a:latin typeface="Arial"/>
              <a:cs typeface="Arial"/>
            </a:rPr>
            <a:t>%x10xU</a:t>
          </a:r>
          <a:r>
            <a:rPr lang="en-US" sz="1000" b="0" i="0" strike="noStrike" baseline="30000">
              <a:solidFill>
                <a:srgbClr val="000000"/>
              </a:solidFill>
              <a:latin typeface="Arial"/>
              <a:cs typeface="Arial"/>
            </a:rPr>
            <a:t>2</a:t>
          </a:r>
          <a:r>
            <a:rPr lang="en-US" sz="1000" b="0" i="0" strike="noStrike" baseline="-25000">
              <a:solidFill>
                <a:srgbClr val="000000"/>
              </a:solidFill>
              <a:latin typeface="Arial"/>
              <a:cs typeface="Arial"/>
            </a:rPr>
            <a:t>dm</a:t>
          </a: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S</a:t>
          </a:r>
          <a:r>
            <a:rPr lang="en-US" sz="1000" b="0" i="0" strike="noStrike" baseline="-25000">
              <a:solidFill>
                <a:srgbClr val="000000"/>
              </a:solidFill>
              <a:latin typeface="Arial"/>
              <a:cs typeface="Arial"/>
            </a:rPr>
            <a:t>td</a:t>
          </a:r>
          <a:r>
            <a:rPr lang="en-US" sz="1000" b="0" i="0" strike="noStrike">
              <a:solidFill>
                <a:srgbClr val="000000"/>
              </a:solidFill>
              <a:latin typeface="Arial"/>
              <a:cs typeface="Arial"/>
            </a:rPr>
            <a:t>xl</a:t>
          </a:r>
        </a:p>
      </xdr:txBody>
    </xdr:sp>
    <xdr:clientData/>
  </xdr:twoCellAnchor>
  <xdr:twoCellAnchor>
    <xdr:from>
      <xdr:col>6</xdr:col>
      <xdr:colOff>0</xdr:colOff>
      <xdr:row>345</xdr:row>
      <xdr:rowOff>0</xdr:rowOff>
    </xdr:from>
    <xdr:to>
      <xdr:col>6</xdr:col>
      <xdr:colOff>120015</xdr:colOff>
      <xdr:row>345</xdr:row>
      <xdr:rowOff>0</xdr:rowOff>
    </xdr:to>
    <xdr:sp macro="" textlink="">
      <xdr:nvSpPr>
        <xdr:cNvPr id="32980" name="Text Box 212">
          <a:extLst>
            <a:ext uri="{FF2B5EF4-FFF2-40B4-BE49-F238E27FC236}">
              <a16:creationId xmlns:a16="http://schemas.microsoft.com/office/drawing/2014/main" id="{00000000-0008-0000-0200-0000D4800000}"/>
            </a:ext>
          </a:extLst>
        </xdr:cNvPr>
        <xdr:cNvSpPr txBox="1">
          <a:spLocks noChangeArrowheads="1"/>
        </xdr:cNvSpPr>
      </xdr:nvSpPr>
      <xdr:spPr bwMode="auto">
        <a:xfrm>
          <a:off x="952500" y="127463550"/>
          <a:ext cx="1238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cos</a:t>
          </a:r>
          <a:r>
            <a:rPr lang="el-GR" sz="1000" b="0" i="0" strike="noStrike">
              <a:solidFill>
                <a:srgbClr val="000000"/>
              </a:solidFill>
              <a:latin typeface="Tahoma"/>
              <a:cs typeface="Tahoma"/>
            </a:rPr>
            <a:t>φ</a:t>
          </a:r>
        </a:p>
      </xdr:txBody>
    </xdr:sp>
    <xdr:clientData/>
  </xdr:twoCellAnchor>
  <xdr:twoCellAnchor>
    <xdr:from>
      <xdr:col>4</xdr:col>
      <xdr:colOff>0</xdr:colOff>
      <xdr:row>345</xdr:row>
      <xdr:rowOff>0</xdr:rowOff>
    </xdr:from>
    <xdr:to>
      <xdr:col>5</xdr:col>
      <xdr:colOff>0</xdr:colOff>
      <xdr:row>345</xdr:row>
      <xdr:rowOff>0</xdr:rowOff>
    </xdr:to>
    <xdr:sp macro="" textlink="">
      <xdr:nvSpPr>
        <xdr:cNvPr id="32981" name="Text Box 213">
          <a:extLst>
            <a:ext uri="{FF2B5EF4-FFF2-40B4-BE49-F238E27FC236}">
              <a16:creationId xmlns:a16="http://schemas.microsoft.com/office/drawing/2014/main" id="{00000000-0008-0000-0200-0000D5800000}"/>
            </a:ext>
          </a:extLst>
        </xdr:cNvPr>
        <xdr:cNvSpPr txBox="1">
          <a:spLocks noChangeArrowheads="1"/>
        </xdr:cNvSpPr>
      </xdr:nvSpPr>
      <xdr:spPr bwMode="auto">
        <a:xfrm>
          <a:off x="628650" y="127463550"/>
          <a:ext cx="1619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r</a:t>
          </a:r>
          <a:r>
            <a:rPr lang="en-US" sz="1000" b="0" i="0" strike="noStrike" baseline="-25000">
              <a:solidFill>
                <a:srgbClr val="000000"/>
              </a:solidFill>
              <a:latin typeface="Arial"/>
              <a:cs typeface="Arial"/>
            </a:rPr>
            <a:t>0 =</a:t>
          </a:r>
        </a:p>
      </xdr:txBody>
    </xdr:sp>
    <xdr:clientData/>
  </xdr:twoCellAnchor>
  <xdr:twoCellAnchor>
    <xdr:from>
      <xdr:col>8</xdr:col>
      <xdr:colOff>120650</xdr:colOff>
      <xdr:row>345</xdr:row>
      <xdr:rowOff>0</xdr:rowOff>
    </xdr:from>
    <xdr:to>
      <xdr:col>8</xdr:col>
      <xdr:colOff>158221</xdr:colOff>
      <xdr:row>345</xdr:row>
      <xdr:rowOff>0</xdr:rowOff>
    </xdr:to>
    <xdr:sp macro="" textlink="">
      <xdr:nvSpPr>
        <xdr:cNvPr id="32982" name="Text Box 214">
          <a:extLst>
            <a:ext uri="{FF2B5EF4-FFF2-40B4-BE49-F238E27FC236}">
              <a16:creationId xmlns:a16="http://schemas.microsoft.com/office/drawing/2014/main" id="{00000000-0008-0000-0200-0000D6800000}"/>
            </a:ext>
          </a:extLst>
        </xdr:cNvPr>
        <xdr:cNvSpPr txBox="1">
          <a:spLocks noChangeArrowheads="1"/>
        </xdr:cNvSpPr>
      </xdr:nvSpPr>
      <xdr:spPr bwMode="auto">
        <a:xfrm>
          <a:off x="1400175" y="127463550"/>
          <a:ext cx="3810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t>
          </a:r>
        </a:p>
      </xdr:txBody>
    </xdr:sp>
    <xdr:clientData/>
  </xdr:twoCellAnchor>
  <xdr:twoCellAnchor>
    <xdr:from>
      <xdr:col>4</xdr:col>
      <xdr:colOff>0</xdr:colOff>
      <xdr:row>345</xdr:row>
      <xdr:rowOff>0</xdr:rowOff>
    </xdr:from>
    <xdr:to>
      <xdr:col>8</xdr:col>
      <xdr:colOff>0</xdr:colOff>
      <xdr:row>345</xdr:row>
      <xdr:rowOff>0</xdr:rowOff>
    </xdr:to>
    <xdr:sp macro="" textlink="">
      <xdr:nvSpPr>
        <xdr:cNvPr id="32990" name="Text Box 222">
          <a:extLst>
            <a:ext uri="{FF2B5EF4-FFF2-40B4-BE49-F238E27FC236}">
              <a16:creationId xmlns:a16="http://schemas.microsoft.com/office/drawing/2014/main" id="{00000000-0008-0000-0200-0000DE800000}"/>
            </a:ext>
          </a:extLst>
        </xdr:cNvPr>
        <xdr:cNvSpPr txBox="1">
          <a:spLocks noChangeArrowheads="1"/>
        </xdr:cNvSpPr>
      </xdr:nvSpPr>
      <xdr:spPr bwMode="auto">
        <a:xfrm>
          <a:off x="628650" y="127463550"/>
          <a:ext cx="64770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r</a:t>
          </a:r>
          <a:r>
            <a:rPr lang="en-US" sz="1000" b="0" i="0" strike="noStrike" baseline="-25000">
              <a:solidFill>
                <a:srgbClr val="000000"/>
              </a:solidFill>
              <a:latin typeface="Arial"/>
              <a:cs typeface="Arial"/>
            </a:rPr>
            <a:t>0</a:t>
          </a:r>
          <a:r>
            <a:rPr lang="en-US" sz="1000" b="0" i="0" strike="noStrike">
              <a:solidFill>
                <a:srgbClr val="000000"/>
              </a:solidFill>
              <a:latin typeface="Arial"/>
              <a:cs typeface="Arial"/>
            </a:rPr>
            <a:t>*cos + x</a:t>
          </a:r>
          <a:r>
            <a:rPr lang="en-US" sz="1000" b="0" i="0" strike="noStrike" baseline="-25000">
              <a:solidFill>
                <a:srgbClr val="000000"/>
              </a:solidFill>
              <a:latin typeface="Arial"/>
              <a:cs typeface="Arial"/>
            </a:rPr>
            <a:t>0</a:t>
          </a:r>
          <a:r>
            <a:rPr lang="en-US" sz="1000" b="0" i="0" strike="noStrike">
              <a:solidFill>
                <a:srgbClr val="000000"/>
              </a:solidFill>
              <a:latin typeface="Arial"/>
              <a:cs typeface="Arial"/>
            </a:rPr>
            <a:t>*sin</a:t>
          </a:r>
        </a:p>
        <a:p>
          <a:pPr algn="ctr" rtl="1">
            <a:defRPr sz="1000"/>
          </a:pPr>
          <a:r>
            <a:rPr lang="en-US" sz="1000" b="0" i="0" strike="noStrike">
              <a:solidFill>
                <a:srgbClr val="000000"/>
              </a:solidFill>
              <a:latin typeface="Arial"/>
              <a:cs typeface="Arial"/>
            </a:rPr>
            <a:t>U</a:t>
          </a:r>
          <a:r>
            <a:rPr lang="en-US" sz="1000" b="0" i="0" strike="noStrike" baseline="30000">
              <a:solidFill>
                <a:srgbClr val="000000"/>
              </a:solidFill>
              <a:latin typeface="Arial"/>
              <a:cs typeface="Arial"/>
            </a:rPr>
            <a:t>2</a:t>
          </a:r>
          <a:r>
            <a:rPr lang="en-US" sz="1000" b="0" i="0" strike="noStrike" baseline="-25000">
              <a:solidFill>
                <a:srgbClr val="000000"/>
              </a:solidFill>
              <a:latin typeface="Arial"/>
              <a:cs typeface="Arial"/>
            </a:rPr>
            <a:t>dm</a:t>
          </a:r>
          <a:r>
            <a:rPr lang="en-US" sz="1000" b="0" i="0" strike="noStrike">
              <a:solidFill>
                <a:srgbClr val="000000"/>
              </a:solidFill>
              <a:latin typeface="Arial"/>
              <a:cs typeface="Arial"/>
            </a:rPr>
            <a:t>*1000</a:t>
          </a:r>
        </a:p>
        <a:p>
          <a:pPr algn="ctr" rtl="1">
            <a:defRPr sz="1000"/>
          </a:pPr>
          <a:r>
            <a:rPr lang="en-US" sz="1000" b="0" i="0" strike="noStrike">
              <a:solidFill>
                <a:srgbClr val="000000"/>
              </a:solidFill>
              <a:latin typeface="Arial"/>
              <a:cs typeface="Arial"/>
            </a:rPr>
            <a:t>S</a:t>
          </a:r>
          <a:r>
            <a:rPr lang="en-US" sz="1000" b="0" i="0" strike="noStrike" baseline="-25000">
              <a:solidFill>
                <a:srgbClr val="000000"/>
              </a:solidFill>
              <a:latin typeface="Arial"/>
              <a:cs typeface="Arial"/>
            </a:rPr>
            <a:t>td</a:t>
          </a:r>
          <a:r>
            <a:rPr lang="en-US" sz="1000" b="0" i="0" strike="noStrike">
              <a:solidFill>
                <a:srgbClr val="000000"/>
              </a:solidFill>
              <a:latin typeface="Arial"/>
              <a:cs typeface="Arial"/>
            </a:rPr>
            <a:t>*l</a:t>
          </a:r>
        </a:p>
      </xdr:txBody>
    </xdr:sp>
    <xdr:clientData/>
  </xdr:twoCellAnchor>
  <xdr:twoCellAnchor>
    <xdr:from>
      <xdr:col>4</xdr:col>
      <xdr:colOff>0</xdr:colOff>
      <xdr:row>345</xdr:row>
      <xdr:rowOff>0</xdr:rowOff>
    </xdr:from>
    <xdr:to>
      <xdr:col>5</xdr:col>
      <xdr:colOff>0</xdr:colOff>
      <xdr:row>345</xdr:row>
      <xdr:rowOff>0</xdr:rowOff>
    </xdr:to>
    <xdr:sp macro="" textlink="">
      <xdr:nvSpPr>
        <xdr:cNvPr id="32992" name="Text Box 224">
          <a:extLst>
            <a:ext uri="{FF2B5EF4-FFF2-40B4-BE49-F238E27FC236}">
              <a16:creationId xmlns:a16="http://schemas.microsoft.com/office/drawing/2014/main" id="{00000000-0008-0000-0200-0000E0800000}"/>
            </a:ext>
          </a:extLst>
        </xdr:cNvPr>
        <xdr:cNvSpPr txBox="1">
          <a:spLocks noChangeArrowheads="1"/>
        </xdr:cNvSpPr>
      </xdr:nvSpPr>
      <xdr:spPr bwMode="auto">
        <a:xfrm>
          <a:off x="628650" y="127463550"/>
          <a:ext cx="1619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K%</a:t>
          </a:r>
          <a:r>
            <a:rPr lang="en-US" sz="1000" b="0" i="0" strike="noStrike" baseline="-25000">
              <a:solidFill>
                <a:srgbClr val="000000"/>
              </a:solidFill>
              <a:latin typeface="Arial"/>
              <a:cs typeface="Arial"/>
            </a:rPr>
            <a:t> =</a:t>
          </a:r>
        </a:p>
      </xdr:txBody>
    </xdr:sp>
    <xdr:clientData/>
  </xdr:twoCellAnchor>
  <xdr:twoCellAnchor>
    <xdr:from>
      <xdr:col>7</xdr:col>
      <xdr:colOff>0</xdr:colOff>
      <xdr:row>345</xdr:row>
      <xdr:rowOff>0</xdr:rowOff>
    </xdr:from>
    <xdr:to>
      <xdr:col>9</xdr:col>
      <xdr:colOff>0</xdr:colOff>
      <xdr:row>345</xdr:row>
      <xdr:rowOff>0</xdr:rowOff>
    </xdr:to>
    <xdr:sp macro="" textlink="">
      <xdr:nvSpPr>
        <xdr:cNvPr id="32993" name="Text Box 225">
          <a:extLst>
            <a:ext uri="{FF2B5EF4-FFF2-40B4-BE49-F238E27FC236}">
              <a16:creationId xmlns:a16="http://schemas.microsoft.com/office/drawing/2014/main" id="{00000000-0008-0000-0200-0000E1800000}"/>
            </a:ext>
          </a:extLst>
        </xdr:cNvPr>
        <xdr:cNvSpPr txBox="1">
          <a:spLocks noChangeArrowheads="1"/>
        </xdr:cNvSpPr>
      </xdr:nvSpPr>
      <xdr:spPr bwMode="auto">
        <a:xfrm>
          <a:off x="1114425" y="127463550"/>
          <a:ext cx="32385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100% =</a:t>
          </a:r>
        </a:p>
      </xdr:txBody>
    </xdr:sp>
    <xdr:clientData/>
  </xdr:twoCellAnchor>
  <xdr:twoCellAnchor>
    <xdr:from>
      <xdr:col>4</xdr:col>
      <xdr:colOff>0</xdr:colOff>
      <xdr:row>345</xdr:row>
      <xdr:rowOff>0</xdr:rowOff>
    </xdr:from>
    <xdr:to>
      <xdr:col>7</xdr:col>
      <xdr:colOff>0</xdr:colOff>
      <xdr:row>345</xdr:row>
      <xdr:rowOff>0</xdr:rowOff>
    </xdr:to>
    <xdr:sp macro="" textlink="">
      <xdr:nvSpPr>
        <xdr:cNvPr id="32994" name="Text Box 226">
          <a:extLst>
            <a:ext uri="{FF2B5EF4-FFF2-40B4-BE49-F238E27FC236}">
              <a16:creationId xmlns:a16="http://schemas.microsoft.com/office/drawing/2014/main" id="{00000000-0008-0000-0200-0000E2800000}"/>
            </a:ext>
          </a:extLst>
        </xdr:cNvPr>
        <xdr:cNvSpPr txBox="1">
          <a:spLocks noChangeArrowheads="1"/>
        </xdr:cNvSpPr>
      </xdr:nvSpPr>
      <xdr:spPr bwMode="auto">
        <a:xfrm>
          <a:off x="628650" y="127463550"/>
          <a:ext cx="48577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                              =</a:t>
          </a:r>
        </a:p>
      </xdr:txBody>
    </xdr:sp>
    <xdr:clientData/>
  </xdr:twoCellAnchor>
  <xdr:twoCellAnchor>
    <xdr:from>
      <xdr:col>4</xdr:col>
      <xdr:colOff>0</xdr:colOff>
      <xdr:row>345</xdr:row>
      <xdr:rowOff>0</xdr:rowOff>
    </xdr:from>
    <xdr:to>
      <xdr:col>5</xdr:col>
      <xdr:colOff>0</xdr:colOff>
      <xdr:row>345</xdr:row>
      <xdr:rowOff>0</xdr:rowOff>
    </xdr:to>
    <xdr:sp macro="" textlink="">
      <xdr:nvSpPr>
        <xdr:cNvPr id="32995" name="Text Box 227">
          <a:extLst>
            <a:ext uri="{FF2B5EF4-FFF2-40B4-BE49-F238E27FC236}">
              <a16:creationId xmlns:a16="http://schemas.microsoft.com/office/drawing/2014/main" id="{00000000-0008-0000-0200-0000E3800000}"/>
            </a:ext>
          </a:extLst>
        </xdr:cNvPr>
        <xdr:cNvSpPr txBox="1">
          <a:spLocks noChangeArrowheads="1"/>
        </xdr:cNvSpPr>
      </xdr:nvSpPr>
      <xdr:spPr bwMode="auto">
        <a:xfrm>
          <a:off x="628650" y="127463550"/>
          <a:ext cx="1619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∆U%</a:t>
          </a:r>
          <a:r>
            <a:rPr lang="en-US" sz="1000" b="0" i="0" strike="noStrike" baseline="-25000">
              <a:solidFill>
                <a:srgbClr val="000000"/>
              </a:solidFill>
              <a:latin typeface="Arial"/>
              <a:cs typeface="Arial"/>
            </a:rPr>
            <a:t> </a:t>
          </a:r>
        </a:p>
      </xdr:txBody>
    </xdr:sp>
    <xdr:clientData/>
  </xdr:twoCellAnchor>
  <xdr:twoCellAnchor>
    <xdr:from>
      <xdr:col>5</xdr:col>
      <xdr:colOff>0</xdr:colOff>
      <xdr:row>345</xdr:row>
      <xdr:rowOff>0</xdr:rowOff>
    </xdr:from>
    <xdr:to>
      <xdr:col>7</xdr:col>
      <xdr:colOff>0</xdr:colOff>
      <xdr:row>345</xdr:row>
      <xdr:rowOff>0</xdr:rowOff>
    </xdr:to>
    <xdr:sp macro="" textlink="">
      <xdr:nvSpPr>
        <xdr:cNvPr id="32996" name="Text Box 228">
          <a:extLst>
            <a:ext uri="{FF2B5EF4-FFF2-40B4-BE49-F238E27FC236}">
              <a16:creationId xmlns:a16="http://schemas.microsoft.com/office/drawing/2014/main" id="{00000000-0008-0000-0200-0000E4800000}"/>
            </a:ext>
          </a:extLst>
        </xdr:cNvPr>
        <xdr:cNvSpPr txBox="1">
          <a:spLocks noChangeArrowheads="1"/>
        </xdr:cNvSpPr>
      </xdr:nvSpPr>
      <xdr:spPr bwMode="auto">
        <a:xfrm>
          <a:off x="790575" y="127463550"/>
          <a:ext cx="323850" cy="0"/>
        </a:xfrm>
        <a:prstGeom prst="rect">
          <a:avLst/>
        </a:prstGeom>
        <a:noFill/>
        <a:ln w="9525">
          <a:noFill/>
          <a:miter lim="800000"/>
          <a:headEnd/>
          <a:tailEnd/>
        </a:ln>
      </xdr:spPr>
      <xdr:txBody>
        <a:bodyPr vertOverflow="clip" wrap="square" lIns="27432" tIns="22860" rIns="0" bIns="0" anchor="t" upright="1"/>
        <a:lstStyle/>
        <a:p>
          <a:pPr algn="l" rtl="1">
            <a:defRPr sz="1000"/>
          </a:pPr>
          <a:r>
            <a:rPr lang="vi-VN" sz="1000" b="0" i="0" strike="noStrike">
              <a:solidFill>
                <a:srgbClr val="000000"/>
              </a:solidFill>
              <a:latin typeface="Arial"/>
              <a:cs typeface="Arial"/>
            </a:rPr>
            <a:t>P*R + Q*X</a:t>
          </a:r>
        </a:p>
        <a:p>
          <a:pPr algn="l" rtl="1">
            <a:defRPr sz="1000"/>
          </a:pPr>
          <a:r>
            <a:rPr lang="vi-VN" sz="1000" b="0" i="0" strike="noStrike">
              <a:solidFill>
                <a:srgbClr val="000000"/>
              </a:solidFill>
              <a:latin typeface="Arial"/>
              <a:cs typeface="Arial"/>
            </a:rPr>
            <a:t>U</a:t>
          </a:r>
          <a:r>
            <a:rPr lang="vi-VN" sz="1000" b="0" i="0" strike="noStrike" baseline="30000">
              <a:solidFill>
                <a:srgbClr val="000000"/>
              </a:solidFill>
              <a:latin typeface="Arial"/>
              <a:cs typeface="Arial"/>
            </a:rPr>
            <a:t>2</a:t>
          </a:r>
          <a:r>
            <a:rPr lang="vi-VN" sz="1000" b="0" i="0" strike="noStrike">
              <a:solidFill>
                <a:srgbClr val="000000"/>
              </a:solidFill>
              <a:latin typeface="Arial"/>
              <a:cs typeface="Arial"/>
            </a:rPr>
            <a:t>đm*1000</a:t>
          </a:r>
        </a:p>
      </xdr:txBody>
    </xdr:sp>
    <xdr:clientData/>
  </xdr:twoCellAnchor>
  <xdr:twoCellAnchor>
    <xdr:from>
      <xdr:col>4</xdr:col>
      <xdr:colOff>0</xdr:colOff>
      <xdr:row>345</xdr:row>
      <xdr:rowOff>0</xdr:rowOff>
    </xdr:from>
    <xdr:to>
      <xdr:col>7</xdr:col>
      <xdr:colOff>0</xdr:colOff>
      <xdr:row>345</xdr:row>
      <xdr:rowOff>0</xdr:rowOff>
    </xdr:to>
    <xdr:sp macro="" textlink="">
      <xdr:nvSpPr>
        <xdr:cNvPr id="32998" name="Text Box 230">
          <a:extLst>
            <a:ext uri="{FF2B5EF4-FFF2-40B4-BE49-F238E27FC236}">
              <a16:creationId xmlns:a16="http://schemas.microsoft.com/office/drawing/2014/main" id="{00000000-0008-0000-0200-0000E6800000}"/>
            </a:ext>
          </a:extLst>
        </xdr:cNvPr>
        <xdr:cNvSpPr txBox="1">
          <a:spLocks noChangeArrowheads="1"/>
        </xdr:cNvSpPr>
      </xdr:nvSpPr>
      <xdr:spPr bwMode="auto">
        <a:xfrm>
          <a:off x="628650" y="127463550"/>
          <a:ext cx="48577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                         =</a:t>
          </a:r>
        </a:p>
      </xdr:txBody>
    </xdr:sp>
    <xdr:clientData/>
  </xdr:twoCellAnchor>
  <xdr:twoCellAnchor>
    <xdr:from>
      <xdr:col>4</xdr:col>
      <xdr:colOff>0</xdr:colOff>
      <xdr:row>345</xdr:row>
      <xdr:rowOff>0</xdr:rowOff>
    </xdr:from>
    <xdr:to>
      <xdr:col>5</xdr:col>
      <xdr:colOff>0</xdr:colOff>
      <xdr:row>345</xdr:row>
      <xdr:rowOff>0</xdr:rowOff>
    </xdr:to>
    <xdr:sp macro="" textlink="">
      <xdr:nvSpPr>
        <xdr:cNvPr id="32999" name="Text Box 231">
          <a:extLst>
            <a:ext uri="{FF2B5EF4-FFF2-40B4-BE49-F238E27FC236}">
              <a16:creationId xmlns:a16="http://schemas.microsoft.com/office/drawing/2014/main" id="{00000000-0008-0000-0200-0000E7800000}"/>
            </a:ext>
          </a:extLst>
        </xdr:cNvPr>
        <xdr:cNvSpPr txBox="1">
          <a:spLocks noChangeArrowheads="1"/>
        </xdr:cNvSpPr>
      </xdr:nvSpPr>
      <xdr:spPr bwMode="auto">
        <a:xfrm>
          <a:off x="628650" y="127463550"/>
          <a:ext cx="1619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∆U</a:t>
          </a:r>
          <a:r>
            <a:rPr lang="en-US" sz="1000" b="0" i="0" strike="noStrike" baseline="-25000">
              <a:solidFill>
                <a:srgbClr val="000000"/>
              </a:solidFill>
              <a:latin typeface="Arial"/>
              <a:cs typeface="Arial"/>
            </a:rPr>
            <a:t> </a:t>
          </a:r>
        </a:p>
      </xdr:txBody>
    </xdr:sp>
    <xdr:clientData/>
  </xdr:twoCellAnchor>
  <xdr:twoCellAnchor>
    <xdr:from>
      <xdr:col>4</xdr:col>
      <xdr:colOff>0</xdr:colOff>
      <xdr:row>345</xdr:row>
      <xdr:rowOff>0</xdr:rowOff>
    </xdr:from>
    <xdr:to>
      <xdr:col>6</xdr:col>
      <xdr:colOff>0</xdr:colOff>
      <xdr:row>345</xdr:row>
      <xdr:rowOff>0</xdr:rowOff>
    </xdr:to>
    <xdr:sp macro="" textlink="">
      <xdr:nvSpPr>
        <xdr:cNvPr id="33000" name="Text Box 232">
          <a:extLst>
            <a:ext uri="{FF2B5EF4-FFF2-40B4-BE49-F238E27FC236}">
              <a16:creationId xmlns:a16="http://schemas.microsoft.com/office/drawing/2014/main" id="{00000000-0008-0000-0200-0000E8800000}"/>
            </a:ext>
          </a:extLst>
        </xdr:cNvPr>
        <xdr:cNvSpPr txBox="1">
          <a:spLocks noChangeArrowheads="1"/>
        </xdr:cNvSpPr>
      </xdr:nvSpPr>
      <xdr:spPr bwMode="auto">
        <a:xfrm>
          <a:off x="628650" y="127463550"/>
          <a:ext cx="32385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vi-VN" sz="1000" b="0" i="0" strike="noStrike">
              <a:solidFill>
                <a:srgbClr val="000000"/>
              </a:solidFill>
              <a:latin typeface="Arial"/>
              <a:cs typeface="Arial"/>
            </a:rPr>
            <a:t>P*R + Q*X</a:t>
          </a:r>
        </a:p>
        <a:p>
          <a:pPr algn="ctr" rtl="1">
            <a:defRPr sz="1000"/>
          </a:pPr>
          <a:r>
            <a:rPr lang="vi-VN" sz="1000" b="0" i="0" strike="noStrike">
              <a:solidFill>
                <a:srgbClr val="000000"/>
              </a:solidFill>
              <a:latin typeface="Arial"/>
              <a:cs typeface="Arial"/>
            </a:rPr>
            <a:t>Uđm</a:t>
          </a:r>
        </a:p>
      </xdr:txBody>
    </xdr:sp>
    <xdr:clientData/>
  </xdr:twoCellAnchor>
  <xdr:twoCellAnchor>
    <xdr:from>
      <xdr:col>5</xdr:col>
      <xdr:colOff>0</xdr:colOff>
      <xdr:row>285</xdr:row>
      <xdr:rowOff>155575</xdr:rowOff>
    </xdr:from>
    <xdr:to>
      <xdr:col>5</xdr:col>
      <xdr:colOff>0</xdr:colOff>
      <xdr:row>289</xdr:row>
      <xdr:rowOff>117475</xdr:rowOff>
    </xdr:to>
    <xdr:sp macro="" textlink="">
      <xdr:nvSpPr>
        <xdr:cNvPr id="33014" name="Text Box 246">
          <a:extLst>
            <a:ext uri="{FF2B5EF4-FFF2-40B4-BE49-F238E27FC236}">
              <a16:creationId xmlns:a16="http://schemas.microsoft.com/office/drawing/2014/main" id="{00000000-0008-0000-0200-0000F6800000}"/>
            </a:ext>
          </a:extLst>
        </xdr:cNvPr>
        <xdr:cNvSpPr txBox="1">
          <a:spLocks noChangeArrowheads="1"/>
        </xdr:cNvSpPr>
      </xdr:nvSpPr>
      <xdr:spPr bwMode="auto">
        <a:xfrm>
          <a:off x="790575" y="114004725"/>
          <a:ext cx="0" cy="95250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l-GR" sz="1000" b="0" i="0" strike="noStrike">
              <a:solidFill>
                <a:srgbClr val="000000"/>
              </a:solidFill>
              <a:latin typeface="Arial"/>
              <a:cs typeface="Arial"/>
            </a:rPr>
            <a:t>1</a:t>
          </a:r>
        </a:p>
        <a:p>
          <a:pPr algn="ctr" rtl="1">
            <a:defRPr sz="1000"/>
          </a:pPr>
          <a:r>
            <a:rPr lang="el-GR" sz="1000" b="0" i="0" strike="noStrike">
              <a:solidFill>
                <a:srgbClr val="000000"/>
              </a:solidFill>
              <a:latin typeface="Arial"/>
              <a:cs typeface="Arial"/>
            </a:rPr>
            <a:t>2*Π*</a:t>
          </a:r>
          <a:r>
            <a:rPr lang="en-US" sz="1000" b="0" i="0" strike="noStrike">
              <a:solidFill>
                <a:srgbClr val="000000"/>
              </a:solidFill>
              <a:latin typeface="Arial"/>
              <a:cs typeface="Arial"/>
            </a:rPr>
            <a:t>L</a:t>
          </a:r>
        </a:p>
      </xdr:txBody>
    </xdr:sp>
    <xdr:clientData/>
  </xdr:twoCellAnchor>
  <xdr:twoCellAnchor>
    <xdr:from>
      <xdr:col>4</xdr:col>
      <xdr:colOff>200025</xdr:colOff>
      <xdr:row>286</xdr:row>
      <xdr:rowOff>142875</xdr:rowOff>
    </xdr:from>
    <xdr:to>
      <xdr:col>4</xdr:col>
      <xdr:colOff>161925</xdr:colOff>
      <xdr:row>286</xdr:row>
      <xdr:rowOff>142875</xdr:rowOff>
    </xdr:to>
    <xdr:sp macro="" textlink="">
      <xdr:nvSpPr>
        <xdr:cNvPr id="139675" name="Line 247">
          <a:extLst>
            <a:ext uri="{FF2B5EF4-FFF2-40B4-BE49-F238E27FC236}">
              <a16:creationId xmlns:a16="http://schemas.microsoft.com/office/drawing/2014/main" id="{00000000-0008-0000-0200-00009B210200}"/>
            </a:ext>
          </a:extLst>
        </xdr:cNvPr>
        <xdr:cNvSpPr>
          <a:spLocks noChangeShapeType="1"/>
        </xdr:cNvSpPr>
      </xdr:nvSpPr>
      <xdr:spPr bwMode="auto">
        <a:xfrm>
          <a:off x="790575" y="66951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371475</xdr:colOff>
      <xdr:row>285</xdr:row>
      <xdr:rowOff>152400</xdr:rowOff>
    </xdr:from>
    <xdr:to>
      <xdr:col>5</xdr:col>
      <xdr:colOff>590550</xdr:colOff>
      <xdr:row>289</xdr:row>
      <xdr:rowOff>114300</xdr:rowOff>
    </xdr:to>
    <xdr:grpSp>
      <xdr:nvGrpSpPr>
        <xdr:cNvPr id="139676" name="Group 248">
          <a:extLst>
            <a:ext uri="{FF2B5EF4-FFF2-40B4-BE49-F238E27FC236}">
              <a16:creationId xmlns:a16="http://schemas.microsoft.com/office/drawing/2014/main" id="{00000000-0008-0000-0200-00009C210200}"/>
            </a:ext>
          </a:extLst>
        </xdr:cNvPr>
        <xdr:cNvGrpSpPr>
          <a:grpSpLocks/>
        </xdr:cNvGrpSpPr>
      </xdr:nvGrpSpPr>
      <xdr:grpSpPr bwMode="auto">
        <a:xfrm>
          <a:off x="952500" y="66713100"/>
          <a:ext cx="0" cy="952500"/>
          <a:chOff x="373" y="1124"/>
          <a:chExt cx="22" cy="36"/>
        </a:xfrm>
      </xdr:grpSpPr>
      <xdr:sp macro="" textlink="">
        <xdr:nvSpPr>
          <xdr:cNvPr id="33017" name="Text Box 249">
            <a:extLst>
              <a:ext uri="{FF2B5EF4-FFF2-40B4-BE49-F238E27FC236}">
                <a16:creationId xmlns:a16="http://schemas.microsoft.com/office/drawing/2014/main" id="{00000000-0008-0000-0200-0000F9800000}"/>
              </a:ext>
            </a:extLst>
          </xdr:cNvPr>
          <xdr:cNvSpPr txBox="1">
            <a:spLocks noChangeArrowheads="1"/>
          </xdr:cNvSpPr>
        </xdr:nvSpPr>
        <xdr:spPr bwMode="auto">
          <a:xfrm>
            <a:off x="952500" y="-8709091376550"/>
            <a:ext cx="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2L</a:t>
            </a:r>
          </a:p>
          <a:p>
            <a:pPr algn="ctr" rtl="1">
              <a:defRPr sz="1000"/>
            </a:pPr>
            <a:r>
              <a:rPr lang="en-US" sz="1000" b="0" i="0" strike="noStrike">
                <a:solidFill>
                  <a:srgbClr val="000000"/>
                </a:solidFill>
                <a:latin typeface="Arial"/>
                <a:cs typeface="Arial"/>
              </a:rPr>
              <a:t>d</a:t>
            </a:r>
          </a:p>
        </xdr:txBody>
      </xdr:sp>
      <xdr:sp macro="" textlink="">
        <xdr:nvSpPr>
          <xdr:cNvPr id="139714" name="Line 250">
            <a:extLst>
              <a:ext uri="{FF2B5EF4-FFF2-40B4-BE49-F238E27FC236}">
                <a16:creationId xmlns:a16="http://schemas.microsoft.com/office/drawing/2014/main" id="{00000000-0008-0000-0200-0000C2210200}"/>
              </a:ext>
            </a:extLst>
          </xdr:cNvPr>
          <xdr:cNvSpPr>
            <a:spLocks noChangeShapeType="1"/>
          </xdr:cNvSpPr>
        </xdr:nvSpPr>
        <xdr:spPr bwMode="auto">
          <a:xfrm>
            <a:off x="375" y="1142"/>
            <a:ext cx="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18</xdr:col>
      <xdr:colOff>101600</xdr:colOff>
      <xdr:row>0</xdr:row>
      <xdr:rowOff>0</xdr:rowOff>
    </xdr:from>
    <xdr:to>
      <xdr:col>21</xdr:col>
      <xdr:colOff>28651</xdr:colOff>
      <xdr:row>0</xdr:row>
      <xdr:rowOff>0</xdr:rowOff>
    </xdr:to>
    <xdr:sp macro="" textlink="">
      <xdr:nvSpPr>
        <xdr:cNvPr id="33040" name="Text Box 272">
          <a:extLst>
            <a:ext uri="{FF2B5EF4-FFF2-40B4-BE49-F238E27FC236}">
              <a16:creationId xmlns:a16="http://schemas.microsoft.com/office/drawing/2014/main" id="{00000000-0008-0000-0200-000010810000}"/>
            </a:ext>
          </a:extLst>
        </xdr:cNvPr>
        <xdr:cNvSpPr txBox="1">
          <a:spLocks noChangeArrowheads="1"/>
        </xdr:cNvSpPr>
      </xdr:nvSpPr>
      <xdr:spPr bwMode="auto">
        <a:xfrm>
          <a:off x="3000375" y="36585525"/>
          <a:ext cx="409575" cy="228600"/>
        </a:xfrm>
        <a:prstGeom prst="rect">
          <a:avLst/>
        </a:prstGeom>
        <a:noFill/>
        <a:ln w="9525" algn="ctr">
          <a:noFill/>
          <a:miter lim="800000"/>
          <a:headEnd/>
          <a:tailEnd/>
        </a:ln>
        <a:effectLst/>
      </xdr:spPr>
      <xdr:txBody>
        <a:bodyPr vertOverflow="clip" wrap="square" lIns="36576" tIns="27432" rIns="36576" bIns="0" anchor="t" upright="1"/>
        <a:lstStyle/>
        <a:p>
          <a:pPr algn="ctr" rtl="1">
            <a:defRPr sz="1000"/>
          </a:pPr>
          <a:r>
            <a:rPr lang="en-US" sz="1300" b="1" i="0" strike="noStrike">
              <a:solidFill>
                <a:srgbClr val="000000"/>
              </a:solidFill>
              <a:latin typeface="Times New Roman"/>
              <a:cs typeface="Times New Roman"/>
            </a:rPr>
            <a:t>N1</a:t>
          </a:r>
        </a:p>
      </xdr:txBody>
    </xdr:sp>
    <xdr:clientData/>
  </xdr:twoCellAnchor>
  <xdr:twoCellAnchor>
    <xdr:from>
      <xdr:col>25</xdr:col>
      <xdr:colOff>28575</xdr:colOff>
      <xdr:row>0</xdr:row>
      <xdr:rowOff>0</xdr:rowOff>
    </xdr:from>
    <xdr:to>
      <xdr:col>27</xdr:col>
      <xdr:colOff>101674</xdr:colOff>
      <xdr:row>0</xdr:row>
      <xdr:rowOff>0</xdr:rowOff>
    </xdr:to>
    <xdr:sp macro="" textlink="">
      <xdr:nvSpPr>
        <xdr:cNvPr id="33041" name="Text Box 273">
          <a:extLst>
            <a:ext uri="{FF2B5EF4-FFF2-40B4-BE49-F238E27FC236}">
              <a16:creationId xmlns:a16="http://schemas.microsoft.com/office/drawing/2014/main" id="{00000000-0008-0000-0200-000011810000}"/>
            </a:ext>
          </a:extLst>
        </xdr:cNvPr>
        <xdr:cNvSpPr txBox="1">
          <a:spLocks noChangeArrowheads="1"/>
        </xdr:cNvSpPr>
      </xdr:nvSpPr>
      <xdr:spPr bwMode="auto">
        <a:xfrm>
          <a:off x="4057650" y="36604575"/>
          <a:ext cx="400050" cy="228600"/>
        </a:xfrm>
        <a:prstGeom prst="rect">
          <a:avLst/>
        </a:prstGeom>
        <a:noFill/>
        <a:ln w="9525" algn="ctr">
          <a:noFill/>
          <a:miter lim="800000"/>
          <a:headEnd/>
          <a:tailEnd/>
        </a:ln>
        <a:effectLst/>
      </xdr:spPr>
      <xdr:txBody>
        <a:bodyPr vertOverflow="clip" wrap="square" lIns="36576" tIns="27432" rIns="36576" bIns="0" anchor="t" upright="1"/>
        <a:lstStyle/>
        <a:p>
          <a:pPr algn="ctr" rtl="1">
            <a:defRPr sz="1000"/>
          </a:pPr>
          <a:r>
            <a:rPr lang="en-US" sz="1300" b="1" i="0" strike="noStrike">
              <a:solidFill>
                <a:srgbClr val="000000"/>
              </a:solidFill>
              <a:latin typeface="Times New Roman"/>
              <a:cs typeface="Times New Roman"/>
            </a:rPr>
            <a:t>N</a:t>
          </a:r>
        </a:p>
      </xdr:txBody>
    </xdr:sp>
    <xdr:clientData/>
  </xdr:twoCellAnchor>
  <xdr:twoCellAnchor>
    <xdr:from>
      <xdr:col>14</xdr:col>
      <xdr:colOff>57150</xdr:colOff>
      <xdr:row>39</xdr:row>
      <xdr:rowOff>19050</xdr:rowOff>
    </xdr:from>
    <xdr:to>
      <xdr:col>22</xdr:col>
      <xdr:colOff>0</xdr:colOff>
      <xdr:row>40</xdr:row>
      <xdr:rowOff>238125</xdr:rowOff>
    </xdr:to>
    <xdr:grpSp>
      <xdr:nvGrpSpPr>
        <xdr:cNvPr id="139679" name="Group 365">
          <a:extLst>
            <a:ext uri="{FF2B5EF4-FFF2-40B4-BE49-F238E27FC236}">
              <a16:creationId xmlns:a16="http://schemas.microsoft.com/office/drawing/2014/main" id="{00000000-0008-0000-0200-00009F210200}"/>
            </a:ext>
          </a:extLst>
        </xdr:cNvPr>
        <xdr:cNvGrpSpPr>
          <a:grpSpLocks/>
        </xdr:cNvGrpSpPr>
      </xdr:nvGrpSpPr>
      <xdr:grpSpPr bwMode="auto">
        <a:xfrm>
          <a:off x="2305050" y="8791575"/>
          <a:ext cx="1238250" cy="466725"/>
          <a:chOff x="242" y="6986"/>
          <a:chExt cx="130" cy="53"/>
        </a:xfrm>
      </xdr:grpSpPr>
      <xdr:sp macro="" textlink="">
        <xdr:nvSpPr>
          <xdr:cNvPr id="139710" name="Line 361">
            <a:extLst>
              <a:ext uri="{FF2B5EF4-FFF2-40B4-BE49-F238E27FC236}">
                <a16:creationId xmlns:a16="http://schemas.microsoft.com/office/drawing/2014/main" id="{00000000-0008-0000-0200-0000BE210200}"/>
              </a:ext>
            </a:extLst>
          </xdr:cNvPr>
          <xdr:cNvSpPr>
            <a:spLocks noChangeShapeType="1"/>
          </xdr:cNvSpPr>
        </xdr:nvSpPr>
        <xdr:spPr bwMode="auto">
          <a:xfrm>
            <a:off x="242" y="7023"/>
            <a:ext cx="3" cy="1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711" name="Line 362">
            <a:extLst>
              <a:ext uri="{FF2B5EF4-FFF2-40B4-BE49-F238E27FC236}">
                <a16:creationId xmlns:a16="http://schemas.microsoft.com/office/drawing/2014/main" id="{00000000-0008-0000-0200-0000BF210200}"/>
              </a:ext>
            </a:extLst>
          </xdr:cNvPr>
          <xdr:cNvSpPr>
            <a:spLocks noChangeShapeType="1"/>
          </xdr:cNvSpPr>
        </xdr:nvSpPr>
        <xdr:spPr bwMode="auto">
          <a:xfrm flipV="1">
            <a:off x="245" y="6986"/>
            <a:ext cx="6" cy="5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712" name="Line 363">
            <a:extLst>
              <a:ext uri="{FF2B5EF4-FFF2-40B4-BE49-F238E27FC236}">
                <a16:creationId xmlns:a16="http://schemas.microsoft.com/office/drawing/2014/main" id="{00000000-0008-0000-0200-0000C0210200}"/>
              </a:ext>
            </a:extLst>
          </xdr:cNvPr>
          <xdr:cNvSpPr>
            <a:spLocks noChangeShapeType="1"/>
          </xdr:cNvSpPr>
        </xdr:nvSpPr>
        <xdr:spPr bwMode="auto">
          <a:xfrm>
            <a:off x="251" y="6986"/>
            <a:ext cx="121"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13</xdr:col>
      <xdr:colOff>57150</xdr:colOff>
      <xdr:row>34</xdr:row>
      <xdr:rowOff>9525</xdr:rowOff>
    </xdr:from>
    <xdr:to>
      <xdr:col>24</xdr:col>
      <xdr:colOff>95250</xdr:colOff>
      <xdr:row>35</xdr:row>
      <xdr:rowOff>114300</xdr:rowOff>
    </xdr:to>
    <xdr:grpSp>
      <xdr:nvGrpSpPr>
        <xdr:cNvPr id="139680" name="Group 370">
          <a:extLst>
            <a:ext uri="{FF2B5EF4-FFF2-40B4-BE49-F238E27FC236}">
              <a16:creationId xmlns:a16="http://schemas.microsoft.com/office/drawing/2014/main" id="{00000000-0008-0000-0200-0000A0210200}"/>
            </a:ext>
          </a:extLst>
        </xdr:cNvPr>
        <xdr:cNvGrpSpPr>
          <a:grpSpLocks/>
        </xdr:cNvGrpSpPr>
      </xdr:nvGrpSpPr>
      <xdr:grpSpPr bwMode="auto">
        <a:xfrm>
          <a:off x="2143125" y="7791450"/>
          <a:ext cx="1819275" cy="228600"/>
          <a:chOff x="225" y="6831"/>
          <a:chExt cx="191" cy="24"/>
        </a:xfrm>
      </xdr:grpSpPr>
      <xdr:sp macro="" textlink="">
        <xdr:nvSpPr>
          <xdr:cNvPr id="139707" name="Line 367">
            <a:extLst>
              <a:ext uri="{FF2B5EF4-FFF2-40B4-BE49-F238E27FC236}">
                <a16:creationId xmlns:a16="http://schemas.microsoft.com/office/drawing/2014/main" id="{00000000-0008-0000-0200-0000BB210200}"/>
              </a:ext>
            </a:extLst>
          </xdr:cNvPr>
          <xdr:cNvSpPr>
            <a:spLocks noChangeShapeType="1"/>
          </xdr:cNvSpPr>
        </xdr:nvSpPr>
        <xdr:spPr bwMode="auto">
          <a:xfrm>
            <a:off x="225" y="6848"/>
            <a:ext cx="3" cy="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708" name="Line 368">
            <a:extLst>
              <a:ext uri="{FF2B5EF4-FFF2-40B4-BE49-F238E27FC236}">
                <a16:creationId xmlns:a16="http://schemas.microsoft.com/office/drawing/2014/main" id="{00000000-0008-0000-0200-0000BC210200}"/>
              </a:ext>
            </a:extLst>
          </xdr:cNvPr>
          <xdr:cNvSpPr>
            <a:spLocks noChangeShapeType="1"/>
          </xdr:cNvSpPr>
        </xdr:nvSpPr>
        <xdr:spPr bwMode="auto">
          <a:xfrm flipV="1">
            <a:off x="228" y="6831"/>
            <a:ext cx="6" cy="24"/>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709" name="Line 369">
            <a:extLst>
              <a:ext uri="{FF2B5EF4-FFF2-40B4-BE49-F238E27FC236}">
                <a16:creationId xmlns:a16="http://schemas.microsoft.com/office/drawing/2014/main" id="{00000000-0008-0000-0200-0000BD210200}"/>
              </a:ext>
            </a:extLst>
          </xdr:cNvPr>
          <xdr:cNvSpPr>
            <a:spLocks noChangeShapeType="1"/>
          </xdr:cNvSpPr>
        </xdr:nvSpPr>
        <xdr:spPr bwMode="auto">
          <a:xfrm>
            <a:off x="234" y="6831"/>
            <a:ext cx="182"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13</xdr:col>
      <xdr:colOff>57150</xdr:colOff>
      <xdr:row>31</xdr:row>
      <xdr:rowOff>9525</xdr:rowOff>
    </xdr:from>
    <xdr:to>
      <xdr:col>18</xdr:col>
      <xdr:colOff>95250</xdr:colOff>
      <xdr:row>32</xdr:row>
      <xdr:rowOff>114300</xdr:rowOff>
    </xdr:to>
    <xdr:grpSp>
      <xdr:nvGrpSpPr>
        <xdr:cNvPr id="139681" name="Group 375">
          <a:extLst>
            <a:ext uri="{FF2B5EF4-FFF2-40B4-BE49-F238E27FC236}">
              <a16:creationId xmlns:a16="http://schemas.microsoft.com/office/drawing/2014/main" id="{00000000-0008-0000-0200-0000A1210200}"/>
            </a:ext>
          </a:extLst>
        </xdr:cNvPr>
        <xdr:cNvGrpSpPr>
          <a:grpSpLocks/>
        </xdr:cNvGrpSpPr>
      </xdr:nvGrpSpPr>
      <xdr:grpSpPr bwMode="auto">
        <a:xfrm>
          <a:off x="2143125" y="7419975"/>
          <a:ext cx="847725" cy="228600"/>
          <a:chOff x="225" y="6792"/>
          <a:chExt cx="89" cy="24"/>
        </a:xfrm>
      </xdr:grpSpPr>
      <xdr:sp macro="" textlink="">
        <xdr:nvSpPr>
          <xdr:cNvPr id="139704" name="Line 372">
            <a:extLst>
              <a:ext uri="{FF2B5EF4-FFF2-40B4-BE49-F238E27FC236}">
                <a16:creationId xmlns:a16="http://schemas.microsoft.com/office/drawing/2014/main" id="{00000000-0008-0000-0200-0000B8210200}"/>
              </a:ext>
            </a:extLst>
          </xdr:cNvPr>
          <xdr:cNvSpPr>
            <a:spLocks noChangeShapeType="1"/>
          </xdr:cNvSpPr>
        </xdr:nvSpPr>
        <xdr:spPr bwMode="auto">
          <a:xfrm>
            <a:off x="225" y="6809"/>
            <a:ext cx="3" cy="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705" name="Line 373">
            <a:extLst>
              <a:ext uri="{FF2B5EF4-FFF2-40B4-BE49-F238E27FC236}">
                <a16:creationId xmlns:a16="http://schemas.microsoft.com/office/drawing/2014/main" id="{00000000-0008-0000-0200-0000B9210200}"/>
              </a:ext>
            </a:extLst>
          </xdr:cNvPr>
          <xdr:cNvSpPr>
            <a:spLocks noChangeShapeType="1"/>
          </xdr:cNvSpPr>
        </xdr:nvSpPr>
        <xdr:spPr bwMode="auto">
          <a:xfrm flipV="1">
            <a:off x="228" y="6792"/>
            <a:ext cx="6" cy="24"/>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706" name="Line 374">
            <a:extLst>
              <a:ext uri="{FF2B5EF4-FFF2-40B4-BE49-F238E27FC236}">
                <a16:creationId xmlns:a16="http://schemas.microsoft.com/office/drawing/2014/main" id="{00000000-0008-0000-0200-0000BA210200}"/>
              </a:ext>
            </a:extLst>
          </xdr:cNvPr>
          <xdr:cNvSpPr>
            <a:spLocks noChangeShapeType="1"/>
          </xdr:cNvSpPr>
        </xdr:nvSpPr>
        <xdr:spPr bwMode="auto">
          <a:xfrm>
            <a:off x="234" y="6792"/>
            <a:ext cx="8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12</xdr:col>
      <xdr:colOff>57150</xdr:colOff>
      <xdr:row>75</xdr:row>
      <xdr:rowOff>19050</xdr:rowOff>
    </xdr:from>
    <xdr:to>
      <xdr:col>20</xdr:col>
      <xdr:colOff>76200</xdr:colOff>
      <xdr:row>80</xdr:row>
      <xdr:rowOff>0</xdr:rowOff>
    </xdr:to>
    <xdr:grpSp>
      <xdr:nvGrpSpPr>
        <xdr:cNvPr id="139682" name="Group 389">
          <a:extLst>
            <a:ext uri="{FF2B5EF4-FFF2-40B4-BE49-F238E27FC236}">
              <a16:creationId xmlns:a16="http://schemas.microsoft.com/office/drawing/2014/main" id="{00000000-0008-0000-0200-0000A2210200}"/>
            </a:ext>
          </a:extLst>
        </xdr:cNvPr>
        <xdr:cNvGrpSpPr>
          <a:grpSpLocks/>
        </xdr:cNvGrpSpPr>
      </xdr:nvGrpSpPr>
      <xdr:grpSpPr bwMode="auto">
        <a:xfrm>
          <a:off x="1981200" y="17459325"/>
          <a:ext cx="1314450" cy="723900"/>
          <a:chOff x="208" y="7092"/>
          <a:chExt cx="138" cy="76"/>
        </a:xfrm>
      </xdr:grpSpPr>
      <xdr:grpSp>
        <xdr:nvGrpSpPr>
          <xdr:cNvPr id="139696" name="Group 376">
            <a:extLst>
              <a:ext uri="{FF2B5EF4-FFF2-40B4-BE49-F238E27FC236}">
                <a16:creationId xmlns:a16="http://schemas.microsoft.com/office/drawing/2014/main" id="{00000000-0008-0000-0200-0000B0210200}"/>
              </a:ext>
            </a:extLst>
          </xdr:cNvPr>
          <xdr:cNvGrpSpPr>
            <a:grpSpLocks/>
          </xdr:cNvGrpSpPr>
        </xdr:nvGrpSpPr>
        <xdr:grpSpPr bwMode="auto">
          <a:xfrm>
            <a:off x="208" y="7092"/>
            <a:ext cx="138" cy="76"/>
            <a:chOff x="242" y="6986"/>
            <a:chExt cx="130" cy="53"/>
          </a:xfrm>
        </xdr:grpSpPr>
        <xdr:sp macro="" textlink="">
          <xdr:nvSpPr>
            <xdr:cNvPr id="139701" name="Line 377">
              <a:extLst>
                <a:ext uri="{FF2B5EF4-FFF2-40B4-BE49-F238E27FC236}">
                  <a16:creationId xmlns:a16="http://schemas.microsoft.com/office/drawing/2014/main" id="{00000000-0008-0000-0200-0000B5210200}"/>
                </a:ext>
              </a:extLst>
            </xdr:cNvPr>
            <xdr:cNvSpPr>
              <a:spLocks noChangeShapeType="1"/>
            </xdr:cNvSpPr>
          </xdr:nvSpPr>
          <xdr:spPr bwMode="auto">
            <a:xfrm>
              <a:off x="242" y="7023"/>
              <a:ext cx="3" cy="1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702" name="Line 378">
              <a:extLst>
                <a:ext uri="{FF2B5EF4-FFF2-40B4-BE49-F238E27FC236}">
                  <a16:creationId xmlns:a16="http://schemas.microsoft.com/office/drawing/2014/main" id="{00000000-0008-0000-0200-0000B6210200}"/>
                </a:ext>
              </a:extLst>
            </xdr:cNvPr>
            <xdr:cNvSpPr>
              <a:spLocks noChangeShapeType="1"/>
            </xdr:cNvSpPr>
          </xdr:nvSpPr>
          <xdr:spPr bwMode="auto">
            <a:xfrm flipV="1">
              <a:off x="245" y="6986"/>
              <a:ext cx="6" cy="5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703" name="Line 379">
              <a:extLst>
                <a:ext uri="{FF2B5EF4-FFF2-40B4-BE49-F238E27FC236}">
                  <a16:creationId xmlns:a16="http://schemas.microsoft.com/office/drawing/2014/main" id="{00000000-0008-0000-0200-0000B7210200}"/>
                </a:ext>
              </a:extLst>
            </xdr:cNvPr>
            <xdr:cNvSpPr>
              <a:spLocks noChangeShapeType="1"/>
            </xdr:cNvSpPr>
          </xdr:nvSpPr>
          <xdr:spPr bwMode="auto">
            <a:xfrm>
              <a:off x="251" y="6986"/>
              <a:ext cx="121"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697" name="Freeform 384">
            <a:extLst>
              <a:ext uri="{FF2B5EF4-FFF2-40B4-BE49-F238E27FC236}">
                <a16:creationId xmlns:a16="http://schemas.microsoft.com/office/drawing/2014/main" id="{00000000-0008-0000-0200-0000B1210200}"/>
              </a:ext>
            </a:extLst>
          </xdr:cNvPr>
          <xdr:cNvSpPr>
            <a:spLocks/>
          </xdr:cNvSpPr>
        </xdr:nvSpPr>
        <xdr:spPr bwMode="auto">
          <a:xfrm>
            <a:off x="215" y="7123"/>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698" name="Freeform 385">
            <a:extLst>
              <a:ext uri="{FF2B5EF4-FFF2-40B4-BE49-F238E27FC236}">
                <a16:creationId xmlns:a16="http://schemas.microsoft.com/office/drawing/2014/main" id="{00000000-0008-0000-0200-0000B2210200}"/>
              </a:ext>
            </a:extLst>
          </xdr:cNvPr>
          <xdr:cNvSpPr>
            <a:spLocks/>
          </xdr:cNvSpPr>
        </xdr:nvSpPr>
        <xdr:spPr bwMode="auto">
          <a:xfrm rot="10800000">
            <a:off x="269" y="7123"/>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699" name="Freeform 386">
            <a:extLst>
              <a:ext uri="{FF2B5EF4-FFF2-40B4-BE49-F238E27FC236}">
                <a16:creationId xmlns:a16="http://schemas.microsoft.com/office/drawing/2014/main" id="{00000000-0008-0000-0200-0000B3210200}"/>
              </a:ext>
            </a:extLst>
          </xdr:cNvPr>
          <xdr:cNvSpPr>
            <a:spLocks/>
          </xdr:cNvSpPr>
        </xdr:nvSpPr>
        <xdr:spPr bwMode="auto">
          <a:xfrm>
            <a:off x="283" y="7123"/>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700" name="Freeform 387">
            <a:extLst>
              <a:ext uri="{FF2B5EF4-FFF2-40B4-BE49-F238E27FC236}">
                <a16:creationId xmlns:a16="http://schemas.microsoft.com/office/drawing/2014/main" id="{00000000-0008-0000-0200-0000B4210200}"/>
              </a:ext>
            </a:extLst>
          </xdr:cNvPr>
          <xdr:cNvSpPr>
            <a:spLocks/>
          </xdr:cNvSpPr>
        </xdr:nvSpPr>
        <xdr:spPr bwMode="auto">
          <a:xfrm rot="10800000">
            <a:off x="338" y="7123"/>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14</xdr:col>
      <xdr:colOff>57150</xdr:colOff>
      <xdr:row>42</xdr:row>
      <xdr:rowOff>104775</xdr:rowOff>
    </xdr:from>
    <xdr:to>
      <xdr:col>14</xdr:col>
      <xdr:colOff>85725</xdr:colOff>
      <xdr:row>44</xdr:row>
      <xdr:rowOff>0</xdr:rowOff>
    </xdr:to>
    <xdr:sp macro="" textlink="">
      <xdr:nvSpPr>
        <xdr:cNvPr id="139683" name="Line 391">
          <a:extLst>
            <a:ext uri="{FF2B5EF4-FFF2-40B4-BE49-F238E27FC236}">
              <a16:creationId xmlns:a16="http://schemas.microsoft.com/office/drawing/2014/main" id="{00000000-0008-0000-0200-0000A3210200}"/>
            </a:ext>
          </a:extLst>
        </xdr:cNvPr>
        <xdr:cNvSpPr>
          <a:spLocks noChangeShapeType="1"/>
        </xdr:cNvSpPr>
      </xdr:nvSpPr>
      <xdr:spPr bwMode="auto">
        <a:xfrm>
          <a:off x="2305050" y="9620250"/>
          <a:ext cx="2857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85725</xdr:colOff>
      <xdr:row>41</xdr:row>
      <xdr:rowOff>19050</xdr:rowOff>
    </xdr:from>
    <xdr:to>
      <xdr:col>14</xdr:col>
      <xdr:colOff>142875</xdr:colOff>
      <xdr:row>44</xdr:row>
      <xdr:rowOff>0</xdr:rowOff>
    </xdr:to>
    <xdr:sp macro="" textlink="">
      <xdr:nvSpPr>
        <xdr:cNvPr id="139684" name="Line 392">
          <a:extLst>
            <a:ext uri="{FF2B5EF4-FFF2-40B4-BE49-F238E27FC236}">
              <a16:creationId xmlns:a16="http://schemas.microsoft.com/office/drawing/2014/main" id="{00000000-0008-0000-0200-0000A4210200}"/>
            </a:ext>
          </a:extLst>
        </xdr:cNvPr>
        <xdr:cNvSpPr>
          <a:spLocks noChangeShapeType="1"/>
        </xdr:cNvSpPr>
      </xdr:nvSpPr>
      <xdr:spPr bwMode="auto">
        <a:xfrm flipV="1">
          <a:off x="2333625" y="9286875"/>
          <a:ext cx="57150" cy="476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142875</xdr:colOff>
      <xdr:row>41</xdr:row>
      <xdr:rowOff>19050</xdr:rowOff>
    </xdr:from>
    <xdr:to>
      <xdr:col>26</xdr:col>
      <xdr:colOff>0</xdr:colOff>
      <xdr:row>41</xdr:row>
      <xdr:rowOff>19050</xdr:rowOff>
    </xdr:to>
    <xdr:sp macro="" textlink="">
      <xdr:nvSpPr>
        <xdr:cNvPr id="139685" name="Line 393">
          <a:extLst>
            <a:ext uri="{FF2B5EF4-FFF2-40B4-BE49-F238E27FC236}">
              <a16:creationId xmlns:a16="http://schemas.microsoft.com/office/drawing/2014/main" id="{00000000-0008-0000-0200-0000A5210200}"/>
            </a:ext>
          </a:extLst>
        </xdr:cNvPr>
        <xdr:cNvSpPr>
          <a:spLocks noChangeShapeType="1"/>
        </xdr:cNvSpPr>
      </xdr:nvSpPr>
      <xdr:spPr bwMode="auto">
        <a:xfrm>
          <a:off x="2390775" y="9286875"/>
          <a:ext cx="18002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xdr:colOff>
      <xdr:row>81</xdr:row>
      <xdr:rowOff>19050</xdr:rowOff>
    </xdr:from>
    <xdr:to>
      <xdr:col>22</xdr:col>
      <xdr:colOff>57150</xdr:colOff>
      <xdr:row>86</xdr:row>
      <xdr:rowOff>0</xdr:rowOff>
    </xdr:to>
    <xdr:grpSp>
      <xdr:nvGrpSpPr>
        <xdr:cNvPr id="139686" name="Group 416">
          <a:extLst>
            <a:ext uri="{FF2B5EF4-FFF2-40B4-BE49-F238E27FC236}">
              <a16:creationId xmlns:a16="http://schemas.microsoft.com/office/drawing/2014/main" id="{00000000-0008-0000-0200-0000A6210200}"/>
            </a:ext>
          </a:extLst>
        </xdr:cNvPr>
        <xdr:cNvGrpSpPr>
          <a:grpSpLocks/>
        </xdr:cNvGrpSpPr>
      </xdr:nvGrpSpPr>
      <xdr:grpSpPr bwMode="auto">
        <a:xfrm>
          <a:off x="1981200" y="18326100"/>
          <a:ext cx="1619250" cy="723900"/>
          <a:chOff x="208" y="7820"/>
          <a:chExt cx="170" cy="76"/>
        </a:xfrm>
      </xdr:grpSpPr>
      <xdr:grpSp>
        <xdr:nvGrpSpPr>
          <xdr:cNvPr id="139688" name="Group 415">
            <a:extLst>
              <a:ext uri="{FF2B5EF4-FFF2-40B4-BE49-F238E27FC236}">
                <a16:creationId xmlns:a16="http://schemas.microsoft.com/office/drawing/2014/main" id="{00000000-0008-0000-0200-0000A8210200}"/>
              </a:ext>
            </a:extLst>
          </xdr:cNvPr>
          <xdr:cNvGrpSpPr>
            <a:grpSpLocks/>
          </xdr:cNvGrpSpPr>
        </xdr:nvGrpSpPr>
        <xdr:grpSpPr bwMode="auto">
          <a:xfrm>
            <a:off x="208" y="7820"/>
            <a:ext cx="167" cy="76"/>
            <a:chOff x="208" y="7820"/>
            <a:chExt cx="167" cy="76"/>
          </a:xfrm>
        </xdr:grpSpPr>
        <xdr:sp macro="" textlink="">
          <xdr:nvSpPr>
            <xdr:cNvPr id="139693" name="Line 410">
              <a:extLst>
                <a:ext uri="{FF2B5EF4-FFF2-40B4-BE49-F238E27FC236}">
                  <a16:creationId xmlns:a16="http://schemas.microsoft.com/office/drawing/2014/main" id="{00000000-0008-0000-0200-0000AD210200}"/>
                </a:ext>
              </a:extLst>
            </xdr:cNvPr>
            <xdr:cNvSpPr>
              <a:spLocks noChangeShapeType="1"/>
            </xdr:cNvSpPr>
          </xdr:nvSpPr>
          <xdr:spPr bwMode="auto">
            <a:xfrm>
              <a:off x="218" y="7820"/>
              <a:ext cx="157"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694" name="Line 403">
              <a:extLst>
                <a:ext uri="{FF2B5EF4-FFF2-40B4-BE49-F238E27FC236}">
                  <a16:creationId xmlns:a16="http://schemas.microsoft.com/office/drawing/2014/main" id="{00000000-0008-0000-0200-0000AE210200}"/>
                </a:ext>
              </a:extLst>
            </xdr:cNvPr>
            <xdr:cNvSpPr>
              <a:spLocks noChangeShapeType="1"/>
            </xdr:cNvSpPr>
          </xdr:nvSpPr>
          <xdr:spPr bwMode="auto">
            <a:xfrm>
              <a:off x="208" y="7873"/>
              <a:ext cx="3" cy="2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695" name="Line 404">
              <a:extLst>
                <a:ext uri="{FF2B5EF4-FFF2-40B4-BE49-F238E27FC236}">
                  <a16:creationId xmlns:a16="http://schemas.microsoft.com/office/drawing/2014/main" id="{00000000-0008-0000-0200-0000AF210200}"/>
                </a:ext>
              </a:extLst>
            </xdr:cNvPr>
            <xdr:cNvSpPr>
              <a:spLocks noChangeShapeType="1"/>
            </xdr:cNvSpPr>
          </xdr:nvSpPr>
          <xdr:spPr bwMode="auto">
            <a:xfrm flipV="1">
              <a:off x="211" y="7820"/>
              <a:ext cx="7" cy="7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689" name="Freeform 406">
            <a:extLst>
              <a:ext uri="{FF2B5EF4-FFF2-40B4-BE49-F238E27FC236}">
                <a16:creationId xmlns:a16="http://schemas.microsoft.com/office/drawing/2014/main" id="{00000000-0008-0000-0200-0000A9210200}"/>
              </a:ext>
            </a:extLst>
          </xdr:cNvPr>
          <xdr:cNvSpPr>
            <a:spLocks/>
          </xdr:cNvSpPr>
        </xdr:nvSpPr>
        <xdr:spPr bwMode="auto">
          <a:xfrm>
            <a:off x="214" y="7851"/>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690" name="Freeform 407">
            <a:extLst>
              <a:ext uri="{FF2B5EF4-FFF2-40B4-BE49-F238E27FC236}">
                <a16:creationId xmlns:a16="http://schemas.microsoft.com/office/drawing/2014/main" id="{00000000-0008-0000-0200-0000AA210200}"/>
              </a:ext>
            </a:extLst>
          </xdr:cNvPr>
          <xdr:cNvSpPr>
            <a:spLocks/>
          </xdr:cNvSpPr>
        </xdr:nvSpPr>
        <xdr:spPr bwMode="auto">
          <a:xfrm rot="10800000">
            <a:off x="287" y="7852"/>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691" name="Freeform 412">
            <a:extLst>
              <a:ext uri="{FF2B5EF4-FFF2-40B4-BE49-F238E27FC236}">
                <a16:creationId xmlns:a16="http://schemas.microsoft.com/office/drawing/2014/main" id="{00000000-0008-0000-0200-0000AB210200}"/>
              </a:ext>
            </a:extLst>
          </xdr:cNvPr>
          <xdr:cNvSpPr>
            <a:spLocks/>
          </xdr:cNvSpPr>
        </xdr:nvSpPr>
        <xdr:spPr bwMode="auto">
          <a:xfrm>
            <a:off x="299" y="7851"/>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692" name="Freeform 413">
            <a:extLst>
              <a:ext uri="{FF2B5EF4-FFF2-40B4-BE49-F238E27FC236}">
                <a16:creationId xmlns:a16="http://schemas.microsoft.com/office/drawing/2014/main" id="{00000000-0008-0000-0200-0000AC210200}"/>
              </a:ext>
            </a:extLst>
          </xdr:cNvPr>
          <xdr:cNvSpPr>
            <a:spLocks/>
          </xdr:cNvSpPr>
        </xdr:nvSpPr>
        <xdr:spPr bwMode="auto">
          <a:xfrm rot="10800000">
            <a:off x="372" y="7852"/>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28</xdr:col>
      <xdr:colOff>57150</xdr:colOff>
      <xdr:row>95</xdr:row>
      <xdr:rowOff>0</xdr:rowOff>
    </xdr:from>
    <xdr:to>
      <xdr:col>28</xdr:col>
      <xdr:colOff>114300</xdr:colOff>
      <xdr:row>95</xdr:row>
      <xdr:rowOff>0</xdr:rowOff>
    </xdr:to>
    <xdr:sp macro="" textlink="">
      <xdr:nvSpPr>
        <xdr:cNvPr id="139687" name="Line 421">
          <a:extLst>
            <a:ext uri="{FF2B5EF4-FFF2-40B4-BE49-F238E27FC236}">
              <a16:creationId xmlns:a16="http://schemas.microsoft.com/office/drawing/2014/main" id="{00000000-0008-0000-0200-0000A7210200}"/>
            </a:ext>
          </a:extLst>
        </xdr:cNvPr>
        <xdr:cNvSpPr>
          <a:spLocks noChangeShapeType="1"/>
        </xdr:cNvSpPr>
      </xdr:nvSpPr>
      <xdr:spPr bwMode="auto">
        <a:xfrm>
          <a:off x="4572000" y="20907375"/>
          <a:ext cx="57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76200</xdr:colOff>
          <xdr:row>104</xdr:row>
          <xdr:rowOff>142875</xdr:rowOff>
        </xdr:from>
        <xdr:to>
          <xdr:col>4</xdr:col>
          <xdr:colOff>76200</xdr:colOff>
          <xdr:row>113</xdr:row>
          <xdr:rowOff>38100</xdr:rowOff>
        </xdr:to>
        <xdr:sp macro="" textlink="">
          <xdr:nvSpPr>
            <xdr:cNvPr id="66639" name="Object 79" hidden="1">
              <a:extLst>
                <a:ext uri="{63B3BB69-23CF-44E3-9099-C40C66FF867C}">
                  <a14:compatExt spid="_x0000_s66639"/>
                </a:ext>
                <a:ext uri="{FF2B5EF4-FFF2-40B4-BE49-F238E27FC236}">
                  <a16:creationId xmlns:a16="http://schemas.microsoft.com/office/drawing/2014/main" id="{00000000-0008-0000-0200-00004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192</xdr:row>
          <xdr:rowOff>0</xdr:rowOff>
        </xdr:from>
        <xdr:to>
          <xdr:col>7</xdr:col>
          <xdr:colOff>0</xdr:colOff>
          <xdr:row>196</xdr:row>
          <xdr:rowOff>161925</xdr:rowOff>
        </xdr:to>
        <xdr:sp macro="" textlink="">
          <xdr:nvSpPr>
            <xdr:cNvPr id="66642" name="Object 82" hidden="1">
              <a:extLst>
                <a:ext uri="{63B3BB69-23CF-44E3-9099-C40C66FF867C}">
                  <a14:compatExt spid="_x0000_s66642"/>
                </a:ext>
                <a:ext uri="{FF2B5EF4-FFF2-40B4-BE49-F238E27FC236}">
                  <a16:creationId xmlns:a16="http://schemas.microsoft.com/office/drawing/2014/main" id="{00000000-0008-0000-0200-00005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317</xdr:row>
          <xdr:rowOff>9525</xdr:rowOff>
        </xdr:from>
        <xdr:to>
          <xdr:col>20</xdr:col>
          <xdr:colOff>123825</xdr:colOff>
          <xdr:row>319</xdr:row>
          <xdr:rowOff>9525</xdr:rowOff>
        </xdr:to>
        <xdr:sp macro="" textlink="">
          <xdr:nvSpPr>
            <xdr:cNvPr id="66643" name="Object 83" hidden="1">
              <a:extLst>
                <a:ext uri="{63B3BB69-23CF-44E3-9099-C40C66FF867C}">
                  <a14:compatExt spid="_x0000_s66643"/>
                </a:ext>
                <a:ext uri="{FF2B5EF4-FFF2-40B4-BE49-F238E27FC236}">
                  <a16:creationId xmlns:a16="http://schemas.microsoft.com/office/drawing/2014/main" id="{00000000-0008-0000-0200-00005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319</xdr:row>
          <xdr:rowOff>9525</xdr:rowOff>
        </xdr:from>
        <xdr:to>
          <xdr:col>20</xdr:col>
          <xdr:colOff>123825</xdr:colOff>
          <xdr:row>321</xdr:row>
          <xdr:rowOff>9525</xdr:rowOff>
        </xdr:to>
        <xdr:sp macro="" textlink="">
          <xdr:nvSpPr>
            <xdr:cNvPr id="66644" name="Object 84" hidden="1">
              <a:extLst>
                <a:ext uri="{63B3BB69-23CF-44E3-9099-C40C66FF867C}">
                  <a14:compatExt spid="_x0000_s66644"/>
                </a:ext>
                <a:ext uri="{FF2B5EF4-FFF2-40B4-BE49-F238E27FC236}">
                  <a16:creationId xmlns:a16="http://schemas.microsoft.com/office/drawing/2014/main" id="{00000000-0008-0000-0200-00005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57150</xdr:colOff>
      <xdr:row>0</xdr:row>
      <xdr:rowOff>0</xdr:rowOff>
    </xdr:from>
    <xdr:to>
      <xdr:col>3</xdr:col>
      <xdr:colOff>161925</xdr:colOff>
      <xdr:row>0</xdr:row>
      <xdr:rowOff>0</xdr:rowOff>
    </xdr:to>
    <xdr:pic>
      <xdr:nvPicPr>
        <xdr:cNvPr id="139158" name="Picture 2">
          <a:extLst>
            <a:ext uri="{FF2B5EF4-FFF2-40B4-BE49-F238E27FC236}">
              <a16:creationId xmlns:a16="http://schemas.microsoft.com/office/drawing/2014/main" id="{00000000-0008-0000-0300-0000961F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206" b="-29120"/>
        <a:stretch>
          <a:fillRect/>
        </a:stretch>
      </xdr:blipFill>
      <xdr:spPr bwMode="auto">
        <a:xfrm>
          <a:off x="1562100" y="0"/>
          <a:ext cx="104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0</xdr:row>
      <xdr:rowOff>0</xdr:rowOff>
    </xdr:from>
    <xdr:to>
      <xdr:col>11</xdr:col>
      <xdr:colOff>0</xdr:colOff>
      <xdr:row>0</xdr:row>
      <xdr:rowOff>0</xdr:rowOff>
    </xdr:to>
    <xdr:sp macro="" textlink="">
      <xdr:nvSpPr>
        <xdr:cNvPr id="32771" name="WordArt 3">
          <a:extLst>
            <a:ext uri="{FF2B5EF4-FFF2-40B4-BE49-F238E27FC236}">
              <a16:creationId xmlns:a16="http://schemas.microsoft.com/office/drawing/2014/main" id="{00000000-0008-0000-0300-000003800000}"/>
            </a:ext>
          </a:extLst>
        </xdr:cNvPr>
        <xdr:cNvSpPr>
          <a:spLocks noChangeArrowheads="1" noChangeShapeType="1"/>
        </xdr:cNvSpPr>
      </xdr:nvSpPr>
      <xdr:spPr bwMode="auto">
        <a:xfrm>
          <a:off x="628650" y="0"/>
          <a:ext cx="971550" cy="0"/>
        </a:xfrm>
        <a:prstGeom prst="rect">
          <a:avLst/>
        </a:prstGeom>
      </xdr:spPr>
      <xdr:txBody>
        <a:bodyPr wrap="none" fromWordArt="1">
          <a:prstTxWarp prst="textPlain">
            <a:avLst>
              <a:gd name="adj" fmla="val 50000"/>
            </a:avLst>
          </a:prstTxWarp>
        </a:bodyPr>
        <a:lstStyle/>
        <a:p>
          <a:pPr algn="ctr" rtl="0"/>
          <a:r>
            <a:rPr lang="en-US" sz="3600" b="1" kern="10" spc="0">
              <a:ln w="9525">
                <a:noFill/>
                <a:round/>
                <a:headEnd/>
                <a:tailEnd/>
              </a:ln>
              <a:solidFill>
                <a:srgbClr val="000000"/>
              </a:solidFill>
              <a:effectLst>
                <a:outerShdw dist="45791" dir="2021404" algn="ctr" rotWithShape="0">
                  <a:srgbClr val="C0C0C0"/>
                </a:outerShdw>
              </a:effectLst>
              <a:latin typeface="Times New Roman"/>
              <a:cs typeface="Times New Roman"/>
            </a:rPr>
            <a:t>THIếT Kế Kỹ THUậT THI CôNG</a:t>
          </a:r>
        </a:p>
      </xdr:txBody>
    </xdr:sp>
    <xdr:clientData/>
  </xdr:twoCellAnchor>
  <xdr:twoCellAnchor>
    <xdr:from>
      <xdr:col>5</xdr:col>
      <xdr:colOff>0</xdr:colOff>
      <xdr:row>0</xdr:row>
      <xdr:rowOff>0</xdr:rowOff>
    </xdr:from>
    <xdr:to>
      <xdr:col>11</xdr:col>
      <xdr:colOff>0</xdr:colOff>
      <xdr:row>0</xdr:row>
      <xdr:rowOff>0</xdr:rowOff>
    </xdr:to>
    <xdr:sp macro="" textlink="">
      <xdr:nvSpPr>
        <xdr:cNvPr id="32772" name="WordArt 4">
          <a:extLst>
            <a:ext uri="{FF2B5EF4-FFF2-40B4-BE49-F238E27FC236}">
              <a16:creationId xmlns:a16="http://schemas.microsoft.com/office/drawing/2014/main" id="{00000000-0008-0000-0300-000004800000}"/>
            </a:ext>
          </a:extLst>
        </xdr:cNvPr>
        <xdr:cNvSpPr>
          <a:spLocks noChangeArrowheads="1" noChangeShapeType="1"/>
        </xdr:cNvSpPr>
      </xdr:nvSpPr>
      <xdr:spPr bwMode="auto">
        <a:xfrm>
          <a:off x="628650" y="0"/>
          <a:ext cx="971550" cy="0"/>
        </a:xfrm>
        <a:prstGeom prst="rect">
          <a:avLst/>
        </a:prstGeom>
      </xdr:spPr>
      <xdr:txBody>
        <a:bodyPr wrap="none" fromWordArt="1">
          <a:prstTxWarp prst="textPlain">
            <a:avLst>
              <a:gd name="adj" fmla="val 50000"/>
            </a:avLst>
          </a:prstTxWarp>
        </a:bodyPr>
        <a:lstStyle/>
        <a:p>
          <a:pPr algn="ctr" rtl="0"/>
          <a:r>
            <a:rPr lang="en-US" sz="3600" b="1" kern="10" spc="0">
              <a:ln w="9525">
                <a:noFill/>
                <a:round/>
                <a:headEnd/>
                <a:tailEnd/>
              </a:ln>
              <a:solidFill>
                <a:srgbClr val="000000"/>
              </a:solidFill>
              <a:effectLst>
                <a:outerShdw dist="45791" dir="2021404" algn="ctr" rotWithShape="0">
                  <a:srgbClr val="C0C0C0"/>
                </a:outerShdw>
              </a:effectLst>
              <a:latin typeface="Times New Roman"/>
              <a:cs typeface="Times New Roman"/>
            </a:rPr>
            <a:t>THIếT Kế Kỹ THUậT THI CôNG</a:t>
          </a:r>
        </a:p>
      </xdr:txBody>
    </xdr:sp>
    <xdr:clientData/>
  </xdr:twoCellAnchor>
  <xdr:twoCellAnchor>
    <xdr:from>
      <xdr:col>2</xdr:col>
      <xdr:colOff>82550</xdr:colOff>
      <xdr:row>69</xdr:row>
      <xdr:rowOff>0</xdr:rowOff>
    </xdr:from>
    <xdr:to>
      <xdr:col>2</xdr:col>
      <xdr:colOff>158491</xdr:colOff>
      <xdr:row>69</xdr:row>
      <xdr:rowOff>0</xdr:rowOff>
    </xdr:to>
    <xdr:sp macro="" textlink="">
      <xdr:nvSpPr>
        <xdr:cNvPr id="32849" name="Text Box 81">
          <a:extLst>
            <a:ext uri="{FF2B5EF4-FFF2-40B4-BE49-F238E27FC236}">
              <a16:creationId xmlns:a16="http://schemas.microsoft.com/office/drawing/2014/main" id="{00000000-0008-0000-0300-000051800000}"/>
            </a:ext>
          </a:extLst>
        </xdr:cNvPr>
        <xdr:cNvSpPr txBox="1">
          <a:spLocks noChangeArrowheads="1"/>
        </xdr:cNvSpPr>
      </xdr:nvSpPr>
      <xdr:spPr bwMode="auto">
        <a:xfrm>
          <a:off x="228600" y="16973550"/>
          <a:ext cx="7620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900" b="0" i="0" strike="noStrike">
              <a:solidFill>
                <a:srgbClr val="000000"/>
              </a:solidFill>
              <a:latin typeface="Arial"/>
              <a:cs typeface="Arial"/>
            </a:rPr>
            <a:t>22kV</a:t>
          </a:r>
        </a:p>
      </xdr:txBody>
    </xdr:sp>
    <xdr:clientData/>
  </xdr:twoCellAnchor>
  <xdr:twoCellAnchor>
    <xdr:from>
      <xdr:col>6</xdr:col>
      <xdr:colOff>0</xdr:colOff>
      <xdr:row>69</xdr:row>
      <xdr:rowOff>0</xdr:rowOff>
    </xdr:from>
    <xdr:to>
      <xdr:col>6</xdr:col>
      <xdr:colOff>0</xdr:colOff>
      <xdr:row>69</xdr:row>
      <xdr:rowOff>0</xdr:rowOff>
    </xdr:to>
    <xdr:sp macro="" textlink="">
      <xdr:nvSpPr>
        <xdr:cNvPr id="32852" name="Text Box 84">
          <a:extLst>
            <a:ext uri="{FF2B5EF4-FFF2-40B4-BE49-F238E27FC236}">
              <a16:creationId xmlns:a16="http://schemas.microsoft.com/office/drawing/2014/main" id="{00000000-0008-0000-0300-000054800000}"/>
            </a:ext>
          </a:extLst>
        </xdr:cNvPr>
        <xdr:cNvSpPr txBox="1">
          <a:spLocks noChangeArrowheads="1"/>
        </xdr:cNvSpPr>
      </xdr:nvSpPr>
      <xdr:spPr bwMode="auto">
        <a:xfrm>
          <a:off x="790575" y="16973550"/>
          <a:ext cx="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10m</a:t>
          </a:r>
        </a:p>
      </xdr:txBody>
    </xdr:sp>
    <xdr:clientData/>
  </xdr:twoCellAnchor>
  <xdr:twoCellAnchor>
    <xdr:from>
      <xdr:col>9</xdr:col>
      <xdr:colOff>0</xdr:colOff>
      <xdr:row>69</xdr:row>
      <xdr:rowOff>0</xdr:rowOff>
    </xdr:from>
    <xdr:to>
      <xdr:col>9</xdr:col>
      <xdr:colOff>145593</xdr:colOff>
      <xdr:row>69</xdr:row>
      <xdr:rowOff>0</xdr:rowOff>
    </xdr:to>
    <xdr:sp macro="" textlink="">
      <xdr:nvSpPr>
        <xdr:cNvPr id="32853" name="Text Box 85">
          <a:extLst>
            <a:ext uri="{FF2B5EF4-FFF2-40B4-BE49-F238E27FC236}">
              <a16:creationId xmlns:a16="http://schemas.microsoft.com/office/drawing/2014/main" id="{00000000-0008-0000-0300-000055800000}"/>
            </a:ext>
          </a:extLst>
        </xdr:cNvPr>
        <xdr:cNvSpPr txBox="1">
          <a:spLocks noChangeArrowheads="1"/>
        </xdr:cNvSpPr>
      </xdr:nvSpPr>
      <xdr:spPr bwMode="auto">
        <a:xfrm>
          <a:off x="1276350" y="16973550"/>
          <a:ext cx="14287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0,38kV</a:t>
          </a:r>
        </a:p>
      </xdr:txBody>
    </xdr:sp>
    <xdr:clientData/>
  </xdr:twoCellAnchor>
  <xdr:twoCellAnchor>
    <xdr:from>
      <xdr:col>23</xdr:col>
      <xdr:colOff>38100</xdr:colOff>
      <xdr:row>61</xdr:row>
      <xdr:rowOff>76200</xdr:rowOff>
    </xdr:from>
    <xdr:to>
      <xdr:col>37</xdr:col>
      <xdr:colOff>19050</xdr:colOff>
      <xdr:row>65</xdr:row>
      <xdr:rowOff>238125</xdr:rowOff>
    </xdr:to>
    <xdr:sp macro="" textlink="">
      <xdr:nvSpPr>
        <xdr:cNvPr id="139164" name="Rectangle 129">
          <a:extLst>
            <a:ext uri="{FF2B5EF4-FFF2-40B4-BE49-F238E27FC236}">
              <a16:creationId xmlns:a16="http://schemas.microsoft.com/office/drawing/2014/main" id="{00000000-0008-0000-0300-00009C1F0200}"/>
            </a:ext>
          </a:extLst>
        </xdr:cNvPr>
        <xdr:cNvSpPr>
          <a:spLocks noChangeArrowheads="1"/>
        </xdr:cNvSpPr>
      </xdr:nvSpPr>
      <xdr:spPr bwMode="auto">
        <a:xfrm>
          <a:off x="4781550" y="15449550"/>
          <a:ext cx="2247900" cy="1152525"/>
        </a:xfrm>
        <a:prstGeom prst="rect">
          <a:avLst/>
        </a:prstGeom>
        <a:noFill/>
        <a:ln w="9525">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47625</xdr:colOff>
      <xdr:row>62</xdr:row>
      <xdr:rowOff>200025</xdr:rowOff>
    </xdr:from>
    <xdr:to>
      <xdr:col>3</xdr:col>
      <xdr:colOff>47625</xdr:colOff>
      <xdr:row>65</xdr:row>
      <xdr:rowOff>85725</xdr:rowOff>
    </xdr:to>
    <xdr:sp macro="" textlink="">
      <xdr:nvSpPr>
        <xdr:cNvPr id="139165" name="Line 130">
          <a:extLst>
            <a:ext uri="{FF2B5EF4-FFF2-40B4-BE49-F238E27FC236}">
              <a16:creationId xmlns:a16="http://schemas.microsoft.com/office/drawing/2014/main" id="{00000000-0008-0000-0300-00009D1F0200}"/>
            </a:ext>
          </a:extLst>
        </xdr:cNvPr>
        <xdr:cNvSpPr>
          <a:spLocks noChangeShapeType="1"/>
        </xdr:cNvSpPr>
      </xdr:nvSpPr>
      <xdr:spPr bwMode="auto">
        <a:xfrm>
          <a:off x="1552575" y="15821025"/>
          <a:ext cx="0" cy="62865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28575</xdr:colOff>
      <xdr:row>64</xdr:row>
      <xdr:rowOff>0</xdr:rowOff>
    </xdr:from>
    <xdr:to>
      <xdr:col>23</xdr:col>
      <xdr:colOff>95250</xdr:colOff>
      <xdr:row>64</xdr:row>
      <xdr:rowOff>0</xdr:rowOff>
    </xdr:to>
    <xdr:sp macro="" textlink="">
      <xdr:nvSpPr>
        <xdr:cNvPr id="139166" name="Line 131">
          <a:extLst>
            <a:ext uri="{FF2B5EF4-FFF2-40B4-BE49-F238E27FC236}">
              <a16:creationId xmlns:a16="http://schemas.microsoft.com/office/drawing/2014/main" id="{00000000-0008-0000-0300-00009E1F0200}"/>
            </a:ext>
          </a:extLst>
        </xdr:cNvPr>
        <xdr:cNvSpPr>
          <a:spLocks noChangeShapeType="1"/>
        </xdr:cNvSpPr>
      </xdr:nvSpPr>
      <xdr:spPr bwMode="auto">
        <a:xfrm>
          <a:off x="2505075" y="16116300"/>
          <a:ext cx="23336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28575</xdr:colOff>
      <xdr:row>63</xdr:row>
      <xdr:rowOff>28575</xdr:rowOff>
    </xdr:from>
    <xdr:to>
      <xdr:col>9</xdr:col>
      <xdr:colOff>28575</xdr:colOff>
      <xdr:row>64</xdr:row>
      <xdr:rowOff>209550</xdr:rowOff>
    </xdr:to>
    <xdr:grpSp>
      <xdr:nvGrpSpPr>
        <xdr:cNvPr id="139167" name="Group 132">
          <a:extLst>
            <a:ext uri="{FF2B5EF4-FFF2-40B4-BE49-F238E27FC236}">
              <a16:creationId xmlns:a16="http://schemas.microsoft.com/office/drawing/2014/main" id="{00000000-0008-0000-0300-00009F1F0200}"/>
            </a:ext>
          </a:extLst>
        </xdr:cNvPr>
        <xdr:cNvGrpSpPr>
          <a:grpSpLocks/>
        </xdr:cNvGrpSpPr>
      </xdr:nvGrpSpPr>
      <xdr:grpSpPr bwMode="auto">
        <a:xfrm>
          <a:off x="1857375" y="15897225"/>
          <a:ext cx="647700" cy="428625"/>
          <a:chOff x="61" y="981"/>
          <a:chExt cx="72" cy="47"/>
        </a:xfrm>
      </xdr:grpSpPr>
      <xdr:sp macro="" textlink="">
        <xdr:nvSpPr>
          <xdr:cNvPr id="143361" name="Oval 133">
            <a:extLst>
              <a:ext uri="{FF2B5EF4-FFF2-40B4-BE49-F238E27FC236}">
                <a16:creationId xmlns:a16="http://schemas.microsoft.com/office/drawing/2014/main" id="{00000000-0008-0000-0300-000001300200}"/>
              </a:ext>
            </a:extLst>
          </xdr:cNvPr>
          <xdr:cNvSpPr>
            <a:spLocks noChangeArrowheads="1"/>
          </xdr:cNvSpPr>
        </xdr:nvSpPr>
        <xdr:spPr bwMode="auto">
          <a:xfrm>
            <a:off x="61" y="981"/>
            <a:ext cx="49" cy="46"/>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3362" name="Oval 134">
            <a:extLst>
              <a:ext uri="{FF2B5EF4-FFF2-40B4-BE49-F238E27FC236}">
                <a16:creationId xmlns:a16="http://schemas.microsoft.com/office/drawing/2014/main" id="{00000000-0008-0000-0300-000002300200}"/>
              </a:ext>
            </a:extLst>
          </xdr:cNvPr>
          <xdr:cNvSpPr>
            <a:spLocks noChangeArrowheads="1"/>
          </xdr:cNvSpPr>
        </xdr:nvSpPr>
        <xdr:spPr bwMode="auto">
          <a:xfrm>
            <a:off x="84" y="982"/>
            <a:ext cx="49" cy="46"/>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24</xdr:col>
      <xdr:colOff>19050</xdr:colOff>
      <xdr:row>64</xdr:row>
      <xdr:rowOff>0</xdr:rowOff>
    </xdr:from>
    <xdr:to>
      <xdr:col>30</xdr:col>
      <xdr:colOff>47625</xdr:colOff>
      <xdr:row>64</xdr:row>
      <xdr:rowOff>219075</xdr:rowOff>
    </xdr:to>
    <xdr:grpSp>
      <xdr:nvGrpSpPr>
        <xdr:cNvPr id="139168" name="Group 135">
          <a:extLst>
            <a:ext uri="{FF2B5EF4-FFF2-40B4-BE49-F238E27FC236}">
              <a16:creationId xmlns:a16="http://schemas.microsoft.com/office/drawing/2014/main" id="{00000000-0008-0000-0300-0000A01F0200}"/>
            </a:ext>
          </a:extLst>
        </xdr:cNvPr>
        <xdr:cNvGrpSpPr>
          <a:grpSpLocks/>
        </xdr:cNvGrpSpPr>
      </xdr:nvGrpSpPr>
      <xdr:grpSpPr bwMode="auto">
        <a:xfrm>
          <a:off x="4924425" y="16116300"/>
          <a:ext cx="1000125" cy="219075"/>
          <a:chOff x="390" y="1003"/>
          <a:chExt cx="95" cy="19"/>
        </a:xfrm>
      </xdr:grpSpPr>
      <xdr:sp macro="" textlink="">
        <xdr:nvSpPr>
          <xdr:cNvPr id="139263" name="Line 136">
            <a:extLst>
              <a:ext uri="{FF2B5EF4-FFF2-40B4-BE49-F238E27FC236}">
                <a16:creationId xmlns:a16="http://schemas.microsoft.com/office/drawing/2014/main" id="{00000000-0008-0000-0300-0000FF1F0200}"/>
              </a:ext>
            </a:extLst>
          </xdr:cNvPr>
          <xdr:cNvSpPr>
            <a:spLocks noChangeShapeType="1"/>
          </xdr:cNvSpPr>
        </xdr:nvSpPr>
        <xdr:spPr bwMode="auto">
          <a:xfrm>
            <a:off x="415" y="1003"/>
            <a:ext cx="7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3360" name="Line 137">
            <a:extLst>
              <a:ext uri="{FF2B5EF4-FFF2-40B4-BE49-F238E27FC236}">
                <a16:creationId xmlns:a16="http://schemas.microsoft.com/office/drawing/2014/main" id="{00000000-0008-0000-0300-000000300200}"/>
              </a:ext>
            </a:extLst>
          </xdr:cNvPr>
          <xdr:cNvSpPr>
            <a:spLocks noChangeShapeType="1"/>
          </xdr:cNvSpPr>
        </xdr:nvSpPr>
        <xdr:spPr bwMode="auto">
          <a:xfrm flipH="1">
            <a:off x="390" y="1003"/>
            <a:ext cx="26"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30</xdr:col>
      <xdr:colOff>38100</xdr:colOff>
      <xdr:row>62</xdr:row>
      <xdr:rowOff>200025</xdr:rowOff>
    </xdr:from>
    <xdr:to>
      <xdr:col>30</xdr:col>
      <xdr:colOff>38100</xdr:colOff>
      <xdr:row>65</xdr:row>
      <xdr:rowOff>85725</xdr:rowOff>
    </xdr:to>
    <xdr:sp macro="" textlink="">
      <xdr:nvSpPr>
        <xdr:cNvPr id="139169" name="Line 138">
          <a:extLst>
            <a:ext uri="{FF2B5EF4-FFF2-40B4-BE49-F238E27FC236}">
              <a16:creationId xmlns:a16="http://schemas.microsoft.com/office/drawing/2014/main" id="{00000000-0008-0000-0300-0000A11F0200}"/>
            </a:ext>
          </a:extLst>
        </xdr:cNvPr>
        <xdr:cNvSpPr>
          <a:spLocks noChangeShapeType="1"/>
        </xdr:cNvSpPr>
      </xdr:nvSpPr>
      <xdr:spPr bwMode="auto">
        <a:xfrm>
          <a:off x="5915025" y="15821025"/>
          <a:ext cx="0" cy="62865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38100</xdr:colOff>
      <xdr:row>63</xdr:row>
      <xdr:rowOff>66675</xdr:rowOff>
    </xdr:from>
    <xdr:to>
      <xdr:col>34</xdr:col>
      <xdr:colOff>38100</xdr:colOff>
      <xdr:row>63</xdr:row>
      <xdr:rowOff>66675</xdr:rowOff>
    </xdr:to>
    <xdr:sp macro="" textlink="">
      <xdr:nvSpPr>
        <xdr:cNvPr id="139170" name="Line 139">
          <a:extLst>
            <a:ext uri="{FF2B5EF4-FFF2-40B4-BE49-F238E27FC236}">
              <a16:creationId xmlns:a16="http://schemas.microsoft.com/office/drawing/2014/main" id="{00000000-0008-0000-0300-0000A21F0200}"/>
            </a:ext>
          </a:extLst>
        </xdr:cNvPr>
        <xdr:cNvSpPr>
          <a:spLocks noChangeShapeType="1"/>
        </xdr:cNvSpPr>
      </xdr:nvSpPr>
      <xdr:spPr bwMode="auto">
        <a:xfrm>
          <a:off x="5915025" y="15935325"/>
          <a:ext cx="647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38100</xdr:colOff>
      <xdr:row>64</xdr:row>
      <xdr:rowOff>200025</xdr:rowOff>
    </xdr:from>
    <xdr:to>
      <xdr:col>34</xdr:col>
      <xdr:colOff>38100</xdr:colOff>
      <xdr:row>64</xdr:row>
      <xdr:rowOff>200025</xdr:rowOff>
    </xdr:to>
    <xdr:sp macro="" textlink="">
      <xdr:nvSpPr>
        <xdr:cNvPr id="139171" name="Line 140">
          <a:extLst>
            <a:ext uri="{FF2B5EF4-FFF2-40B4-BE49-F238E27FC236}">
              <a16:creationId xmlns:a16="http://schemas.microsoft.com/office/drawing/2014/main" id="{00000000-0008-0000-0300-0000A31F0200}"/>
            </a:ext>
          </a:extLst>
        </xdr:cNvPr>
        <xdr:cNvSpPr>
          <a:spLocks noChangeShapeType="1"/>
        </xdr:cNvSpPr>
      </xdr:nvSpPr>
      <xdr:spPr bwMode="auto">
        <a:xfrm>
          <a:off x="5915025" y="16316325"/>
          <a:ext cx="647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9525</xdr:colOff>
      <xdr:row>62</xdr:row>
      <xdr:rowOff>28575</xdr:rowOff>
    </xdr:from>
    <xdr:to>
      <xdr:col>22</xdr:col>
      <xdr:colOff>142875</xdr:colOff>
      <xdr:row>63</xdr:row>
      <xdr:rowOff>200025</xdr:rowOff>
    </xdr:to>
    <xdr:sp macro="" textlink="">
      <xdr:nvSpPr>
        <xdr:cNvPr id="139172" name="Line 141">
          <a:extLst>
            <a:ext uri="{FF2B5EF4-FFF2-40B4-BE49-F238E27FC236}">
              <a16:creationId xmlns:a16="http://schemas.microsoft.com/office/drawing/2014/main" id="{00000000-0008-0000-0300-0000A41F0200}"/>
            </a:ext>
          </a:extLst>
        </xdr:cNvPr>
        <xdr:cNvSpPr>
          <a:spLocks noChangeShapeType="1"/>
        </xdr:cNvSpPr>
      </xdr:nvSpPr>
      <xdr:spPr bwMode="auto">
        <a:xfrm>
          <a:off x="4429125" y="15649575"/>
          <a:ext cx="295275" cy="419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xdr:colOff>
      <xdr:row>62</xdr:row>
      <xdr:rowOff>19050</xdr:rowOff>
    </xdr:from>
    <xdr:to>
      <xdr:col>29</xdr:col>
      <xdr:colOff>152400</xdr:colOff>
      <xdr:row>63</xdr:row>
      <xdr:rowOff>180975</xdr:rowOff>
    </xdr:to>
    <xdr:sp macro="" textlink="">
      <xdr:nvSpPr>
        <xdr:cNvPr id="139173" name="Line 142">
          <a:extLst>
            <a:ext uri="{FF2B5EF4-FFF2-40B4-BE49-F238E27FC236}">
              <a16:creationId xmlns:a16="http://schemas.microsoft.com/office/drawing/2014/main" id="{00000000-0008-0000-0300-0000A51F0200}"/>
            </a:ext>
          </a:extLst>
        </xdr:cNvPr>
        <xdr:cNvSpPr>
          <a:spLocks noChangeShapeType="1"/>
        </xdr:cNvSpPr>
      </xdr:nvSpPr>
      <xdr:spPr bwMode="auto">
        <a:xfrm>
          <a:off x="5476875" y="15640050"/>
          <a:ext cx="390525" cy="4095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47625</xdr:colOff>
      <xdr:row>64</xdr:row>
      <xdr:rowOff>0</xdr:rowOff>
    </xdr:from>
    <xdr:to>
      <xdr:col>5</xdr:col>
      <xdr:colOff>28575</xdr:colOff>
      <xdr:row>64</xdr:row>
      <xdr:rowOff>0</xdr:rowOff>
    </xdr:to>
    <xdr:sp macro="" textlink="">
      <xdr:nvSpPr>
        <xdr:cNvPr id="139174" name="Line 143">
          <a:extLst>
            <a:ext uri="{FF2B5EF4-FFF2-40B4-BE49-F238E27FC236}">
              <a16:creationId xmlns:a16="http://schemas.microsoft.com/office/drawing/2014/main" id="{00000000-0008-0000-0300-0000A61F0200}"/>
            </a:ext>
          </a:extLst>
        </xdr:cNvPr>
        <xdr:cNvSpPr>
          <a:spLocks noChangeShapeType="1"/>
        </xdr:cNvSpPr>
      </xdr:nvSpPr>
      <xdr:spPr bwMode="auto">
        <a:xfrm>
          <a:off x="1552575" y="16116300"/>
          <a:ext cx="304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101600</xdr:colOff>
      <xdr:row>61</xdr:row>
      <xdr:rowOff>57150</xdr:rowOff>
    </xdr:from>
    <xdr:to>
      <xdr:col>22</xdr:col>
      <xdr:colOff>28651</xdr:colOff>
      <xdr:row>62</xdr:row>
      <xdr:rowOff>38100</xdr:rowOff>
    </xdr:to>
    <xdr:sp macro="" textlink="">
      <xdr:nvSpPr>
        <xdr:cNvPr id="32913" name="Text Box 145">
          <a:extLst>
            <a:ext uri="{FF2B5EF4-FFF2-40B4-BE49-F238E27FC236}">
              <a16:creationId xmlns:a16="http://schemas.microsoft.com/office/drawing/2014/main" id="{00000000-0008-0000-0300-000091800000}"/>
            </a:ext>
          </a:extLst>
        </xdr:cNvPr>
        <xdr:cNvSpPr txBox="1">
          <a:spLocks noChangeArrowheads="1"/>
        </xdr:cNvSpPr>
      </xdr:nvSpPr>
      <xdr:spPr bwMode="auto">
        <a:xfrm>
          <a:off x="3000375" y="15049500"/>
          <a:ext cx="409575" cy="228600"/>
        </a:xfrm>
        <a:prstGeom prst="rect">
          <a:avLst/>
        </a:prstGeom>
        <a:noFill/>
        <a:ln w="9525" algn="ctr">
          <a:noFill/>
          <a:miter lim="800000"/>
          <a:headEnd/>
          <a:tailEnd/>
        </a:ln>
        <a:effectLst/>
      </xdr:spPr>
      <xdr:txBody>
        <a:bodyPr vertOverflow="clip" wrap="square" lIns="36576" tIns="27432" rIns="36576" bIns="0" anchor="t" upright="1"/>
        <a:lstStyle/>
        <a:p>
          <a:pPr algn="ctr" rtl="1">
            <a:defRPr sz="1000"/>
          </a:pPr>
          <a:r>
            <a:rPr lang="en-US" sz="1300" b="1" i="0" strike="noStrike">
              <a:solidFill>
                <a:srgbClr val="000000"/>
              </a:solidFill>
              <a:latin typeface="Times New Roman"/>
              <a:cs typeface="Times New Roman"/>
            </a:rPr>
            <a:t>N1</a:t>
          </a:r>
        </a:p>
      </xdr:txBody>
    </xdr:sp>
    <xdr:clientData/>
  </xdr:twoCellAnchor>
  <xdr:twoCellAnchor>
    <xdr:from>
      <xdr:col>26</xdr:col>
      <xdr:colOff>28575</xdr:colOff>
      <xdr:row>61</xdr:row>
      <xdr:rowOff>76200</xdr:rowOff>
    </xdr:from>
    <xdr:to>
      <xdr:col>28</xdr:col>
      <xdr:colOff>101674</xdr:colOff>
      <xdr:row>62</xdr:row>
      <xdr:rowOff>57150</xdr:rowOff>
    </xdr:to>
    <xdr:sp macro="" textlink="">
      <xdr:nvSpPr>
        <xdr:cNvPr id="32915" name="Text Box 147">
          <a:extLst>
            <a:ext uri="{FF2B5EF4-FFF2-40B4-BE49-F238E27FC236}">
              <a16:creationId xmlns:a16="http://schemas.microsoft.com/office/drawing/2014/main" id="{00000000-0008-0000-0300-000093800000}"/>
            </a:ext>
          </a:extLst>
        </xdr:cNvPr>
        <xdr:cNvSpPr txBox="1">
          <a:spLocks noChangeArrowheads="1"/>
        </xdr:cNvSpPr>
      </xdr:nvSpPr>
      <xdr:spPr bwMode="auto">
        <a:xfrm>
          <a:off x="4057650" y="15068550"/>
          <a:ext cx="400050" cy="228600"/>
        </a:xfrm>
        <a:prstGeom prst="rect">
          <a:avLst/>
        </a:prstGeom>
        <a:noFill/>
        <a:ln w="9525" algn="ctr">
          <a:noFill/>
          <a:miter lim="800000"/>
          <a:headEnd/>
          <a:tailEnd/>
        </a:ln>
        <a:effectLst/>
      </xdr:spPr>
      <xdr:txBody>
        <a:bodyPr vertOverflow="clip" wrap="square" lIns="36576" tIns="27432" rIns="36576" bIns="0" anchor="t" upright="1"/>
        <a:lstStyle/>
        <a:p>
          <a:pPr algn="ctr" rtl="1">
            <a:defRPr sz="1000"/>
          </a:pPr>
          <a:r>
            <a:rPr lang="en-US" sz="1300" b="1" i="0" strike="noStrike">
              <a:solidFill>
                <a:srgbClr val="000000"/>
              </a:solidFill>
              <a:latin typeface="Times New Roman"/>
              <a:cs typeface="Times New Roman"/>
            </a:rPr>
            <a:t>N</a:t>
          </a:r>
        </a:p>
      </xdr:txBody>
    </xdr:sp>
    <xdr:clientData/>
  </xdr:twoCellAnchor>
  <xdr:twoCellAnchor>
    <xdr:from>
      <xdr:col>6</xdr:col>
      <xdr:colOff>0</xdr:colOff>
      <xdr:row>211</xdr:row>
      <xdr:rowOff>161925</xdr:rowOff>
    </xdr:from>
    <xdr:to>
      <xdr:col>6</xdr:col>
      <xdr:colOff>0</xdr:colOff>
      <xdr:row>213</xdr:row>
      <xdr:rowOff>117475</xdr:rowOff>
    </xdr:to>
    <xdr:sp macro="" textlink="">
      <xdr:nvSpPr>
        <xdr:cNvPr id="32952" name="Text Box 184">
          <a:extLst>
            <a:ext uri="{FF2B5EF4-FFF2-40B4-BE49-F238E27FC236}">
              <a16:creationId xmlns:a16="http://schemas.microsoft.com/office/drawing/2014/main" id="{00000000-0008-0000-0300-0000B8800000}"/>
            </a:ext>
          </a:extLst>
        </xdr:cNvPr>
        <xdr:cNvSpPr txBox="1">
          <a:spLocks noChangeArrowheads="1"/>
        </xdr:cNvSpPr>
      </xdr:nvSpPr>
      <xdr:spPr bwMode="auto">
        <a:xfrm>
          <a:off x="790575" y="51158775"/>
          <a:ext cx="0" cy="45720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l-GR" sz="1000" b="0" i="0" strike="noStrike">
              <a:solidFill>
                <a:srgbClr val="000000"/>
              </a:solidFill>
              <a:latin typeface="Arial"/>
              <a:cs typeface="Arial"/>
            </a:rPr>
            <a:t>1</a:t>
          </a:r>
        </a:p>
        <a:p>
          <a:pPr algn="ctr" rtl="1">
            <a:defRPr sz="1000"/>
          </a:pPr>
          <a:r>
            <a:rPr lang="el-GR" sz="1000" b="0" i="0" strike="noStrike">
              <a:solidFill>
                <a:srgbClr val="000000"/>
              </a:solidFill>
              <a:latin typeface="Arial"/>
              <a:cs typeface="Arial"/>
            </a:rPr>
            <a:t>2*Π*</a:t>
          </a:r>
          <a:r>
            <a:rPr lang="en-US" sz="1000" b="0" i="0" strike="noStrike">
              <a:solidFill>
                <a:srgbClr val="000000"/>
              </a:solidFill>
              <a:latin typeface="Arial"/>
              <a:cs typeface="Arial"/>
            </a:rPr>
            <a:t>L</a:t>
          </a:r>
        </a:p>
      </xdr:txBody>
    </xdr:sp>
    <xdr:clientData/>
  </xdr:twoCellAnchor>
  <xdr:twoCellAnchor>
    <xdr:from>
      <xdr:col>5</xdr:col>
      <xdr:colOff>200025</xdr:colOff>
      <xdr:row>212</xdr:row>
      <xdr:rowOff>142875</xdr:rowOff>
    </xdr:from>
    <xdr:to>
      <xdr:col>5</xdr:col>
      <xdr:colOff>161925</xdr:colOff>
      <xdr:row>212</xdr:row>
      <xdr:rowOff>142875</xdr:rowOff>
    </xdr:to>
    <xdr:sp macro="" textlink="">
      <xdr:nvSpPr>
        <xdr:cNvPr id="139178" name="Line 185">
          <a:extLst>
            <a:ext uri="{FF2B5EF4-FFF2-40B4-BE49-F238E27FC236}">
              <a16:creationId xmlns:a16="http://schemas.microsoft.com/office/drawing/2014/main" id="{00000000-0008-0000-0300-0000AA1F0200}"/>
            </a:ext>
          </a:extLst>
        </xdr:cNvPr>
        <xdr:cNvSpPr>
          <a:spLocks noChangeShapeType="1"/>
        </xdr:cNvSpPr>
      </xdr:nvSpPr>
      <xdr:spPr bwMode="auto">
        <a:xfrm>
          <a:off x="1990725" y="52301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211</xdr:row>
      <xdr:rowOff>152400</xdr:rowOff>
    </xdr:from>
    <xdr:to>
      <xdr:col>6</xdr:col>
      <xdr:colOff>590550</xdr:colOff>
      <xdr:row>213</xdr:row>
      <xdr:rowOff>114300</xdr:rowOff>
    </xdr:to>
    <xdr:grpSp>
      <xdr:nvGrpSpPr>
        <xdr:cNvPr id="139179" name="Group 187">
          <a:extLst>
            <a:ext uri="{FF2B5EF4-FFF2-40B4-BE49-F238E27FC236}">
              <a16:creationId xmlns:a16="http://schemas.microsoft.com/office/drawing/2014/main" id="{00000000-0008-0000-0300-0000AB1F0200}"/>
            </a:ext>
          </a:extLst>
        </xdr:cNvPr>
        <xdr:cNvGrpSpPr>
          <a:grpSpLocks/>
        </xdr:cNvGrpSpPr>
      </xdr:nvGrpSpPr>
      <xdr:grpSpPr bwMode="auto">
        <a:xfrm>
          <a:off x="2152650" y="52063650"/>
          <a:ext cx="0" cy="457200"/>
          <a:chOff x="373" y="1124"/>
          <a:chExt cx="22" cy="36"/>
        </a:xfrm>
      </xdr:grpSpPr>
      <xdr:sp macro="" textlink="">
        <xdr:nvSpPr>
          <xdr:cNvPr id="32956" name="Text Box 188">
            <a:extLst>
              <a:ext uri="{FF2B5EF4-FFF2-40B4-BE49-F238E27FC236}">
                <a16:creationId xmlns:a16="http://schemas.microsoft.com/office/drawing/2014/main" id="{00000000-0008-0000-0300-0000BC800000}"/>
              </a:ext>
            </a:extLst>
          </xdr:cNvPr>
          <xdr:cNvSpPr txBox="1">
            <a:spLocks noChangeArrowheads="1"/>
          </xdr:cNvSpPr>
        </xdr:nvSpPr>
        <xdr:spPr bwMode="auto">
          <a:xfrm>
            <a:off x="2152650" y="52054125"/>
            <a:ext cx="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2L</a:t>
            </a:r>
          </a:p>
          <a:p>
            <a:pPr algn="ctr" rtl="1">
              <a:defRPr sz="1000"/>
            </a:pPr>
            <a:r>
              <a:rPr lang="en-US" sz="1000" b="0" i="0" strike="noStrike">
                <a:solidFill>
                  <a:srgbClr val="000000"/>
                </a:solidFill>
                <a:latin typeface="Arial"/>
                <a:cs typeface="Arial"/>
              </a:rPr>
              <a:t>d</a:t>
            </a:r>
          </a:p>
        </xdr:txBody>
      </xdr:sp>
      <xdr:sp macro="" textlink="">
        <xdr:nvSpPr>
          <xdr:cNvPr id="139262" name="Line 189">
            <a:extLst>
              <a:ext uri="{FF2B5EF4-FFF2-40B4-BE49-F238E27FC236}">
                <a16:creationId xmlns:a16="http://schemas.microsoft.com/office/drawing/2014/main" id="{00000000-0008-0000-0300-0000FE1F0200}"/>
              </a:ext>
            </a:extLst>
          </xdr:cNvPr>
          <xdr:cNvSpPr>
            <a:spLocks noChangeShapeType="1"/>
          </xdr:cNvSpPr>
        </xdr:nvSpPr>
        <xdr:spPr bwMode="auto">
          <a:xfrm>
            <a:off x="375" y="1142"/>
            <a:ext cx="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7</xdr:col>
      <xdr:colOff>0</xdr:colOff>
      <xdr:row>226</xdr:row>
      <xdr:rowOff>0</xdr:rowOff>
    </xdr:from>
    <xdr:to>
      <xdr:col>7</xdr:col>
      <xdr:colOff>9525</xdr:colOff>
      <xdr:row>226</xdr:row>
      <xdr:rowOff>0</xdr:rowOff>
    </xdr:to>
    <xdr:sp macro="" textlink="">
      <xdr:nvSpPr>
        <xdr:cNvPr id="32966" name="Text Box 198">
          <a:extLst>
            <a:ext uri="{FF2B5EF4-FFF2-40B4-BE49-F238E27FC236}">
              <a16:creationId xmlns:a16="http://schemas.microsoft.com/office/drawing/2014/main" id="{00000000-0008-0000-0300-0000C6800000}"/>
            </a:ext>
          </a:extLst>
        </xdr:cNvPr>
        <xdr:cNvSpPr txBox="1">
          <a:spLocks noChangeArrowheads="1"/>
        </xdr:cNvSpPr>
      </xdr:nvSpPr>
      <xdr:spPr bwMode="auto">
        <a:xfrm>
          <a:off x="952500" y="54711600"/>
          <a:ext cx="95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a:t>
          </a:r>
        </a:p>
      </xdr:txBody>
    </xdr:sp>
    <xdr:clientData/>
  </xdr:twoCellAnchor>
  <xdr:twoCellAnchor>
    <xdr:from>
      <xdr:col>8</xdr:col>
      <xdr:colOff>0</xdr:colOff>
      <xdr:row>226</xdr:row>
      <xdr:rowOff>0</xdr:rowOff>
    </xdr:from>
    <xdr:to>
      <xdr:col>8</xdr:col>
      <xdr:colOff>73378</xdr:colOff>
      <xdr:row>226</xdr:row>
      <xdr:rowOff>0</xdr:rowOff>
    </xdr:to>
    <xdr:sp macro="" textlink="">
      <xdr:nvSpPr>
        <xdr:cNvPr id="32968" name="Text Box 200">
          <a:extLst>
            <a:ext uri="{FF2B5EF4-FFF2-40B4-BE49-F238E27FC236}">
              <a16:creationId xmlns:a16="http://schemas.microsoft.com/office/drawing/2014/main" id="{00000000-0008-0000-0300-0000C8800000}"/>
            </a:ext>
          </a:extLst>
        </xdr:cNvPr>
        <xdr:cNvSpPr txBox="1">
          <a:spLocks noChangeArrowheads="1"/>
        </xdr:cNvSpPr>
      </xdr:nvSpPr>
      <xdr:spPr bwMode="auto">
        <a:xfrm>
          <a:off x="1114425" y="54711600"/>
          <a:ext cx="7620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a:t>
          </a:r>
        </a:p>
      </xdr:txBody>
    </xdr:sp>
    <xdr:clientData/>
  </xdr:twoCellAnchor>
  <xdr:twoCellAnchor>
    <xdr:from>
      <xdr:col>8</xdr:col>
      <xdr:colOff>0</xdr:colOff>
      <xdr:row>573</xdr:row>
      <xdr:rowOff>0</xdr:rowOff>
    </xdr:from>
    <xdr:to>
      <xdr:col>9</xdr:col>
      <xdr:colOff>9525</xdr:colOff>
      <xdr:row>573</xdr:row>
      <xdr:rowOff>0</xdr:rowOff>
    </xdr:to>
    <xdr:sp macro="" textlink="">
      <xdr:nvSpPr>
        <xdr:cNvPr id="32969" name="Text Box 201">
          <a:extLst>
            <a:ext uri="{FF2B5EF4-FFF2-40B4-BE49-F238E27FC236}">
              <a16:creationId xmlns:a16="http://schemas.microsoft.com/office/drawing/2014/main" id="{00000000-0008-0000-0300-0000C9800000}"/>
            </a:ext>
          </a:extLst>
        </xdr:cNvPr>
        <xdr:cNvSpPr txBox="1">
          <a:spLocks noChangeArrowheads="1"/>
        </xdr:cNvSpPr>
      </xdr:nvSpPr>
      <xdr:spPr bwMode="auto">
        <a:xfrm>
          <a:off x="1114425" y="127463550"/>
          <a:ext cx="17145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x</a:t>
          </a:r>
          <a:r>
            <a:rPr lang="en-US" sz="1000" b="0" i="0" strike="noStrike" baseline="-25000">
              <a:solidFill>
                <a:srgbClr val="000000"/>
              </a:solidFill>
              <a:latin typeface="Arial"/>
              <a:cs typeface="Arial"/>
            </a:rPr>
            <a:t>0</a:t>
          </a:r>
          <a:r>
            <a:rPr lang="en-US" sz="1000" b="0" i="0" strike="noStrike">
              <a:solidFill>
                <a:srgbClr val="000000"/>
              </a:solidFill>
              <a:latin typeface="Arial"/>
              <a:cs typeface="Arial"/>
            </a:rPr>
            <a:t>x</a:t>
          </a:r>
        </a:p>
      </xdr:txBody>
    </xdr:sp>
    <xdr:clientData/>
  </xdr:twoCellAnchor>
  <xdr:twoCellAnchor>
    <xdr:from>
      <xdr:col>9</xdr:col>
      <xdr:colOff>0</xdr:colOff>
      <xdr:row>573</xdr:row>
      <xdr:rowOff>0</xdr:rowOff>
    </xdr:from>
    <xdr:to>
      <xdr:col>10</xdr:col>
      <xdr:colOff>19050</xdr:colOff>
      <xdr:row>573</xdr:row>
      <xdr:rowOff>0</xdr:rowOff>
    </xdr:to>
    <xdr:sp macro="" textlink="">
      <xdr:nvSpPr>
        <xdr:cNvPr id="32970" name="Text Box 202">
          <a:extLst>
            <a:ext uri="{FF2B5EF4-FFF2-40B4-BE49-F238E27FC236}">
              <a16:creationId xmlns:a16="http://schemas.microsoft.com/office/drawing/2014/main" id="{00000000-0008-0000-0300-0000CA800000}"/>
            </a:ext>
          </a:extLst>
        </xdr:cNvPr>
        <xdr:cNvSpPr txBox="1">
          <a:spLocks noChangeArrowheads="1"/>
        </xdr:cNvSpPr>
      </xdr:nvSpPr>
      <xdr:spPr bwMode="auto">
        <a:xfrm>
          <a:off x="1276350" y="127463550"/>
          <a:ext cx="18097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sin</a:t>
          </a:r>
          <a:r>
            <a:rPr lang="el-GR" sz="1000" b="0" i="0" strike="noStrike">
              <a:solidFill>
                <a:srgbClr val="000000"/>
              </a:solidFill>
              <a:latin typeface="Tahoma"/>
              <a:cs typeface="Tahoma"/>
            </a:rPr>
            <a:t>φ</a:t>
          </a:r>
        </a:p>
      </xdr:txBody>
    </xdr:sp>
    <xdr:clientData/>
  </xdr:twoCellAnchor>
  <xdr:twoCellAnchor>
    <xdr:from>
      <xdr:col>5</xdr:col>
      <xdr:colOff>155575</xdr:colOff>
      <xdr:row>573</xdr:row>
      <xdr:rowOff>0</xdr:rowOff>
    </xdr:from>
    <xdr:to>
      <xdr:col>7</xdr:col>
      <xdr:colOff>161832</xdr:colOff>
      <xdr:row>573</xdr:row>
      <xdr:rowOff>0</xdr:rowOff>
    </xdr:to>
    <xdr:sp macro="" textlink="">
      <xdr:nvSpPr>
        <xdr:cNvPr id="32971" name="Text Box 203">
          <a:extLst>
            <a:ext uri="{FF2B5EF4-FFF2-40B4-BE49-F238E27FC236}">
              <a16:creationId xmlns:a16="http://schemas.microsoft.com/office/drawing/2014/main" id="{00000000-0008-0000-0300-0000CB800000}"/>
            </a:ext>
          </a:extLst>
        </xdr:cNvPr>
        <xdr:cNvSpPr txBox="1">
          <a:spLocks noChangeArrowheads="1"/>
        </xdr:cNvSpPr>
      </xdr:nvSpPr>
      <xdr:spPr bwMode="auto">
        <a:xfrm>
          <a:off x="781050" y="127463550"/>
          <a:ext cx="33337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Symbol"/>
            </a:rPr>
            <a:t>D</a:t>
          </a:r>
          <a:r>
            <a:rPr lang="en-US" sz="1000" b="0" i="0" strike="noStrike">
              <a:solidFill>
                <a:srgbClr val="000000"/>
              </a:solidFill>
              <a:latin typeface="Arial"/>
              <a:cs typeface="Arial"/>
            </a:rPr>
            <a:t>U</a:t>
          </a:r>
          <a:r>
            <a:rPr lang="en-US" sz="1000" b="0" i="0" strike="noStrike" baseline="-25000">
              <a:solidFill>
                <a:srgbClr val="000000"/>
              </a:solidFill>
              <a:latin typeface="Arial"/>
              <a:cs typeface="Arial"/>
            </a:rPr>
            <a:t>cp</a:t>
          </a:r>
          <a:r>
            <a:rPr lang="en-US" sz="1000" b="0" i="0" strike="noStrike">
              <a:solidFill>
                <a:srgbClr val="000000"/>
              </a:solidFill>
              <a:latin typeface="Arial"/>
              <a:cs typeface="Arial"/>
            </a:rPr>
            <a:t>%x10xU</a:t>
          </a:r>
          <a:r>
            <a:rPr lang="en-US" sz="1000" b="0" i="0" strike="noStrike" baseline="30000">
              <a:solidFill>
                <a:srgbClr val="000000"/>
              </a:solidFill>
              <a:latin typeface="Arial"/>
              <a:cs typeface="Arial"/>
            </a:rPr>
            <a:t>2</a:t>
          </a:r>
          <a:r>
            <a:rPr lang="en-US" sz="1000" b="0" i="0" strike="noStrike" baseline="-25000">
              <a:solidFill>
                <a:srgbClr val="000000"/>
              </a:solidFill>
              <a:latin typeface="Arial"/>
              <a:cs typeface="Arial"/>
            </a:rPr>
            <a:t>dm</a:t>
          </a: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S</a:t>
          </a:r>
          <a:r>
            <a:rPr lang="en-US" sz="1000" b="0" i="0" strike="noStrike" baseline="-25000">
              <a:solidFill>
                <a:srgbClr val="000000"/>
              </a:solidFill>
              <a:latin typeface="Arial"/>
              <a:cs typeface="Arial"/>
            </a:rPr>
            <a:t>td</a:t>
          </a:r>
          <a:r>
            <a:rPr lang="en-US" sz="1000" b="0" i="0" strike="noStrike">
              <a:solidFill>
                <a:srgbClr val="000000"/>
              </a:solidFill>
              <a:latin typeface="Arial"/>
              <a:cs typeface="Arial"/>
            </a:rPr>
            <a:t>xl</a:t>
          </a:r>
        </a:p>
      </xdr:txBody>
    </xdr:sp>
    <xdr:clientData/>
  </xdr:twoCellAnchor>
  <xdr:twoCellAnchor>
    <xdr:from>
      <xdr:col>7</xdr:col>
      <xdr:colOff>0</xdr:colOff>
      <xdr:row>573</xdr:row>
      <xdr:rowOff>0</xdr:rowOff>
    </xdr:from>
    <xdr:to>
      <xdr:col>7</xdr:col>
      <xdr:colOff>120015</xdr:colOff>
      <xdr:row>573</xdr:row>
      <xdr:rowOff>0</xdr:rowOff>
    </xdr:to>
    <xdr:sp macro="" textlink="">
      <xdr:nvSpPr>
        <xdr:cNvPr id="32972" name="Text Box 204">
          <a:extLst>
            <a:ext uri="{FF2B5EF4-FFF2-40B4-BE49-F238E27FC236}">
              <a16:creationId xmlns:a16="http://schemas.microsoft.com/office/drawing/2014/main" id="{00000000-0008-0000-0300-0000CC800000}"/>
            </a:ext>
          </a:extLst>
        </xdr:cNvPr>
        <xdr:cNvSpPr txBox="1">
          <a:spLocks noChangeArrowheads="1"/>
        </xdr:cNvSpPr>
      </xdr:nvSpPr>
      <xdr:spPr bwMode="auto">
        <a:xfrm>
          <a:off x="952500" y="127463550"/>
          <a:ext cx="1238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cos</a:t>
          </a:r>
        </a:p>
      </xdr:txBody>
    </xdr:sp>
    <xdr:clientData/>
  </xdr:twoCellAnchor>
  <xdr:twoCellAnchor>
    <xdr:from>
      <xdr:col>5</xdr:col>
      <xdr:colOff>0</xdr:colOff>
      <xdr:row>573</xdr:row>
      <xdr:rowOff>0</xdr:rowOff>
    </xdr:from>
    <xdr:to>
      <xdr:col>6</xdr:col>
      <xdr:colOff>0</xdr:colOff>
      <xdr:row>573</xdr:row>
      <xdr:rowOff>0</xdr:rowOff>
    </xdr:to>
    <xdr:sp macro="" textlink="">
      <xdr:nvSpPr>
        <xdr:cNvPr id="32973" name="Text Box 205">
          <a:extLst>
            <a:ext uri="{FF2B5EF4-FFF2-40B4-BE49-F238E27FC236}">
              <a16:creationId xmlns:a16="http://schemas.microsoft.com/office/drawing/2014/main" id="{00000000-0008-0000-0300-0000CD800000}"/>
            </a:ext>
          </a:extLst>
        </xdr:cNvPr>
        <xdr:cNvSpPr txBox="1">
          <a:spLocks noChangeArrowheads="1"/>
        </xdr:cNvSpPr>
      </xdr:nvSpPr>
      <xdr:spPr bwMode="auto">
        <a:xfrm>
          <a:off x="628650" y="127463550"/>
          <a:ext cx="1619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r</a:t>
          </a:r>
          <a:r>
            <a:rPr lang="en-US" sz="1000" b="0" i="0" strike="noStrike" baseline="-25000">
              <a:solidFill>
                <a:srgbClr val="000000"/>
              </a:solidFill>
              <a:latin typeface="Arial"/>
              <a:cs typeface="Arial"/>
            </a:rPr>
            <a:t>0 =</a:t>
          </a:r>
        </a:p>
      </xdr:txBody>
    </xdr:sp>
    <xdr:clientData/>
  </xdr:twoCellAnchor>
  <xdr:twoCellAnchor>
    <xdr:from>
      <xdr:col>9</xdr:col>
      <xdr:colOff>120650</xdr:colOff>
      <xdr:row>573</xdr:row>
      <xdr:rowOff>0</xdr:rowOff>
    </xdr:from>
    <xdr:to>
      <xdr:col>9</xdr:col>
      <xdr:colOff>158221</xdr:colOff>
      <xdr:row>573</xdr:row>
      <xdr:rowOff>0</xdr:rowOff>
    </xdr:to>
    <xdr:sp macro="" textlink="">
      <xdr:nvSpPr>
        <xdr:cNvPr id="32974" name="Text Box 206">
          <a:extLst>
            <a:ext uri="{FF2B5EF4-FFF2-40B4-BE49-F238E27FC236}">
              <a16:creationId xmlns:a16="http://schemas.microsoft.com/office/drawing/2014/main" id="{00000000-0008-0000-0300-0000CE800000}"/>
            </a:ext>
          </a:extLst>
        </xdr:cNvPr>
        <xdr:cNvSpPr txBox="1">
          <a:spLocks noChangeArrowheads="1"/>
        </xdr:cNvSpPr>
      </xdr:nvSpPr>
      <xdr:spPr bwMode="auto">
        <a:xfrm>
          <a:off x="1400175" y="127463550"/>
          <a:ext cx="3810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t>
          </a:r>
        </a:p>
      </xdr:txBody>
    </xdr:sp>
    <xdr:clientData/>
  </xdr:twoCellAnchor>
  <xdr:twoCellAnchor>
    <xdr:from>
      <xdr:col>8</xdr:col>
      <xdr:colOff>0</xdr:colOff>
      <xdr:row>573</xdr:row>
      <xdr:rowOff>0</xdr:rowOff>
    </xdr:from>
    <xdr:to>
      <xdr:col>9</xdr:col>
      <xdr:colOff>9525</xdr:colOff>
      <xdr:row>573</xdr:row>
      <xdr:rowOff>0</xdr:rowOff>
    </xdr:to>
    <xdr:sp macro="" textlink="">
      <xdr:nvSpPr>
        <xdr:cNvPr id="32975" name="Text Box 207">
          <a:extLst>
            <a:ext uri="{FF2B5EF4-FFF2-40B4-BE49-F238E27FC236}">
              <a16:creationId xmlns:a16="http://schemas.microsoft.com/office/drawing/2014/main" id="{00000000-0008-0000-0300-0000CF800000}"/>
            </a:ext>
          </a:extLst>
        </xdr:cNvPr>
        <xdr:cNvSpPr txBox="1">
          <a:spLocks noChangeArrowheads="1"/>
        </xdr:cNvSpPr>
      </xdr:nvSpPr>
      <xdr:spPr bwMode="auto">
        <a:xfrm>
          <a:off x="1114425" y="127463550"/>
          <a:ext cx="17145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x</a:t>
          </a:r>
          <a:r>
            <a:rPr lang="en-US" sz="1000" b="0" i="0" strike="noStrike" baseline="-25000">
              <a:solidFill>
                <a:srgbClr val="000000"/>
              </a:solidFill>
              <a:latin typeface="Arial"/>
              <a:cs typeface="Arial"/>
            </a:rPr>
            <a:t>0</a:t>
          </a:r>
          <a:r>
            <a:rPr lang="en-US" sz="1000" b="0" i="0" strike="noStrike">
              <a:solidFill>
                <a:srgbClr val="000000"/>
              </a:solidFill>
              <a:latin typeface="Arial"/>
              <a:cs typeface="Arial"/>
            </a:rPr>
            <a:t>x</a:t>
          </a:r>
        </a:p>
      </xdr:txBody>
    </xdr:sp>
    <xdr:clientData/>
  </xdr:twoCellAnchor>
  <xdr:twoCellAnchor>
    <xdr:from>
      <xdr:col>9</xdr:col>
      <xdr:colOff>0</xdr:colOff>
      <xdr:row>573</xdr:row>
      <xdr:rowOff>0</xdr:rowOff>
    </xdr:from>
    <xdr:to>
      <xdr:col>10</xdr:col>
      <xdr:colOff>19050</xdr:colOff>
      <xdr:row>573</xdr:row>
      <xdr:rowOff>0</xdr:rowOff>
    </xdr:to>
    <xdr:sp macro="" textlink="">
      <xdr:nvSpPr>
        <xdr:cNvPr id="32976" name="Text Box 208">
          <a:extLst>
            <a:ext uri="{FF2B5EF4-FFF2-40B4-BE49-F238E27FC236}">
              <a16:creationId xmlns:a16="http://schemas.microsoft.com/office/drawing/2014/main" id="{00000000-0008-0000-0300-0000D0800000}"/>
            </a:ext>
          </a:extLst>
        </xdr:cNvPr>
        <xdr:cNvSpPr txBox="1">
          <a:spLocks noChangeArrowheads="1"/>
        </xdr:cNvSpPr>
      </xdr:nvSpPr>
      <xdr:spPr bwMode="auto">
        <a:xfrm>
          <a:off x="1276350" y="127463550"/>
          <a:ext cx="18097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sin</a:t>
          </a:r>
          <a:r>
            <a:rPr lang="el-GR" sz="1000" b="0" i="0" strike="noStrike">
              <a:solidFill>
                <a:srgbClr val="000000"/>
              </a:solidFill>
              <a:latin typeface="Tahoma"/>
              <a:cs typeface="Tahoma"/>
            </a:rPr>
            <a:t>φ</a:t>
          </a:r>
        </a:p>
      </xdr:txBody>
    </xdr:sp>
    <xdr:clientData/>
  </xdr:twoCellAnchor>
  <xdr:twoCellAnchor>
    <xdr:from>
      <xdr:col>5</xdr:col>
      <xdr:colOff>155575</xdr:colOff>
      <xdr:row>573</xdr:row>
      <xdr:rowOff>0</xdr:rowOff>
    </xdr:from>
    <xdr:to>
      <xdr:col>7</xdr:col>
      <xdr:colOff>161832</xdr:colOff>
      <xdr:row>573</xdr:row>
      <xdr:rowOff>0</xdr:rowOff>
    </xdr:to>
    <xdr:sp macro="" textlink="">
      <xdr:nvSpPr>
        <xdr:cNvPr id="32977" name="Text Box 209">
          <a:extLst>
            <a:ext uri="{FF2B5EF4-FFF2-40B4-BE49-F238E27FC236}">
              <a16:creationId xmlns:a16="http://schemas.microsoft.com/office/drawing/2014/main" id="{00000000-0008-0000-0300-0000D1800000}"/>
            </a:ext>
          </a:extLst>
        </xdr:cNvPr>
        <xdr:cNvSpPr txBox="1">
          <a:spLocks noChangeArrowheads="1"/>
        </xdr:cNvSpPr>
      </xdr:nvSpPr>
      <xdr:spPr bwMode="auto">
        <a:xfrm>
          <a:off x="781050" y="127463550"/>
          <a:ext cx="33337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Symbol"/>
            </a:rPr>
            <a:t>D</a:t>
          </a:r>
          <a:r>
            <a:rPr lang="en-US" sz="1000" b="0" i="0" strike="noStrike">
              <a:solidFill>
                <a:srgbClr val="000000"/>
              </a:solidFill>
              <a:latin typeface="Arial"/>
              <a:cs typeface="Arial"/>
            </a:rPr>
            <a:t>U</a:t>
          </a:r>
          <a:r>
            <a:rPr lang="en-US" sz="1000" b="0" i="0" strike="noStrike" baseline="-25000">
              <a:solidFill>
                <a:srgbClr val="000000"/>
              </a:solidFill>
              <a:latin typeface="Arial"/>
              <a:cs typeface="Arial"/>
            </a:rPr>
            <a:t>cp</a:t>
          </a:r>
          <a:r>
            <a:rPr lang="en-US" sz="1000" b="0" i="0" strike="noStrike">
              <a:solidFill>
                <a:srgbClr val="000000"/>
              </a:solidFill>
              <a:latin typeface="Arial"/>
              <a:cs typeface="Arial"/>
            </a:rPr>
            <a:t>%x10xU</a:t>
          </a:r>
          <a:r>
            <a:rPr lang="en-US" sz="1000" b="0" i="0" strike="noStrike" baseline="30000">
              <a:solidFill>
                <a:srgbClr val="000000"/>
              </a:solidFill>
              <a:latin typeface="Arial"/>
              <a:cs typeface="Arial"/>
            </a:rPr>
            <a:t>2</a:t>
          </a:r>
          <a:r>
            <a:rPr lang="en-US" sz="1000" b="0" i="0" strike="noStrike" baseline="-25000">
              <a:solidFill>
                <a:srgbClr val="000000"/>
              </a:solidFill>
              <a:latin typeface="Arial"/>
              <a:cs typeface="Arial"/>
            </a:rPr>
            <a:t>dm</a:t>
          </a: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S</a:t>
          </a:r>
          <a:r>
            <a:rPr lang="en-US" sz="1000" b="0" i="0" strike="noStrike" baseline="-25000">
              <a:solidFill>
                <a:srgbClr val="000000"/>
              </a:solidFill>
              <a:latin typeface="Arial"/>
              <a:cs typeface="Arial"/>
            </a:rPr>
            <a:t>td</a:t>
          </a:r>
          <a:r>
            <a:rPr lang="en-US" sz="1000" b="0" i="0" strike="noStrike">
              <a:solidFill>
                <a:srgbClr val="000000"/>
              </a:solidFill>
              <a:latin typeface="Arial"/>
              <a:cs typeface="Arial"/>
            </a:rPr>
            <a:t>xl</a:t>
          </a:r>
        </a:p>
      </xdr:txBody>
    </xdr:sp>
    <xdr:clientData/>
  </xdr:twoCellAnchor>
  <xdr:twoCellAnchor>
    <xdr:from>
      <xdr:col>7</xdr:col>
      <xdr:colOff>0</xdr:colOff>
      <xdr:row>573</xdr:row>
      <xdr:rowOff>0</xdr:rowOff>
    </xdr:from>
    <xdr:to>
      <xdr:col>7</xdr:col>
      <xdr:colOff>120015</xdr:colOff>
      <xdr:row>573</xdr:row>
      <xdr:rowOff>0</xdr:rowOff>
    </xdr:to>
    <xdr:sp macro="" textlink="">
      <xdr:nvSpPr>
        <xdr:cNvPr id="32980" name="Text Box 212">
          <a:extLst>
            <a:ext uri="{FF2B5EF4-FFF2-40B4-BE49-F238E27FC236}">
              <a16:creationId xmlns:a16="http://schemas.microsoft.com/office/drawing/2014/main" id="{00000000-0008-0000-0300-0000D4800000}"/>
            </a:ext>
          </a:extLst>
        </xdr:cNvPr>
        <xdr:cNvSpPr txBox="1">
          <a:spLocks noChangeArrowheads="1"/>
        </xdr:cNvSpPr>
      </xdr:nvSpPr>
      <xdr:spPr bwMode="auto">
        <a:xfrm>
          <a:off x="952500" y="127463550"/>
          <a:ext cx="1238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cos</a:t>
          </a:r>
          <a:r>
            <a:rPr lang="el-GR" sz="1000" b="0" i="0" strike="noStrike">
              <a:solidFill>
                <a:srgbClr val="000000"/>
              </a:solidFill>
              <a:latin typeface="Tahoma"/>
              <a:cs typeface="Tahoma"/>
            </a:rPr>
            <a:t>φ</a:t>
          </a:r>
        </a:p>
      </xdr:txBody>
    </xdr:sp>
    <xdr:clientData/>
  </xdr:twoCellAnchor>
  <xdr:twoCellAnchor>
    <xdr:from>
      <xdr:col>5</xdr:col>
      <xdr:colOff>0</xdr:colOff>
      <xdr:row>573</xdr:row>
      <xdr:rowOff>0</xdr:rowOff>
    </xdr:from>
    <xdr:to>
      <xdr:col>6</xdr:col>
      <xdr:colOff>0</xdr:colOff>
      <xdr:row>573</xdr:row>
      <xdr:rowOff>0</xdr:rowOff>
    </xdr:to>
    <xdr:sp macro="" textlink="">
      <xdr:nvSpPr>
        <xdr:cNvPr id="32981" name="Text Box 213">
          <a:extLst>
            <a:ext uri="{FF2B5EF4-FFF2-40B4-BE49-F238E27FC236}">
              <a16:creationId xmlns:a16="http://schemas.microsoft.com/office/drawing/2014/main" id="{00000000-0008-0000-0300-0000D5800000}"/>
            </a:ext>
          </a:extLst>
        </xdr:cNvPr>
        <xdr:cNvSpPr txBox="1">
          <a:spLocks noChangeArrowheads="1"/>
        </xdr:cNvSpPr>
      </xdr:nvSpPr>
      <xdr:spPr bwMode="auto">
        <a:xfrm>
          <a:off x="628650" y="127463550"/>
          <a:ext cx="1619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r</a:t>
          </a:r>
          <a:r>
            <a:rPr lang="en-US" sz="1000" b="0" i="0" strike="noStrike" baseline="-25000">
              <a:solidFill>
                <a:srgbClr val="000000"/>
              </a:solidFill>
              <a:latin typeface="Arial"/>
              <a:cs typeface="Arial"/>
            </a:rPr>
            <a:t>0 =</a:t>
          </a:r>
        </a:p>
      </xdr:txBody>
    </xdr:sp>
    <xdr:clientData/>
  </xdr:twoCellAnchor>
  <xdr:twoCellAnchor>
    <xdr:from>
      <xdr:col>9</xdr:col>
      <xdr:colOff>120650</xdr:colOff>
      <xdr:row>573</xdr:row>
      <xdr:rowOff>0</xdr:rowOff>
    </xdr:from>
    <xdr:to>
      <xdr:col>9</xdr:col>
      <xdr:colOff>158221</xdr:colOff>
      <xdr:row>573</xdr:row>
      <xdr:rowOff>0</xdr:rowOff>
    </xdr:to>
    <xdr:sp macro="" textlink="">
      <xdr:nvSpPr>
        <xdr:cNvPr id="32982" name="Text Box 214">
          <a:extLst>
            <a:ext uri="{FF2B5EF4-FFF2-40B4-BE49-F238E27FC236}">
              <a16:creationId xmlns:a16="http://schemas.microsoft.com/office/drawing/2014/main" id="{00000000-0008-0000-0300-0000D6800000}"/>
            </a:ext>
          </a:extLst>
        </xdr:cNvPr>
        <xdr:cNvSpPr txBox="1">
          <a:spLocks noChangeArrowheads="1"/>
        </xdr:cNvSpPr>
      </xdr:nvSpPr>
      <xdr:spPr bwMode="auto">
        <a:xfrm>
          <a:off x="1400175" y="127463550"/>
          <a:ext cx="3810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a:t>
          </a:r>
        </a:p>
      </xdr:txBody>
    </xdr:sp>
    <xdr:clientData/>
  </xdr:twoCellAnchor>
  <xdr:twoCellAnchor>
    <xdr:from>
      <xdr:col>5</xdr:col>
      <xdr:colOff>0</xdr:colOff>
      <xdr:row>573</xdr:row>
      <xdr:rowOff>0</xdr:rowOff>
    </xdr:from>
    <xdr:to>
      <xdr:col>9</xdr:col>
      <xdr:colOff>0</xdr:colOff>
      <xdr:row>573</xdr:row>
      <xdr:rowOff>0</xdr:rowOff>
    </xdr:to>
    <xdr:sp macro="" textlink="">
      <xdr:nvSpPr>
        <xdr:cNvPr id="32990" name="Text Box 222">
          <a:extLst>
            <a:ext uri="{FF2B5EF4-FFF2-40B4-BE49-F238E27FC236}">
              <a16:creationId xmlns:a16="http://schemas.microsoft.com/office/drawing/2014/main" id="{00000000-0008-0000-0300-0000DE800000}"/>
            </a:ext>
          </a:extLst>
        </xdr:cNvPr>
        <xdr:cNvSpPr txBox="1">
          <a:spLocks noChangeArrowheads="1"/>
        </xdr:cNvSpPr>
      </xdr:nvSpPr>
      <xdr:spPr bwMode="auto">
        <a:xfrm>
          <a:off x="628650" y="127463550"/>
          <a:ext cx="64770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r</a:t>
          </a:r>
          <a:r>
            <a:rPr lang="en-US" sz="1000" b="0" i="0" strike="noStrike" baseline="-25000">
              <a:solidFill>
                <a:srgbClr val="000000"/>
              </a:solidFill>
              <a:latin typeface="Arial"/>
              <a:cs typeface="Arial"/>
            </a:rPr>
            <a:t>0</a:t>
          </a:r>
          <a:r>
            <a:rPr lang="en-US" sz="1000" b="0" i="0" strike="noStrike">
              <a:solidFill>
                <a:srgbClr val="000000"/>
              </a:solidFill>
              <a:latin typeface="Arial"/>
              <a:cs typeface="Arial"/>
            </a:rPr>
            <a:t>*cos + x</a:t>
          </a:r>
          <a:r>
            <a:rPr lang="en-US" sz="1000" b="0" i="0" strike="noStrike" baseline="-25000">
              <a:solidFill>
                <a:srgbClr val="000000"/>
              </a:solidFill>
              <a:latin typeface="Arial"/>
              <a:cs typeface="Arial"/>
            </a:rPr>
            <a:t>0</a:t>
          </a:r>
          <a:r>
            <a:rPr lang="en-US" sz="1000" b="0" i="0" strike="noStrike">
              <a:solidFill>
                <a:srgbClr val="000000"/>
              </a:solidFill>
              <a:latin typeface="Arial"/>
              <a:cs typeface="Arial"/>
            </a:rPr>
            <a:t>*sin</a:t>
          </a:r>
        </a:p>
        <a:p>
          <a:pPr algn="ctr" rtl="1">
            <a:defRPr sz="1000"/>
          </a:pPr>
          <a:r>
            <a:rPr lang="en-US" sz="1000" b="0" i="0" strike="noStrike">
              <a:solidFill>
                <a:srgbClr val="000000"/>
              </a:solidFill>
              <a:latin typeface="Arial"/>
              <a:cs typeface="Arial"/>
            </a:rPr>
            <a:t>U</a:t>
          </a:r>
          <a:r>
            <a:rPr lang="en-US" sz="1000" b="0" i="0" strike="noStrike" baseline="30000">
              <a:solidFill>
                <a:srgbClr val="000000"/>
              </a:solidFill>
              <a:latin typeface="Arial"/>
              <a:cs typeface="Arial"/>
            </a:rPr>
            <a:t>2</a:t>
          </a:r>
          <a:r>
            <a:rPr lang="en-US" sz="1000" b="0" i="0" strike="noStrike" baseline="-25000">
              <a:solidFill>
                <a:srgbClr val="000000"/>
              </a:solidFill>
              <a:latin typeface="Arial"/>
              <a:cs typeface="Arial"/>
            </a:rPr>
            <a:t>dm</a:t>
          </a:r>
          <a:r>
            <a:rPr lang="en-US" sz="1000" b="0" i="0" strike="noStrike">
              <a:solidFill>
                <a:srgbClr val="000000"/>
              </a:solidFill>
              <a:latin typeface="Arial"/>
              <a:cs typeface="Arial"/>
            </a:rPr>
            <a:t>*1000</a:t>
          </a:r>
        </a:p>
        <a:p>
          <a:pPr algn="ctr" rtl="1">
            <a:defRPr sz="1000"/>
          </a:pPr>
          <a:r>
            <a:rPr lang="en-US" sz="1000" b="0" i="0" strike="noStrike">
              <a:solidFill>
                <a:srgbClr val="000000"/>
              </a:solidFill>
              <a:latin typeface="Arial"/>
              <a:cs typeface="Arial"/>
            </a:rPr>
            <a:t>S</a:t>
          </a:r>
          <a:r>
            <a:rPr lang="en-US" sz="1000" b="0" i="0" strike="noStrike" baseline="-25000">
              <a:solidFill>
                <a:srgbClr val="000000"/>
              </a:solidFill>
              <a:latin typeface="Arial"/>
              <a:cs typeface="Arial"/>
            </a:rPr>
            <a:t>td</a:t>
          </a:r>
          <a:r>
            <a:rPr lang="en-US" sz="1000" b="0" i="0" strike="noStrike">
              <a:solidFill>
                <a:srgbClr val="000000"/>
              </a:solidFill>
              <a:latin typeface="Arial"/>
              <a:cs typeface="Arial"/>
            </a:rPr>
            <a:t>*l</a:t>
          </a:r>
        </a:p>
      </xdr:txBody>
    </xdr:sp>
    <xdr:clientData/>
  </xdr:twoCellAnchor>
  <xdr:twoCellAnchor>
    <xdr:from>
      <xdr:col>5</xdr:col>
      <xdr:colOff>0</xdr:colOff>
      <xdr:row>573</xdr:row>
      <xdr:rowOff>0</xdr:rowOff>
    </xdr:from>
    <xdr:to>
      <xdr:col>6</xdr:col>
      <xdr:colOff>0</xdr:colOff>
      <xdr:row>573</xdr:row>
      <xdr:rowOff>0</xdr:rowOff>
    </xdr:to>
    <xdr:sp macro="" textlink="">
      <xdr:nvSpPr>
        <xdr:cNvPr id="32992" name="Text Box 224">
          <a:extLst>
            <a:ext uri="{FF2B5EF4-FFF2-40B4-BE49-F238E27FC236}">
              <a16:creationId xmlns:a16="http://schemas.microsoft.com/office/drawing/2014/main" id="{00000000-0008-0000-0300-0000E0800000}"/>
            </a:ext>
          </a:extLst>
        </xdr:cNvPr>
        <xdr:cNvSpPr txBox="1">
          <a:spLocks noChangeArrowheads="1"/>
        </xdr:cNvSpPr>
      </xdr:nvSpPr>
      <xdr:spPr bwMode="auto">
        <a:xfrm>
          <a:off x="628650" y="127463550"/>
          <a:ext cx="1619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K%</a:t>
          </a:r>
          <a:r>
            <a:rPr lang="en-US" sz="1000" b="0" i="0" strike="noStrike" baseline="-25000">
              <a:solidFill>
                <a:srgbClr val="000000"/>
              </a:solidFill>
              <a:latin typeface="Arial"/>
              <a:cs typeface="Arial"/>
            </a:rPr>
            <a:t> =</a:t>
          </a:r>
        </a:p>
      </xdr:txBody>
    </xdr:sp>
    <xdr:clientData/>
  </xdr:twoCellAnchor>
  <xdr:twoCellAnchor>
    <xdr:from>
      <xdr:col>8</xdr:col>
      <xdr:colOff>0</xdr:colOff>
      <xdr:row>573</xdr:row>
      <xdr:rowOff>0</xdr:rowOff>
    </xdr:from>
    <xdr:to>
      <xdr:col>10</xdr:col>
      <xdr:colOff>0</xdr:colOff>
      <xdr:row>573</xdr:row>
      <xdr:rowOff>0</xdr:rowOff>
    </xdr:to>
    <xdr:sp macro="" textlink="">
      <xdr:nvSpPr>
        <xdr:cNvPr id="32993" name="Text Box 225">
          <a:extLst>
            <a:ext uri="{FF2B5EF4-FFF2-40B4-BE49-F238E27FC236}">
              <a16:creationId xmlns:a16="http://schemas.microsoft.com/office/drawing/2014/main" id="{00000000-0008-0000-0300-0000E1800000}"/>
            </a:ext>
          </a:extLst>
        </xdr:cNvPr>
        <xdr:cNvSpPr txBox="1">
          <a:spLocks noChangeArrowheads="1"/>
        </xdr:cNvSpPr>
      </xdr:nvSpPr>
      <xdr:spPr bwMode="auto">
        <a:xfrm>
          <a:off x="1114425" y="127463550"/>
          <a:ext cx="323850"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 100% =</a:t>
          </a:r>
        </a:p>
      </xdr:txBody>
    </xdr:sp>
    <xdr:clientData/>
  </xdr:twoCellAnchor>
  <xdr:twoCellAnchor>
    <xdr:from>
      <xdr:col>5</xdr:col>
      <xdr:colOff>0</xdr:colOff>
      <xdr:row>573</xdr:row>
      <xdr:rowOff>0</xdr:rowOff>
    </xdr:from>
    <xdr:to>
      <xdr:col>8</xdr:col>
      <xdr:colOff>0</xdr:colOff>
      <xdr:row>573</xdr:row>
      <xdr:rowOff>0</xdr:rowOff>
    </xdr:to>
    <xdr:sp macro="" textlink="">
      <xdr:nvSpPr>
        <xdr:cNvPr id="32994" name="Text Box 226">
          <a:extLst>
            <a:ext uri="{FF2B5EF4-FFF2-40B4-BE49-F238E27FC236}">
              <a16:creationId xmlns:a16="http://schemas.microsoft.com/office/drawing/2014/main" id="{00000000-0008-0000-0300-0000E2800000}"/>
            </a:ext>
          </a:extLst>
        </xdr:cNvPr>
        <xdr:cNvSpPr txBox="1">
          <a:spLocks noChangeArrowheads="1"/>
        </xdr:cNvSpPr>
      </xdr:nvSpPr>
      <xdr:spPr bwMode="auto">
        <a:xfrm>
          <a:off x="628650" y="127463550"/>
          <a:ext cx="48577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                              =</a:t>
          </a:r>
        </a:p>
      </xdr:txBody>
    </xdr:sp>
    <xdr:clientData/>
  </xdr:twoCellAnchor>
  <xdr:twoCellAnchor>
    <xdr:from>
      <xdr:col>5</xdr:col>
      <xdr:colOff>0</xdr:colOff>
      <xdr:row>573</xdr:row>
      <xdr:rowOff>0</xdr:rowOff>
    </xdr:from>
    <xdr:to>
      <xdr:col>6</xdr:col>
      <xdr:colOff>0</xdr:colOff>
      <xdr:row>573</xdr:row>
      <xdr:rowOff>0</xdr:rowOff>
    </xdr:to>
    <xdr:sp macro="" textlink="">
      <xdr:nvSpPr>
        <xdr:cNvPr id="32995" name="Text Box 227">
          <a:extLst>
            <a:ext uri="{FF2B5EF4-FFF2-40B4-BE49-F238E27FC236}">
              <a16:creationId xmlns:a16="http://schemas.microsoft.com/office/drawing/2014/main" id="{00000000-0008-0000-0300-0000E3800000}"/>
            </a:ext>
          </a:extLst>
        </xdr:cNvPr>
        <xdr:cNvSpPr txBox="1">
          <a:spLocks noChangeArrowheads="1"/>
        </xdr:cNvSpPr>
      </xdr:nvSpPr>
      <xdr:spPr bwMode="auto">
        <a:xfrm>
          <a:off x="628650" y="127463550"/>
          <a:ext cx="1619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∆U%</a:t>
          </a:r>
          <a:r>
            <a:rPr lang="en-US" sz="1000" b="0" i="0" strike="noStrike" baseline="-25000">
              <a:solidFill>
                <a:srgbClr val="000000"/>
              </a:solidFill>
              <a:latin typeface="Arial"/>
              <a:cs typeface="Arial"/>
            </a:rPr>
            <a:t> </a:t>
          </a:r>
        </a:p>
      </xdr:txBody>
    </xdr:sp>
    <xdr:clientData/>
  </xdr:twoCellAnchor>
  <xdr:twoCellAnchor>
    <xdr:from>
      <xdr:col>6</xdr:col>
      <xdr:colOff>0</xdr:colOff>
      <xdr:row>573</xdr:row>
      <xdr:rowOff>0</xdr:rowOff>
    </xdr:from>
    <xdr:to>
      <xdr:col>8</xdr:col>
      <xdr:colOff>0</xdr:colOff>
      <xdr:row>573</xdr:row>
      <xdr:rowOff>0</xdr:rowOff>
    </xdr:to>
    <xdr:sp macro="" textlink="">
      <xdr:nvSpPr>
        <xdr:cNvPr id="32996" name="Text Box 228">
          <a:extLst>
            <a:ext uri="{FF2B5EF4-FFF2-40B4-BE49-F238E27FC236}">
              <a16:creationId xmlns:a16="http://schemas.microsoft.com/office/drawing/2014/main" id="{00000000-0008-0000-0300-0000E4800000}"/>
            </a:ext>
          </a:extLst>
        </xdr:cNvPr>
        <xdr:cNvSpPr txBox="1">
          <a:spLocks noChangeArrowheads="1"/>
        </xdr:cNvSpPr>
      </xdr:nvSpPr>
      <xdr:spPr bwMode="auto">
        <a:xfrm>
          <a:off x="790575" y="127463550"/>
          <a:ext cx="323850" cy="0"/>
        </a:xfrm>
        <a:prstGeom prst="rect">
          <a:avLst/>
        </a:prstGeom>
        <a:noFill/>
        <a:ln w="9525">
          <a:noFill/>
          <a:miter lim="800000"/>
          <a:headEnd/>
          <a:tailEnd/>
        </a:ln>
      </xdr:spPr>
      <xdr:txBody>
        <a:bodyPr vertOverflow="clip" wrap="square" lIns="27432" tIns="22860" rIns="0" bIns="0" anchor="t" upright="1"/>
        <a:lstStyle/>
        <a:p>
          <a:pPr algn="l" rtl="1">
            <a:defRPr sz="1000"/>
          </a:pPr>
          <a:r>
            <a:rPr lang="vi-VN" sz="1000" b="0" i="0" strike="noStrike">
              <a:solidFill>
                <a:srgbClr val="000000"/>
              </a:solidFill>
              <a:latin typeface="Arial"/>
              <a:cs typeface="Arial"/>
            </a:rPr>
            <a:t>P*R + Q*X</a:t>
          </a:r>
        </a:p>
        <a:p>
          <a:pPr algn="l" rtl="1">
            <a:defRPr sz="1000"/>
          </a:pPr>
          <a:r>
            <a:rPr lang="vi-VN" sz="1000" b="0" i="0" strike="noStrike">
              <a:solidFill>
                <a:srgbClr val="000000"/>
              </a:solidFill>
              <a:latin typeface="Arial"/>
              <a:cs typeface="Arial"/>
            </a:rPr>
            <a:t>U</a:t>
          </a:r>
          <a:r>
            <a:rPr lang="vi-VN" sz="1000" b="0" i="0" strike="noStrike" baseline="30000">
              <a:solidFill>
                <a:srgbClr val="000000"/>
              </a:solidFill>
              <a:latin typeface="Arial"/>
              <a:cs typeface="Arial"/>
            </a:rPr>
            <a:t>2</a:t>
          </a:r>
          <a:r>
            <a:rPr lang="vi-VN" sz="1000" b="0" i="0" strike="noStrike">
              <a:solidFill>
                <a:srgbClr val="000000"/>
              </a:solidFill>
              <a:latin typeface="Arial"/>
              <a:cs typeface="Arial"/>
            </a:rPr>
            <a:t>đm*1000</a:t>
          </a:r>
        </a:p>
      </xdr:txBody>
    </xdr:sp>
    <xdr:clientData/>
  </xdr:twoCellAnchor>
  <xdr:twoCellAnchor>
    <xdr:from>
      <xdr:col>5</xdr:col>
      <xdr:colOff>0</xdr:colOff>
      <xdr:row>573</xdr:row>
      <xdr:rowOff>0</xdr:rowOff>
    </xdr:from>
    <xdr:to>
      <xdr:col>8</xdr:col>
      <xdr:colOff>0</xdr:colOff>
      <xdr:row>573</xdr:row>
      <xdr:rowOff>0</xdr:rowOff>
    </xdr:to>
    <xdr:sp macro="" textlink="">
      <xdr:nvSpPr>
        <xdr:cNvPr id="32998" name="Text Box 230">
          <a:extLst>
            <a:ext uri="{FF2B5EF4-FFF2-40B4-BE49-F238E27FC236}">
              <a16:creationId xmlns:a16="http://schemas.microsoft.com/office/drawing/2014/main" id="{00000000-0008-0000-0300-0000E6800000}"/>
            </a:ext>
          </a:extLst>
        </xdr:cNvPr>
        <xdr:cNvSpPr txBox="1">
          <a:spLocks noChangeArrowheads="1"/>
        </xdr:cNvSpPr>
      </xdr:nvSpPr>
      <xdr:spPr bwMode="auto">
        <a:xfrm>
          <a:off x="628650" y="127463550"/>
          <a:ext cx="48577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                         =</a:t>
          </a:r>
        </a:p>
      </xdr:txBody>
    </xdr:sp>
    <xdr:clientData/>
  </xdr:twoCellAnchor>
  <xdr:twoCellAnchor>
    <xdr:from>
      <xdr:col>5</xdr:col>
      <xdr:colOff>0</xdr:colOff>
      <xdr:row>573</xdr:row>
      <xdr:rowOff>0</xdr:rowOff>
    </xdr:from>
    <xdr:to>
      <xdr:col>6</xdr:col>
      <xdr:colOff>0</xdr:colOff>
      <xdr:row>573</xdr:row>
      <xdr:rowOff>0</xdr:rowOff>
    </xdr:to>
    <xdr:sp macro="" textlink="">
      <xdr:nvSpPr>
        <xdr:cNvPr id="32999" name="Text Box 231">
          <a:extLst>
            <a:ext uri="{FF2B5EF4-FFF2-40B4-BE49-F238E27FC236}">
              <a16:creationId xmlns:a16="http://schemas.microsoft.com/office/drawing/2014/main" id="{00000000-0008-0000-0300-0000E7800000}"/>
            </a:ext>
          </a:extLst>
        </xdr:cNvPr>
        <xdr:cNvSpPr txBox="1">
          <a:spLocks noChangeArrowheads="1"/>
        </xdr:cNvSpPr>
      </xdr:nvSpPr>
      <xdr:spPr bwMode="auto">
        <a:xfrm>
          <a:off x="628650" y="127463550"/>
          <a:ext cx="161925" cy="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∆U</a:t>
          </a:r>
          <a:r>
            <a:rPr lang="en-US" sz="1000" b="0" i="0" strike="noStrike" baseline="-25000">
              <a:solidFill>
                <a:srgbClr val="000000"/>
              </a:solidFill>
              <a:latin typeface="Arial"/>
              <a:cs typeface="Arial"/>
            </a:rPr>
            <a:t> </a:t>
          </a:r>
        </a:p>
      </xdr:txBody>
    </xdr:sp>
    <xdr:clientData/>
  </xdr:twoCellAnchor>
  <xdr:twoCellAnchor>
    <xdr:from>
      <xdr:col>5</xdr:col>
      <xdr:colOff>0</xdr:colOff>
      <xdr:row>573</xdr:row>
      <xdr:rowOff>0</xdr:rowOff>
    </xdr:from>
    <xdr:to>
      <xdr:col>7</xdr:col>
      <xdr:colOff>0</xdr:colOff>
      <xdr:row>573</xdr:row>
      <xdr:rowOff>0</xdr:rowOff>
    </xdr:to>
    <xdr:sp macro="" textlink="">
      <xdr:nvSpPr>
        <xdr:cNvPr id="33000" name="Text Box 232">
          <a:extLst>
            <a:ext uri="{FF2B5EF4-FFF2-40B4-BE49-F238E27FC236}">
              <a16:creationId xmlns:a16="http://schemas.microsoft.com/office/drawing/2014/main" id="{00000000-0008-0000-0300-0000E8800000}"/>
            </a:ext>
          </a:extLst>
        </xdr:cNvPr>
        <xdr:cNvSpPr txBox="1">
          <a:spLocks noChangeArrowheads="1"/>
        </xdr:cNvSpPr>
      </xdr:nvSpPr>
      <xdr:spPr bwMode="auto">
        <a:xfrm>
          <a:off x="628650" y="127463550"/>
          <a:ext cx="32385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vi-VN" sz="1000" b="0" i="0" strike="noStrike">
              <a:solidFill>
                <a:srgbClr val="000000"/>
              </a:solidFill>
              <a:latin typeface="Arial"/>
              <a:cs typeface="Arial"/>
            </a:rPr>
            <a:t>P*R + Q*X</a:t>
          </a:r>
        </a:p>
        <a:p>
          <a:pPr algn="ctr" rtl="1">
            <a:defRPr sz="1000"/>
          </a:pPr>
          <a:r>
            <a:rPr lang="vi-VN" sz="1000" b="0" i="0" strike="noStrike">
              <a:solidFill>
                <a:srgbClr val="000000"/>
              </a:solidFill>
              <a:latin typeface="Arial"/>
              <a:cs typeface="Arial"/>
            </a:rPr>
            <a:t>Uđm</a:t>
          </a:r>
        </a:p>
      </xdr:txBody>
    </xdr:sp>
    <xdr:clientData/>
  </xdr:twoCellAnchor>
  <xdr:twoCellAnchor editAs="oneCell">
    <xdr:from>
      <xdr:col>16</xdr:col>
      <xdr:colOff>152400</xdr:colOff>
      <xdr:row>206</xdr:row>
      <xdr:rowOff>0</xdr:rowOff>
    </xdr:from>
    <xdr:to>
      <xdr:col>31</xdr:col>
      <xdr:colOff>28575</xdr:colOff>
      <xdr:row>208</xdr:row>
      <xdr:rowOff>161925</xdr:rowOff>
    </xdr:to>
    <xdr:pic>
      <xdr:nvPicPr>
        <xdr:cNvPr id="139203" name="Picture 234">
          <a:extLst>
            <a:ext uri="{FF2B5EF4-FFF2-40B4-BE49-F238E27FC236}">
              <a16:creationId xmlns:a16="http://schemas.microsoft.com/office/drawing/2014/main" id="{00000000-0008-0000-0300-0000C31F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62375" y="50673000"/>
          <a:ext cx="2305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519</xdr:row>
      <xdr:rowOff>155575</xdr:rowOff>
    </xdr:from>
    <xdr:to>
      <xdr:col>6</xdr:col>
      <xdr:colOff>0</xdr:colOff>
      <xdr:row>523</xdr:row>
      <xdr:rowOff>117475</xdr:rowOff>
    </xdr:to>
    <xdr:sp macro="" textlink="">
      <xdr:nvSpPr>
        <xdr:cNvPr id="33014" name="Text Box 246">
          <a:extLst>
            <a:ext uri="{FF2B5EF4-FFF2-40B4-BE49-F238E27FC236}">
              <a16:creationId xmlns:a16="http://schemas.microsoft.com/office/drawing/2014/main" id="{00000000-0008-0000-0300-0000F6800000}"/>
            </a:ext>
          </a:extLst>
        </xdr:cNvPr>
        <xdr:cNvSpPr txBox="1">
          <a:spLocks noChangeArrowheads="1"/>
        </xdr:cNvSpPr>
      </xdr:nvSpPr>
      <xdr:spPr bwMode="auto">
        <a:xfrm>
          <a:off x="790575" y="114004725"/>
          <a:ext cx="0" cy="95250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l-GR" sz="1000" b="0" i="0" strike="noStrike">
              <a:solidFill>
                <a:srgbClr val="000000"/>
              </a:solidFill>
              <a:latin typeface="Arial"/>
              <a:cs typeface="Arial"/>
            </a:rPr>
            <a:t>1</a:t>
          </a:r>
        </a:p>
        <a:p>
          <a:pPr algn="ctr" rtl="1">
            <a:defRPr sz="1000"/>
          </a:pPr>
          <a:r>
            <a:rPr lang="el-GR" sz="1000" b="0" i="0" strike="noStrike">
              <a:solidFill>
                <a:srgbClr val="000000"/>
              </a:solidFill>
              <a:latin typeface="Arial"/>
              <a:cs typeface="Arial"/>
            </a:rPr>
            <a:t>2*Π*</a:t>
          </a:r>
          <a:r>
            <a:rPr lang="en-US" sz="1000" b="0" i="0" strike="noStrike">
              <a:solidFill>
                <a:srgbClr val="000000"/>
              </a:solidFill>
              <a:latin typeface="Arial"/>
              <a:cs typeface="Arial"/>
            </a:rPr>
            <a:t>L</a:t>
          </a:r>
        </a:p>
      </xdr:txBody>
    </xdr:sp>
    <xdr:clientData/>
  </xdr:twoCellAnchor>
  <xdr:twoCellAnchor>
    <xdr:from>
      <xdr:col>5</xdr:col>
      <xdr:colOff>200025</xdr:colOff>
      <xdr:row>520</xdr:row>
      <xdr:rowOff>142875</xdr:rowOff>
    </xdr:from>
    <xdr:to>
      <xdr:col>5</xdr:col>
      <xdr:colOff>161925</xdr:colOff>
      <xdr:row>520</xdr:row>
      <xdr:rowOff>142875</xdr:rowOff>
    </xdr:to>
    <xdr:sp macro="" textlink="">
      <xdr:nvSpPr>
        <xdr:cNvPr id="139205" name="Line 247">
          <a:extLst>
            <a:ext uri="{FF2B5EF4-FFF2-40B4-BE49-F238E27FC236}">
              <a16:creationId xmlns:a16="http://schemas.microsoft.com/office/drawing/2014/main" id="{00000000-0008-0000-0300-0000C51F0200}"/>
            </a:ext>
          </a:extLst>
        </xdr:cNvPr>
        <xdr:cNvSpPr>
          <a:spLocks noChangeShapeType="1"/>
        </xdr:cNvSpPr>
      </xdr:nvSpPr>
      <xdr:spPr bwMode="auto">
        <a:xfrm>
          <a:off x="1990725" y="124691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519</xdr:row>
      <xdr:rowOff>152400</xdr:rowOff>
    </xdr:from>
    <xdr:to>
      <xdr:col>6</xdr:col>
      <xdr:colOff>590550</xdr:colOff>
      <xdr:row>523</xdr:row>
      <xdr:rowOff>114300</xdr:rowOff>
    </xdr:to>
    <xdr:grpSp>
      <xdr:nvGrpSpPr>
        <xdr:cNvPr id="139206" name="Group 248">
          <a:extLst>
            <a:ext uri="{FF2B5EF4-FFF2-40B4-BE49-F238E27FC236}">
              <a16:creationId xmlns:a16="http://schemas.microsoft.com/office/drawing/2014/main" id="{00000000-0008-0000-0300-0000C61F0200}"/>
            </a:ext>
          </a:extLst>
        </xdr:cNvPr>
        <xdr:cNvGrpSpPr>
          <a:grpSpLocks/>
        </xdr:cNvGrpSpPr>
      </xdr:nvGrpSpPr>
      <xdr:grpSpPr bwMode="auto">
        <a:xfrm>
          <a:off x="2152650" y="124453650"/>
          <a:ext cx="0" cy="952500"/>
          <a:chOff x="373" y="1124"/>
          <a:chExt cx="22" cy="36"/>
        </a:xfrm>
      </xdr:grpSpPr>
      <xdr:sp macro="" textlink="">
        <xdr:nvSpPr>
          <xdr:cNvPr id="33017" name="Text Box 249">
            <a:extLst>
              <a:ext uri="{FF2B5EF4-FFF2-40B4-BE49-F238E27FC236}">
                <a16:creationId xmlns:a16="http://schemas.microsoft.com/office/drawing/2014/main" id="{00000000-0008-0000-0300-0000F9800000}"/>
              </a:ext>
            </a:extLst>
          </xdr:cNvPr>
          <xdr:cNvSpPr txBox="1">
            <a:spLocks noChangeArrowheads="1"/>
          </xdr:cNvSpPr>
        </xdr:nvSpPr>
        <xdr:spPr bwMode="auto">
          <a:xfrm>
            <a:off x="2152650" y="124444125"/>
            <a:ext cx="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2L</a:t>
            </a:r>
          </a:p>
          <a:p>
            <a:pPr algn="ctr" rtl="1">
              <a:defRPr sz="1000"/>
            </a:pPr>
            <a:r>
              <a:rPr lang="en-US" sz="1000" b="0" i="0" strike="noStrike">
                <a:solidFill>
                  <a:srgbClr val="000000"/>
                </a:solidFill>
                <a:latin typeface="Arial"/>
                <a:cs typeface="Arial"/>
              </a:rPr>
              <a:t>d</a:t>
            </a:r>
          </a:p>
        </xdr:txBody>
      </xdr:sp>
      <xdr:sp macro="" textlink="">
        <xdr:nvSpPr>
          <xdr:cNvPr id="139260" name="Line 250">
            <a:extLst>
              <a:ext uri="{FF2B5EF4-FFF2-40B4-BE49-F238E27FC236}">
                <a16:creationId xmlns:a16="http://schemas.microsoft.com/office/drawing/2014/main" id="{00000000-0008-0000-0300-0000FC1F0200}"/>
              </a:ext>
            </a:extLst>
          </xdr:cNvPr>
          <xdr:cNvSpPr>
            <a:spLocks noChangeShapeType="1"/>
          </xdr:cNvSpPr>
        </xdr:nvSpPr>
        <xdr:spPr bwMode="auto">
          <a:xfrm>
            <a:off x="375" y="1142"/>
            <a:ext cx="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133350</xdr:colOff>
      <xdr:row>151</xdr:row>
      <xdr:rowOff>76200</xdr:rowOff>
    </xdr:from>
    <xdr:to>
      <xdr:col>37</xdr:col>
      <xdr:colOff>0</xdr:colOff>
      <xdr:row>155</xdr:row>
      <xdr:rowOff>238125</xdr:rowOff>
    </xdr:to>
    <xdr:grpSp>
      <xdr:nvGrpSpPr>
        <xdr:cNvPr id="139207" name="Group 256">
          <a:extLst>
            <a:ext uri="{FF2B5EF4-FFF2-40B4-BE49-F238E27FC236}">
              <a16:creationId xmlns:a16="http://schemas.microsoft.com/office/drawing/2014/main" id="{00000000-0008-0000-0300-0000C71F0200}"/>
            </a:ext>
          </a:extLst>
        </xdr:cNvPr>
        <xdr:cNvGrpSpPr>
          <a:grpSpLocks/>
        </xdr:cNvGrpSpPr>
      </xdr:nvGrpSpPr>
      <xdr:grpSpPr bwMode="auto">
        <a:xfrm>
          <a:off x="1476375" y="37252275"/>
          <a:ext cx="5534025" cy="1152525"/>
          <a:chOff x="71" y="1020"/>
          <a:chExt cx="549" cy="105"/>
        </a:xfrm>
      </xdr:grpSpPr>
      <xdr:sp macro="" textlink="">
        <xdr:nvSpPr>
          <xdr:cNvPr id="139244" name="Rectangle 257">
            <a:extLst>
              <a:ext uri="{FF2B5EF4-FFF2-40B4-BE49-F238E27FC236}">
                <a16:creationId xmlns:a16="http://schemas.microsoft.com/office/drawing/2014/main" id="{00000000-0008-0000-0300-0000EC1F0200}"/>
              </a:ext>
            </a:extLst>
          </xdr:cNvPr>
          <xdr:cNvSpPr>
            <a:spLocks noChangeArrowheads="1"/>
          </xdr:cNvSpPr>
        </xdr:nvSpPr>
        <xdr:spPr bwMode="auto">
          <a:xfrm>
            <a:off x="404" y="1020"/>
            <a:ext cx="216" cy="105"/>
          </a:xfrm>
          <a:prstGeom prst="rect">
            <a:avLst/>
          </a:prstGeom>
          <a:noFill/>
          <a:ln w="9525">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9245" name="Line 258">
            <a:extLst>
              <a:ext uri="{FF2B5EF4-FFF2-40B4-BE49-F238E27FC236}">
                <a16:creationId xmlns:a16="http://schemas.microsoft.com/office/drawing/2014/main" id="{00000000-0008-0000-0300-0000ED1F0200}"/>
              </a:ext>
            </a:extLst>
          </xdr:cNvPr>
          <xdr:cNvSpPr>
            <a:spLocks noChangeShapeType="1"/>
          </xdr:cNvSpPr>
        </xdr:nvSpPr>
        <xdr:spPr bwMode="auto">
          <a:xfrm>
            <a:off x="71" y="1054"/>
            <a:ext cx="0" cy="57"/>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46" name="Line 259">
            <a:extLst>
              <a:ext uri="{FF2B5EF4-FFF2-40B4-BE49-F238E27FC236}">
                <a16:creationId xmlns:a16="http://schemas.microsoft.com/office/drawing/2014/main" id="{00000000-0008-0000-0300-0000EE1F0200}"/>
              </a:ext>
            </a:extLst>
          </xdr:cNvPr>
          <xdr:cNvSpPr>
            <a:spLocks noChangeShapeType="1"/>
          </xdr:cNvSpPr>
        </xdr:nvSpPr>
        <xdr:spPr bwMode="auto">
          <a:xfrm>
            <a:off x="171" y="1081"/>
            <a:ext cx="23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139247" name="Group 260">
            <a:extLst>
              <a:ext uri="{FF2B5EF4-FFF2-40B4-BE49-F238E27FC236}">
                <a16:creationId xmlns:a16="http://schemas.microsoft.com/office/drawing/2014/main" id="{00000000-0008-0000-0300-0000EF1F0200}"/>
              </a:ext>
            </a:extLst>
          </xdr:cNvPr>
          <xdr:cNvGrpSpPr>
            <a:grpSpLocks/>
          </xdr:cNvGrpSpPr>
        </xdr:nvGrpSpPr>
        <xdr:grpSpPr bwMode="auto">
          <a:xfrm>
            <a:off x="103" y="1059"/>
            <a:ext cx="68" cy="48"/>
            <a:chOff x="61" y="981"/>
            <a:chExt cx="72" cy="47"/>
          </a:xfrm>
        </xdr:grpSpPr>
        <xdr:sp macro="" textlink="">
          <xdr:nvSpPr>
            <xdr:cNvPr id="139257" name="Oval 261">
              <a:extLst>
                <a:ext uri="{FF2B5EF4-FFF2-40B4-BE49-F238E27FC236}">
                  <a16:creationId xmlns:a16="http://schemas.microsoft.com/office/drawing/2014/main" id="{00000000-0008-0000-0300-0000F91F0200}"/>
                </a:ext>
              </a:extLst>
            </xdr:cNvPr>
            <xdr:cNvSpPr>
              <a:spLocks noChangeArrowheads="1"/>
            </xdr:cNvSpPr>
          </xdr:nvSpPr>
          <xdr:spPr bwMode="auto">
            <a:xfrm>
              <a:off x="61" y="981"/>
              <a:ext cx="49" cy="46"/>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258" name="Oval 262">
              <a:extLst>
                <a:ext uri="{FF2B5EF4-FFF2-40B4-BE49-F238E27FC236}">
                  <a16:creationId xmlns:a16="http://schemas.microsoft.com/office/drawing/2014/main" id="{00000000-0008-0000-0300-0000FA1F0200}"/>
                </a:ext>
              </a:extLst>
            </xdr:cNvPr>
            <xdr:cNvSpPr>
              <a:spLocks noChangeArrowheads="1"/>
            </xdr:cNvSpPr>
          </xdr:nvSpPr>
          <xdr:spPr bwMode="auto">
            <a:xfrm>
              <a:off x="84" y="982"/>
              <a:ext cx="49" cy="46"/>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139248" name="Group 263">
            <a:extLst>
              <a:ext uri="{FF2B5EF4-FFF2-40B4-BE49-F238E27FC236}">
                <a16:creationId xmlns:a16="http://schemas.microsoft.com/office/drawing/2014/main" id="{00000000-0008-0000-0300-0000F01F0200}"/>
              </a:ext>
            </a:extLst>
          </xdr:cNvPr>
          <xdr:cNvGrpSpPr>
            <a:grpSpLocks/>
          </xdr:cNvGrpSpPr>
        </xdr:nvGrpSpPr>
        <xdr:grpSpPr bwMode="auto">
          <a:xfrm>
            <a:off x="419" y="1081"/>
            <a:ext cx="105" cy="20"/>
            <a:chOff x="390" y="1003"/>
            <a:chExt cx="95" cy="19"/>
          </a:xfrm>
        </xdr:grpSpPr>
        <xdr:sp macro="" textlink="">
          <xdr:nvSpPr>
            <xdr:cNvPr id="139255" name="Line 264">
              <a:extLst>
                <a:ext uri="{FF2B5EF4-FFF2-40B4-BE49-F238E27FC236}">
                  <a16:creationId xmlns:a16="http://schemas.microsoft.com/office/drawing/2014/main" id="{00000000-0008-0000-0300-0000F71F0200}"/>
                </a:ext>
              </a:extLst>
            </xdr:cNvPr>
            <xdr:cNvSpPr>
              <a:spLocks noChangeShapeType="1"/>
            </xdr:cNvSpPr>
          </xdr:nvSpPr>
          <xdr:spPr bwMode="auto">
            <a:xfrm>
              <a:off x="415" y="1003"/>
              <a:ext cx="7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56" name="Line 265">
              <a:extLst>
                <a:ext uri="{FF2B5EF4-FFF2-40B4-BE49-F238E27FC236}">
                  <a16:creationId xmlns:a16="http://schemas.microsoft.com/office/drawing/2014/main" id="{00000000-0008-0000-0300-0000F81F0200}"/>
                </a:ext>
              </a:extLst>
            </xdr:cNvPr>
            <xdr:cNvSpPr>
              <a:spLocks noChangeShapeType="1"/>
            </xdr:cNvSpPr>
          </xdr:nvSpPr>
          <xdr:spPr bwMode="auto">
            <a:xfrm flipH="1">
              <a:off x="390" y="1003"/>
              <a:ext cx="26"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49" name="Line 266">
            <a:extLst>
              <a:ext uri="{FF2B5EF4-FFF2-40B4-BE49-F238E27FC236}">
                <a16:creationId xmlns:a16="http://schemas.microsoft.com/office/drawing/2014/main" id="{00000000-0008-0000-0300-0000F11F0200}"/>
              </a:ext>
            </a:extLst>
          </xdr:cNvPr>
          <xdr:cNvSpPr>
            <a:spLocks noChangeShapeType="1"/>
          </xdr:cNvSpPr>
        </xdr:nvSpPr>
        <xdr:spPr bwMode="auto">
          <a:xfrm>
            <a:off x="523" y="1054"/>
            <a:ext cx="0" cy="57"/>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50" name="Line 267">
            <a:extLst>
              <a:ext uri="{FF2B5EF4-FFF2-40B4-BE49-F238E27FC236}">
                <a16:creationId xmlns:a16="http://schemas.microsoft.com/office/drawing/2014/main" id="{00000000-0008-0000-0300-0000F21F0200}"/>
              </a:ext>
            </a:extLst>
          </xdr:cNvPr>
          <xdr:cNvSpPr>
            <a:spLocks noChangeShapeType="1"/>
          </xdr:cNvSpPr>
        </xdr:nvSpPr>
        <xdr:spPr bwMode="auto">
          <a:xfrm>
            <a:off x="523" y="1064"/>
            <a:ext cx="6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39251" name="Line 268">
            <a:extLst>
              <a:ext uri="{FF2B5EF4-FFF2-40B4-BE49-F238E27FC236}">
                <a16:creationId xmlns:a16="http://schemas.microsoft.com/office/drawing/2014/main" id="{00000000-0008-0000-0300-0000F31F0200}"/>
              </a:ext>
            </a:extLst>
          </xdr:cNvPr>
          <xdr:cNvSpPr>
            <a:spLocks noChangeShapeType="1"/>
          </xdr:cNvSpPr>
        </xdr:nvSpPr>
        <xdr:spPr bwMode="auto">
          <a:xfrm>
            <a:off x="523" y="1099"/>
            <a:ext cx="6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39252" name="Line 269">
            <a:extLst>
              <a:ext uri="{FF2B5EF4-FFF2-40B4-BE49-F238E27FC236}">
                <a16:creationId xmlns:a16="http://schemas.microsoft.com/office/drawing/2014/main" id="{00000000-0008-0000-0300-0000F41F0200}"/>
              </a:ext>
            </a:extLst>
          </xdr:cNvPr>
          <xdr:cNvSpPr>
            <a:spLocks noChangeShapeType="1"/>
          </xdr:cNvSpPr>
        </xdr:nvSpPr>
        <xdr:spPr bwMode="auto">
          <a:xfrm>
            <a:off x="367" y="1038"/>
            <a:ext cx="31" cy="3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39253" name="Line 270">
            <a:extLst>
              <a:ext uri="{FF2B5EF4-FFF2-40B4-BE49-F238E27FC236}">
                <a16:creationId xmlns:a16="http://schemas.microsoft.com/office/drawing/2014/main" id="{00000000-0008-0000-0300-0000F51F0200}"/>
              </a:ext>
            </a:extLst>
          </xdr:cNvPr>
          <xdr:cNvSpPr>
            <a:spLocks noChangeShapeType="1"/>
          </xdr:cNvSpPr>
        </xdr:nvSpPr>
        <xdr:spPr bwMode="auto">
          <a:xfrm>
            <a:off x="477" y="1037"/>
            <a:ext cx="41" cy="3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39254" name="Line 271">
            <a:extLst>
              <a:ext uri="{FF2B5EF4-FFF2-40B4-BE49-F238E27FC236}">
                <a16:creationId xmlns:a16="http://schemas.microsoft.com/office/drawing/2014/main" id="{00000000-0008-0000-0300-0000F61F0200}"/>
              </a:ext>
            </a:extLst>
          </xdr:cNvPr>
          <xdr:cNvSpPr>
            <a:spLocks noChangeShapeType="1"/>
          </xdr:cNvSpPr>
        </xdr:nvSpPr>
        <xdr:spPr bwMode="auto">
          <a:xfrm>
            <a:off x="71" y="1081"/>
            <a:ext cx="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19</xdr:col>
      <xdr:colOff>101600</xdr:colOff>
      <xdr:row>151</xdr:row>
      <xdr:rowOff>57150</xdr:rowOff>
    </xdr:from>
    <xdr:to>
      <xdr:col>22</xdr:col>
      <xdr:colOff>28651</xdr:colOff>
      <xdr:row>152</xdr:row>
      <xdr:rowOff>38100</xdr:rowOff>
    </xdr:to>
    <xdr:sp macro="" textlink="">
      <xdr:nvSpPr>
        <xdr:cNvPr id="33040" name="Text Box 272">
          <a:extLst>
            <a:ext uri="{FF2B5EF4-FFF2-40B4-BE49-F238E27FC236}">
              <a16:creationId xmlns:a16="http://schemas.microsoft.com/office/drawing/2014/main" id="{00000000-0008-0000-0300-000010810000}"/>
            </a:ext>
          </a:extLst>
        </xdr:cNvPr>
        <xdr:cNvSpPr txBox="1">
          <a:spLocks noChangeArrowheads="1"/>
        </xdr:cNvSpPr>
      </xdr:nvSpPr>
      <xdr:spPr bwMode="auto">
        <a:xfrm>
          <a:off x="3000375" y="36585525"/>
          <a:ext cx="409575" cy="228600"/>
        </a:xfrm>
        <a:prstGeom prst="rect">
          <a:avLst/>
        </a:prstGeom>
        <a:noFill/>
        <a:ln w="9525" algn="ctr">
          <a:noFill/>
          <a:miter lim="800000"/>
          <a:headEnd/>
          <a:tailEnd/>
        </a:ln>
        <a:effectLst/>
      </xdr:spPr>
      <xdr:txBody>
        <a:bodyPr vertOverflow="clip" wrap="square" lIns="36576" tIns="27432" rIns="36576" bIns="0" anchor="t" upright="1"/>
        <a:lstStyle/>
        <a:p>
          <a:pPr algn="ctr" rtl="1">
            <a:defRPr sz="1000"/>
          </a:pPr>
          <a:r>
            <a:rPr lang="en-US" sz="1300" b="1" i="0" strike="noStrike">
              <a:solidFill>
                <a:srgbClr val="000000"/>
              </a:solidFill>
              <a:latin typeface="Times New Roman"/>
              <a:cs typeface="Times New Roman"/>
            </a:rPr>
            <a:t>N1</a:t>
          </a:r>
        </a:p>
      </xdr:txBody>
    </xdr:sp>
    <xdr:clientData/>
  </xdr:twoCellAnchor>
  <xdr:twoCellAnchor>
    <xdr:from>
      <xdr:col>26</xdr:col>
      <xdr:colOff>28575</xdr:colOff>
      <xdr:row>151</xdr:row>
      <xdr:rowOff>76200</xdr:rowOff>
    </xdr:from>
    <xdr:to>
      <xdr:col>28</xdr:col>
      <xdr:colOff>101674</xdr:colOff>
      <xdr:row>152</xdr:row>
      <xdr:rowOff>57150</xdr:rowOff>
    </xdr:to>
    <xdr:sp macro="" textlink="">
      <xdr:nvSpPr>
        <xdr:cNvPr id="33041" name="Text Box 273">
          <a:extLst>
            <a:ext uri="{FF2B5EF4-FFF2-40B4-BE49-F238E27FC236}">
              <a16:creationId xmlns:a16="http://schemas.microsoft.com/office/drawing/2014/main" id="{00000000-0008-0000-0300-000011810000}"/>
            </a:ext>
          </a:extLst>
        </xdr:cNvPr>
        <xdr:cNvSpPr txBox="1">
          <a:spLocks noChangeArrowheads="1"/>
        </xdr:cNvSpPr>
      </xdr:nvSpPr>
      <xdr:spPr bwMode="auto">
        <a:xfrm>
          <a:off x="4057650" y="36604575"/>
          <a:ext cx="400050" cy="228600"/>
        </a:xfrm>
        <a:prstGeom prst="rect">
          <a:avLst/>
        </a:prstGeom>
        <a:noFill/>
        <a:ln w="9525" algn="ctr">
          <a:noFill/>
          <a:miter lim="800000"/>
          <a:headEnd/>
          <a:tailEnd/>
        </a:ln>
        <a:effectLst/>
      </xdr:spPr>
      <xdr:txBody>
        <a:bodyPr vertOverflow="clip" wrap="square" lIns="36576" tIns="27432" rIns="36576" bIns="0" anchor="t" upright="1"/>
        <a:lstStyle/>
        <a:p>
          <a:pPr algn="ctr" rtl="1">
            <a:defRPr sz="1000"/>
          </a:pPr>
          <a:r>
            <a:rPr lang="en-US" sz="1300" b="1" i="0" strike="noStrike">
              <a:solidFill>
                <a:srgbClr val="000000"/>
              </a:solidFill>
              <a:latin typeface="Times New Roman"/>
              <a:cs typeface="Times New Roman"/>
            </a:rPr>
            <a:t>N</a:t>
          </a:r>
        </a:p>
      </xdr:txBody>
    </xdr:sp>
    <xdr:clientData/>
  </xdr:twoCellAnchor>
  <xdr:twoCellAnchor>
    <xdr:from>
      <xdr:col>15</xdr:col>
      <xdr:colOff>57150</xdr:colOff>
      <xdr:row>273</xdr:row>
      <xdr:rowOff>19050</xdr:rowOff>
    </xdr:from>
    <xdr:to>
      <xdr:col>23</xdr:col>
      <xdr:colOff>0</xdr:colOff>
      <xdr:row>274</xdr:row>
      <xdr:rowOff>238125</xdr:rowOff>
    </xdr:to>
    <xdr:grpSp>
      <xdr:nvGrpSpPr>
        <xdr:cNvPr id="139210" name="Group 365">
          <a:extLst>
            <a:ext uri="{FF2B5EF4-FFF2-40B4-BE49-F238E27FC236}">
              <a16:creationId xmlns:a16="http://schemas.microsoft.com/office/drawing/2014/main" id="{00000000-0008-0000-0300-0000CA1F0200}"/>
            </a:ext>
          </a:extLst>
        </xdr:cNvPr>
        <xdr:cNvGrpSpPr>
          <a:grpSpLocks/>
        </xdr:cNvGrpSpPr>
      </xdr:nvGrpSpPr>
      <xdr:grpSpPr bwMode="auto">
        <a:xfrm>
          <a:off x="3505200" y="66532125"/>
          <a:ext cx="1238250" cy="466725"/>
          <a:chOff x="242" y="6986"/>
          <a:chExt cx="130" cy="53"/>
        </a:xfrm>
      </xdr:grpSpPr>
      <xdr:sp macro="" textlink="">
        <xdr:nvSpPr>
          <xdr:cNvPr id="139241" name="Line 361">
            <a:extLst>
              <a:ext uri="{FF2B5EF4-FFF2-40B4-BE49-F238E27FC236}">
                <a16:creationId xmlns:a16="http://schemas.microsoft.com/office/drawing/2014/main" id="{00000000-0008-0000-0300-0000E91F0200}"/>
              </a:ext>
            </a:extLst>
          </xdr:cNvPr>
          <xdr:cNvSpPr>
            <a:spLocks noChangeShapeType="1"/>
          </xdr:cNvSpPr>
        </xdr:nvSpPr>
        <xdr:spPr bwMode="auto">
          <a:xfrm>
            <a:off x="242" y="7023"/>
            <a:ext cx="3" cy="1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42" name="Line 362">
            <a:extLst>
              <a:ext uri="{FF2B5EF4-FFF2-40B4-BE49-F238E27FC236}">
                <a16:creationId xmlns:a16="http://schemas.microsoft.com/office/drawing/2014/main" id="{00000000-0008-0000-0300-0000EA1F0200}"/>
              </a:ext>
            </a:extLst>
          </xdr:cNvPr>
          <xdr:cNvSpPr>
            <a:spLocks noChangeShapeType="1"/>
          </xdr:cNvSpPr>
        </xdr:nvSpPr>
        <xdr:spPr bwMode="auto">
          <a:xfrm flipV="1">
            <a:off x="245" y="6986"/>
            <a:ext cx="6" cy="5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43" name="Line 363">
            <a:extLst>
              <a:ext uri="{FF2B5EF4-FFF2-40B4-BE49-F238E27FC236}">
                <a16:creationId xmlns:a16="http://schemas.microsoft.com/office/drawing/2014/main" id="{00000000-0008-0000-0300-0000EB1F0200}"/>
              </a:ext>
            </a:extLst>
          </xdr:cNvPr>
          <xdr:cNvSpPr>
            <a:spLocks noChangeShapeType="1"/>
          </xdr:cNvSpPr>
        </xdr:nvSpPr>
        <xdr:spPr bwMode="auto">
          <a:xfrm>
            <a:off x="251" y="6986"/>
            <a:ext cx="121"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57150</xdr:colOff>
      <xdr:row>268</xdr:row>
      <xdr:rowOff>9525</xdr:rowOff>
    </xdr:from>
    <xdr:to>
      <xdr:col>25</xdr:col>
      <xdr:colOff>95250</xdr:colOff>
      <xdr:row>269</xdr:row>
      <xdr:rowOff>114300</xdr:rowOff>
    </xdr:to>
    <xdr:grpSp>
      <xdr:nvGrpSpPr>
        <xdr:cNvPr id="139211" name="Group 370">
          <a:extLst>
            <a:ext uri="{FF2B5EF4-FFF2-40B4-BE49-F238E27FC236}">
              <a16:creationId xmlns:a16="http://schemas.microsoft.com/office/drawing/2014/main" id="{00000000-0008-0000-0300-0000CB1F0200}"/>
            </a:ext>
          </a:extLst>
        </xdr:cNvPr>
        <xdr:cNvGrpSpPr>
          <a:grpSpLocks/>
        </xdr:cNvGrpSpPr>
      </xdr:nvGrpSpPr>
      <xdr:grpSpPr bwMode="auto">
        <a:xfrm>
          <a:off x="3343275" y="65532000"/>
          <a:ext cx="1819275" cy="228600"/>
          <a:chOff x="225" y="6831"/>
          <a:chExt cx="191" cy="24"/>
        </a:xfrm>
      </xdr:grpSpPr>
      <xdr:sp macro="" textlink="">
        <xdr:nvSpPr>
          <xdr:cNvPr id="139238" name="Line 367">
            <a:extLst>
              <a:ext uri="{FF2B5EF4-FFF2-40B4-BE49-F238E27FC236}">
                <a16:creationId xmlns:a16="http://schemas.microsoft.com/office/drawing/2014/main" id="{00000000-0008-0000-0300-0000E61F0200}"/>
              </a:ext>
            </a:extLst>
          </xdr:cNvPr>
          <xdr:cNvSpPr>
            <a:spLocks noChangeShapeType="1"/>
          </xdr:cNvSpPr>
        </xdr:nvSpPr>
        <xdr:spPr bwMode="auto">
          <a:xfrm>
            <a:off x="225" y="6848"/>
            <a:ext cx="3" cy="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39" name="Line 368">
            <a:extLst>
              <a:ext uri="{FF2B5EF4-FFF2-40B4-BE49-F238E27FC236}">
                <a16:creationId xmlns:a16="http://schemas.microsoft.com/office/drawing/2014/main" id="{00000000-0008-0000-0300-0000E71F0200}"/>
              </a:ext>
            </a:extLst>
          </xdr:cNvPr>
          <xdr:cNvSpPr>
            <a:spLocks noChangeShapeType="1"/>
          </xdr:cNvSpPr>
        </xdr:nvSpPr>
        <xdr:spPr bwMode="auto">
          <a:xfrm flipV="1">
            <a:off x="228" y="6831"/>
            <a:ext cx="6" cy="24"/>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40" name="Line 369">
            <a:extLst>
              <a:ext uri="{FF2B5EF4-FFF2-40B4-BE49-F238E27FC236}">
                <a16:creationId xmlns:a16="http://schemas.microsoft.com/office/drawing/2014/main" id="{00000000-0008-0000-0300-0000E81F0200}"/>
              </a:ext>
            </a:extLst>
          </xdr:cNvPr>
          <xdr:cNvSpPr>
            <a:spLocks noChangeShapeType="1"/>
          </xdr:cNvSpPr>
        </xdr:nvSpPr>
        <xdr:spPr bwMode="auto">
          <a:xfrm>
            <a:off x="234" y="6831"/>
            <a:ext cx="182"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57150</xdr:colOff>
      <xdr:row>265</xdr:row>
      <xdr:rowOff>9525</xdr:rowOff>
    </xdr:from>
    <xdr:to>
      <xdr:col>19</xdr:col>
      <xdr:colOff>95250</xdr:colOff>
      <xdr:row>266</xdr:row>
      <xdr:rowOff>114300</xdr:rowOff>
    </xdr:to>
    <xdr:grpSp>
      <xdr:nvGrpSpPr>
        <xdr:cNvPr id="139212" name="Group 375">
          <a:extLst>
            <a:ext uri="{FF2B5EF4-FFF2-40B4-BE49-F238E27FC236}">
              <a16:creationId xmlns:a16="http://schemas.microsoft.com/office/drawing/2014/main" id="{00000000-0008-0000-0300-0000CC1F0200}"/>
            </a:ext>
          </a:extLst>
        </xdr:cNvPr>
        <xdr:cNvGrpSpPr>
          <a:grpSpLocks/>
        </xdr:cNvGrpSpPr>
      </xdr:nvGrpSpPr>
      <xdr:grpSpPr bwMode="auto">
        <a:xfrm>
          <a:off x="3343275" y="65160525"/>
          <a:ext cx="847725" cy="228600"/>
          <a:chOff x="225" y="6792"/>
          <a:chExt cx="89" cy="24"/>
        </a:xfrm>
      </xdr:grpSpPr>
      <xdr:sp macro="" textlink="">
        <xdr:nvSpPr>
          <xdr:cNvPr id="139235" name="Line 372">
            <a:extLst>
              <a:ext uri="{FF2B5EF4-FFF2-40B4-BE49-F238E27FC236}">
                <a16:creationId xmlns:a16="http://schemas.microsoft.com/office/drawing/2014/main" id="{00000000-0008-0000-0300-0000E31F0200}"/>
              </a:ext>
            </a:extLst>
          </xdr:cNvPr>
          <xdr:cNvSpPr>
            <a:spLocks noChangeShapeType="1"/>
          </xdr:cNvSpPr>
        </xdr:nvSpPr>
        <xdr:spPr bwMode="auto">
          <a:xfrm>
            <a:off x="225" y="6809"/>
            <a:ext cx="3" cy="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36" name="Line 373">
            <a:extLst>
              <a:ext uri="{FF2B5EF4-FFF2-40B4-BE49-F238E27FC236}">
                <a16:creationId xmlns:a16="http://schemas.microsoft.com/office/drawing/2014/main" id="{00000000-0008-0000-0300-0000E41F0200}"/>
              </a:ext>
            </a:extLst>
          </xdr:cNvPr>
          <xdr:cNvSpPr>
            <a:spLocks noChangeShapeType="1"/>
          </xdr:cNvSpPr>
        </xdr:nvSpPr>
        <xdr:spPr bwMode="auto">
          <a:xfrm flipV="1">
            <a:off x="228" y="6792"/>
            <a:ext cx="6" cy="24"/>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37" name="Line 374">
            <a:extLst>
              <a:ext uri="{FF2B5EF4-FFF2-40B4-BE49-F238E27FC236}">
                <a16:creationId xmlns:a16="http://schemas.microsoft.com/office/drawing/2014/main" id="{00000000-0008-0000-0300-0000E51F0200}"/>
              </a:ext>
            </a:extLst>
          </xdr:cNvPr>
          <xdr:cNvSpPr>
            <a:spLocks noChangeShapeType="1"/>
          </xdr:cNvSpPr>
        </xdr:nvSpPr>
        <xdr:spPr bwMode="auto">
          <a:xfrm>
            <a:off x="234" y="6792"/>
            <a:ext cx="8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13</xdr:col>
      <xdr:colOff>57150</xdr:colOff>
      <xdr:row>309</xdr:row>
      <xdr:rowOff>19050</xdr:rowOff>
    </xdr:from>
    <xdr:to>
      <xdr:col>21</xdr:col>
      <xdr:colOff>76200</xdr:colOff>
      <xdr:row>314</xdr:row>
      <xdr:rowOff>0</xdr:rowOff>
    </xdr:to>
    <xdr:grpSp>
      <xdr:nvGrpSpPr>
        <xdr:cNvPr id="139213" name="Group 389">
          <a:extLst>
            <a:ext uri="{FF2B5EF4-FFF2-40B4-BE49-F238E27FC236}">
              <a16:creationId xmlns:a16="http://schemas.microsoft.com/office/drawing/2014/main" id="{00000000-0008-0000-0300-0000CD1F0200}"/>
            </a:ext>
          </a:extLst>
        </xdr:cNvPr>
        <xdr:cNvGrpSpPr>
          <a:grpSpLocks/>
        </xdr:cNvGrpSpPr>
      </xdr:nvGrpSpPr>
      <xdr:grpSpPr bwMode="auto">
        <a:xfrm>
          <a:off x="3181350" y="75199875"/>
          <a:ext cx="1314450" cy="723900"/>
          <a:chOff x="208" y="7092"/>
          <a:chExt cx="138" cy="76"/>
        </a:xfrm>
      </xdr:grpSpPr>
      <xdr:grpSp>
        <xdr:nvGrpSpPr>
          <xdr:cNvPr id="139227" name="Group 376">
            <a:extLst>
              <a:ext uri="{FF2B5EF4-FFF2-40B4-BE49-F238E27FC236}">
                <a16:creationId xmlns:a16="http://schemas.microsoft.com/office/drawing/2014/main" id="{00000000-0008-0000-0300-0000DB1F0200}"/>
              </a:ext>
            </a:extLst>
          </xdr:cNvPr>
          <xdr:cNvGrpSpPr>
            <a:grpSpLocks/>
          </xdr:cNvGrpSpPr>
        </xdr:nvGrpSpPr>
        <xdr:grpSpPr bwMode="auto">
          <a:xfrm>
            <a:off x="208" y="7092"/>
            <a:ext cx="138" cy="76"/>
            <a:chOff x="242" y="6986"/>
            <a:chExt cx="130" cy="53"/>
          </a:xfrm>
        </xdr:grpSpPr>
        <xdr:sp macro="" textlink="">
          <xdr:nvSpPr>
            <xdr:cNvPr id="139232" name="Line 377">
              <a:extLst>
                <a:ext uri="{FF2B5EF4-FFF2-40B4-BE49-F238E27FC236}">
                  <a16:creationId xmlns:a16="http://schemas.microsoft.com/office/drawing/2014/main" id="{00000000-0008-0000-0300-0000E01F0200}"/>
                </a:ext>
              </a:extLst>
            </xdr:cNvPr>
            <xdr:cNvSpPr>
              <a:spLocks noChangeShapeType="1"/>
            </xdr:cNvSpPr>
          </xdr:nvSpPr>
          <xdr:spPr bwMode="auto">
            <a:xfrm>
              <a:off x="242" y="7023"/>
              <a:ext cx="3" cy="1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33" name="Line 378">
              <a:extLst>
                <a:ext uri="{FF2B5EF4-FFF2-40B4-BE49-F238E27FC236}">
                  <a16:creationId xmlns:a16="http://schemas.microsoft.com/office/drawing/2014/main" id="{00000000-0008-0000-0300-0000E11F0200}"/>
                </a:ext>
              </a:extLst>
            </xdr:cNvPr>
            <xdr:cNvSpPr>
              <a:spLocks noChangeShapeType="1"/>
            </xdr:cNvSpPr>
          </xdr:nvSpPr>
          <xdr:spPr bwMode="auto">
            <a:xfrm flipV="1">
              <a:off x="245" y="6986"/>
              <a:ext cx="6" cy="5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34" name="Line 379">
              <a:extLst>
                <a:ext uri="{FF2B5EF4-FFF2-40B4-BE49-F238E27FC236}">
                  <a16:creationId xmlns:a16="http://schemas.microsoft.com/office/drawing/2014/main" id="{00000000-0008-0000-0300-0000E21F0200}"/>
                </a:ext>
              </a:extLst>
            </xdr:cNvPr>
            <xdr:cNvSpPr>
              <a:spLocks noChangeShapeType="1"/>
            </xdr:cNvSpPr>
          </xdr:nvSpPr>
          <xdr:spPr bwMode="auto">
            <a:xfrm>
              <a:off x="251" y="6986"/>
              <a:ext cx="121"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28" name="Freeform 384">
            <a:extLst>
              <a:ext uri="{FF2B5EF4-FFF2-40B4-BE49-F238E27FC236}">
                <a16:creationId xmlns:a16="http://schemas.microsoft.com/office/drawing/2014/main" id="{00000000-0008-0000-0300-0000DC1F0200}"/>
              </a:ext>
            </a:extLst>
          </xdr:cNvPr>
          <xdr:cNvSpPr>
            <a:spLocks/>
          </xdr:cNvSpPr>
        </xdr:nvSpPr>
        <xdr:spPr bwMode="auto">
          <a:xfrm>
            <a:off x="215" y="7123"/>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229" name="Freeform 385">
            <a:extLst>
              <a:ext uri="{FF2B5EF4-FFF2-40B4-BE49-F238E27FC236}">
                <a16:creationId xmlns:a16="http://schemas.microsoft.com/office/drawing/2014/main" id="{00000000-0008-0000-0300-0000DD1F0200}"/>
              </a:ext>
            </a:extLst>
          </xdr:cNvPr>
          <xdr:cNvSpPr>
            <a:spLocks/>
          </xdr:cNvSpPr>
        </xdr:nvSpPr>
        <xdr:spPr bwMode="auto">
          <a:xfrm rot="10800000">
            <a:off x="269" y="7123"/>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230" name="Freeform 386">
            <a:extLst>
              <a:ext uri="{FF2B5EF4-FFF2-40B4-BE49-F238E27FC236}">
                <a16:creationId xmlns:a16="http://schemas.microsoft.com/office/drawing/2014/main" id="{00000000-0008-0000-0300-0000DE1F0200}"/>
              </a:ext>
            </a:extLst>
          </xdr:cNvPr>
          <xdr:cNvSpPr>
            <a:spLocks/>
          </xdr:cNvSpPr>
        </xdr:nvSpPr>
        <xdr:spPr bwMode="auto">
          <a:xfrm>
            <a:off x="283" y="7123"/>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231" name="Freeform 387">
            <a:extLst>
              <a:ext uri="{FF2B5EF4-FFF2-40B4-BE49-F238E27FC236}">
                <a16:creationId xmlns:a16="http://schemas.microsoft.com/office/drawing/2014/main" id="{00000000-0008-0000-0300-0000DF1F0200}"/>
              </a:ext>
            </a:extLst>
          </xdr:cNvPr>
          <xdr:cNvSpPr>
            <a:spLocks/>
          </xdr:cNvSpPr>
        </xdr:nvSpPr>
        <xdr:spPr bwMode="auto">
          <a:xfrm rot="10800000">
            <a:off x="338" y="7123"/>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15</xdr:col>
      <xdr:colOff>57150</xdr:colOff>
      <xdr:row>276</xdr:row>
      <xdr:rowOff>104775</xdr:rowOff>
    </xdr:from>
    <xdr:to>
      <xdr:col>15</xdr:col>
      <xdr:colOff>85725</xdr:colOff>
      <xdr:row>278</xdr:row>
      <xdr:rowOff>0</xdr:rowOff>
    </xdr:to>
    <xdr:sp macro="" textlink="">
      <xdr:nvSpPr>
        <xdr:cNvPr id="139214" name="Line 391">
          <a:extLst>
            <a:ext uri="{FF2B5EF4-FFF2-40B4-BE49-F238E27FC236}">
              <a16:creationId xmlns:a16="http://schemas.microsoft.com/office/drawing/2014/main" id="{00000000-0008-0000-0300-0000CE1F0200}"/>
            </a:ext>
          </a:extLst>
        </xdr:cNvPr>
        <xdr:cNvSpPr>
          <a:spLocks noChangeShapeType="1"/>
        </xdr:cNvSpPr>
      </xdr:nvSpPr>
      <xdr:spPr bwMode="auto">
        <a:xfrm>
          <a:off x="3505200" y="67360800"/>
          <a:ext cx="2857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85725</xdr:colOff>
      <xdr:row>275</xdr:row>
      <xdr:rowOff>19050</xdr:rowOff>
    </xdr:from>
    <xdr:to>
      <xdr:col>15</xdr:col>
      <xdr:colOff>142875</xdr:colOff>
      <xdr:row>278</xdr:row>
      <xdr:rowOff>0</xdr:rowOff>
    </xdr:to>
    <xdr:sp macro="" textlink="">
      <xdr:nvSpPr>
        <xdr:cNvPr id="139215" name="Line 392">
          <a:extLst>
            <a:ext uri="{FF2B5EF4-FFF2-40B4-BE49-F238E27FC236}">
              <a16:creationId xmlns:a16="http://schemas.microsoft.com/office/drawing/2014/main" id="{00000000-0008-0000-0300-0000CF1F0200}"/>
            </a:ext>
          </a:extLst>
        </xdr:cNvPr>
        <xdr:cNvSpPr>
          <a:spLocks noChangeShapeType="1"/>
        </xdr:cNvSpPr>
      </xdr:nvSpPr>
      <xdr:spPr bwMode="auto">
        <a:xfrm flipV="1">
          <a:off x="3533775" y="67027425"/>
          <a:ext cx="57150" cy="476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142875</xdr:colOff>
      <xdr:row>275</xdr:row>
      <xdr:rowOff>19050</xdr:rowOff>
    </xdr:from>
    <xdr:to>
      <xdr:col>27</xdr:col>
      <xdr:colOff>0</xdr:colOff>
      <xdr:row>275</xdr:row>
      <xdr:rowOff>19050</xdr:rowOff>
    </xdr:to>
    <xdr:sp macro="" textlink="">
      <xdr:nvSpPr>
        <xdr:cNvPr id="139216" name="Line 393">
          <a:extLst>
            <a:ext uri="{FF2B5EF4-FFF2-40B4-BE49-F238E27FC236}">
              <a16:creationId xmlns:a16="http://schemas.microsoft.com/office/drawing/2014/main" id="{00000000-0008-0000-0300-0000D01F0200}"/>
            </a:ext>
          </a:extLst>
        </xdr:cNvPr>
        <xdr:cNvSpPr>
          <a:spLocks noChangeShapeType="1"/>
        </xdr:cNvSpPr>
      </xdr:nvSpPr>
      <xdr:spPr bwMode="auto">
        <a:xfrm>
          <a:off x="3590925" y="67027425"/>
          <a:ext cx="1800225"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315</xdr:row>
      <xdr:rowOff>19050</xdr:rowOff>
    </xdr:from>
    <xdr:to>
      <xdr:col>23</xdr:col>
      <xdr:colOff>57150</xdr:colOff>
      <xdr:row>320</xdr:row>
      <xdr:rowOff>0</xdr:rowOff>
    </xdr:to>
    <xdr:grpSp>
      <xdr:nvGrpSpPr>
        <xdr:cNvPr id="139217" name="Group 416">
          <a:extLst>
            <a:ext uri="{FF2B5EF4-FFF2-40B4-BE49-F238E27FC236}">
              <a16:creationId xmlns:a16="http://schemas.microsoft.com/office/drawing/2014/main" id="{00000000-0008-0000-0300-0000D11F0200}"/>
            </a:ext>
          </a:extLst>
        </xdr:cNvPr>
        <xdr:cNvGrpSpPr>
          <a:grpSpLocks/>
        </xdr:cNvGrpSpPr>
      </xdr:nvGrpSpPr>
      <xdr:grpSpPr bwMode="auto">
        <a:xfrm>
          <a:off x="3181350" y="76066650"/>
          <a:ext cx="1619250" cy="723900"/>
          <a:chOff x="208" y="7820"/>
          <a:chExt cx="170" cy="76"/>
        </a:xfrm>
      </xdr:grpSpPr>
      <xdr:grpSp>
        <xdr:nvGrpSpPr>
          <xdr:cNvPr id="139219" name="Group 415">
            <a:extLst>
              <a:ext uri="{FF2B5EF4-FFF2-40B4-BE49-F238E27FC236}">
                <a16:creationId xmlns:a16="http://schemas.microsoft.com/office/drawing/2014/main" id="{00000000-0008-0000-0300-0000D31F0200}"/>
              </a:ext>
            </a:extLst>
          </xdr:cNvPr>
          <xdr:cNvGrpSpPr>
            <a:grpSpLocks/>
          </xdr:cNvGrpSpPr>
        </xdr:nvGrpSpPr>
        <xdr:grpSpPr bwMode="auto">
          <a:xfrm>
            <a:off x="208" y="7820"/>
            <a:ext cx="167" cy="76"/>
            <a:chOff x="208" y="7820"/>
            <a:chExt cx="167" cy="76"/>
          </a:xfrm>
        </xdr:grpSpPr>
        <xdr:sp macro="" textlink="">
          <xdr:nvSpPr>
            <xdr:cNvPr id="139224" name="Line 410">
              <a:extLst>
                <a:ext uri="{FF2B5EF4-FFF2-40B4-BE49-F238E27FC236}">
                  <a16:creationId xmlns:a16="http://schemas.microsoft.com/office/drawing/2014/main" id="{00000000-0008-0000-0300-0000D81F0200}"/>
                </a:ext>
              </a:extLst>
            </xdr:cNvPr>
            <xdr:cNvSpPr>
              <a:spLocks noChangeShapeType="1"/>
            </xdr:cNvSpPr>
          </xdr:nvSpPr>
          <xdr:spPr bwMode="auto">
            <a:xfrm>
              <a:off x="218" y="7820"/>
              <a:ext cx="157"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25" name="Line 403">
              <a:extLst>
                <a:ext uri="{FF2B5EF4-FFF2-40B4-BE49-F238E27FC236}">
                  <a16:creationId xmlns:a16="http://schemas.microsoft.com/office/drawing/2014/main" id="{00000000-0008-0000-0300-0000D91F0200}"/>
                </a:ext>
              </a:extLst>
            </xdr:cNvPr>
            <xdr:cNvSpPr>
              <a:spLocks noChangeShapeType="1"/>
            </xdr:cNvSpPr>
          </xdr:nvSpPr>
          <xdr:spPr bwMode="auto">
            <a:xfrm>
              <a:off x="208" y="7873"/>
              <a:ext cx="3" cy="2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9226" name="Line 404">
              <a:extLst>
                <a:ext uri="{FF2B5EF4-FFF2-40B4-BE49-F238E27FC236}">
                  <a16:creationId xmlns:a16="http://schemas.microsoft.com/office/drawing/2014/main" id="{00000000-0008-0000-0300-0000DA1F0200}"/>
                </a:ext>
              </a:extLst>
            </xdr:cNvPr>
            <xdr:cNvSpPr>
              <a:spLocks noChangeShapeType="1"/>
            </xdr:cNvSpPr>
          </xdr:nvSpPr>
          <xdr:spPr bwMode="auto">
            <a:xfrm flipV="1">
              <a:off x="211" y="7820"/>
              <a:ext cx="7" cy="7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20" name="Freeform 406">
            <a:extLst>
              <a:ext uri="{FF2B5EF4-FFF2-40B4-BE49-F238E27FC236}">
                <a16:creationId xmlns:a16="http://schemas.microsoft.com/office/drawing/2014/main" id="{00000000-0008-0000-0300-0000D41F0200}"/>
              </a:ext>
            </a:extLst>
          </xdr:cNvPr>
          <xdr:cNvSpPr>
            <a:spLocks/>
          </xdr:cNvSpPr>
        </xdr:nvSpPr>
        <xdr:spPr bwMode="auto">
          <a:xfrm>
            <a:off x="214" y="7851"/>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221" name="Freeform 407">
            <a:extLst>
              <a:ext uri="{FF2B5EF4-FFF2-40B4-BE49-F238E27FC236}">
                <a16:creationId xmlns:a16="http://schemas.microsoft.com/office/drawing/2014/main" id="{00000000-0008-0000-0300-0000D51F0200}"/>
              </a:ext>
            </a:extLst>
          </xdr:cNvPr>
          <xdr:cNvSpPr>
            <a:spLocks/>
          </xdr:cNvSpPr>
        </xdr:nvSpPr>
        <xdr:spPr bwMode="auto">
          <a:xfrm rot="10800000">
            <a:off x="287" y="7852"/>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222" name="Freeform 412">
            <a:extLst>
              <a:ext uri="{FF2B5EF4-FFF2-40B4-BE49-F238E27FC236}">
                <a16:creationId xmlns:a16="http://schemas.microsoft.com/office/drawing/2014/main" id="{00000000-0008-0000-0300-0000D61F0200}"/>
              </a:ext>
            </a:extLst>
          </xdr:cNvPr>
          <xdr:cNvSpPr>
            <a:spLocks/>
          </xdr:cNvSpPr>
        </xdr:nvSpPr>
        <xdr:spPr bwMode="auto">
          <a:xfrm>
            <a:off x="299" y="7851"/>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223" name="Freeform 413">
            <a:extLst>
              <a:ext uri="{FF2B5EF4-FFF2-40B4-BE49-F238E27FC236}">
                <a16:creationId xmlns:a16="http://schemas.microsoft.com/office/drawing/2014/main" id="{00000000-0008-0000-0300-0000D71F0200}"/>
              </a:ext>
            </a:extLst>
          </xdr:cNvPr>
          <xdr:cNvSpPr>
            <a:spLocks/>
          </xdr:cNvSpPr>
        </xdr:nvSpPr>
        <xdr:spPr bwMode="auto">
          <a:xfrm rot="10800000">
            <a:off x="372" y="7852"/>
            <a:ext cx="6" cy="42"/>
          </a:xfrm>
          <a:custGeom>
            <a:avLst/>
            <a:gdLst>
              <a:gd name="T0" fmla="*/ 454826 w 5"/>
              <a:gd name="T1" fmla="*/ 0 h 48"/>
              <a:gd name="T2" fmla="*/ 454826 w 5"/>
              <a:gd name="T3" fmla="*/ 4 h 48"/>
              <a:gd name="T4" fmla="*/ 0 60000 65536"/>
              <a:gd name="T5" fmla="*/ 0 60000 65536"/>
              <a:gd name="T6" fmla="*/ 0 w 5"/>
              <a:gd name="T7" fmla="*/ 0 h 48"/>
              <a:gd name="T8" fmla="*/ 5 w 5"/>
              <a:gd name="T9" fmla="*/ 48 h 48"/>
            </a:gdLst>
            <a:ahLst/>
            <a:cxnLst>
              <a:cxn ang="T4">
                <a:pos x="T0" y="T1"/>
              </a:cxn>
              <a:cxn ang="T5">
                <a:pos x="T2" y="T3"/>
              </a:cxn>
            </a:cxnLst>
            <a:rect l="T6" t="T7" r="T8" b="T9"/>
            <a:pathLst>
              <a:path w="5" h="48">
                <a:moveTo>
                  <a:pt x="5" y="0"/>
                </a:moveTo>
                <a:cubicBezTo>
                  <a:pt x="2" y="15"/>
                  <a:pt x="0" y="31"/>
                  <a:pt x="5" y="48"/>
                </a:cubicBezTo>
              </a:path>
            </a:pathLst>
          </a:cu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29</xdr:col>
      <xdr:colOff>57150</xdr:colOff>
      <xdr:row>329</xdr:row>
      <xdr:rowOff>0</xdr:rowOff>
    </xdr:from>
    <xdr:to>
      <xdr:col>29</xdr:col>
      <xdr:colOff>114300</xdr:colOff>
      <xdr:row>329</xdr:row>
      <xdr:rowOff>0</xdr:rowOff>
    </xdr:to>
    <xdr:sp macro="" textlink="">
      <xdr:nvSpPr>
        <xdr:cNvPr id="139218" name="Line 421">
          <a:extLst>
            <a:ext uri="{FF2B5EF4-FFF2-40B4-BE49-F238E27FC236}">
              <a16:creationId xmlns:a16="http://schemas.microsoft.com/office/drawing/2014/main" id="{00000000-0008-0000-0300-0000D21F0200}"/>
            </a:ext>
          </a:extLst>
        </xdr:cNvPr>
        <xdr:cNvSpPr>
          <a:spLocks noChangeShapeType="1"/>
        </xdr:cNvSpPr>
      </xdr:nvSpPr>
      <xdr:spPr bwMode="auto">
        <a:xfrm>
          <a:off x="5772150" y="78647925"/>
          <a:ext cx="57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142875</xdr:colOff>
          <xdr:row>184</xdr:row>
          <xdr:rowOff>209550</xdr:rowOff>
        </xdr:from>
        <xdr:to>
          <xdr:col>30</xdr:col>
          <xdr:colOff>19050</xdr:colOff>
          <xdr:row>186</xdr:row>
          <xdr:rowOff>190500</xdr:rowOff>
        </xdr:to>
        <xdr:sp macro="" textlink="">
          <xdr:nvSpPr>
            <xdr:cNvPr id="33046" name="Object 278" hidden="1">
              <a:extLst>
                <a:ext uri="{63B3BB69-23CF-44E3-9099-C40C66FF867C}">
                  <a14:compatExt spid="_x0000_s33046"/>
                </a:ext>
                <a:ext uri="{FF2B5EF4-FFF2-40B4-BE49-F238E27FC236}">
                  <a16:creationId xmlns:a16="http://schemas.microsoft.com/office/drawing/2014/main" id="{00000000-0008-0000-0300-00001681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819150</xdr:colOff>
          <xdr:row>66</xdr:row>
          <xdr:rowOff>47625</xdr:rowOff>
        </xdr:from>
        <xdr:to>
          <xdr:col>35</xdr:col>
          <xdr:colOff>123825</xdr:colOff>
          <xdr:row>68</xdr:row>
          <xdr:rowOff>95250</xdr:rowOff>
        </xdr:to>
        <xdr:sp macro="" textlink="">
          <xdr:nvSpPr>
            <xdr:cNvPr id="32916" name="Object 148" hidden="1">
              <a:extLst>
                <a:ext uri="{63B3BB69-23CF-44E3-9099-C40C66FF867C}">
                  <a14:compatExt spid="_x0000_s32916"/>
                </a:ext>
                <a:ext uri="{FF2B5EF4-FFF2-40B4-BE49-F238E27FC236}">
                  <a16:creationId xmlns:a16="http://schemas.microsoft.com/office/drawing/2014/main" id="{00000000-0008-0000-0300-00009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338</xdr:row>
          <xdr:rowOff>142875</xdr:rowOff>
        </xdr:from>
        <xdr:to>
          <xdr:col>30</xdr:col>
          <xdr:colOff>57150</xdr:colOff>
          <xdr:row>347</xdr:row>
          <xdr:rowOff>38100</xdr:rowOff>
        </xdr:to>
        <xdr:sp macro="" textlink="">
          <xdr:nvSpPr>
            <xdr:cNvPr id="33012" name="Object 244" hidden="1">
              <a:extLst>
                <a:ext uri="{63B3BB69-23CF-44E3-9099-C40C66FF867C}">
                  <a14:compatExt spid="_x0000_s33012"/>
                </a:ext>
                <a:ext uri="{FF2B5EF4-FFF2-40B4-BE49-F238E27FC236}">
                  <a16:creationId xmlns:a16="http://schemas.microsoft.com/office/drawing/2014/main" id="{00000000-0008-0000-0300-0000F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103</xdr:row>
          <xdr:rowOff>238125</xdr:rowOff>
        </xdr:from>
        <xdr:to>
          <xdr:col>30</xdr:col>
          <xdr:colOff>38100</xdr:colOff>
          <xdr:row>105</xdr:row>
          <xdr:rowOff>47625</xdr:rowOff>
        </xdr:to>
        <xdr:sp macro="" textlink="">
          <xdr:nvSpPr>
            <xdr:cNvPr id="33022" name="Object 254" hidden="1">
              <a:extLst>
                <a:ext uri="{63B3BB69-23CF-44E3-9099-C40C66FF867C}">
                  <a14:compatExt spid="_x0000_s33022"/>
                </a:ext>
                <a:ext uri="{FF2B5EF4-FFF2-40B4-BE49-F238E27FC236}">
                  <a16:creationId xmlns:a16="http://schemas.microsoft.com/office/drawing/2014/main" id="{00000000-0008-0000-0300-0000FE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106</xdr:row>
          <xdr:rowOff>0</xdr:rowOff>
        </xdr:from>
        <xdr:to>
          <xdr:col>35</xdr:col>
          <xdr:colOff>19050</xdr:colOff>
          <xdr:row>107</xdr:row>
          <xdr:rowOff>180975</xdr:rowOff>
        </xdr:to>
        <xdr:sp macro="" textlink="">
          <xdr:nvSpPr>
            <xdr:cNvPr id="33023" name="Object 255" hidden="1">
              <a:extLst>
                <a:ext uri="{63B3BB69-23CF-44E3-9099-C40C66FF867C}">
                  <a14:compatExt spid="_x0000_s33023"/>
                </a:ext>
                <a:ext uri="{FF2B5EF4-FFF2-40B4-BE49-F238E27FC236}">
                  <a16:creationId xmlns:a16="http://schemas.microsoft.com/office/drawing/2014/main" id="{00000000-0008-0000-0300-0000FF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157</xdr:row>
          <xdr:rowOff>38100</xdr:rowOff>
        </xdr:from>
        <xdr:to>
          <xdr:col>35</xdr:col>
          <xdr:colOff>123825</xdr:colOff>
          <xdr:row>159</xdr:row>
          <xdr:rowOff>85725</xdr:rowOff>
        </xdr:to>
        <xdr:sp macro="" textlink="">
          <xdr:nvSpPr>
            <xdr:cNvPr id="33043" name="Object 275" hidden="1">
              <a:extLst>
                <a:ext uri="{63B3BB69-23CF-44E3-9099-C40C66FF867C}">
                  <a14:compatExt spid="_x0000_s33043"/>
                </a:ext>
                <a:ext uri="{FF2B5EF4-FFF2-40B4-BE49-F238E27FC236}">
                  <a16:creationId xmlns:a16="http://schemas.microsoft.com/office/drawing/2014/main" id="{00000000-0008-0000-0300-000013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182</xdr:row>
          <xdr:rowOff>228600</xdr:rowOff>
        </xdr:from>
        <xdr:to>
          <xdr:col>25</xdr:col>
          <xdr:colOff>28575</xdr:colOff>
          <xdr:row>184</xdr:row>
          <xdr:rowOff>38100</xdr:rowOff>
        </xdr:to>
        <xdr:sp macro="" textlink="">
          <xdr:nvSpPr>
            <xdr:cNvPr id="33045" name="Object 277" hidden="1">
              <a:extLst>
                <a:ext uri="{63B3BB69-23CF-44E3-9099-C40C66FF867C}">
                  <a14:compatExt spid="_x0000_s33045"/>
                </a:ext>
                <a:ext uri="{FF2B5EF4-FFF2-40B4-BE49-F238E27FC236}">
                  <a16:creationId xmlns:a16="http://schemas.microsoft.com/office/drawing/2014/main" id="{00000000-0008-0000-0300-00001581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148</xdr:row>
          <xdr:rowOff>219075</xdr:rowOff>
        </xdr:from>
        <xdr:to>
          <xdr:col>23</xdr:col>
          <xdr:colOff>19050</xdr:colOff>
          <xdr:row>150</xdr:row>
          <xdr:rowOff>19050</xdr:rowOff>
        </xdr:to>
        <xdr:sp macro="" textlink="">
          <xdr:nvSpPr>
            <xdr:cNvPr id="33059" name="Object 291" hidden="1">
              <a:extLst>
                <a:ext uri="{63B3BB69-23CF-44E3-9099-C40C66FF867C}">
                  <a14:compatExt spid="_x0000_s33059"/>
                </a:ext>
                <a:ext uri="{FF2B5EF4-FFF2-40B4-BE49-F238E27FC236}">
                  <a16:creationId xmlns:a16="http://schemas.microsoft.com/office/drawing/2014/main" id="{00000000-0008-0000-0300-00002381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188</xdr:row>
          <xdr:rowOff>0</xdr:rowOff>
        </xdr:from>
        <xdr:to>
          <xdr:col>23</xdr:col>
          <xdr:colOff>19050</xdr:colOff>
          <xdr:row>189</xdr:row>
          <xdr:rowOff>47625</xdr:rowOff>
        </xdr:to>
        <xdr:sp macro="" textlink="">
          <xdr:nvSpPr>
            <xdr:cNvPr id="33060" name="Object 292" hidden="1">
              <a:extLst>
                <a:ext uri="{63B3BB69-23CF-44E3-9099-C40C66FF867C}">
                  <a14:compatExt spid="_x0000_s33060"/>
                </a:ext>
                <a:ext uri="{FF2B5EF4-FFF2-40B4-BE49-F238E27FC236}">
                  <a16:creationId xmlns:a16="http://schemas.microsoft.com/office/drawing/2014/main" id="{00000000-0008-0000-0300-00002481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189</xdr:row>
          <xdr:rowOff>0</xdr:rowOff>
        </xdr:from>
        <xdr:to>
          <xdr:col>24</xdr:col>
          <xdr:colOff>19050</xdr:colOff>
          <xdr:row>190</xdr:row>
          <xdr:rowOff>47625</xdr:rowOff>
        </xdr:to>
        <xdr:sp macro="" textlink="">
          <xdr:nvSpPr>
            <xdr:cNvPr id="33062" name="Object 294" hidden="1">
              <a:extLst>
                <a:ext uri="{63B3BB69-23CF-44E3-9099-C40C66FF867C}">
                  <a14:compatExt spid="_x0000_s33062"/>
                </a:ext>
                <a:ext uri="{FF2B5EF4-FFF2-40B4-BE49-F238E27FC236}">
                  <a16:creationId xmlns:a16="http://schemas.microsoft.com/office/drawing/2014/main" id="{00000000-0008-0000-0300-00002681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208</xdr:row>
          <xdr:rowOff>0</xdr:rowOff>
        </xdr:from>
        <xdr:to>
          <xdr:col>32</xdr:col>
          <xdr:colOff>152400</xdr:colOff>
          <xdr:row>210</xdr:row>
          <xdr:rowOff>76200</xdr:rowOff>
        </xdr:to>
        <xdr:sp macro="" textlink="">
          <xdr:nvSpPr>
            <xdr:cNvPr id="33064" name="Object 296" hidden="1">
              <a:extLst>
                <a:ext uri="{63B3BB69-23CF-44E3-9099-C40C66FF867C}">
                  <a14:compatExt spid="_x0000_s33064"/>
                </a:ext>
                <a:ext uri="{FF2B5EF4-FFF2-40B4-BE49-F238E27FC236}">
                  <a16:creationId xmlns:a16="http://schemas.microsoft.com/office/drawing/2014/main" id="{00000000-0008-0000-0300-000028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426</xdr:row>
          <xdr:rowOff>0</xdr:rowOff>
        </xdr:from>
        <xdr:to>
          <xdr:col>28</xdr:col>
          <xdr:colOff>142875</xdr:colOff>
          <xdr:row>430</xdr:row>
          <xdr:rowOff>161925</xdr:rowOff>
        </xdr:to>
        <xdr:sp macro="" textlink="">
          <xdr:nvSpPr>
            <xdr:cNvPr id="33192" name="Object 424" hidden="1">
              <a:extLst>
                <a:ext uri="{63B3BB69-23CF-44E3-9099-C40C66FF867C}">
                  <a14:compatExt spid="_x0000_s33192"/>
                </a:ext>
                <a:ext uri="{FF2B5EF4-FFF2-40B4-BE49-F238E27FC236}">
                  <a16:creationId xmlns:a16="http://schemas.microsoft.com/office/drawing/2014/main" id="{00000000-0008-0000-0300-0000A8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551</xdr:row>
          <xdr:rowOff>9525</xdr:rowOff>
        </xdr:from>
        <xdr:to>
          <xdr:col>24</xdr:col>
          <xdr:colOff>57150</xdr:colOff>
          <xdr:row>553</xdr:row>
          <xdr:rowOff>9525</xdr:rowOff>
        </xdr:to>
        <xdr:sp macro="" textlink="">
          <xdr:nvSpPr>
            <xdr:cNvPr id="33212" name="Object 444" hidden="1">
              <a:extLst>
                <a:ext uri="{63B3BB69-23CF-44E3-9099-C40C66FF867C}">
                  <a14:compatExt spid="_x0000_s33212"/>
                </a:ext>
                <a:ext uri="{FF2B5EF4-FFF2-40B4-BE49-F238E27FC236}">
                  <a16:creationId xmlns:a16="http://schemas.microsoft.com/office/drawing/2014/main" id="{00000000-0008-0000-0300-0000BC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553</xdr:row>
          <xdr:rowOff>9525</xdr:rowOff>
        </xdr:from>
        <xdr:to>
          <xdr:col>26</xdr:col>
          <xdr:colOff>47625</xdr:colOff>
          <xdr:row>555</xdr:row>
          <xdr:rowOff>9525</xdr:rowOff>
        </xdr:to>
        <xdr:sp macro="" textlink="">
          <xdr:nvSpPr>
            <xdr:cNvPr id="33215" name="Object 447" hidden="1">
              <a:extLst>
                <a:ext uri="{63B3BB69-23CF-44E3-9099-C40C66FF867C}">
                  <a14:compatExt spid="_x0000_s33215"/>
                </a:ext>
                <a:ext uri="{FF2B5EF4-FFF2-40B4-BE49-F238E27FC236}">
                  <a16:creationId xmlns:a16="http://schemas.microsoft.com/office/drawing/2014/main" id="{00000000-0008-0000-0300-0000BF8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57150</xdr:colOff>
      <xdr:row>0</xdr:row>
      <xdr:rowOff>0</xdr:rowOff>
    </xdr:from>
    <xdr:to>
      <xdr:col>3</xdr:col>
      <xdr:colOff>457200</xdr:colOff>
      <xdr:row>0</xdr:row>
      <xdr:rowOff>0</xdr:rowOff>
    </xdr:to>
    <xdr:pic>
      <xdr:nvPicPr>
        <xdr:cNvPr id="128598" name="Picture 1">
          <a:extLst>
            <a:ext uri="{FF2B5EF4-FFF2-40B4-BE49-F238E27FC236}">
              <a16:creationId xmlns:a16="http://schemas.microsoft.com/office/drawing/2014/main" id="{00000000-0008-0000-0400-000056F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206" b="-29120"/>
        <a:stretch>
          <a:fillRect/>
        </a:stretch>
      </xdr:blipFill>
      <xdr:spPr bwMode="auto">
        <a:xfrm>
          <a:off x="2286000" y="0"/>
          <a:ext cx="400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371475</xdr:colOff>
      <xdr:row>256</xdr:row>
      <xdr:rowOff>0</xdr:rowOff>
    </xdr:from>
    <xdr:to>
      <xdr:col>11</xdr:col>
      <xdr:colOff>377839</xdr:colOff>
      <xdr:row>256</xdr:row>
      <xdr:rowOff>0</xdr:rowOff>
    </xdr:to>
    <xdr:sp macro="" textlink="">
      <xdr:nvSpPr>
        <xdr:cNvPr id="30722" name="WordArt 2">
          <a:extLst>
            <a:ext uri="{FF2B5EF4-FFF2-40B4-BE49-F238E27FC236}">
              <a16:creationId xmlns:a16="http://schemas.microsoft.com/office/drawing/2014/main" id="{00000000-0008-0000-0400-000002780000}"/>
            </a:ext>
          </a:extLst>
        </xdr:cNvPr>
        <xdr:cNvSpPr>
          <a:spLocks noChangeArrowheads="1" noChangeShapeType="1"/>
        </xdr:cNvSpPr>
      </xdr:nvSpPr>
      <xdr:spPr bwMode="auto">
        <a:xfrm>
          <a:off x="1590675" y="62817375"/>
          <a:ext cx="3486150" cy="0"/>
        </a:xfrm>
        <a:prstGeom prst="rect">
          <a:avLst/>
        </a:prstGeom>
      </xdr:spPr>
      <xdr:txBody>
        <a:bodyPr wrap="none" fromWordArt="1">
          <a:prstTxWarp prst="textPlain">
            <a:avLst>
              <a:gd name="adj" fmla="val 50000"/>
            </a:avLst>
          </a:prstTxWarp>
        </a:bodyPr>
        <a:lstStyle/>
        <a:p>
          <a:pPr algn="ctr" rtl="0"/>
          <a:r>
            <a:rPr lang="en-US" sz="3600" b="1" kern="10" spc="0">
              <a:ln w="9525">
                <a:noFill/>
                <a:round/>
                <a:headEnd/>
                <a:tailEnd/>
              </a:ln>
              <a:solidFill>
                <a:srgbClr val="000000"/>
              </a:solidFill>
              <a:effectLst>
                <a:outerShdw dist="45791" dir="2021404" algn="ctr" rotWithShape="0">
                  <a:srgbClr val="C0C0C0"/>
                </a:outerShdw>
              </a:effectLst>
              <a:latin typeface="Times New Roman"/>
              <a:cs typeface="Times New Roman"/>
            </a:rPr>
            <a:t>THIếT Kế Kỹ THUậT THI CôNG</a:t>
          </a:r>
        </a:p>
      </xdr:txBody>
    </xdr:sp>
    <xdr:clientData/>
  </xdr:twoCellAnchor>
  <xdr:twoCellAnchor>
    <xdr:from>
      <xdr:col>4</xdr:col>
      <xdr:colOff>371475</xdr:colOff>
      <xdr:row>256</xdr:row>
      <xdr:rowOff>0</xdr:rowOff>
    </xdr:from>
    <xdr:to>
      <xdr:col>11</xdr:col>
      <xdr:colOff>377839</xdr:colOff>
      <xdr:row>256</xdr:row>
      <xdr:rowOff>0</xdr:rowOff>
    </xdr:to>
    <xdr:sp macro="" textlink="">
      <xdr:nvSpPr>
        <xdr:cNvPr id="30723" name="WordArt 3">
          <a:extLst>
            <a:ext uri="{FF2B5EF4-FFF2-40B4-BE49-F238E27FC236}">
              <a16:creationId xmlns:a16="http://schemas.microsoft.com/office/drawing/2014/main" id="{00000000-0008-0000-0400-000003780000}"/>
            </a:ext>
          </a:extLst>
        </xdr:cNvPr>
        <xdr:cNvSpPr>
          <a:spLocks noChangeArrowheads="1" noChangeShapeType="1"/>
        </xdr:cNvSpPr>
      </xdr:nvSpPr>
      <xdr:spPr bwMode="auto">
        <a:xfrm>
          <a:off x="1590675" y="62817375"/>
          <a:ext cx="3486150" cy="0"/>
        </a:xfrm>
        <a:prstGeom prst="rect">
          <a:avLst/>
        </a:prstGeom>
      </xdr:spPr>
      <xdr:txBody>
        <a:bodyPr wrap="none" fromWordArt="1">
          <a:prstTxWarp prst="textPlain">
            <a:avLst>
              <a:gd name="adj" fmla="val 50000"/>
            </a:avLst>
          </a:prstTxWarp>
        </a:bodyPr>
        <a:lstStyle/>
        <a:p>
          <a:pPr algn="ctr" rtl="0"/>
          <a:r>
            <a:rPr lang="en-US" sz="3600" b="1" kern="10" spc="0">
              <a:ln w="9525">
                <a:noFill/>
                <a:round/>
                <a:headEnd/>
                <a:tailEnd/>
              </a:ln>
              <a:solidFill>
                <a:srgbClr val="000000"/>
              </a:solidFill>
              <a:effectLst>
                <a:outerShdw dist="45791" dir="2021404" algn="ctr" rotWithShape="0">
                  <a:srgbClr val="C0C0C0"/>
                </a:outerShdw>
              </a:effectLst>
              <a:latin typeface="Times New Roman"/>
              <a:cs typeface="Times New Roman"/>
            </a:rPr>
            <a:t>THIếT Kế Kỹ THUậT THI CôNG</a:t>
          </a:r>
        </a:p>
      </xdr:txBody>
    </xdr:sp>
    <xdr:clientData/>
  </xdr:twoCellAnchor>
  <xdr:twoCellAnchor>
    <xdr:from>
      <xdr:col>6</xdr:col>
      <xdr:colOff>47625</xdr:colOff>
      <xdr:row>45</xdr:row>
      <xdr:rowOff>76200</xdr:rowOff>
    </xdr:from>
    <xdr:to>
      <xdr:col>10</xdr:col>
      <xdr:colOff>342900</xdr:colOff>
      <xdr:row>45</xdr:row>
      <xdr:rowOff>76200</xdr:rowOff>
    </xdr:to>
    <xdr:sp macro="" textlink="">
      <xdr:nvSpPr>
        <xdr:cNvPr id="128601" name="Line 13">
          <a:extLst>
            <a:ext uri="{FF2B5EF4-FFF2-40B4-BE49-F238E27FC236}">
              <a16:creationId xmlns:a16="http://schemas.microsoft.com/office/drawing/2014/main" id="{00000000-0008-0000-0400-000059F60100}"/>
            </a:ext>
          </a:extLst>
        </xdr:cNvPr>
        <xdr:cNvSpPr>
          <a:spLocks noChangeShapeType="1"/>
        </xdr:cNvSpPr>
      </xdr:nvSpPr>
      <xdr:spPr bwMode="auto">
        <a:xfrm>
          <a:off x="3629025" y="10934700"/>
          <a:ext cx="220027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47625</xdr:colOff>
      <xdr:row>4</xdr:row>
      <xdr:rowOff>76200</xdr:rowOff>
    </xdr:from>
    <xdr:to>
      <xdr:col>10</xdr:col>
      <xdr:colOff>342900</xdr:colOff>
      <xdr:row>4</xdr:row>
      <xdr:rowOff>76200</xdr:rowOff>
    </xdr:to>
    <xdr:sp macro="" textlink="">
      <xdr:nvSpPr>
        <xdr:cNvPr id="128602" name="Line 19">
          <a:extLst>
            <a:ext uri="{FF2B5EF4-FFF2-40B4-BE49-F238E27FC236}">
              <a16:creationId xmlns:a16="http://schemas.microsoft.com/office/drawing/2014/main" id="{00000000-0008-0000-0400-00005AF60100}"/>
            </a:ext>
          </a:extLst>
        </xdr:cNvPr>
        <xdr:cNvSpPr>
          <a:spLocks noChangeShapeType="1"/>
        </xdr:cNvSpPr>
      </xdr:nvSpPr>
      <xdr:spPr bwMode="auto">
        <a:xfrm>
          <a:off x="3629025" y="866775"/>
          <a:ext cx="220027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323850</xdr:colOff>
      <xdr:row>21</xdr:row>
      <xdr:rowOff>171450</xdr:rowOff>
    </xdr:from>
    <xdr:to>
      <xdr:col>9</xdr:col>
      <xdr:colOff>219075</xdr:colOff>
      <xdr:row>24</xdr:row>
      <xdr:rowOff>104775</xdr:rowOff>
    </xdr:to>
    <xdr:pic>
      <xdr:nvPicPr>
        <xdr:cNvPr id="128603" name="Picture 20">
          <a:extLst>
            <a:ext uri="{FF2B5EF4-FFF2-40B4-BE49-F238E27FC236}">
              <a16:creationId xmlns:a16="http://schemas.microsoft.com/office/drawing/2014/main" id="{00000000-0008-0000-0400-00005BF6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24350" y="5762625"/>
          <a:ext cx="704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xdr:row>
      <xdr:rowOff>190500</xdr:rowOff>
    </xdr:from>
    <xdr:to>
      <xdr:col>12</xdr:col>
      <xdr:colOff>552450</xdr:colOff>
      <xdr:row>41</xdr:row>
      <xdr:rowOff>161925</xdr:rowOff>
    </xdr:to>
    <xdr:sp macro="" textlink="">
      <xdr:nvSpPr>
        <xdr:cNvPr id="128604" name="Rectangle 2630">
          <a:extLst>
            <a:ext uri="{FF2B5EF4-FFF2-40B4-BE49-F238E27FC236}">
              <a16:creationId xmlns:a16="http://schemas.microsoft.com/office/drawing/2014/main" id="{00000000-0008-0000-0400-00005CF60100}"/>
            </a:ext>
          </a:extLst>
        </xdr:cNvPr>
        <xdr:cNvSpPr>
          <a:spLocks noChangeArrowheads="1"/>
        </xdr:cNvSpPr>
      </xdr:nvSpPr>
      <xdr:spPr bwMode="auto">
        <a:xfrm>
          <a:off x="1866900" y="419100"/>
          <a:ext cx="5734050" cy="9829800"/>
        </a:xfrm>
        <a:prstGeom prst="rect">
          <a:avLst/>
        </a:prstGeom>
        <a:noFill/>
        <a:ln w="57150" cmpd="thickThin"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66675</xdr:colOff>
      <xdr:row>42</xdr:row>
      <xdr:rowOff>95250</xdr:rowOff>
    </xdr:from>
    <xdr:to>
      <xdr:col>12</xdr:col>
      <xdr:colOff>552450</xdr:colOff>
      <xdr:row>84</xdr:row>
      <xdr:rowOff>161925</xdr:rowOff>
    </xdr:to>
    <xdr:sp macro="" textlink="">
      <xdr:nvSpPr>
        <xdr:cNvPr id="128605" name="Rectangle 2632">
          <a:extLst>
            <a:ext uri="{FF2B5EF4-FFF2-40B4-BE49-F238E27FC236}">
              <a16:creationId xmlns:a16="http://schemas.microsoft.com/office/drawing/2014/main" id="{00000000-0008-0000-0400-00005DF60100}"/>
            </a:ext>
          </a:extLst>
        </xdr:cNvPr>
        <xdr:cNvSpPr>
          <a:spLocks noChangeArrowheads="1"/>
        </xdr:cNvSpPr>
      </xdr:nvSpPr>
      <xdr:spPr bwMode="auto">
        <a:xfrm>
          <a:off x="1866900" y="10391775"/>
          <a:ext cx="5734050" cy="10096500"/>
        </a:xfrm>
        <a:prstGeom prst="rect">
          <a:avLst/>
        </a:prstGeom>
        <a:noFill/>
        <a:ln w="57150" cmpd="thickThin"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66675</xdr:colOff>
      <xdr:row>85</xdr:row>
      <xdr:rowOff>133350</xdr:rowOff>
    </xdr:from>
    <xdr:to>
      <xdr:col>12</xdr:col>
      <xdr:colOff>552450</xdr:colOff>
      <xdr:row>127</xdr:row>
      <xdr:rowOff>95250</xdr:rowOff>
    </xdr:to>
    <xdr:sp macro="" textlink="">
      <xdr:nvSpPr>
        <xdr:cNvPr id="128606" name="Rectangle 2633">
          <a:extLst>
            <a:ext uri="{FF2B5EF4-FFF2-40B4-BE49-F238E27FC236}">
              <a16:creationId xmlns:a16="http://schemas.microsoft.com/office/drawing/2014/main" id="{00000000-0008-0000-0400-00005EF60100}"/>
            </a:ext>
          </a:extLst>
        </xdr:cNvPr>
        <xdr:cNvSpPr>
          <a:spLocks noChangeArrowheads="1"/>
        </xdr:cNvSpPr>
      </xdr:nvSpPr>
      <xdr:spPr bwMode="auto">
        <a:xfrm>
          <a:off x="1866900" y="20697825"/>
          <a:ext cx="5734050" cy="9963150"/>
        </a:xfrm>
        <a:prstGeom prst="rect">
          <a:avLst/>
        </a:prstGeom>
        <a:noFill/>
        <a:ln w="57150" cmpd="thickThin"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66675</xdr:colOff>
      <xdr:row>128</xdr:row>
      <xdr:rowOff>142875</xdr:rowOff>
    </xdr:from>
    <xdr:to>
      <xdr:col>12</xdr:col>
      <xdr:colOff>552450</xdr:colOff>
      <xdr:row>170</xdr:row>
      <xdr:rowOff>104775</xdr:rowOff>
    </xdr:to>
    <xdr:sp macro="" textlink="">
      <xdr:nvSpPr>
        <xdr:cNvPr id="128607" name="Rectangle 2634">
          <a:extLst>
            <a:ext uri="{FF2B5EF4-FFF2-40B4-BE49-F238E27FC236}">
              <a16:creationId xmlns:a16="http://schemas.microsoft.com/office/drawing/2014/main" id="{00000000-0008-0000-0400-00005FF60100}"/>
            </a:ext>
          </a:extLst>
        </xdr:cNvPr>
        <xdr:cNvSpPr>
          <a:spLocks noChangeArrowheads="1"/>
        </xdr:cNvSpPr>
      </xdr:nvSpPr>
      <xdr:spPr bwMode="auto">
        <a:xfrm>
          <a:off x="1866900" y="30946725"/>
          <a:ext cx="5734050" cy="9963150"/>
        </a:xfrm>
        <a:prstGeom prst="rect">
          <a:avLst/>
        </a:prstGeom>
        <a:noFill/>
        <a:ln w="57150" cmpd="thickThin"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66675</xdr:colOff>
      <xdr:row>171</xdr:row>
      <xdr:rowOff>190500</xdr:rowOff>
    </xdr:from>
    <xdr:to>
      <xdr:col>12</xdr:col>
      <xdr:colOff>552450</xdr:colOff>
      <xdr:row>213</xdr:row>
      <xdr:rowOff>152400</xdr:rowOff>
    </xdr:to>
    <xdr:sp macro="" textlink="">
      <xdr:nvSpPr>
        <xdr:cNvPr id="128608" name="Rectangle 2636">
          <a:extLst>
            <a:ext uri="{FF2B5EF4-FFF2-40B4-BE49-F238E27FC236}">
              <a16:creationId xmlns:a16="http://schemas.microsoft.com/office/drawing/2014/main" id="{00000000-0008-0000-0400-000060F60100}"/>
            </a:ext>
          </a:extLst>
        </xdr:cNvPr>
        <xdr:cNvSpPr>
          <a:spLocks noChangeArrowheads="1"/>
        </xdr:cNvSpPr>
      </xdr:nvSpPr>
      <xdr:spPr bwMode="auto">
        <a:xfrm>
          <a:off x="1866900" y="41233725"/>
          <a:ext cx="5734050" cy="9963150"/>
        </a:xfrm>
        <a:prstGeom prst="rect">
          <a:avLst/>
        </a:prstGeom>
        <a:noFill/>
        <a:ln w="57150" cmpd="thickThin"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66675</xdr:colOff>
      <xdr:row>214</xdr:row>
      <xdr:rowOff>28575</xdr:rowOff>
    </xdr:from>
    <xdr:to>
      <xdr:col>12</xdr:col>
      <xdr:colOff>552450</xdr:colOff>
      <xdr:row>255</xdr:row>
      <xdr:rowOff>228600</xdr:rowOff>
    </xdr:to>
    <xdr:sp macro="" textlink="">
      <xdr:nvSpPr>
        <xdr:cNvPr id="128609" name="Rectangle 2638">
          <a:extLst>
            <a:ext uri="{FF2B5EF4-FFF2-40B4-BE49-F238E27FC236}">
              <a16:creationId xmlns:a16="http://schemas.microsoft.com/office/drawing/2014/main" id="{00000000-0008-0000-0400-000061F60100}"/>
            </a:ext>
          </a:extLst>
        </xdr:cNvPr>
        <xdr:cNvSpPr>
          <a:spLocks noChangeArrowheads="1"/>
        </xdr:cNvSpPr>
      </xdr:nvSpPr>
      <xdr:spPr bwMode="auto">
        <a:xfrm>
          <a:off x="1866900" y="51311175"/>
          <a:ext cx="5734050" cy="9963150"/>
        </a:xfrm>
        <a:prstGeom prst="rect">
          <a:avLst/>
        </a:prstGeom>
        <a:noFill/>
        <a:ln w="57150" cmpd="thickThin"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7</xdr:col>
      <xdr:colOff>257175</xdr:colOff>
      <xdr:row>61</xdr:row>
      <xdr:rowOff>152400</xdr:rowOff>
    </xdr:from>
    <xdr:to>
      <xdr:col>9</xdr:col>
      <xdr:colOff>171450</xdr:colOff>
      <xdr:row>65</xdr:row>
      <xdr:rowOff>0</xdr:rowOff>
    </xdr:to>
    <xdr:pic>
      <xdr:nvPicPr>
        <xdr:cNvPr id="128610" name="Picture 20">
          <a:extLst>
            <a:ext uri="{FF2B5EF4-FFF2-40B4-BE49-F238E27FC236}">
              <a16:creationId xmlns:a16="http://schemas.microsoft.com/office/drawing/2014/main" id="{00000000-0008-0000-0400-000062F6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15039975"/>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1476375</xdr:colOff>
      <xdr:row>34</xdr:row>
      <xdr:rowOff>104775</xdr:rowOff>
    </xdr:from>
    <xdr:to>
      <xdr:col>3</xdr:col>
      <xdr:colOff>1657350</xdr:colOff>
      <xdr:row>34</xdr:row>
      <xdr:rowOff>104775</xdr:rowOff>
    </xdr:to>
    <xdr:sp macro="" textlink="">
      <xdr:nvSpPr>
        <xdr:cNvPr id="135269" name="Line 308">
          <a:extLst>
            <a:ext uri="{FF2B5EF4-FFF2-40B4-BE49-F238E27FC236}">
              <a16:creationId xmlns:a16="http://schemas.microsoft.com/office/drawing/2014/main" id="{00000000-0008-0000-0600-000065100200}"/>
            </a:ext>
          </a:extLst>
        </xdr:cNvPr>
        <xdr:cNvSpPr>
          <a:spLocks noChangeShapeType="1"/>
        </xdr:cNvSpPr>
      </xdr:nvSpPr>
      <xdr:spPr bwMode="auto">
        <a:xfrm>
          <a:off x="5705475" y="72390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1476375</xdr:colOff>
      <xdr:row>37</xdr:row>
      <xdr:rowOff>104775</xdr:rowOff>
    </xdr:from>
    <xdr:to>
      <xdr:col>3</xdr:col>
      <xdr:colOff>1657350</xdr:colOff>
      <xdr:row>37</xdr:row>
      <xdr:rowOff>104775</xdr:rowOff>
    </xdr:to>
    <xdr:sp macro="" textlink="">
      <xdr:nvSpPr>
        <xdr:cNvPr id="135270" name="Line 309">
          <a:extLst>
            <a:ext uri="{FF2B5EF4-FFF2-40B4-BE49-F238E27FC236}">
              <a16:creationId xmlns:a16="http://schemas.microsoft.com/office/drawing/2014/main" id="{00000000-0008-0000-0600-000066100200}"/>
            </a:ext>
          </a:extLst>
        </xdr:cNvPr>
        <xdr:cNvSpPr>
          <a:spLocks noChangeShapeType="1"/>
        </xdr:cNvSpPr>
      </xdr:nvSpPr>
      <xdr:spPr bwMode="auto">
        <a:xfrm>
          <a:off x="5705475" y="78105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47625</xdr:colOff>
      <xdr:row>34</xdr:row>
      <xdr:rowOff>123825</xdr:rowOff>
    </xdr:from>
    <xdr:to>
      <xdr:col>5</xdr:col>
      <xdr:colOff>228600</xdr:colOff>
      <xdr:row>34</xdr:row>
      <xdr:rowOff>123825</xdr:rowOff>
    </xdr:to>
    <xdr:sp macro="" textlink="">
      <xdr:nvSpPr>
        <xdr:cNvPr id="135271" name="Line 310">
          <a:extLst>
            <a:ext uri="{FF2B5EF4-FFF2-40B4-BE49-F238E27FC236}">
              <a16:creationId xmlns:a16="http://schemas.microsoft.com/office/drawing/2014/main" id="{00000000-0008-0000-0600-000067100200}"/>
            </a:ext>
          </a:extLst>
        </xdr:cNvPr>
        <xdr:cNvSpPr>
          <a:spLocks noChangeShapeType="1"/>
        </xdr:cNvSpPr>
      </xdr:nvSpPr>
      <xdr:spPr bwMode="auto">
        <a:xfrm>
          <a:off x="7229475" y="725805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38100</xdr:colOff>
      <xdr:row>37</xdr:row>
      <xdr:rowOff>95250</xdr:rowOff>
    </xdr:from>
    <xdr:to>
      <xdr:col>5</xdr:col>
      <xdr:colOff>219075</xdr:colOff>
      <xdr:row>37</xdr:row>
      <xdr:rowOff>95250</xdr:rowOff>
    </xdr:to>
    <xdr:sp macro="" textlink="">
      <xdr:nvSpPr>
        <xdr:cNvPr id="135272" name="Line 311">
          <a:extLst>
            <a:ext uri="{FF2B5EF4-FFF2-40B4-BE49-F238E27FC236}">
              <a16:creationId xmlns:a16="http://schemas.microsoft.com/office/drawing/2014/main" id="{00000000-0008-0000-0600-000068100200}"/>
            </a:ext>
          </a:extLst>
        </xdr:cNvPr>
        <xdr:cNvSpPr>
          <a:spLocks noChangeShapeType="1"/>
        </xdr:cNvSpPr>
      </xdr:nvSpPr>
      <xdr:spPr bwMode="auto">
        <a:xfrm>
          <a:off x="7219950" y="780097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38100</xdr:colOff>
      <xdr:row>37</xdr:row>
      <xdr:rowOff>95250</xdr:rowOff>
    </xdr:from>
    <xdr:to>
      <xdr:col>5</xdr:col>
      <xdr:colOff>219075</xdr:colOff>
      <xdr:row>37</xdr:row>
      <xdr:rowOff>95250</xdr:rowOff>
    </xdr:to>
    <xdr:sp macro="" textlink="">
      <xdr:nvSpPr>
        <xdr:cNvPr id="135273" name="Line 312">
          <a:extLst>
            <a:ext uri="{FF2B5EF4-FFF2-40B4-BE49-F238E27FC236}">
              <a16:creationId xmlns:a16="http://schemas.microsoft.com/office/drawing/2014/main" id="{00000000-0008-0000-0600-000069100200}"/>
            </a:ext>
          </a:extLst>
        </xdr:cNvPr>
        <xdr:cNvSpPr>
          <a:spLocks noChangeShapeType="1"/>
        </xdr:cNvSpPr>
      </xdr:nvSpPr>
      <xdr:spPr bwMode="auto">
        <a:xfrm>
          <a:off x="7219950" y="780097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1476375</xdr:colOff>
      <xdr:row>36</xdr:row>
      <xdr:rowOff>104775</xdr:rowOff>
    </xdr:from>
    <xdr:to>
      <xdr:col>3</xdr:col>
      <xdr:colOff>1657350</xdr:colOff>
      <xdr:row>36</xdr:row>
      <xdr:rowOff>104775</xdr:rowOff>
    </xdr:to>
    <xdr:sp macro="" textlink="">
      <xdr:nvSpPr>
        <xdr:cNvPr id="129254" name="Line 404">
          <a:extLst>
            <a:ext uri="{FF2B5EF4-FFF2-40B4-BE49-F238E27FC236}">
              <a16:creationId xmlns:a16="http://schemas.microsoft.com/office/drawing/2014/main" id="{00000000-0008-0000-0700-0000E6F80100}"/>
            </a:ext>
          </a:extLst>
        </xdr:cNvPr>
        <xdr:cNvSpPr>
          <a:spLocks noChangeShapeType="1"/>
        </xdr:cNvSpPr>
      </xdr:nvSpPr>
      <xdr:spPr bwMode="auto">
        <a:xfrm>
          <a:off x="5667375" y="75438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1476375</xdr:colOff>
      <xdr:row>39</xdr:row>
      <xdr:rowOff>104775</xdr:rowOff>
    </xdr:from>
    <xdr:to>
      <xdr:col>3</xdr:col>
      <xdr:colOff>1657350</xdr:colOff>
      <xdr:row>39</xdr:row>
      <xdr:rowOff>104775</xdr:rowOff>
    </xdr:to>
    <xdr:sp macro="" textlink="">
      <xdr:nvSpPr>
        <xdr:cNvPr id="129255" name="Line 406">
          <a:extLst>
            <a:ext uri="{FF2B5EF4-FFF2-40B4-BE49-F238E27FC236}">
              <a16:creationId xmlns:a16="http://schemas.microsoft.com/office/drawing/2014/main" id="{00000000-0008-0000-0700-0000E7F80100}"/>
            </a:ext>
          </a:extLst>
        </xdr:cNvPr>
        <xdr:cNvSpPr>
          <a:spLocks noChangeShapeType="1"/>
        </xdr:cNvSpPr>
      </xdr:nvSpPr>
      <xdr:spPr bwMode="auto">
        <a:xfrm>
          <a:off x="5667375" y="81153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47625</xdr:colOff>
      <xdr:row>36</xdr:row>
      <xdr:rowOff>123825</xdr:rowOff>
    </xdr:from>
    <xdr:to>
      <xdr:col>5</xdr:col>
      <xdr:colOff>228600</xdr:colOff>
      <xdr:row>36</xdr:row>
      <xdr:rowOff>123825</xdr:rowOff>
    </xdr:to>
    <xdr:sp macro="" textlink="">
      <xdr:nvSpPr>
        <xdr:cNvPr id="129256" name="Line 407">
          <a:extLst>
            <a:ext uri="{FF2B5EF4-FFF2-40B4-BE49-F238E27FC236}">
              <a16:creationId xmlns:a16="http://schemas.microsoft.com/office/drawing/2014/main" id="{00000000-0008-0000-0700-0000E8F80100}"/>
            </a:ext>
          </a:extLst>
        </xdr:cNvPr>
        <xdr:cNvSpPr>
          <a:spLocks noChangeShapeType="1"/>
        </xdr:cNvSpPr>
      </xdr:nvSpPr>
      <xdr:spPr bwMode="auto">
        <a:xfrm>
          <a:off x="6962775" y="756285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38100</xdr:colOff>
      <xdr:row>39</xdr:row>
      <xdr:rowOff>95250</xdr:rowOff>
    </xdr:from>
    <xdr:to>
      <xdr:col>5</xdr:col>
      <xdr:colOff>219075</xdr:colOff>
      <xdr:row>39</xdr:row>
      <xdr:rowOff>95250</xdr:rowOff>
    </xdr:to>
    <xdr:sp macro="" textlink="">
      <xdr:nvSpPr>
        <xdr:cNvPr id="129257" name="Line 409">
          <a:extLst>
            <a:ext uri="{FF2B5EF4-FFF2-40B4-BE49-F238E27FC236}">
              <a16:creationId xmlns:a16="http://schemas.microsoft.com/office/drawing/2014/main" id="{00000000-0008-0000-0700-0000E9F80100}"/>
            </a:ext>
          </a:extLst>
        </xdr:cNvPr>
        <xdr:cNvSpPr>
          <a:spLocks noChangeShapeType="1"/>
        </xdr:cNvSpPr>
      </xdr:nvSpPr>
      <xdr:spPr bwMode="auto">
        <a:xfrm>
          <a:off x="6953250" y="810577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38100</xdr:colOff>
      <xdr:row>39</xdr:row>
      <xdr:rowOff>95250</xdr:rowOff>
    </xdr:from>
    <xdr:to>
      <xdr:col>5</xdr:col>
      <xdr:colOff>219075</xdr:colOff>
      <xdr:row>39</xdr:row>
      <xdr:rowOff>95250</xdr:rowOff>
    </xdr:to>
    <xdr:sp macro="" textlink="">
      <xdr:nvSpPr>
        <xdr:cNvPr id="129258" name="Line 410">
          <a:extLst>
            <a:ext uri="{FF2B5EF4-FFF2-40B4-BE49-F238E27FC236}">
              <a16:creationId xmlns:a16="http://schemas.microsoft.com/office/drawing/2014/main" id="{00000000-0008-0000-0700-0000EAF80100}"/>
            </a:ext>
          </a:extLst>
        </xdr:cNvPr>
        <xdr:cNvSpPr>
          <a:spLocks noChangeShapeType="1"/>
        </xdr:cNvSpPr>
      </xdr:nvSpPr>
      <xdr:spPr bwMode="auto">
        <a:xfrm>
          <a:off x="6953250" y="810577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1476375</xdr:colOff>
      <xdr:row>36</xdr:row>
      <xdr:rowOff>104775</xdr:rowOff>
    </xdr:from>
    <xdr:to>
      <xdr:col>3</xdr:col>
      <xdr:colOff>1657350</xdr:colOff>
      <xdr:row>36</xdr:row>
      <xdr:rowOff>104775</xdr:rowOff>
    </xdr:to>
    <xdr:sp macro="" textlink="">
      <xdr:nvSpPr>
        <xdr:cNvPr id="30519" name="Line 16">
          <a:extLst>
            <a:ext uri="{FF2B5EF4-FFF2-40B4-BE49-F238E27FC236}">
              <a16:creationId xmlns:a16="http://schemas.microsoft.com/office/drawing/2014/main" id="{00000000-0008-0000-1300-000037770000}"/>
            </a:ext>
          </a:extLst>
        </xdr:cNvPr>
        <xdr:cNvSpPr>
          <a:spLocks noChangeShapeType="1"/>
        </xdr:cNvSpPr>
      </xdr:nvSpPr>
      <xdr:spPr bwMode="auto">
        <a:xfrm>
          <a:off x="5857875" y="75819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1476375</xdr:colOff>
      <xdr:row>39</xdr:row>
      <xdr:rowOff>104775</xdr:rowOff>
    </xdr:from>
    <xdr:to>
      <xdr:col>3</xdr:col>
      <xdr:colOff>1657350</xdr:colOff>
      <xdr:row>39</xdr:row>
      <xdr:rowOff>104775</xdr:rowOff>
    </xdr:to>
    <xdr:sp macro="" textlink="">
      <xdr:nvSpPr>
        <xdr:cNvPr id="30520" name="Line 17">
          <a:extLst>
            <a:ext uri="{FF2B5EF4-FFF2-40B4-BE49-F238E27FC236}">
              <a16:creationId xmlns:a16="http://schemas.microsoft.com/office/drawing/2014/main" id="{00000000-0008-0000-1300-000038770000}"/>
            </a:ext>
          </a:extLst>
        </xdr:cNvPr>
        <xdr:cNvSpPr>
          <a:spLocks noChangeShapeType="1"/>
        </xdr:cNvSpPr>
      </xdr:nvSpPr>
      <xdr:spPr bwMode="auto">
        <a:xfrm>
          <a:off x="5857875" y="81534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47625</xdr:colOff>
      <xdr:row>36</xdr:row>
      <xdr:rowOff>123825</xdr:rowOff>
    </xdr:from>
    <xdr:to>
      <xdr:col>5</xdr:col>
      <xdr:colOff>228600</xdr:colOff>
      <xdr:row>36</xdr:row>
      <xdr:rowOff>123825</xdr:rowOff>
    </xdr:to>
    <xdr:sp macro="" textlink="">
      <xdr:nvSpPr>
        <xdr:cNvPr id="30521" name="Line 18">
          <a:extLst>
            <a:ext uri="{FF2B5EF4-FFF2-40B4-BE49-F238E27FC236}">
              <a16:creationId xmlns:a16="http://schemas.microsoft.com/office/drawing/2014/main" id="{00000000-0008-0000-1300-000039770000}"/>
            </a:ext>
          </a:extLst>
        </xdr:cNvPr>
        <xdr:cNvSpPr>
          <a:spLocks noChangeShapeType="1"/>
        </xdr:cNvSpPr>
      </xdr:nvSpPr>
      <xdr:spPr bwMode="auto">
        <a:xfrm>
          <a:off x="7153275" y="760095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38100</xdr:colOff>
      <xdr:row>39</xdr:row>
      <xdr:rowOff>95250</xdr:rowOff>
    </xdr:from>
    <xdr:to>
      <xdr:col>5</xdr:col>
      <xdr:colOff>219075</xdr:colOff>
      <xdr:row>39</xdr:row>
      <xdr:rowOff>95250</xdr:rowOff>
    </xdr:to>
    <xdr:sp macro="" textlink="">
      <xdr:nvSpPr>
        <xdr:cNvPr id="30522" name="Line 19">
          <a:extLst>
            <a:ext uri="{FF2B5EF4-FFF2-40B4-BE49-F238E27FC236}">
              <a16:creationId xmlns:a16="http://schemas.microsoft.com/office/drawing/2014/main" id="{00000000-0008-0000-1300-00003A770000}"/>
            </a:ext>
          </a:extLst>
        </xdr:cNvPr>
        <xdr:cNvSpPr>
          <a:spLocks noChangeShapeType="1"/>
        </xdr:cNvSpPr>
      </xdr:nvSpPr>
      <xdr:spPr bwMode="auto">
        <a:xfrm>
          <a:off x="7143750" y="814387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38100</xdr:colOff>
      <xdr:row>39</xdr:row>
      <xdr:rowOff>95250</xdr:rowOff>
    </xdr:from>
    <xdr:to>
      <xdr:col>5</xdr:col>
      <xdr:colOff>219075</xdr:colOff>
      <xdr:row>39</xdr:row>
      <xdr:rowOff>95250</xdr:rowOff>
    </xdr:to>
    <xdr:sp macro="" textlink="">
      <xdr:nvSpPr>
        <xdr:cNvPr id="30523" name="Line 20">
          <a:extLst>
            <a:ext uri="{FF2B5EF4-FFF2-40B4-BE49-F238E27FC236}">
              <a16:creationId xmlns:a16="http://schemas.microsoft.com/office/drawing/2014/main" id="{00000000-0008-0000-1300-00003B770000}"/>
            </a:ext>
          </a:extLst>
        </xdr:cNvPr>
        <xdr:cNvSpPr>
          <a:spLocks noChangeShapeType="1"/>
        </xdr:cNvSpPr>
      </xdr:nvSpPr>
      <xdr:spPr bwMode="auto">
        <a:xfrm>
          <a:off x="7143750" y="814387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1476375</xdr:colOff>
      <xdr:row>35</xdr:row>
      <xdr:rowOff>123825</xdr:rowOff>
    </xdr:from>
    <xdr:to>
      <xdr:col>3</xdr:col>
      <xdr:colOff>1657350</xdr:colOff>
      <xdr:row>35</xdr:row>
      <xdr:rowOff>123825</xdr:rowOff>
    </xdr:to>
    <xdr:sp macro="" textlink="">
      <xdr:nvSpPr>
        <xdr:cNvPr id="24379" name="Line 22">
          <a:extLst>
            <a:ext uri="{FF2B5EF4-FFF2-40B4-BE49-F238E27FC236}">
              <a16:creationId xmlns:a16="http://schemas.microsoft.com/office/drawing/2014/main" id="{00000000-0008-0000-1D00-00003B5F0000}"/>
            </a:ext>
          </a:extLst>
        </xdr:cNvPr>
        <xdr:cNvSpPr>
          <a:spLocks noChangeShapeType="1"/>
        </xdr:cNvSpPr>
      </xdr:nvSpPr>
      <xdr:spPr bwMode="auto">
        <a:xfrm>
          <a:off x="5867400" y="741997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1476375</xdr:colOff>
      <xdr:row>38</xdr:row>
      <xdr:rowOff>104775</xdr:rowOff>
    </xdr:from>
    <xdr:to>
      <xdr:col>3</xdr:col>
      <xdr:colOff>1657350</xdr:colOff>
      <xdr:row>38</xdr:row>
      <xdr:rowOff>104775</xdr:rowOff>
    </xdr:to>
    <xdr:sp macro="" textlink="">
      <xdr:nvSpPr>
        <xdr:cNvPr id="24380" name="Line 23">
          <a:extLst>
            <a:ext uri="{FF2B5EF4-FFF2-40B4-BE49-F238E27FC236}">
              <a16:creationId xmlns:a16="http://schemas.microsoft.com/office/drawing/2014/main" id="{00000000-0008-0000-1D00-00003C5F0000}"/>
            </a:ext>
          </a:extLst>
        </xdr:cNvPr>
        <xdr:cNvSpPr>
          <a:spLocks noChangeShapeType="1"/>
        </xdr:cNvSpPr>
      </xdr:nvSpPr>
      <xdr:spPr bwMode="auto">
        <a:xfrm>
          <a:off x="5867400" y="80105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47625</xdr:colOff>
      <xdr:row>35</xdr:row>
      <xdr:rowOff>123825</xdr:rowOff>
    </xdr:from>
    <xdr:to>
      <xdr:col>5</xdr:col>
      <xdr:colOff>228600</xdr:colOff>
      <xdr:row>35</xdr:row>
      <xdr:rowOff>123825</xdr:rowOff>
    </xdr:to>
    <xdr:sp macro="" textlink="">
      <xdr:nvSpPr>
        <xdr:cNvPr id="24381" name="Line 24">
          <a:extLst>
            <a:ext uri="{FF2B5EF4-FFF2-40B4-BE49-F238E27FC236}">
              <a16:creationId xmlns:a16="http://schemas.microsoft.com/office/drawing/2014/main" id="{00000000-0008-0000-1D00-00003D5F0000}"/>
            </a:ext>
          </a:extLst>
        </xdr:cNvPr>
        <xdr:cNvSpPr>
          <a:spLocks noChangeShapeType="1"/>
        </xdr:cNvSpPr>
      </xdr:nvSpPr>
      <xdr:spPr bwMode="auto">
        <a:xfrm>
          <a:off x="7162800" y="741997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38100</xdr:colOff>
      <xdr:row>38</xdr:row>
      <xdr:rowOff>95250</xdr:rowOff>
    </xdr:from>
    <xdr:to>
      <xdr:col>5</xdr:col>
      <xdr:colOff>219075</xdr:colOff>
      <xdr:row>38</xdr:row>
      <xdr:rowOff>95250</xdr:rowOff>
    </xdr:to>
    <xdr:sp macro="" textlink="">
      <xdr:nvSpPr>
        <xdr:cNvPr id="24382" name="Line 25">
          <a:extLst>
            <a:ext uri="{FF2B5EF4-FFF2-40B4-BE49-F238E27FC236}">
              <a16:creationId xmlns:a16="http://schemas.microsoft.com/office/drawing/2014/main" id="{00000000-0008-0000-1D00-00003E5F0000}"/>
            </a:ext>
          </a:extLst>
        </xdr:cNvPr>
        <xdr:cNvSpPr>
          <a:spLocks noChangeShapeType="1"/>
        </xdr:cNvSpPr>
      </xdr:nvSpPr>
      <xdr:spPr bwMode="auto">
        <a:xfrm>
          <a:off x="7153275" y="80010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38100</xdr:colOff>
      <xdr:row>38</xdr:row>
      <xdr:rowOff>95250</xdr:rowOff>
    </xdr:from>
    <xdr:to>
      <xdr:col>5</xdr:col>
      <xdr:colOff>219075</xdr:colOff>
      <xdr:row>38</xdr:row>
      <xdr:rowOff>95250</xdr:rowOff>
    </xdr:to>
    <xdr:sp macro="" textlink="">
      <xdr:nvSpPr>
        <xdr:cNvPr id="24383" name="Line 26">
          <a:extLst>
            <a:ext uri="{FF2B5EF4-FFF2-40B4-BE49-F238E27FC236}">
              <a16:creationId xmlns:a16="http://schemas.microsoft.com/office/drawing/2014/main" id="{00000000-0008-0000-1D00-00003F5F0000}"/>
            </a:ext>
          </a:extLst>
        </xdr:cNvPr>
        <xdr:cNvSpPr>
          <a:spLocks noChangeShapeType="1"/>
        </xdr:cNvSpPr>
      </xdr:nvSpPr>
      <xdr:spPr bwMode="auto">
        <a:xfrm>
          <a:off x="7153275" y="80010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an%20qlda-Chau\Desktop\28-8-2025\BOC%20TACH\BOC%20TACH%20HOAN%20THANH\TDT%20-%20VI%20THANH%20-%20VI%20THUY%20-%20LONG%20MY%20-%20HC%2023-8%20tham%20dinh%20ngay%202882024\01.%20BCNCKT-VI%20THANH%20-%20V3.xls" TargetMode="External"/><Relationship Id="rId1" Type="http://schemas.openxmlformats.org/officeDocument/2006/relationships/externalLinkPath" Target="https://spcevn-my.sharepoint.com/personal/chaumg_hg_evnspc_vn/Documents/TDT%20-%20VI%20THANH%20-%20VI%20THUY%20-%20LONG%20MY%20-%20HC%2023-8%20tham%20dinh%20ngay%202882024/01.%20BCNCKT-VI%20THANH%20-%20V3.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Program%20Files%20(x86)\VnToolsExcel\VnTools-Excel.xlam" TargetMode="External"/><Relationship Id="rId1" Type="http://schemas.openxmlformats.org/officeDocument/2006/relationships/externalLinkPath" Target="file:///C:\Program%20Files%20(x86)\VnToolsExcel\VnTools-Excel.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iá tổng hợp"/>
      <sheetName val="Đơn giá chi tiết"/>
      <sheetName val="Giá tháng"/>
      <sheetName val="HESO"/>
      <sheetName val="1P.XDM"/>
      <sheetName val="3P.XDM"/>
      <sheetName val="SS_Thdinh"/>
      <sheetName val="3P.NC.KHONG DKC"/>
      <sheetName val="3.GT.3PCT"/>
      <sheetName val="3P.CT"/>
      <sheetName val="HT.DL.HH"/>
      <sheetName val="DGTONG"/>
      <sheetName val="Solieu"/>
      <sheetName val="Sheet2"/>
      <sheetName val="..... (1)"/>
      <sheetName val="bia (2)"/>
      <sheetName val="TMC"/>
      <sheetName val="TMDT"/>
      <sheetName val="1.TONG"/>
      <sheetName val="2.TONGHOP"/>
      <sheetName val="2.1.THXL.TT-TT12"/>
      <sheetName val="2.2.THXL.TT36"/>
      <sheetName val="2.3.THXL.HT(TT 12)"/>
      <sheetName val="2.4.THXL.HT(TT36)"/>
      <sheetName val="2.5.THLD.TB.TT"/>
      <sheetName val="2.6.THXL.TBA"/>
      <sheetName val="2.7.THLD.TB.TBA"/>
      <sheetName val="THLD.TB.HT"/>
      <sheetName val="2.7.THLD.TB.TBA (2)"/>
      <sheetName val="2.8.TH-TNHC"/>
      <sheetName val="GT.3P"/>
      <sheetName val="3.GT.3P.CT"/>
      <sheetName val="3.GT.DL"/>
      <sheetName val="3.GT.HH"/>
      <sheetName val="4.CHITIET.DD"/>
      <sheetName val="5.CHITIET.TBA"/>
      <sheetName val="6.VTTH"/>
      <sheetName val="3.GT.1P"/>
      <sheetName val="Sheet1"/>
      <sheetName val="7.VTTB THU HOI"/>
      <sheetName val="8.VC"/>
      <sheetName val="DCBMTC"/>
      <sheetName val="9.VC.TT"/>
      <sheetName val="10.PL2 CP GIAN TIEP"/>
      <sheetName val="PL4_LAI VAY"/>
      <sheetName val="PL_DP TRUOT GIA"/>
      <sheetName val="TNHC"/>
      <sheetName val="..... (9)"/>
      <sheetName val="PL3 LAI VAY"/>
      <sheetName val="PTVT"/>
      <sheetName val="VC tru"/>
      <sheetName val="Luong dong - cat dien"/>
    </sheetNames>
    <sheetDataSet>
      <sheetData sheetId="0"/>
      <sheetData sheetId="1"/>
      <sheetData sheetId="2"/>
      <sheetData sheetId="3">
        <row r="239">
          <cell r="C239" t="str">
            <v>AV185</v>
          </cell>
        </row>
      </sheetData>
      <sheetData sheetId="4"/>
      <sheetData sheetId="5">
        <row r="3">
          <cell r="H3" t="str">
            <v>BTLT 16-10(tc)</v>
          </cell>
          <cell r="I3" t="str">
            <v>BTLT 16-10-td(tc)</v>
          </cell>
          <cell r="J3" t="str">
            <v>BTLT 16-10</v>
          </cell>
          <cell r="K3" t="str">
            <v>BTLT 16-10-td</v>
          </cell>
          <cell r="L3" t="str">
            <v>BTLT 12540-TD(TC)</v>
          </cell>
          <cell r="M3" t="str">
            <v>BTLT 14850-TD</v>
          </cell>
          <cell r="N3" t="str">
            <v>BTLT 14850</v>
          </cell>
          <cell r="O3" t="str">
            <v>BTLT 14850-2TD</v>
          </cell>
          <cell r="P3" t="str">
            <v>BTLT 14850-2</v>
          </cell>
          <cell r="Q3" t="str">
            <v>MBT20-2(M)</v>
          </cell>
          <cell r="R3" t="str">
            <v>M14ba(M)</v>
          </cell>
          <cell r="S3" t="str">
            <v>M14ba(TC)</v>
          </cell>
          <cell r="T3" t="str">
            <v>M12ba-cm(M)</v>
          </cell>
          <cell r="U3" t="str">
            <v>M7a(TC)</v>
          </cell>
          <cell r="V3" t="str">
            <v>M12bb-cm(M)</v>
          </cell>
          <cell r="W3" t="str">
            <v>MTTBA</v>
          </cell>
          <cell r="X3" t="str">
            <v>M12bb-Pi-cm</v>
          </cell>
          <cell r="Y3" t="str">
            <v>M12hh+bt(TC)</v>
          </cell>
          <cell r="Z3" t="str">
            <v>M14ba-cm(M)</v>
          </cell>
          <cell r="AA3" t="str">
            <v>M14-2a(TC)</v>
          </cell>
          <cell r="AB3" t="str">
            <v>M14-2a(M)</v>
          </cell>
          <cell r="AC3" t="str">
            <v>M16cc-cm(M)</v>
          </cell>
          <cell r="AD3" t="str">
            <v>MBT14-2(tc)</v>
          </cell>
          <cell r="AE3" t="str">
            <v>MBT8,5-2(TC)</v>
          </cell>
          <cell r="AF3" t="str">
            <v>MBT16(M)</v>
          </cell>
          <cell r="AG3" t="str">
            <v>MBT16-2(m)</v>
          </cell>
          <cell r="AH3" t="str">
            <v>MBT14(tc)</v>
          </cell>
          <cell r="AI3" t="str">
            <v>MBT14(M)</v>
          </cell>
          <cell r="AJ3" t="str">
            <v>MBT14-2(m)</v>
          </cell>
          <cell r="AK3" t="str">
            <v>MCBH1213</v>
          </cell>
          <cell r="AL3" t="str">
            <v>MC14(TC)</v>
          </cell>
          <cell r="AM3" t="str">
            <v>MC16(TC)</v>
          </cell>
          <cell r="AN3" t="str">
            <v>MC16-2(TC)</v>
          </cell>
          <cell r="AO3" t="str">
            <v>MBT12</v>
          </cell>
          <cell r="AP3" t="str">
            <v>MDC14-2(TC)</v>
          </cell>
          <cell r="AQ3" t="str">
            <v>MB20x20</v>
          </cell>
          <cell r="AR3" t="str">
            <v>MB15x15</v>
          </cell>
          <cell r="AS3" t="str">
            <v>MC14-2(M)</v>
          </cell>
          <cell r="AT3" t="str">
            <v>MC14-2(TC)</v>
          </cell>
          <cell r="AU3" t="str">
            <v>MC12-2cm(M)</v>
          </cell>
          <cell r="AV3" t="str">
            <v>MC12-2cm(TC)</v>
          </cell>
          <cell r="AW3" t="str">
            <v>CL.ht</v>
          </cell>
          <cell r="AX3" t="str">
            <v>CX16-C5/8</v>
          </cell>
          <cell r="AY3" t="str">
            <v>CXX16-C5/8</v>
          </cell>
          <cell r="AZ3" t="str">
            <v>CXX20-C5/8</v>
          </cell>
          <cell r="BA3" t="str">
            <v>CX20-C</v>
          </cell>
          <cell r="BB3" t="str">
            <v>CX12-B</v>
          </cell>
          <cell r="BC3" t="str">
            <v>CL12-B</v>
          </cell>
          <cell r="BD3" t="str">
            <v>CXX12-B</v>
          </cell>
          <cell r="BE3" t="str">
            <v>CX14-B</v>
          </cell>
          <cell r="BF3" t="str">
            <v>CL14-B</v>
          </cell>
          <cell r="BG3" t="str">
            <v>CXX14-B</v>
          </cell>
          <cell r="BH3" t="str">
            <v>CK-B</v>
          </cell>
          <cell r="BI3" t="str">
            <v>CKK-B</v>
          </cell>
          <cell r="BJ3" t="str">
            <v>CXX10-C</v>
          </cell>
          <cell r="BK3" t="str">
            <v>CX12-C</v>
          </cell>
          <cell r="BL3" t="str">
            <v>CX12-C5/8</v>
          </cell>
          <cell r="BM3" t="str">
            <v>CL12-C5/8</v>
          </cell>
          <cell r="BN3" t="str">
            <v>CX14-C5/8</v>
          </cell>
          <cell r="BO3" t="str">
            <v>CL14-C5/8</v>
          </cell>
          <cell r="BP3" t="str">
            <v>CL14-C</v>
          </cell>
          <cell r="BQ3" t="str">
            <v>CXX14-C</v>
          </cell>
          <cell r="BR3" t="str">
            <v>CX18-C</v>
          </cell>
          <cell r="BS3" t="str">
            <v>CK-C</v>
          </cell>
          <cell r="BT3" t="str">
            <v>CKK-C</v>
          </cell>
          <cell r="BU3" t="str">
            <v>C3/8</v>
          </cell>
          <cell r="BV3" t="str">
            <v>NXX</v>
          </cell>
          <cell r="BW3" t="str">
            <v>NXL</v>
          </cell>
          <cell r="BX3" t="str">
            <v>MC-1M</v>
          </cell>
          <cell r="BY3" t="str">
            <v>MNX12-2-cm</v>
          </cell>
          <cell r="BZ3" t="str">
            <v>MNL12-2(TC)</v>
          </cell>
          <cell r="CA3" t="str">
            <v>MNX12-4(TC)</v>
          </cell>
          <cell r="CB3" t="str">
            <v>MNX12-4-cm</v>
          </cell>
          <cell r="CC3" t="str">
            <v>MNX12-4-cm(M)</v>
          </cell>
          <cell r="CD3" t="str">
            <v xml:space="preserve">MNL12-4 </v>
          </cell>
          <cell r="CE3" t="str">
            <v xml:space="preserve">MNX15-4 </v>
          </cell>
          <cell r="CF3" t="str">
            <v>MNL15-4</v>
          </cell>
          <cell r="CG3" t="str">
            <v>MNX15-4-cm(M)</v>
          </cell>
          <cell r="CH3" t="str">
            <v>MNX15-6(M)</v>
          </cell>
          <cell r="CI3" t="str">
            <v>MNL15-6-cm(M)</v>
          </cell>
          <cell r="CJ3" t="str">
            <v>TDMT</v>
          </cell>
          <cell r="CK3" t="str">
            <v>TDDCN</v>
          </cell>
          <cell r="CL3" t="str">
            <v>TDLA14</v>
          </cell>
          <cell r="CM3" t="str">
            <v>TDTT12</v>
          </cell>
          <cell r="CN3" t="str">
            <v>TDTBA</v>
          </cell>
          <cell r="CO3" t="str">
            <v>TDTT14</v>
          </cell>
          <cell r="CP3" t="str">
            <v>TDTT16</v>
          </cell>
          <cell r="CQ3" t="str">
            <v>TDDS16</v>
          </cell>
          <cell r="CR3" t="str">
            <v>X-20Đ</v>
          </cell>
          <cell r="CS3" t="str">
            <v>X-20K</v>
          </cell>
          <cell r="CT3" t="str">
            <v>X-20K.2</v>
          </cell>
          <cell r="CU3" t="str">
            <v>X-24Đ</v>
          </cell>
          <cell r="CV3" t="str">
            <v>X20M-24K.2</v>
          </cell>
          <cell r="CW3" t="str">
            <v>X-24K</v>
          </cell>
          <cell r="CX3" t="str">
            <v>X-24K.2-N</v>
          </cell>
          <cell r="CY3" t="str">
            <v>X16M-24K.2</v>
          </cell>
          <cell r="CZ3" t="str">
            <v>X-8ĐL</v>
          </cell>
          <cell r="DA3" t="str">
            <v>X-8KL</v>
          </cell>
          <cell r="DB3" t="str">
            <v>X-20ĐL</v>
          </cell>
          <cell r="DC3" t="str">
            <v>X-20KL</v>
          </cell>
          <cell r="DD3" t="str">
            <v>X-24K.2</v>
          </cell>
          <cell r="DE3" t="str">
            <v>XG-24K.2</v>
          </cell>
          <cell r="DF3" t="str">
            <v>X-24Đ-2</v>
          </cell>
          <cell r="DG3" t="str">
            <v>X-16ĐP</v>
          </cell>
          <cell r="DH3" t="str">
            <v>X-24ĐP</v>
          </cell>
          <cell r="DI3" t="str">
            <v>X-44KP</v>
          </cell>
          <cell r="DJ3" t="str">
            <v>X-24KP</v>
          </cell>
          <cell r="DK3" t="str">
            <v>TS-40Đ</v>
          </cell>
          <cell r="DL3" t="str">
            <v>TS-25Đ</v>
          </cell>
          <cell r="DM3" t="str">
            <v>TS-30Đ</v>
          </cell>
          <cell r="DN3" t="str">
            <v>TS-27K-2</v>
          </cell>
          <cell r="DO3" t="str">
            <v>TS-30K</v>
          </cell>
          <cell r="DP3" t="str">
            <v>X-24.COM-FCO</v>
          </cell>
          <cell r="DQ3" t="str">
            <v>X.COM-FCO</v>
          </cell>
          <cell r="DR3" t="str">
            <v>X-20K1G</v>
          </cell>
          <cell r="DS3" t="str">
            <v>G-20KP</v>
          </cell>
          <cell r="DT3" t="str">
            <v>KIMTHUSET</v>
          </cell>
          <cell r="DU3" t="str">
            <v>CODE th-Þ240</v>
          </cell>
          <cell r="DV3" t="str">
            <v>B-GHEP TRU 16CD</v>
          </cell>
          <cell r="DW3" t="str">
            <v>B-GHEP TRU 14</v>
          </cell>
          <cell r="DX3" t="str">
            <v>B-GHEP TRU 8</v>
          </cell>
          <cell r="DY3" t="str">
            <v>SĐI-Polymer</v>
          </cell>
          <cell r="DZ3" t="str">
            <v>SĐICNM</v>
          </cell>
          <cell r="EA3" t="str">
            <v>SĐI</v>
          </cell>
          <cell r="EB3" t="str">
            <v>SĐG36</v>
          </cell>
          <cell r="EC3" t="str">
            <v>SĐGCNM</v>
          </cell>
          <cell r="ED3" t="str">
            <v>SĐGCON</v>
          </cell>
          <cell r="EE3" t="str">
            <v>SĐU-Polymer</v>
          </cell>
          <cell r="EF3" t="str">
            <v>SĐUCNM</v>
          </cell>
          <cell r="EG3" t="str">
            <v>SĐU</v>
          </cell>
          <cell r="EH3" t="str">
            <v>SĐI35</v>
          </cell>
          <cell r="EI3" t="str">
            <v>SĐG35</v>
          </cell>
          <cell r="EJ3" t="str">
            <v>SĐU35</v>
          </cell>
          <cell r="EK3" t="str">
            <v>CĐN 2BAT-T</v>
          </cell>
          <cell r="EL3" t="str">
            <v>CĐD 2BAT-T</v>
          </cell>
          <cell r="EM3" t="str">
            <v>CĐN Polymer-T2</v>
          </cell>
          <cell r="EN3" t="str">
            <v>CĐN 2BAT-X</v>
          </cell>
          <cell r="EO3" t="str">
            <v>CĐN Polymer-X-ACX50</v>
          </cell>
          <cell r="EP3" t="str">
            <v>CĐN Polymer-X-ACX70</v>
          </cell>
          <cell r="EQ3" t="str">
            <v>CĐN 2BAT-ACX185-G</v>
          </cell>
          <cell r="ER3" t="str">
            <v>CĐN Polymer-X-ACX95</v>
          </cell>
          <cell r="ES3" t="str">
            <v>CĐN Polymer-X-ACX120</v>
          </cell>
          <cell r="ET3" t="str">
            <v>CĐD 2BAT-T150</v>
          </cell>
          <cell r="EU3" t="str">
            <v>CĐD Polymer-T185</v>
          </cell>
          <cell r="EV3" t="str">
            <v>CĐN 2BAT-ACX240-G</v>
          </cell>
          <cell r="EW3" t="str">
            <v>CĐD 2BAT-T95</v>
          </cell>
          <cell r="EX3" t="str">
            <v>CĐNK Polymer-X</v>
          </cell>
          <cell r="EY3" t="str">
            <v>CĐN Polymer-X</v>
          </cell>
          <cell r="EZ3" t="str">
            <v>GNoiAC120</v>
          </cell>
          <cell r="FA3" t="str">
            <v>GNoiAC185</v>
          </cell>
          <cell r="FB3" t="str">
            <v>GNoiACX185</v>
          </cell>
          <cell r="FC3" t="str">
            <v>STC</v>
          </cell>
          <cell r="FD3" t="str">
            <v>Đth-U</v>
          </cell>
          <cell r="FE3" t="str">
            <v>Nth-U</v>
          </cell>
          <cell r="FF3" t="str">
            <v>Đth-U2</v>
          </cell>
          <cell r="FG3" t="str">
            <v>Nth-U2</v>
          </cell>
          <cell r="FH3" t="str">
            <v>Nth-T95-G</v>
          </cell>
          <cell r="FI3" t="str">
            <v>Nth-T</v>
          </cell>
          <cell r="FJ3" t="str">
            <v>Nth-T240</v>
          </cell>
          <cell r="FK3" t="str">
            <v>Nth-X</v>
          </cell>
          <cell r="FL3" t="str">
            <v>Nth-T-185-2</v>
          </cell>
          <cell r="FM3" t="str">
            <v>Nth-T-185</v>
          </cell>
          <cell r="FN3" t="str">
            <v>X-CAPNGAM</v>
          </cell>
          <cell r="FO3" t="str">
            <v>GBCS 50</v>
          </cell>
          <cell r="FP3" t="str">
            <v>GBCS 120</v>
          </cell>
          <cell r="FQ3" t="str">
            <v>KEPIPC50</v>
          </cell>
          <cell r="FR3" t="str">
            <v>DAITHEP</v>
          </cell>
          <cell r="FS3" t="str">
            <v>GBCS 95d</v>
          </cell>
          <cell r="FT3" t="str">
            <v>GBDS 50</v>
          </cell>
          <cell r="FU3" t="str">
            <v>GBDS 120</v>
          </cell>
          <cell r="FV3" t="str">
            <v>DC50-OD</v>
          </cell>
          <cell r="FW3" t="str">
            <v>DCEB</v>
          </cell>
          <cell r="FX3" t="str">
            <v>DCCV50</v>
          </cell>
          <cell r="FY3" t="str">
            <v>ON120</v>
          </cell>
          <cell r="FZ3" t="str">
            <v>ON95</v>
          </cell>
          <cell r="GA3" t="str">
            <v>ON70</v>
          </cell>
          <cell r="GB3" t="str">
            <v>ON50</v>
          </cell>
          <cell r="GC3" t="str">
            <v>DBSPK-95</v>
          </cell>
          <cell r="GD3" t="str">
            <v>DBSĐPK-95</v>
          </cell>
          <cell r="GE3" t="str">
            <v>KWR379</v>
          </cell>
          <cell r="GF3" t="str">
            <v>KWR259</v>
          </cell>
          <cell r="GG3" t="str">
            <v>KWR419</v>
          </cell>
          <cell r="GH3" t="str">
            <v>KWR929</v>
          </cell>
          <cell r="GI3" t="str">
            <v>BANGKEOTA</v>
          </cell>
          <cell r="GJ3" t="str">
            <v>BBNH</v>
          </cell>
          <cell r="GK3" t="str">
            <v>CODEKEPONG</v>
          </cell>
          <cell r="GL3" t="str">
            <v>Rack 1</v>
          </cell>
          <cell r="GM3" t="str">
            <v>Rack 3</v>
          </cell>
          <cell r="GN3" t="str">
            <v>KQ3/0</v>
          </cell>
          <cell r="GO3" t="str">
            <v>KQ2/0</v>
          </cell>
          <cell r="GP3" t="str">
            <v>KQ1/0</v>
          </cell>
          <cell r="GQ3" t="str">
            <v>KH1/0</v>
          </cell>
          <cell r="GR3" t="str">
            <v>KH2/0</v>
          </cell>
          <cell r="GS3" t="str">
            <v>KH3/0</v>
          </cell>
          <cell r="GT3" t="str">
            <v>COS95AL</v>
          </cell>
          <cell r="GU3" t="str">
            <v>COS70AL</v>
          </cell>
          <cell r="GV3" t="str">
            <v>COS120AL</v>
          </cell>
          <cell r="GW3" t="str">
            <v>B16400V2</v>
          </cell>
          <cell r="GX3" t="str">
            <v>KTABC2X70</v>
          </cell>
          <cell r="GY3" t="str">
            <v>NBABC50</v>
          </cell>
          <cell r="GZ3" t="str">
            <v>NBABC70</v>
          </cell>
          <cell r="HA3" t="str">
            <v>KepIPC95</v>
          </cell>
          <cell r="HB3" t="str">
            <v>ABC3x95</v>
          </cell>
          <cell r="HC3" t="str">
            <v>OXC50</v>
          </cell>
          <cell r="HD3" t="str">
            <v>ONKH</v>
          </cell>
          <cell r="HE3" t="str">
            <v>BLM16300</v>
          </cell>
          <cell r="HF3" t="str">
            <v>B16300</v>
          </cell>
          <cell r="HG3" t="str">
            <v>DBSAC95</v>
          </cell>
          <cell r="HH3" t="str">
            <v>LĐV</v>
          </cell>
          <cell r="HI3" t="str">
            <v>XLPE25-DZ</v>
          </cell>
          <cell r="HJ3" t="str">
            <v>XLPE50-DZ</v>
          </cell>
          <cell r="HK3" t="str">
            <v>XLPE120-DZ</v>
          </cell>
          <cell r="HL3" t="str">
            <v>XLPE185-DZ</v>
          </cell>
          <cell r="HM3" t="str">
            <v>XLPE240-DZ</v>
          </cell>
          <cell r="HN3" t="str">
            <v>XLPE95-DZ</v>
          </cell>
          <cell r="HO3" t="str">
            <v>sdtc</v>
          </cell>
          <cell r="HP3" t="str">
            <v>nc</v>
          </cell>
          <cell r="HQ3" t="str">
            <v>BCDDT</v>
          </cell>
          <cell r="HR3" t="str">
            <v>m22</v>
          </cell>
          <cell r="HS3" t="str">
            <v>cv185</v>
          </cell>
          <cell r="HT3" t="str">
            <v>LBFCO200</v>
          </cell>
          <cell r="HU3" t="str">
            <v>RMU5N</v>
          </cell>
          <cell r="HV3" t="str">
            <v>LBFCO100-nm</v>
          </cell>
          <cell r="HW3" t="str">
            <v>REC</v>
          </cell>
          <cell r="HX3" t="str">
            <v>DS1PO</v>
          </cell>
          <cell r="HY3" t="str">
            <v>LTD</v>
          </cell>
          <cell r="HZ3" t="str">
            <v>LBSO</v>
          </cell>
          <cell r="IA3" t="str">
            <v>LA18</v>
          </cell>
          <cell r="IB3" t="str">
            <v>95mm2</v>
          </cell>
          <cell r="IC3" t="str">
            <v>120mm2</v>
          </cell>
          <cell r="ID3" t="str">
            <v>150mm2</v>
          </cell>
          <cell r="IE3" t="str">
            <v>185mm2</v>
          </cell>
          <cell r="IF3" t="str">
            <v>240mm2</v>
          </cell>
          <cell r="IG3" t="str">
            <v>95mm2</v>
          </cell>
          <cell r="IH3" t="str">
            <v>120mm2</v>
          </cell>
          <cell r="II3" t="str">
            <v>150mm2</v>
          </cell>
          <cell r="IJ3" t="str">
            <v>185mm2</v>
          </cell>
          <cell r="IK3" t="str">
            <v>240mm2</v>
          </cell>
          <cell r="IL3" t="str">
            <v>Vị trí vượt đường</v>
          </cell>
          <cell r="IM3" t="str">
            <v>VTVS</v>
          </cell>
          <cell r="IN3" t="str">
            <v>BBVS</v>
          </cell>
          <cell r="IO3" t="str">
            <v>CBH9</v>
          </cell>
          <cell r="IP3" t="str">
            <v>BBH1212</v>
          </cell>
          <cell r="IQ3" t="str">
            <v>MCBH1212</v>
          </cell>
          <cell r="IR3" t="str">
            <v>-DZTT3P-ct</v>
          </cell>
          <cell r="IS3" t="str">
            <v>TB-DZ3pct</v>
          </cell>
          <cell r="IT3" t="str">
            <v>BBCD</v>
          </cell>
          <cell r="IU3" t="str">
            <v>GHI CHÚ</v>
          </cell>
        </row>
        <row r="5">
          <cell r="J5">
            <v>16</v>
          </cell>
          <cell r="K5">
            <v>12</v>
          </cell>
          <cell r="M5">
            <v>0</v>
          </cell>
          <cell r="N5">
            <v>0</v>
          </cell>
          <cell r="O5">
            <v>3</v>
          </cell>
          <cell r="P5">
            <v>19</v>
          </cell>
          <cell r="R5">
            <v>0</v>
          </cell>
          <cell r="AF5">
            <v>10</v>
          </cell>
          <cell r="AG5">
            <v>9</v>
          </cell>
          <cell r="AI5">
            <v>12</v>
          </cell>
          <cell r="AJ5">
            <v>5</v>
          </cell>
          <cell r="CO5">
            <v>1</v>
          </cell>
          <cell r="CP5">
            <v>8</v>
          </cell>
          <cell r="CU5">
            <v>25</v>
          </cell>
          <cell r="CV5">
            <v>11</v>
          </cell>
          <cell r="CW5">
            <v>0</v>
          </cell>
          <cell r="DE5">
            <v>6</v>
          </cell>
          <cell r="DV5">
            <v>9</v>
          </cell>
          <cell r="DW5">
            <v>5</v>
          </cell>
          <cell r="EG5">
            <v>105</v>
          </cell>
          <cell r="EO5">
            <v>12</v>
          </cell>
          <cell r="EP5">
            <v>12</v>
          </cell>
          <cell r="ER5">
            <v>0</v>
          </cell>
          <cell r="ES5">
            <v>48</v>
          </cell>
          <cell r="FC5">
            <v>3</v>
          </cell>
          <cell r="FD5">
            <v>15</v>
          </cell>
          <cell r="FE5">
            <v>18</v>
          </cell>
          <cell r="FG5">
            <v>0</v>
          </cell>
          <cell r="FH5">
            <v>16</v>
          </cell>
          <cell r="FO5">
            <v>12</v>
          </cell>
          <cell r="FP5">
            <v>18</v>
          </cell>
          <cell r="FS5">
            <v>0</v>
          </cell>
          <cell r="FT5">
            <v>39</v>
          </cell>
          <cell r="FU5">
            <v>36</v>
          </cell>
          <cell r="FY5">
            <v>2</v>
          </cell>
          <cell r="FZ5">
            <v>1</v>
          </cell>
          <cell r="GA5">
            <v>2</v>
          </cell>
          <cell r="GB5">
            <v>2</v>
          </cell>
          <cell r="GE5">
            <v>12</v>
          </cell>
          <cell r="GF5">
            <v>22</v>
          </cell>
          <cell r="GG5">
            <v>18</v>
          </cell>
          <cell r="GH5">
            <v>54</v>
          </cell>
          <cell r="GI5">
            <v>5</v>
          </cell>
          <cell r="GJ5">
            <v>36</v>
          </cell>
          <cell r="GM5">
            <v>4</v>
          </cell>
          <cell r="GN5">
            <v>0</v>
          </cell>
          <cell r="GO5">
            <v>10</v>
          </cell>
          <cell r="GQ5">
            <v>0</v>
          </cell>
          <cell r="GR5">
            <v>10</v>
          </cell>
          <cell r="GS5">
            <v>0</v>
          </cell>
          <cell r="GT5">
            <v>0</v>
          </cell>
          <cell r="GU5">
            <v>6</v>
          </cell>
          <cell r="GV5">
            <v>12</v>
          </cell>
          <cell r="HC5">
            <v>6</v>
          </cell>
          <cell r="HE5">
            <v>2</v>
          </cell>
          <cell r="HF5">
            <v>8</v>
          </cell>
          <cell r="HG5">
            <v>3</v>
          </cell>
          <cell r="HK5">
            <v>18</v>
          </cell>
          <cell r="HN5">
            <v>0</v>
          </cell>
          <cell r="HP5">
            <v>10</v>
          </cell>
          <cell r="HT5">
            <v>3</v>
          </cell>
          <cell r="HX5">
            <v>3</v>
          </cell>
          <cell r="IN5">
            <v>0</v>
          </cell>
          <cell r="IO5">
            <v>0</v>
          </cell>
          <cell r="IP5">
            <v>0</v>
          </cell>
          <cell r="IQ5">
            <v>0</v>
          </cell>
          <cell r="IR5">
            <v>1</v>
          </cell>
          <cell r="IS5">
            <v>0</v>
          </cell>
          <cell r="IT5">
            <v>0</v>
          </cell>
        </row>
      </sheetData>
      <sheetData sheetId="6"/>
      <sheetData sheetId="7"/>
      <sheetData sheetId="8">
        <row r="15">
          <cell r="C15" t="str">
            <v>MTTBA</v>
          </cell>
        </row>
      </sheetData>
      <sheetData sheetId="9"/>
      <sheetData sheetId="10"/>
      <sheetData sheetId="11">
        <row r="6">
          <cell r="B6">
            <v>1</v>
          </cell>
          <cell r="C6">
            <v>2</v>
          </cell>
          <cell r="D6">
            <v>3</v>
          </cell>
          <cell r="E6">
            <v>4</v>
          </cell>
          <cell r="F6">
            <v>5</v>
          </cell>
          <cell r="G6">
            <v>6</v>
          </cell>
          <cell r="H6">
            <v>7</v>
          </cell>
          <cell r="I6">
            <v>8</v>
          </cell>
          <cell r="J6">
            <v>9</v>
          </cell>
        </row>
        <row r="7">
          <cell r="B7" t="str">
            <v>TRUÏ ÑIEÄN</v>
          </cell>
          <cell r="F7">
            <v>394967.41541829851</v>
          </cell>
        </row>
        <row r="8">
          <cell r="B8" t="str">
            <v>T65</v>
          </cell>
          <cell r="C8" t="str">
            <v>D2.5212</v>
          </cell>
          <cell r="D8" t="str">
            <v>Cột bê tông ly tâm 6,5m</v>
          </cell>
          <cell r="E8" t="str">
            <v>cột</v>
          </cell>
          <cell r="F8">
            <v>0</v>
          </cell>
          <cell r="G8">
            <v>30500</v>
          </cell>
          <cell r="H8">
            <v>489604.4</v>
          </cell>
          <cell r="I8">
            <v>143622.5</v>
          </cell>
          <cell r="J8" t="str">
            <v>"</v>
          </cell>
        </row>
        <row r="9">
          <cell r="B9" t="str">
            <v>T65-TD</v>
          </cell>
          <cell r="C9" t="str">
            <v>D2.5212</v>
          </cell>
          <cell r="D9" t="str">
            <v>Cột bê tông ly tâm 6,5m (có dây tiếp đất luồn trong thân cột)</v>
          </cell>
          <cell r="E9" t="str">
            <v>cột</v>
          </cell>
          <cell r="F9">
            <v>0</v>
          </cell>
          <cell r="G9">
            <v>30500</v>
          </cell>
          <cell r="H9">
            <v>489604.4</v>
          </cell>
          <cell r="I9">
            <v>143622.5</v>
          </cell>
          <cell r="J9" t="str">
            <v>"</v>
          </cell>
        </row>
        <row r="10">
          <cell r="B10" t="str">
            <v>T75-200</v>
          </cell>
          <cell r="C10" t="str">
            <v>D2.5212</v>
          </cell>
          <cell r="D10" t="str">
            <v>Cột bê tông ly tâm 7,5m lực đầu cột 200kgf</v>
          </cell>
          <cell r="E10" t="str">
            <v>cột</v>
          </cell>
          <cell r="F10">
            <v>0</v>
          </cell>
          <cell r="G10">
            <v>30500</v>
          </cell>
          <cell r="H10">
            <v>489604.4</v>
          </cell>
          <cell r="I10">
            <v>143622.5</v>
          </cell>
          <cell r="J10" t="str">
            <v>"</v>
          </cell>
        </row>
        <row r="11">
          <cell r="B11" t="str">
            <v>T75-200TD</v>
          </cell>
          <cell r="C11" t="str">
            <v>D2.5212</v>
          </cell>
          <cell r="D11" t="str">
            <v>Cột bê tông ly tâm 7,5m  lực đầu cột 200kgf (có dây tiếp đất luồn trong thân cột)</v>
          </cell>
          <cell r="E11" t="str">
            <v>cột</v>
          </cell>
          <cell r="F11">
            <v>0</v>
          </cell>
          <cell r="G11">
            <v>30500</v>
          </cell>
          <cell r="H11">
            <v>489604.4</v>
          </cell>
          <cell r="I11">
            <v>143622.5</v>
          </cell>
          <cell r="J11" t="str">
            <v>"</v>
          </cell>
        </row>
        <row r="12">
          <cell r="B12" t="str">
            <v>T75-200TD(tc)</v>
          </cell>
          <cell r="C12" t="str">
            <v>D2.5211</v>
          </cell>
          <cell r="D12" t="str">
            <v>Cột bê tông ly tâm 7,5m  lực đầu cột 200kgf (có dây tiếp đất luồn trong thân cột) (Thủ công)</v>
          </cell>
          <cell r="E12" t="str">
            <v>cột</v>
          </cell>
          <cell r="F12">
            <v>0</v>
          </cell>
          <cell r="G12">
            <v>30500</v>
          </cell>
          <cell r="H12">
            <v>1220041.1000000001</v>
          </cell>
          <cell r="I12">
            <v>0</v>
          </cell>
          <cell r="J12" t="str">
            <v>"</v>
          </cell>
        </row>
        <row r="13">
          <cell r="B13" t="str">
            <v>T75</v>
          </cell>
          <cell r="C13" t="str">
            <v>D2.5212</v>
          </cell>
          <cell r="D13" t="str">
            <v>Cột bê tông ly tâm 7,5m - 300kgf</v>
          </cell>
          <cell r="E13" t="str">
            <v>cột</v>
          </cell>
          <cell r="F13">
            <v>0</v>
          </cell>
          <cell r="G13">
            <v>30500</v>
          </cell>
          <cell r="H13">
            <v>489604.4</v>
          </cell>
          <cell r="I13">
            <v>143622.5</v>
          </cell>
          <cell r="J13" t="str">
            <v>"</v>
          </cell>
        </row>
        <row r="14">
          <cell r="B14" t="str">
            <v>T75-TD</v>
          </cell>
          <cell r="C14" t="str">
            <v>D2.5212</v>
          </cell>
          <cell r="D14" t="str">
            <v>Cột bê tông ly tâm 7,5m (có dây tiếp đất luồn trong thân cột)</v>
          </cell>
          <cell r="E14" t="str">
            <v>cột</v>
          </cell>
          <cell r="F14">
            <v>0</v>
          </cell>
          <cell r="G14">
            <v>30500</v>
          </cell>
          <cell r="H14">
            <v>489604.4</v>
          </cell>
          <cell r="I14">
            <v>143622.5</v>
          </cell>
          <cell r="J14" t="str">
            <v>"</v>
          </cell>
        </row>
        <row r="15">
          <cell r="B15" t="str">
            <v>T75-TD(tc)</v>
          </cell>
          <cell r="C15" t="str">
            <v>D2.5211</v>
          </cell>
          <cell r="D15" t="str">
            <v>Cột bê tông ly tâm 7,5m (có dây tiếp đất luồn trong thân cột) (Thủ công)</v>
          </cell>
          <cell r="E15" t="str">
            <v>cột</v>
          </cell>
          <cell r="F15">
            <v>0</v>
          </cell>
          <cell r="G15">
            <v>30500</v>
          </cell>
          <cell r="H15">
            <v>1220041.1000000001</v>
          </cell>
          <cell r="I15">
            <v>0</v>
          </cell>
          <cell r="J15" t="str">
            <v>"</v>
          </cell>
        </row>
        <row r="16">
          <cell r="B16" t="str">
            <v>T75-PG</v>
          </cell>
          <cell r="C16" t="str">
            <v>D2.5212</v>
          </cell>
          <cell r="D16" t="str">
            <v>Cột bê tông ly tâm 7,5m - Có phụ gia Silicafume</v>
          </cell>
          <cell r="E16" t="str">
            <v>cột</v>
          </cell>
          <cell r="F16">
            <v>0</v>
          </cell>
          <cell r="G16">
            <v>30500</v>
          </cell>
          <cell r="H16">
            <v>489604.4</v>
          </cell>
          <cell r="I16">
            <v>143622.5</v>
          </cell>
          <cell r="J16" t="str">
            <v>"</v>
          </cell>
        </row>
        <row r="17">
          <cell r="B17" t="str">
            <v>T75-TDPG</v>
          </cell>
          <cell r="C17" t="str">
            <v>D2.5212</v>
          </cell>
          <cell r="D17" t="str">
            <v>Cột bê tông ly tâm 7,5m (Có phụ gia Silicafume &amp; có dây tiếp đất luồn trong thân cột)</v>
          </cell>
          <cell r="E17" t="str">
            <v>cột</v>
          </cell>
          <cell r="F17">
            <v>0</v>
          </cell>
          <cell r="G17">
            <v>30500</v>
          </cell>
          <cell r="H17">
            <v>489604.4</v>
          </cell>
          <cell r="I17">
            <v>143622.5</v>
          </cell>
          <cell r="J17" t="str">
            <v>"</v>
          </cell>
        </row>
        <row r="18">
          <cell r="B18" t="str">
            <v>T85</v>
          </cell>
          <cell r="C18" t="str">
            <v>D2.5212</v>
          </cell>
          <cell r="D18" t="str">
            <v>Cột bê tông ly tâm 8,5m-300kgf</v>
          </cell>
          <cell r="E18" t="str">
            <v>cột</v>
          </cell>
          <cell r="F18">
            <v>2374000</v>
          </cell>
          <cell r="G18">
            <v>35909.1</v>
          </cell>
          <cell r="H18">
            <v>489604.35000000003</v>
          </cell>
          <cell r="I18">
            <v>143622.5</v>
          </cell>
          <cell r="J18" t="str">
            <v>"</v>
          </cell>
        </row>
        <row r="19">
          <cell r="B19" t="str">
            <v>T85-TD</v>
          </cell>
          <cell r="C19" t="str">
            <v>D2.5212</v>
          </cell>
          <cell r="D19" t="str">
            <v>Cột bê tông ly tâm 8,5m-300kgf (có dây tiếp đất luồn trong thân cột)</v>
          </cell>
          <cell r="E19" t="str">
            <v>cột</v>
          </cell>
          <cell r="F19">
            <v>2502000</v>
          </cell>
          <cell r="G19">
            <v>35909.1</v>
          </cell>
          <cell r="H19">
            <v>489604.35000000003</v>
          </cell>
          <cell r="I19">
            <v>143622.5</v>
          </cell>
          <cell r="J19" t="str">
            <v>"</v>
          </cell>
        </row>
        <row r="21">
          <cell r="B21" t="str">
            <v>T85-PG</v>
          </cell>
          <cell r="C21" t="str">
            <v>D2.5212</v>
          </cell>
          <cell r="D21" t="str">
            <v>Cột bê tông ly tâm 8,5m - Có phụ gia Silicafume</v>
          </cell>
          <cell r="E21" t="str">
            <v>cột</v>
          </cell>
          <cell r="F21">
            <v>0</v>
          </cell>
          <cell r="G21">
            <v>30500</v>
          </cell>
          <cell r="H21">
            <v>489604.4</v>
          </cell>
          <cell r="I21">
            <v>143622.5</v>
          </cell>
          <cell r="J21" t="str">
            <v>"</v>
          </cell>
        </row>
        <row r="22">
          <cell r="B22" t="str">
            <v>T85-TDPG</v>
          </cell>
          <cell r="C22" t="str">
            <v>D2.5212</v>
          </cell>
          <cell r="D22" t="str">
            <v>Cột bê tông ly tâm 8,5m - Có phụ gia Silicafume và dây tiếp đất luồn trong thân cột</v>
          </cell>
          <cell r="E22" t="str">
            <v>cột</v>
          </cell>
          <cell r="F22">
            <v>0</v>
          </cell>
          <cell r="G22">
            <v>30500</v>
          </cell>
          <cell r="H22">
            <v>489604.4</v>
          </cell>
          <cell r="I22">
            <v>143622.5</v>
          </cell>
          <cell r="J22" t="str">
            <v>"</v>
          </cell>
        </row>
        <row r="23">
          <cell r="B23" t="str">
            <v>T105</v>
          </cell>
          <cell r="C23" t="str">
            <v>D2.5222</v>
          </cell>
          <cell r="D23" t="str">
            <v>Cột bê tông ly tâm 10,5m</v>
          </cell>
          <cell r="E23" t="str">
            <v>cột</v>
          </cell>
          <cell r="F23">
            <v>0</v>
          </cell>
          <cell r="G23">
            <v>30500</v>
          </cell>
          <cell r="H23">
            <v>524009</v>
          </cell>
          <cell r="I23">
            <v>143622.5</v>
          </cell>
          <cell r="J23" t="str">
            <v>"</v>
          </cell>
        </row>
        <row r="24">
          <cell r="B24" t="str">
            <v>T105350-TD</v>
          </cell>
          <cell r="C24" t="str">
            <v>D2.5222</v>
          </cell>
          <cell r="D24" t="str">
            <v>Cột bê tông ly tâm 10,5m-350kgf - có dây tiếp đất luồn trong thân cột</v>
          </cell>
          <cell r="E24" t="str">
            <v>cột</v>
          </cell>
          <cell r="F24">
            <v>0</v>
          </cell>
          <cell r="G24">
            <v>30500</v>
          </cell>
          <cell r="H24">
            <v>524009</v>
          </cell>
          <cell r="I24">
            <v>143622.5</v>
          </cell>
          <cell r="J24" t="str">
            <v>"</v>
          </cell>
        </row>
        <row r="25">
          <cell r="B25" t="str">
            <v>T105-TD(TC)</v>
          </cell>
          <cell r="C25" t="str">
            <v>D2.5221</v>
          </cell>
          <cell r="D25" t="str">
            <v>Cột bê tông ly tâm 10,5m (có dây tiếp đất luồn trong thân cột) (Thủ công)</v>
          </cell>
          <cell r="E25" t="str">
            <v>cột</v>
          </cell>
          <cell r="F25">
            <v>0</v>
          </cell>
          <cell r="G25">
            <v>30500</v>
          </cell>
          <cell r="H25">
            <v>1312669</v>
          </cell>
          <cell r="I25">
            <v>0</v>
          </cell>
          <cell r="J25" t="str">
            <v>"</v>
          </cell>
        </row>
        <row r="26">
          <cell r="B26" t="str">
            <v>T105-PG</v>
          </cell>
          <cell r="C26" t="str">
            <v>D2.5222</v>
          </cell>
          <cell r="D26" t="str">
            <v>Cột bê tông ly tâm 10,5m - Có phụ gia Silicafume</v>
          </cell>
          <cell r="E26" t="str">
            <v>cột</v>
          </cell>
          <cell r="F26">
            <v>0</v>
          </cell>
          <cell r="G26">
            <v>30500</v>
          </cell>
          <cell r="H26">
            <v>524009</v>
          </cell>
          <cell r="I26">
            <v>143622.5</v>
          </cell>
          <cell r="J26" t="str">
            <v>"</v>
          </cell>
        </row>
        <row r="27">
          <cell r="B27" t="str">
            <v>T105-TDPG</v>
          </cell>
          <cell r="C27" t="str">
            <v>D2.5222</v>
          </cell>
          <cell r="D27" t="str">
            <v>Cột bê tông ly tâm 10,5m - Có phụ gia Silicafume và có dây tiếp đất luồn trong thân cột</v>
          </cell>
          <cell r="E27" t="str">
            <v>cột</v>
          </cell>
          <cell r="F27">
            <v>0</v>
          </cell>
          <cell r="G27">
            <v>30500</v>
          </cell>
          <cell r="H27">
            <v>524009</v>
          </cell>
          <cell r="I27">
            <v>143622.5</v>
          </cell>
          <cell r="J27" t="str">
            <v>"</v>
          </cell>
        </row>
        <row r="28">
          <cell r="B28" t="str">
            <v>T12</v>
          </cell>
          <cell r="C28" t="str">
            <v>D2.5232</v>
          </cell>
          <cell r="D28" t="str">
            <v>Cột bê tông ly tâm 12m</v>
          </cell>
          <cell r="E28" t="str">
            <v>cột</v>
          </cell>
          <cell r="F28">
            <v>0</v>
          </cell>
          <cell r="G28">
            <v>30500</v>
          </cell>
          <cell r="H28">
            <v>561060.1</v>
          </cell>
          <cell r="I28">
            <v>205175</v>
          </cell>
          <cell r="J28" t="str">
            <v>"</v>
          </cell>
        </row>
        <row r="29">
          <cell r="B29" t="str">
            <v>T12-TD</v>
          </cell>
          <cell r="C29" t="str">
            <v>D2.5232</v>
          </cell>
          <cell r="D29" t="str">
            <v>Cột bê tông ly tâm 12m (có dây tiếp đất luồn trong thân cột)</v>
          </cell>
          <cell r="E29" t="str">
            <v>cột</v>
          </cell>
          <cell r="F29">
            <v>0</v>
          </cell>
          <cell r="G29">
            <v>30500</v>
          </cell>
          <cell r="H29">
            <v>561060.1</v>
          </cell>
          <cell r="I29">
            <v>205175</v>
          </cell>
          <cell r="J29" t="str">
            <v>"</v>
          </cell>
        </row>
        <row r="30">
          <cell r="B30" t="str">
            <v>T12-TD(tc)</v>
          </cell>
          <cell r="C30" t="str">
            <v>D2.5231</v>
          </cell>
          <cell r="D30" t="str">
            <v>Cột bê tông ly tâm 12m (có dây tiếp đất luồn trong thân cột) (Thủ công)</v>
          </cell>
          <cell r="E30" t="str">
            <v>cột</v>
          </cell>
          <cell r="F30">
            <v>0</v>
          </cell>
          <cell r="G30">
            <v>30500</v>
          </cell>
          <cell r="H30">
            <v>1405296.8</v>
          </cell>
          <cell r="I30">
            <v>0</v>
          </cell>
          <cell r="J30" t="str">
            <v>"</v>
          </cell>
        </row>
        <row r="31">
          <cell r="B31" t="str">
            <v>T12540</v>
          </cell>
          <cell r="C31" t="str">
            <v>D2.5232</v>
          </cell>
          <cell r="D31" t="str">
            <v>Cột bê tông ly tâm 12m</v>
          </cell>
          <cell r="E31" t="str">
            <v>cột</v>
          </cell>
          <cell r="F31">
            <v>0</v>
          </cell>
          <cell r="G31">
            <v>30500</v>
          </cell>
          <cell r="H31">
            <v>561060.1</v>
          </cell>
          <cell r="I31">
            <v>205175</v>
          </cell>
          <cell r="J31" t="str">
            <v>"</v>
          </cell>
        </row>
        <row r="32">
          <cell r="B32" t="str">
            <v>T12540-TD</v>
          </cell>
          <cell r="C32" t="str">
            <v>D2.5232</v>
          </cell>
          <cell r="D32" t="str">
            <v>Cột bê tông ly tâm 12m (có dây tiếp đất luồn trong thân cột)</v>
          </cell>
          <cell r="E32" t="str">
            <v>cột</v>
          </cell>
          <cell r="F32">
            <v>5200000</v>
          </cell>
          <cell r="G32">
            <v>30500</v>
          </cell>
          <cell r="H32">
            <v>561060.1</v>
          </cell>
          <cell r="I32">
            <v>205175</v>
          </cell>
          <cell r="J32" t="str">
            <v>"</v>
          </cell>
        </row>
        <row r="33">
          <cell r="B33" t="str">
            <v>T12540-TD(tc)</v>
          </cell>
          <cell r="C33" t="str">
            <v>D2.5231</v>
          </cell>
          <cell r="D33" t="str">
            <v>Cột bê tông ly tâm 12m (có dây tiếp đất luồn trong thân cột)(Thủ công)</v>
          </cell>
          <cell r="E33" t="str">
            <v>cột</v>
          </cell>
          <cell r="F33">
            <v>5200000</v>
          </cell>
          <cell r="G33">
            <v>30500</v>
          </cell>
          <cell r="H33">
            <v>1405296.8</v>
          </cell>
          <cell r="I33">
            <v>0</v>
          </cell>
          <cell r="J33" t="str">
            <v>"</v>
          </cell>
        </row>
        <row r="34">
          <cell r="B34" t="str">
            <v>T12540-PG</v>
          </cell>
          <cell r="C34" t="str">
            <v>D2.5232</v>
          </cell>
          <cell r="D34" t="str">
            <v>Cột bê tông ly tâm 12m - Có phụ gia Silicafume</v>
          </cell>
          <cell r="E34" t="str">
            <v>cột</v>
          </cell>
          <cell r="F34">
            <v>0</v>
          </cell>
          <cell r="G34">
            <v>30500</v>
          </cell>
          <cell r="H34">
            <v>561060.1</v>
          </cell>
          <cell r="I34">
            <v>205175</v>
          </cell>
          <cell r="J34" t="str">
            <v>"</v>
          </cell>
        </row>
        <row r="35">
          <cell r="B35" t="str">
            <v>T12540-TDPG</v>
          </cell>
          <cell r="C35" t="str">
            <v>D2.5232</v>
          </cell>
          <cell r="D35" t="str">
            <v>Cột bê tông ly tâm 12m - Có phụ gia Silicafume và có dây tiếp đất luồn trong thân cột</v>
          </cell>
          <cell r="E35" t="str">
            <v>cột</v>
          </cell>
          <cell r="F35">
            <v>0</v>
          </cell>
          <cell r="G35">
            <v>30500</v>
          </cell>
          <cell r="H35">
            <v>561060.1</v>
          </cell>
          <cell r="I35">
            <v>205175</v>
          </cell>
          <cell r="J35" t="str">
            <v>"</v>
          </cell>
        </row>
        <row r="36">
          <cell r="B36" t="str">
            <v>T12-720-PG</v>
          </cell>
          <cell r="C36" t="str">
            <v>D2.5232</v>
          </cell>
          <cell r="D36" t="str">
            <v>Cột bê tông ly tâm 12m - 720kgf - Có phụ gia Silicafume</v>
          </cell>
          <cell r="E36" t="str">
            <v>cột</v>
          </cell>
          <cell r="F36">
            <v>0</v>
          </cell>
          <cell r="G36">
            <v>30500</v>
          </cell>
          <cell r="H36">
            <v>561060.1</v>
          </cell>
          <cell r="I36">
            <v>205175</v>
          </cell>
          <cell r="J36" t="str">
            <v>"</v>
          </cell>
        </row>
        <row r="37">
          <cell r="B37" t="str">
            <v>T12-720-TDPG</v>
          </cell>
          <cell r="C37" t="str">
            <v>D2.5232</v>
          </cell>
          <cell r="D37" t="str">
            <v>Cột bê tông ly tâm 12m - 720kgf - Có phụ gia Silicafume và có dây tiếp đất luồn trong thân cột</v>
          </cell>
          <cell r="E37" t="str">
            <v>cột</v>
          </cell>
          <cell r="F37">
            <v>0</v>
          </cell>
          <cell r="G37">
            <v>30500</v>
          </cell>
          <cell r="H37">
            <v>561060.1</v>
          </cell>
          <cell r="I37">
            <v>205175</v>
          </cell>
          <cell r="J37" t="str">
            <v>"</v>
          </cell>
        </row>
        <row r="38">
          <cell r="B38" t="str">
            <v>T14</v>
          </cell>
          <cell r="C38" t="str">
            <v>D2.5242</v>
          </cell>
          <cell r="D38" t="str">
            <v>Cột bê tông ly tâm 14m</v>
          </cell>
          <cell r="E38" t="str">
            <v>cột</v>
          </cell>
          <cell r="F38">
            <v>7500000</v>
          </cell>
          <cell r="G38">
            <v>30500</v>
          </cell>
          <cell r="H38">
            <v>698678.6</v>
          </cell>
          <cell r="I38">
            <v>205175</v>
          </cell>
          <cell r="J38" t="str">
            <v>"</v>
          </cell>
        </row>
        <row r="39">
          <cell r="B39" t="str">
            <v>T14-TD</v>
          </cell>
          <cell r="C39" t="str">
            <v>D2.5242</v>
          </cell>
          <cell r="D39" t="str">
            <v>Cột bê tông ly tâm 14m (có dây tiếp đất luồn trong thân cột)</v>
          </cell>
          <cell r="E39" t="str">
            <v>cột</v>
          </cell>
          <cell r="F39">
            <v>7900000</v>
          </cell>
          <cell r="G39">
            <v>30500</v>
          </cell>
          <cell r="H39">
            <v>698678.6</v>
          </cell>
          <cell r="I39">
            <v>205175</v>
          </cell>
          <cell r="J39" t="str">
            <v>"</v>
          </cell>
        </row>
        <row r="40">
          <cell r="B40" t="str">
            <v>T14-TD(tc)</v>
          </cell>
          <cell r="C40" t="str">
            <v>D2.5241</v>
          </cell>
          <cell r="D40" t="str">
            <v>Cột bê tông ly tâm 14m (có dây tiếp đất luồn trong thân cột)(Thủ công)</v>
          </cell>
          <cell r="E40" t="str">
            <v>cột</v>
          </cell>
          <cell r="F40">
            <v>7900000</v>
          </cell>
          <cell r="G40">
            <v>30500</v>
          </cell>
          <cell r="H40">
            <v>1749343.1</v>
          </cell>
          <cell r="I40">
            <v>0</v>
          </cell>
          <cell r="J40" t="str">
            <v>"</v>
          </cell>
        </row>
        <row r="41">
          <cell r="B41" t="str">
            <v>T14-2</v>
          </cell>
          <cell r="C41" t="str">
            <v>D2.5242</v>
          </cell>
          <cell r="D41" t="str">
            <v>Cột bê tông ly tâm 14m - Loại 2 đoạn, lực đầu cột 650kgf</v>
          </cell>
          <cell r="E41" t="str">
            <v>cột</v>
          </cell>
          <cell r="F41">
            <v>11139300</v>
          </cell>
          <cell r="G41">
            <v>30500</v>
          </cell>
          <cell r="H41">
            <v>698678.6</v>
          </cell>
          <cell r="I41">
            <v>205175</v>
          </cell>
          <cell r="J41" t="str">
            <v>"</v>
          </cell>
        </row>
        <row r="42">
          <cell r="B42" t="str">
            <v>T14-2TD</v>
          </cell>
          <cell r="C42" t="str">
            <v>D2.5242</v>
          </cell>
          <cell r="D42" t="str">
            <v>Cột bê tông ly tâm 14m - Loại 2 đoạn, lực đầu cột 650kgf (có dây tiếp đất luồn trong thân cột)</v>
          </cell>
          <cell r="E42" t="str">
            <v>cột</v>
          </cell>
          <cell r="F42">
            <v>11439300</v>
          </cell>
          <cell r="G42">
            <v>30500</v>
          </cell>
          <cell r="H42">
            <v>698678.6</v>
          </cell>
          <cell r="I42">
            <v>205175</v>
          </cell>
          <cell r="J42" t="str">
            <v>"</v>
          </cell>
        </row>
        <row r="43">
          <cell r="B43" t="str">
            <v>T14-PG</v>
          </cell>
          <cell r="C43" t="str">
            <v>D2.5242</v>
          </cell>
          <cell r="D43" t="str">
            <v>Cột bê tông ly tâm 14m - Có phụ gia Silicafume</v>
          </cell>
          <cell r="E43" t="str">
            <v>cột</v>
          </cell>
          <cell r="F43">
            <v>0</v>
          </cell>
          <cell r="G43">
            <v>30500</v>
          </cell>
          <cell r="H43">
            <v>698678.6</v>
          </cell>
          <cell r="I43">
            <v>205175</v>
          </cell>
          <cell r="J43" t="str">
            <v>"</v>
          </cell>
        </row>
        <row r="44">
          <cell r="B44" t="str">
            <v>T14-TDPG</v>
          </cell>
          <cell r="C44" t="str">
            <v>D2.5242</v>
          </cell>
          <cell r="D44" t="str">
            <v>Cột bê tông ly tâm 14m (Có phụ gia Silicafume và dây tiếp đất luồn trong thân cột)</v>
          </cell>
          <cell r="E44" t="str">
            <v>cột</v>
          </cell>
          <cell r="F44">
            <v>0</v>
          </cell>
          <cell r="G44">
            <v>30500</v>
          </cell>
          <cell r="H44">
            <v>698678.6</v>
          </cell>
          <cell r="I44">
            <v>205175</v>
          </cell>
          <cell r="J44" t="str">
            <v>"</v>
          </cell>
        </row>
        <row r="45">
          <cell r="B45" t="str">
            <v>T14900-PG</v>
          </cell>
          <cell r="C45" t="str">
            <v>D2.5242</v>
          </cell>
          <cell r="D45" t="str">
            <v>Cột bê tông ly tâm 14m - Có phụ gia Silicafume</v>
          </cell>
          <cell r="E45" t="str">
            <v>cột</v>
          </cell>
          <cell r="F45">
            <v>0</v>
          </cell>
          <cell r="G45">
            <v>30500</v>
          </cell>
          <cell r="H45">
            <v>698678.6</v>
          </cell>
          <cell r="I45">
            <v>205175</v>
          </cell>
          <cell r="J45" t="str">
            <v>"</v>
          </cell>
        </row>
        <row r="46">
          <cell r="B46" t="str">
            <v>T14900-TDPG</v>
          </cell>
          <cell r="C46" t="str">
            <v>D2.5242</v>
          </cell>
          <cell r="D46" t="str">
            <v>Cột bê tông ly tâm 14m - Có phụ gia Silicafume và có dây tiếp đất luồn trong thân cột</v>
          </cell>
          <cell r="E46" t="str">
            <v>cột</v>
          </cell>
          <cell r="F46">
            <v>0</v>
          </cell>
          <cell r="G46">
            <v>30500</v>
          </cell>
          <cell r="H46">
            <v>698678.6</v>
          </cell>
          <cell r="I46">
            <v>205175</v>
          </cell>
          <cell r="J46" t="str">
            <v>"</v>
          </cell>
        </row>
        <row r="47">
          <cell r="B47" t="str">
            <v>T14-1100-PG</v>
          </cell>
          <cell r="C47" t="str">
            <v>D2.5242</v>
          </cell>
          <cell r="D47" t="str">
            <v>Cột bê tông ly tâm 14m - 1100kgf - Có phụ gia Silicafume</v>
          </cell>
          <cell r="E47" t="str">
            <v>cột</v>
          </cell>
          <cell r="G47">
            <v>30500</v>
          </cell>
          <cell r="H47">
            <v>698678.6</v>
          </cell>
          <cell r="I47">
            <v>205175</v>
          </cell>
          <cell r="J47" t="str">
            <v>"</v>
          </cell>
        </row>
        <row r="48">
          <cell r="B48" t="str">
            <v>T14-1100-TDPG</v>
          </cell>
          <cell r="C48" t="str">
            <v>D2.5242</v>
          </cell>
          <cell r="D48" t="str">
            <v>Cột bê tông ly tâm 14m - 1100kgf - Có phụ gia Silicafume và có dây tiếp đất luồn trong thân cột</v>
          </cell>
          <cell r="E48" t="str">
            <v>cột</v>
          </cell>
          <cell r="G48">
            <v>30500</v>
          </cell>
          <cell r="H48">
            <v>698678.6</v>
          </cell>
          <cell r="I48">
            <v>205175</v>
          </cell>
          <cell r="J48" t="str">
            <v>"</v>
          </cell>
        </row>
        <row r="49">
          <cell r="B49" t="str">
            <v>T14920</v>
          </cell>
          <cell r="C49" t="str">
            <v>D2.5242</v>
          </cell>
          <cell r="D49" t="str">
            <v>Cột bê tông ly tâm 14m, lực đầu cột 920kgf</v>
          </cell>
          <cell r="E49" t="str">
            <v>cột</v>
          </cell>
          <cell r="F49">
            <v>8292000</v>
          </cell>
          <cell r="G49">
            <v>35909.1</v>
          </cell>
          <cell r="H49">
            <v>698678.64</v>
          </cell>
          <cell r="I49">
            <v>205175</v>
          </cell>
          <cell r="J49" t="str">
            <v>"</v>
          </cell>
        </row>
        <row r="50">
          <cell r="B50" t="str">
            <v>T14920-TD</v>
          </cell>
          <cell r="C50" t="str">
            <v>D2.5242</v>
          </cell>
          <cell r="D50" t="str">
            <v>Cột bê tông ly tâm 14m, lực đầu cột 920kgf - có dây tiếp đất luồn trong thân cột</v>
          </cell>
          <cell r="E50" t="str">
            <v>cột</v>
          </cell>
          <cell r="F50">
            <v>8477000</v>
          </cell>
          <cell r="G50">
            <v>35909.1</v>
          </cell>
          <cell r="H50">
            <v>698678.64</v>
          </cell>
          <cell r="I50">
            <v>205175</v>
          </cell>
          <cell r="J50" t="str">
            <v>"</v>
          </cell>
        </row>
        <row r="51">
          <cell r="B51" t="str">
            <v>T14920-2</v>
          </cell>
          <cell r="C51" t="str">
            <v>D2.5242</v>
          </cell>
          <cell r="D51" t="str">
            <v>Cột bê tông ly tâm 14m, lực đầu cột 920kgf - Trụ 2 đoạn</v>
          </cell>
          <cell r="E51" t="str">
            <v>cột</v>
          </cell>
          <cell r="F51">
            <v>9813000</v>
          </cell>
          <cell r="G51">
            <v>35909.1</v>
          </cell>
          <cell r="H51">
            <v>698678.64</v>
          </cell>
          <cell r="I51">
            <v>205175</v>
          </cell>
          <cell r="J51" t="str">
            <v>"</v>
          </cell>
        </row>
        <row r="52">
          <cell r="B52" t="str">
            <v>T14920-2TD</v>
          </cell>
          <cell r="C52" t="str">
            <v>D2.5242</v>
          </cell>
          <cell r="D52" t="str">
            <v>Cột bê tông ly tâm 14m, lực đầu cột 920kgf - có dây tiếp đất luồn trong thân cột - Trụ 2 đoạn</v>
          </cell>
          <cell r="E52" t="str">
            <v>cột</v>
          </cell>
          <cell r="F52">
            <v>9999000</v>
          </cell>
          <cell r="G52">
            <v>35909.1</v>
          </cell>
          <cell r="H52">
            <v>698678.64</v>
          </cell>
          <cell r="I52">
            <v>205175</v>
          </cell>
          <cell r="J52" t="str">
            <v>"</v>
          </cell>
        </row>
        <row r="53">
          <cell r="B53" t="str">
            <v>T14920(tc)</v>
          </cell>
          <cell r="C53" t="str">
            <v>D2.5241</v>
          </cell>
          <cell r="D53" t="str">
            <v>Cột bê tông ly tâm 14m, lực đầu cột 920kgf ( thủ công)</v>
          </cell>
          <cell r="E53" t="str">
            <v>cột</v>
          </cell>
          <cell r="F53">
            <v>8292000</v>
          </cell>
          <cell r="G53">
            <v>30500</v>
          </cell>
          <cell r="H53">
            <v>1749343.1</v>
          </cell>
          <cell r="I53">
            <v>0</v>
          </cell>
          <cell r="J53" t="str">
            <v>"</v>
          </cell>
        </row>
        <row r="54">
          <cell r="B54" t="str">
            <v>T14920-TD(tc)</v>
          </cell>
          <cell r="C54" t="str">
            <v>D2.5241</v>
          </cell>
          <cell r="D54" t="str">
            <v>Cột bê tông ly tâm 14m, lực đầu cột 920kgf - có dây tiếp đất luồn trong thân cột ( thủ công)</v>
          </cell>
          <cell r="E54" t="str">
            <v>cột</v>
          </cell>
          <cell r="F54">
            <v>8477000</v>
          </cell>
          <cell r="G54">
            <v>30500</v>
          </cell>
          <cell r="H54">
            <v>1749343.1</v>
          </cell>
          <cell r="I54">
            <v>0</v>
          </cell>
          <cell r="J54" t="str">
            <v>"</v>
          </cell>
        </row>
        <row r="55">
          <cell r="B55" t="str">
            <v>T14850</v>
          </cell>
          <cell r="C55" t="str">
            <v>D2.5242</v>
          </cell>
          <cell r="D55" t="str">
            <v>Cột bê tông ly tâm 14m, lực đầu cột 920kgf</v>
          </cell>
          <cell r="E55" t="str">
            <v>cột</v>
          </cell>
          <cell r="F55">
            <v>10500000</v>
          </cell>
          <cell r="G55">
            <v>30500</v>
          </cell>
          <cell r="H55">
            <v>698678.6</v>
          </cell>
          <cell r="I55">
            <v>205175</v>
          </cell>
          <cell r="J55" t="str">
            <v>"</v>
          </cell>
        </row>
        <row r="56">
          <cell r="B56" t="str">
            <v>T14850-TD</v>
          </cell>
          <cell r="C56" t="str">
            <v>D2.5242</v>
          </cell>
          <cell r="D56" t="str">
            <v>Cột bê tông ly tâm 14m, lực đầu cột 920kgf - có dây tiếp đất luồn trong thân cột</v>
          </cell>
          <cell r="E56" t="str">
            <v>cột</v>
          </cell>
          <cell r="F56">
            <v>10500000</v>
          </cell>
          <cell r="G56">
            <v>30500</v>
          </cell>
          <cell r="H56">
            <v>698678.6</v>
          </cell>
          <cell r="I56">
            <v>205175</v>
          </cell>
          <cell r="J56" t="str">
            <v>"</v>
          </cell>
        </row>
        <row r="57">
          <cell r="B57" t="str">
            <v>T14900</v>
          </cell>
          <cell r="C57" t="str">
            <v>D2.5242</v>
          </cell>
          <cell r="D57" t="str">
            <v>Cột bê tông ly tâm 14m- 920kgf</v>
          </cell>
          <cell r="E57" t="str">
            <v>cột</v>
          </cell>
          <cell r="G57">
            <v>30500</v>
          </cell>
          <cell r="H57">
            <v>698678.6</v>
          </cell>
          <cell r="I57">
            <v>205175</v>
          </cell>
          <cell r="J57" t="str">
            <v>"</v>
          </cell>
        </row>
        <row r="58">
          <cell r="B58" t="str">
            <v>T14900-TD</v>
          </cell>
          <cell r="C58" t="str">
            <v>D2.5242</v>
          </cell>
          <cell r="D58" t="str">
            <v>Cột bê tông ly tâm 14m- 850-900kgf  và có dây tiếp đất luồn trong thân cột</v>
          </cell>
          <cell r="E58" t="str">
            <v>cột</v>
          </cell>
          <cell r="G58">
            <v>30500</v>
          </cell>
          <cell r="H58">
            <v>698678.6</v>
          </cell>
          <cell r="I58">
            <v>205175</v>
          </cell>
          <cell r="J58" t="str">
            <v>"</v>
          </cell>
        </row>
        <row r="59">
          <cell r="B59" t="str">
            <v>T16-920</v>
          </cell>
          <cell r="C59" t="str">
            <v>D2.5252</v>
          </cell>
          <cell r="D59" t="str">
            <v>Cột bê tông ly tâm 16m- 920kgf</v>
          </cell>
          <cell r="E59" t="str">
            <v>cột</v>
          </cell>
          <cell r="F59">
            <v>0</v>
          </cell>
          <cell r="G59">
            <v>35000</v>
          </cell>
          <cell r="H59">
            <v>685446.1</v>
          </cell>
          <cell r="I59">
            <v>339454.9</v>
          </cell>
          <cell r="J59" t="str">
            <v>"</v>
          </cell>
        </row>
        <row r="60">
          <cell r="B60" t="str">
            <v>T16</v>
          </cell>
          <cell r="C60" t="str">
            <v>D2.5252</v>
          </cell>
          <cell r="D60" t="str">
            <v>Cột bê tông ly tâm 16m</v>
          </cell>
          <cell r="E60" t="str">
            <v>cột</v>
          </cell>
          <cell r="F60">
            <v>0</v>
          </cell>
          <cell r="G60">
            <v>35000</v>
          </cell>
          <cell r="H60">
            <v>685446.1</v>
          </cell>
          <cell r="I60">
            <v>339454.9</v>
          </cell>
          <cell r="J60" t="str">
            <v>"</v>
          </cell>
        </row>
        <row r="61">
          <cell r="B61" t="str">
            <v>T16-TD</v>
          </cell>
          <cell r="C61" t="str">
            <v>D2.5252</v>
          </cell>
          <cell r="D61" t="str">
            <v>Cột bê tông ly tâm 16m (có dây tiếp đất luồn trong thân cột)</v>
          </cell>
          <cell r="E61" t="str">
            <v>cột</v>
          </cell>
          <cell r="F61">
            <v>0</v>
          </cell>
          <cell r="G61">
            <v>35000</v>
          </cell>
          <cell r="H61">
            <v>685446.1</v>
          </cell>
          <cell r="I61">
            <v>339454.9</v>
          </cell>
          <cell r="J61" t="str">
            <v>"</v>
          </cell>
        </row>
        <row r="62">
          <cell r="B62" t="str">
            <v>T16-TD(tc)</v>
          </cell>
          <cell r="C62" t="str">
            <v>D2.5251</v>
          </cell>
          <cell r="D62" t="str">
            <v>Cột bê tông ly tâm 16m (có dây tiếp đất luồn trong thân cột) - Thủ công</v>
          </cell>
          <cell r="E62" t="str">
            <v>cột</v>
          </cell>
          <cell r="F62">
            <v>0</v>
          </cell>
          <cell r="G62">
            <v>35000</v>
          </cell>
          <cell r="H62">
            <v>1902840.7</v>
          </cell>
          <cell r="I62">
            <v>0</v>
          </cell>
          <cell r="J62" t="str">
            <v>"</v>
          </cell>
        </row>
        <row r="63">
          <cell r="B63" t="str">
            <v>T16-10</v>
          </cell>
          <cell r="C63" t="str">
            <v>D2.5252</v>
          </cell>
          <cell r="D63" t="str">
            <v>Cột bê tông ly tâm 16m, lực đầu cột 1100kgf</v>
          </cell>
          <cell r="E63" t="str">
            <v>cột</v>
          </cell>
          <cell r="F63">
            <v>20866000</v>
          </cell>
          <cell r="G63">
            <v>41109.1</v>
          </cell>
          <cell r="H63">
            <v>685446.09</v>
          </cell>
          <cell r="I63">
            <v>339454.92</v>
          </cell>
          <cell r="J63" t="str">
            <v>"</v>
          </cell>
        </row>
        <row r="64">
          <cell r="B64" t="str">
            <v>T16-10TD</v>
          </cell>
          <cell r="C64" t="str">
            <v>D2.5252</v>
          </cell>
          <cell r="D64" t="str">
            <v>Cột bê tông ly tâm 16m, lực đầu cột 1100kgf - có dây tiếp đất luồn trong thân cột</v>
          </cell>
          <cell r="E64" t="str">
            <v>cột</v>
          </cell>
          <cell r="F64">
            <v>21331000</v>
          </cell>
          <cell r="G64">
            <v>41109.1</v>
          </cell>
          <cell r="H64">
            <v>685446.09</v>
          </cell>
          <cell r="I64">
            <v>339454.92</v>
          </cell>
          <cell r="J64" t="str">
            <v>"</v>
          </cell>
        </row>
        <row r="65">
          <cell r="B65" t="str">
            <v>T16-10(tc)</v>
          </cell>
          <cell r="C65" t="str">
            <v>D2.5241</v>
          </cell>
          <cell r="D65" t="str">
            <v>Cột bê tông ly tâm 16m, lực đầu cột 1100kgf (thủ công)</v>
          </cell>
          <cell r="E65" t="str">
            <v>cột</v>
          </cell>
          <cell r="F65">
            <v>20866000</v>
          </cell>
          <cell r="G65">
            <v>30500</v>
          </cell>
          <cell r="H65">
            <v>1749343.1</v>
          </cell>
          <cell r="I65">
            <v>0</v>
          </cell>
          <cell r="J65" t="str">
            <v>"</v>
          </cell>
        </row>
        <row r="66">
          <cell r="B66" t="str">
            <v>T16-10TD(tc)</v>
          </cell>
          <cell r="C66" t="str">
            <v>D2.5241</v>
          </cell>
          <cell r="D66" t="str">
            <v>Cột bê tông ly tâm 16m, lực đầu cột 1100kgf - có dây tiếp đất luồn trong thân cột (thủ công)</v>
          </cell>
          <cell r="E66" t="str">
            <v>cột</v>
          </cell>
          <cell r="F66">
            <v>21331000</v>
          </cell>
          <cell r="G66">
            <v>30500</v>
          </cell>
          <cell r="H66">
            <v>1749343.1</v>
          </cell>
          <cell r="I66">
            <v>0</v>
          </cell>
          <cell r="J66" t="str">
            <v>"</v>
          </cell>
        </row>
        <row r="67">
          <cell r="B67" t="str">
            <v>T1611-PG</v>
          </cell>
          <cell r="C67" t="str">
            <v>D2.5252</v>
          </cell>
          <cell r="D67" t="str">
            <v>Cột bê tông ly tâm 16m, lực đầu cột 1100kgf - Có phụ gia Silicafume</v>
          </cell>
          <cell r="E67" t="str">
            <v>cột</v>
          </cell>
          <cell r="F67">
            <v>0</v>
          </cell>
          <cell r="G67">
            <v>35000</v>
          </cell>
          <cell r="H67">
            <v>685446.1</v>
          </cell>
          <cell r="I67">
            <v>339454.9</v>
          </cell>
          <cell r="J67" t="str">
            <v>"</v>
          </cell>
        </row>
        <row r="68">
          <cell r="B68" t="str">
            <v>T1611-TDPG</v>
          </cell>
          <cell r="C68" t="str">
            <v>D2.5252</v>
          </cell>
          <cell r="D68" t="str">
            <v>Cột bê tông ly tâm 16m, lực đầu cột 1100kgf - Có phụ gia Silicafume và dây tiếp đất luồn trong thân cột</v>
          </cell>
          <cell r="E68" t="str">
            <v>cột</v>
          </cell>
          <cell r="F68">
            <v>0</v>
          </cell>
          <cell r="G68">
            <v>35000</v>
          </cell>
          <cell r="H68">
            <v>685446.1</v>
          </cell>
          <cell r="I68">
            <v>339454.9</v>
          </cell>
          <cell r="J68" t="str">
            <v>"</v>
          </cell>
        </row>
        <row r="69">
          <cell r="B69" t="str">
            <v>T18</v>
          </cell>
          <cell r="C69" t="str">
            <v>D2.5262</v>
          </cell>
          <cell r="D69" t="str">
            <v>Cột bê tông ly tâm 18m</v>
          </cell>
          <cell r="E69" t="str">
            <v>cột</v>
          </cell>
          <cell r="F69">
            <v>0</v>
          </cell>
          <cell r="G69">
            <v>35000</v>
          </cell>
          <cell r="H69">
            <v>894520.4</v>
          </cell>
          <cell r="I69">
            <v>339454.9</v>
          </cell>
          <cell r="J69" t="str">
            <v>"</v>
          </cell>
        </row>
        <row r="70">
          <cell r="B70" t="str">
            <v>T18-TD</v>
          </cell>
          <cell r="C70" t="str">
            <v>D2.5262</v>
          </cell>
          <cell r="D70" t="str">
            <v>Cột bê tông ly tâm 18m (có dây tiếp đất luồn trong thân cột)</v>
          </cell>
          <cell r="E70" t="str">
            <v>cột</v>
          </cell>
          <cell r="F70">
            <v>0</v>
          </cell>
          <cell r="G70">
            <v>35000</v>
          </cell>
          <cell r="H70">
            <v>894520.4</v>
          </cell>
          <cell r="I70">
            <v>339454.9</v>
          </cell>
          <cell r="J70" t="str">
            <v>"</v>
          </cell>
        </row>
        <row r="71">
          <cell r="B71" t="str">
            <v>T18-PG</v>
          </cell>
          <cell r="C71" t="str">
            <v>D2.5262</v>
          </cell>
          <cell r="D71" t="str">
            <v>Cột bê tông ly tâm 18m - Có phụ gia Silicafume</v>
          </cell>
          <cell r="E71" t="str">
            <v>cột</v>
          </cell>
          <cell r="F71">
            <v>0</v>
          </cell>
          <cell r="G71">
            <v>35000</v>
          </cell>
          <cell r="H71">
            <v>894520.4</v>
          </cell>
          <cell r="I71">
            <v>339454.9</v>
          </cell>
          <cell r="J71" t="str">
            <v>"</v>
          </cell>
        </row>
        <row r="72">
          <cell r="B72" t="str">
            <v>T18-TDPG</v>
          </cell>
          <cell r="C72" t="str">
            <v>D2.5262</v>
          </cell>
          <cell r="D72" t="str">
            <v>Cột bê tông ly tâm 18m (Có phụ gia Silicafume và dây tiếp đất luồn trong thân cột)</v>
          </cell>
          <cell r="E72" t="str">
            <v>cột</v>
          </cell>
          <cell r="F72">
            <v>0</v>
          </cell>
          <cell r="G72">
            <v>35000</v>
          </cell>
          <cell r="H72">
            <v>894520.4</v>
          </cell>
          <cell r="I72">
            <v>339454.9</v>
          </cell>
          <cell r="J72" t="str">
            <v>"</v>
          </cell>
        </row>
        <row r="73">
          <cell r="B73" t="str">
            <v>T1811-PG</v>
          </cell>
          <cell r="C73" t="str">
            <v>D2.5262</v>
          </cell>
          <cell r="D73" t="str">
            <v>Cột bê tông ly tâm 18m - Có phụ gia Silicafume</v>
          </cell>
          <cell r="E73" t="str">
            <v>cột</v>
          </cell>
          <cell r="G73">
            <v>35000</v>
          </cell>
          <cell r="H73">
            <v>894520.4</v>
          </cell>
          <cell r="I73">
            <v>339454.9</v>
          </cell>
          <cell r="J73" t="str">
            <v>"</v>
          </cell>
        </row>
        <row r="74">
          <cell r="B74" t="str">
            <v>T1811-TDPG</v>
          </cell>
          <cell r="C74" t="str">
            <v>D2.5262</v>
          </cell>
          <cell r="D74" t="str">
            <v>Cột bê tông ly tâm 18m - Có phụ gia Silicafume và có dây tiếp đất luồn trong thân cột</v>
          </cell>
          <cell r="E74" t="str">
            <v>cột</v>
          </cell>
          <cell r="G74">
            <v>35000</v>
          </cell>
          <cell r="H74">
            <v>894520.4</v>
          </cell>
          <cell r="I74">
            <v>339454.9</v>
          </cell>
          <cell r="J74" t="str">
            <v>"</v>
          </cell>
        </row>
        <row r="75">
          <cell r="B75" t="str">
            <v>T20</v>
          </cell>
          <cell r="C75" t="str">
            <v>D2.5272</v>
          </cell>
          <cell r="D75" t="str">
            <v>Cột bê tông ly tâm 20m</v>
          </cell>
          <cell r="E75" t="str">
            <v>cột</v>
          </cell>
          <cell r="F75">
            <v>0</v>
          </cell>
          <cell r="G75">
            <v>35000</v>
          </cell>
          <cell r="H75">
            <v>1040078.4</v>
          </cell>
          <cell r="I75">
            <v>480894.5</v>
          </cell>
          <cell r="J75" t="str">
            <v>"</v>
          </cell>
        </row>
        <row r="76">
          <cell r="B76" t="str">
            <v>T20-TD</v>
          </cell>
          <cell r="C76" t="str">
            <v>D2.5272</v>
          </cell>
          <cell r="D76" t="str">
            <v>Cột bê tông ly tâm 20m (có dây tiếp đất luồn trong thân cột)</v>
          </cell>
          <cell r="E76" t="str">
            <v>cột</v>
          </cell>
          <cell r="F76">
            <v>0</v>
          </cell>
          <cell r="G76">
            <v>35000</v>
          </cell>
          <cell r="H76">
            <v>1040078.4</v>
          </cell>
          <cell r="I76">
            <v>480894.5</v>
          </cell>
          <cell r="J76" t="str">
            <v>"</v>
          </cell>
        </row>
        <row r="77">
          <cell r="B77" t="str">
            <v>T20-13</v>
          </cell>
          <cell r="C77" t="str">
            <v>D2.5272</v>
          </cell>
          <cell r="D77" t="str">
            <v>Cột bê tông ly tâm 20m - 1300kgf</v>
          </cell>
          <cell r="E77" t="str">
            <v>cột</v>
          </cell>
          <cell r="F77">
            <v>0</v>
          </cell>
          <cell r="G77">
            <v>35000</v>
          </cell>
          <cell r="H77">
            <v>1040078.4</v>
          </cell>
          <cell r="I77">
            <v>480894.5</v>
          </cell>
          <cell r="J77" t="str">
            <v>"</v>
          </cell>
        </row>
        <row r="78">
          <cell r="B78" t="str">
            <v>T20-13TD</v>
          </cell>
          <cell r="C78" t="str">
            <v>D2.5272</v>
          </cell>
          <cell r="D78" t="str">
            <v>Cột bê tông ly tâm 20m - 1300kgf(có dây tiếp đất luồn trong thân cột)</v>
          </cell>
          <cell r="E78" t="str">
            <v>cột</v>
          </cell>
          <cell r="F78">
            <v>0</v>
          </cell>
          <cell r="G78">
            <v>35000</v>
          </cell>
          <cell r="H78">
            <v>1040078.4</v>
          </cell>
          <cell r="I78">
            <v>480894.5</v>
          </cell>
          <cell r="J78" t="str">
            <v>"</v>
          </cell>
        </row>
        <row r="79">
          <cell r="B79" t="str">
            <v>T20-PG</v>
          </cell>
          <cell r="C79" t="str">
            <v>D2.5272</v>
          </cell>
          <cell r="D79" t="str">
            <v>Cột bê tông ly tâm 20m - Có phụ gia Silicafume</v>
          </cell>
          <cell r="E79" t="str">
            <v>cột</v>
          </cell>
          <cell r="F79">
            <v>0</v>
          </cell>
          <cell r="G79">
            <v>35000</v>
          </cell>
          <cell r="H79">
            <v>1040078.4</v>
          </cell>
          <cell r="I79">
            <v>480894.5</v>
          </cell>
          <cell r="J79" t="str">
            <v>"</v>
          </cell>
        </row>
        <row r="80">
          <cell r="B80" t="str">
            <v>T20-TDPG</v>
          </cell>
          <cell r="C80" t="str">
            <v>D2.5272</v>
          </cell>
          <cell r="D80" t="str">
            <v>Cột bê tông ly tâm 20m - Có phụ gia Silicafume và có dây tiếp đất luồn trong thân cột</v>
          </cell>
          <cell r="E80" t="str">
            <v>cột</v>
          </cell>
          <cell r="F80">
            <v>0</v>
          </cell>
          <cell r="G80">
            <v>35000</v>
          </cell>
          <cell r="H80">
            <v>1040078.4</v>
          </cell>
          <cell r="I80">
            <v>480894.5</v>
          </cell>
          <cell r="J80" t="str">
            <v>"</v>
          </cell>
        </row>
        <row r="81">
          <cell r="B81" t="str">
            <v>LTRU</v>
          </cell>
          <cell r="C81" t="str">
            <v>D2.4022</v>
          </cell>
          <cell r="D81" t="str">
            <v>Lắp dựng cột thép bằng thủ công + cơ giới</v>
          </cell>
          <cell r="E81" t="str">
            <v>cột</v>
          </cell>
          <cell r="G81">
            <v>32130</v>
          </cell>
          <cell r="H81">
            <v>2747077.4</v>
          </cell>
          <cell r="I81">
            <v>46776.7</v>
          </cell>
          <cell r="J81" t="str">
            <v>"</v>
          </cell>
        </row>
        <row r="82">
          <cell r="B82" t="str">
            <v>ÑAØ CAÛN</v>
          </cell>
        </row>
        <row r="83">
          <cell r="B83" t="str">
            <v>D12</v>
          </cell>
          <cell r="C83" t="str">
            <v>D2.5401</v>
          </cell>
          <cell r="D83" t="str">
            <v>Đà cản  1,2m - ĐC - 1,2M</v>
          </cell>
          <cell r="E83" t="str">
            <v>cái</v>
          </cell>
          <cell r="F83">
            <v>364000</v>
          </cell>
          <cell r="G83">
            <v>0</v>
          </cell>
          <cell r="H83">
            <v>21172.1</v>
          </cell>
          <cell r="I83">
            <v>0</v>
          </cell>
          <cell r="J83" t="str">
            <v>"</v>
          </cell>
        </row>
        <row r="84">
          <cell r="B84" t="str">
            <v>D15</v>
          </cell>
          <cell r="C84" t="str">
            <v>D2.5401</v>
          </cell>
          <cell r="D84" t="str">
            <v>Đà cản  1,5m - ĐC - 1,5M</v>
          </cell>
          <cell r="E84" t="str">
            <v>cái</v>
          </cell>
          <cell r="F84">
            <v>828000</v>
          </cell>
          <cell r="G84">
            <v>0</v>
          </cell>
          <cell r="H84">
            <v>21172.1</v>
          </cell>
          <cell r="I84">
            <v>0</v>
          </cell>
          <cell r="J84" t="str">
            <v>"</v>
          </cell>
        </row>
        <row r="85">
          <cell r="B85" t="str">
            <v>D12PG</v>
          </cell>
          <cell r="C85" t="str">
            <v>D2.5401</v>
          </cell>
          <cell r="D85" t="str">
            <v>Đà cản  1,2m - ĐC - 1,2M - Có phụ gia Silicafume</v>
          </cell>
          <cell r="E85" t="str">
            <v>cái</v>
          </cell>
          <cell r="F85">
            <v>436800</v>
          </cell>
          <cell r="G85">
            <v>0</v>
          </cell>
          <cell r="H85">
            <v>21172.1</v>
          </cell>
          <cell r="I85">
            <v>0</v>
          </cell>
          <cell r="J85" t="str">
            <v>ĐM285</v>
          </cell>
        </row>
        <row r="86">
          <cell r="B86" t="str">
            <v>D15PG</v>
          </cell>
          <cell r="C86" t="str">
            <v>D2.5401</v>
          </cell>
          <cell r="D86" t="str">
            <v>Đà cản  1,5m - ĐC - 1,5M - Có phụ gia Silicafume</v>
          </cell>
          <cell r="E86" t="str">
            <v>cái</v>
          </cell>
          <cell r="F86">
            <v>993600</v>
          </cell>
          <cell r="G86">
            <v>0</v>
          </cell>
          <cell r="H86">
            <v>21172.1</v>
          </cell>
          <cell r="I86">
            <v>0</v>
          </cell>
          <cell r="J86" t="str">
            <v>"</v>
          </cell>
        </row>
        <row r="87">
          <cell r="B87" t="str">
            <v>D18</v>
          </cell>
          <cell r="C87" t="str">
            <v>D2.5401</v>
          </cell>
          <cell r="D87" t="str">
            <v>Đà cản  1,8m - ĐC - 1,8M</v>
          </cell>
          <cell r="E87" t="str">
            <v>cái</v>
          </cell>
          <cell r="F87">
            <v>660000</v>
          </cell>
          <cell r="G87">
            <v>0</v>
          </cell>
          <cell r="H87">
            <v>21172.1</v>
          </cell>
          <cell r="I87">
            <v>0</v>
          </cell>
          <cell r="J87" t="str">
            <v>"</v>
          </cell>
        </row>
        <row r="88">
          <cell r="B88" t="str">
            <v>D18PG</v>
          </cell>
          <cell r="C88" t="str">
            <v>D2.5401</v>
          </cell>
          <cell r="D88" t="str">
            <v>Đà cản  1,8m - ĐC - 1,8M (Có phụ gia Silicafume)</v>
          </cell>
          <cell r="E88" t="str">
            <v>cái</v>
          </cell>
          <cell r="F88">
            <v>792000</v>
          </cell>
          <cell r="G88">
            <v>0</v>
          </cell>
          <cell r="H88">
            <v>21172.1</v>
          </cell>
          <cell r="I88">
            <v>0</v>
          </cell>
          <cell r="J88" t="str">
            <v>"</v>
          </cell>
        </row>
        <row r="89">
          <cell r="B89" t="str">
            <v>D20</v>
          </cell>
          <cell r="C89" t="str">
            <v>D2.5401</v>
          </cell>
          <cell r="D89" t="str">
            <v>Đà cản  2,0m - ĐC - 2,0M</v>
          </cell>
          <cell r="E89" t="str">
            <v>cái</v>
          </cell>
          <cell r="F89">
            <v>660000</v>
          </cell>
          <cell r="G89">
            <v>0</v>
          </cell>
          <cell r="H89">
            <v>21172.1</v>
          </cell>
          <cell r="I89">
            <v>0</v>
          </cell>
          <cell r="J89" t="str">
            <v>"</v>
          </cell>
        </row>
        <row r="90">
          <cell r="B90" t="str">
            <v>D25</v>
          </cell>
          <cell r="C90" t="str">
            <v>D2.5401</v>
          </cell>
          <cell r="D90" t="str">
            <v>Đà cản  2,5m - ĐC - 2,5M</v>
          </cell>
          <cell r="E90" t="str">
            <v>cái</v>
          </cell>
          <cell r="F90">
            <v>0</v>
          </cell>
          <cell r="G90">
            <v>0</v>
          </cell>
          <cell r="H90">
            <v>21172.1</v>
          </cell>
          <cell r="I90">
            <v>0</v>
          </cell>
          <cell r="J90" t="str">
            <v>"</v>
          </cell>
        </row>
        <row r="91">
          <cell r="B91" t="str">
            <v>ÑEÁ NEO</v>
          </cell>
        </row>
        <row r="92">
          <cell r="B92" t="str">
            <v>DN0212</v>
          </cell>
          <cell r="C92" t="str">
            <v>AG.41610</v>
          </cell>
          <cell r="D92" t="str">
            <v>Khối neo BTCT 200x1200</v>
          </cell>
          <cell r="E92" t="str">
            <v>cái</v>
          </cell>
          <cell r="F92">
            <v>369000</v>
          </cell>
          <cell r="G92">
            <v>0</v>
          </cell>
          <cell r="H92">
            <v>6688.5</v>
          </cell>
          <cell r="I92">
            <v>24093.4</v>
          </cell>
          <cell r="J92" t="str">
            <v>"</v>
          </cell>
        </row>
        <row r="93">
          <cell r="B93" t="str">
            <v>DN0412</v>
          </cell>
          <cell r="C93" t="str">
            <v>AG.41610</v>
          </cell>
          <cell r="D93" t="str">
            <v>Khối neo BTCT 400x1200</v>
          </cell>
          <cell r="E93" t="str">
            <v>cái</v>
          </cell>
          <cell r="F93">
            <v>0</v>
          </cell>
          <cell r="G93">
            <v>0</v>
          </cell>
          <cell r="H93">
            <v>6688.5</v>
          </cell>
          <cell r="I93">
            <v>24093.4</v>
          </cell>
          <cell r="J93" t="str">
            <v>"</v>
          </cell>
        </row>
        <row r="94">
          <cell r="B94" t="str">
            <v>DN0415</v>
          </cell>
          <cell r="C94" t="str">
            <v>AG.41610</v>
          </cell>
          <cell r="D94" t="str">
            <v>Khối neo BTCT 400x1500</v>
          </cell>
          <cell r="E94" t="str">
            <v>cái</v>
          </cell>
          <cell r="F94">
            <v>0</v>
          </cell>
          <cell r="G94">
            <v>0</v>
          </cell>
          <cell r="H94">
            <v>6688.5</v>
          </cell>
          <cell r="I94">
            <v>24093.4</v>
          </cell>
          <cell r="J94" t="str">
            <v>"</v>
          </cell>
        </row>
        <row r="95">
          <cell r="B95" t="str">
            <v>DN0212PG</v>
          </cell>
          <cell r="C95" t="str">
            <v>AG.41610</v>
          </cell>
          <cell r="D95" t="str">
            <v>Khối neo BTCT 200x1200 - Có phụ gia Silicafume</v>
          </cell>
          <cell r="E95" t="str">
            <v>cái</v>
          </cell>
          <cell r="F95">
            <v>442800</v>
          </cell>
          <cell r="G95">
            <v>0</v>
          </cell>
          <cell r="H95">
            <v>6688.5</v>
          </cell>
          <cell r="I95">
            <v>24093.4</v>
          </cell>
          <cell r="J95" t="str">
            <v>"</v>
          </cell>
        </row>
        <row r="96">
          <cell r="B96" t="str">
            <v>DN0412PG</v>
          </cell>
          <cell r="C96" t="str">
            <v>AG.41610</v>
          </cell>
          <cell r="D96" t="str">
            <v>Khối neo BTCT 400x1200 - Có phụ gia Silicafume</v>
          </cell>
          <cell r="E96" t="str">
            <v>cái</v>
          </cell>
          <cell r="F96">
            <v>342000</v>
          </cell>
          <cell r="G96">
            <v>0</v>
          </cell>
          <cell r="H96">
            <v>6688.5</v>
          </cell>
          <cell r="I96">
            <v>24093.4</v>
          </cell>
          <cell r="J96" t="str">
            <v>"</v>
          </cell>
        </row>
        <row r="97">
          <cell r="B97" t="str">
            <v>DN0415PG</v>
          </cell>
          <cell r="C97" t="str">
            <v>AG.41610</v>
          </cell>
          <cell r="D97" t="str">
            <v>Khối neo BTCT 400x1500 (Có phụ gia Silicafume)</v>
          </cell>
          <cell r="E97" t="str">
            <v>cái</v>
          </cell>
          <cell r="F97">
            <v>438000</v>
          </cell>
          <cell r="G97">
            <v>0</v>
          </cell>
          <cell r="H97">
            <v>6688.5</v>
          </cell>
          <cell r="I97">
            <v>24093.4</v>
          </cell>
          <cell r="J97" t="str">
            <v>"</v>
          </cell>
        </row>
        <row r="98">
          <cell r="B98" t="str">
            <v>DN0615</v>
          </cell>
          <cell r="C98" t="str">
            <v>AG.41610</v>
          </cell>
          <cell r="D98" t="str">
            <v>Khối neo BTCT 600x1500</v>
          </cell>
          <cell r="E98" t="str">
            <v>cái</v>
          </cell>
          <cell r="F98">
            <v>0</v>
          </cell>
          <cell r="G98">
            <v>0</v>
          </cell>
          <cell r="H98">
            <v>6688.5</v>
          </cell>
          <cell r="I98">
            <v>24093.4</v>
          </cell>
          <cell r="J98" t="str">
            <v>"</v>
          </cell>
        </row>
        <row r="99">
          <cell r="B99" t="str">
            <v>DN0615PG</v>
          </cell>
          <cell r="C99" t="str">
            <v>AG.41610</v>
          </cell>
          <cell r="D99" t="str">
            <v>Khối neo BTCT 600x1500 - Có phụ gia Silicafume</v>
          </cell>
          <cell r="E99" t="str">
            <v>cái</v>
          </cell>
          <cell r="F99">
            <v>492000</v>
          </cell>
          <cell r="G99">
            <v>0</v>
          </cell>
          <cell r="H99">
            <v>6688.5</v>
          </cell>
          <cell r="I99">
            <v>24093.4</v>
          </cell>
          <cell r="J99" t="str">
            <v>"</v>
          </cell>
        </row>
        <row r="100">
          <cell r="B100" t="str">
            <v>THANH NEO</v>
          </cell>
        </row>
        <row r="101">
          <cell r="B101" t="str">
            <v>TN1616</v>
          </cell>
          <cell r="D101" t="str">
            <v>Thanh neo Ø16x1600</v>
          </cell>
          <cell r="E101" t="str">
            <v>cái</v>
          </cell>
          <cell r="F101">
            <v>90000</v>
          </cell>
        </row>
        <row r="102">
          <cell r="B102" t="str">
            <v>TN1618</v>
          </cell>
          <cell r="D102" t="str">
            <v>Thanh neo Ø16x1800</v>
          </cell>
          <cell r="E102" t="str">
            <v>cái</v>
          </cell>
          <cell r="F102">
            <v>99000</v>
          </cell>
        </row>
        <row r="103">
          <cell r="B103" t="str">
            <v>TN1620</v>
          </cell>
          <cell r="D103" t="str">
            <v>Thanh neo Ø16x2000</v>
          </cell>
          <cell r="E103" t="str">
            <v>cái</v>
          </cell>
          <cell r="F103">
            <v>118800</v>
          </cell>
        </row>
        <row r="104">
          <cell r="B104" t="str">
            <v>TN1624</v>
          </cell>
          <cell r="D104" t="str">
            <v>Thanh neo Ø16x2400</v>
          </cell>
          <cell r="E104" t="str">
            <v>cái</v>
          </cell>
          <cell r="F104">
            <v>126000</v>
          </cell>
        </row>
        <row r="105">
          <cell r="B105" t="str">
            <v>TN1630</v>
          </cell>
          <cell r="D105" t="str">
            <v>Thanh neo Ø16x3000</v>
          </cell>
          <cell r="E105" t="str">
            <v>cái</v>
          </cell>
          <cell r="F105">
            <v>132300</v>
          </cell>
        </row>
        <row r="106">
          <cell r="B106" t="str">
            <v>TN1637</v>
          </cell>
          <cell r="D106" t="str">
            <v>Thanh neo Ø16x3700</v>
          </cell>
          <cell r="E106" t="str">
            <v>cái</v>
          </cell>
          <cell r="F106">
            <v>151200</v>
          </cell>
        </row>
        <row r="107">
          <cell r="B107" t="str">
            <v>TN1824</v>
          </cell>
          <cell r="D107" t="str">
            <v>Thanh neo Ø18x2400</v>
          </cell>
          <cell r="E107" t="str">
            <v>cái</v>
          </cell>
          <cell r="F107">
            <v>156000</v>
          </cell>
        </row>
        <row r="108">
          <cell r="B108" t="str">
            <v>TN2024</v>
          </cell>
          <cell r="D108" t="str">
            <v>Thanh neo Ø20x2400</v>
          </cell>
          <cell r="E108" t="str">
            <v>cái</v>
          </cell>
          <cell r="F108">
            <v>190000</v>
          </cell>
        </row>
        <row r="109">
          <cell r="B109" t="str">
            <v>TN2018</v>
          </cell>
          <cell r="D109" t="str">
            <v>Thanh neo Ø20x1800</v>
          </cell>
          <cell r="E109" t="str">
            <v>cái</v>
          </cell>
          <cell r="F109">
            <v>161000</v>
          </cell>
        </row>
        <row r="110">
          <cell r="B110" t="str">
            <v>TN2027</v>
          </cell>
          <cell r="D110" t="str">
            <v>Thanh neo Ø20x2700</v>
          </cell>
          <cell r="E110" t="str">
            <v>cái</v>
          </cell>
          <cell r="F110">
            <v>228000</v>
          </cell>
        </row>
        <row r="111">
          <cell r="B111" t="str">
            <v>TN2030</v>
          </cell>
          <cell r="D111" t="str">
            <v>Thanh neo Ø20x3000</v>
          </cell>
          <cell r="E111" t="str">
            <v>cái</v>
          </cell>
          <cell r="F111">
            <v>239000</v>
          </cell>
        </row>
        <row r="112">
          <cell r="B112" t="str">
            <v>TN2037</v>
          </cell>
          <cell r="D112" t="str">
            <v>Thanh neo Ø20x3700</v>
          </cell>
          <cell r="E112" t="str">
            <v>cái</v>
          </cell>
          <cell r="F112">
            <v>286000</v>
          </cell>
        </row>
        <row r="113">
          <cell r="B113" t="str">
            <v>TN2224</v>
          </cell>
          <cell r="D113" t="str">
            <v>Thanh neo Ø22x2400</v>
          </cell>
          <cell r="E113" t="str">
            <v>cái</v>
          </cell>
          <cell r="F113">
            <v>225000</v>
          </cell>
        </row>
        <row r="114">
          <cell r="B114" t="str">
            <v>TN28</v>
          </cell>
          <cell r="D114" t="str">
            <v>Thanh neo Ø22x2800</v>
          </cell>
          <cell r="E114" t="str">
            <v>cái</v>
          </cell>
          <cell r="F114">
            <v>270000</v>
          </cell>
        </row>
        <row r="115">
          <cell r="B115" t="str">
            <v>TN30</v>
          </cell>
          <cell r="D115" t="str">
            <v>Thanh neo Ø22x3000</v>
          </cell>
          <cell r="E115" t="str">
            <v>cái</v>
          </cell>
          <cell r="F115">
            <v>0</v>
          </cell>
        </row>
        <row r="116">
          <cell r="B116" t="str">
            <v>TN37</v>
          </cell>
          <cell r="D116" t="str">
            <v>Thanh neo Ø22x3700</v>
          </cell>
          <cell r="E116" t="str">
            <v>cái</v>
          </cell>
          <cell r="F116">
            <v>0</v>
          </cell>
        </row>
        <row r="117">
          <cell r="B117" t="str">
            <v>OÁNG COÁNG</v>
          </cell>
        </row>
        <row r="118">
          <cell r="B118" t="str">
            <v>BTCT300</v>
          </cell>
          <cell r="C118" t="str">
            <v>BB.13702</v>
          </cell>
          <cell r="D118" t="str">
            <v>Cống BTCT D 300 (L=4m)</v>
          </cell>
          <cell r="E118" t="str">
            <v>cái</v>
          </cell>
          <cell r="G118">
            <v>90000</v>
          </cell>
          <cell r="H118">
            <v>17797.400000000001</v>
          </cell>
          <cell r="I118">
            <v>0</v>
          </cell>
          <cell r="J118" t="str">
            <v>ĐM285</v>
          </cell>
        </row>
        <row r="119">
          <cell r="B119" t="str">
            <v>BTCT400</v>
          </cell>
          <cell r="C119" t="str">
            <v>BB.13703</v>
          </cell>
          <cell r="D119" t="str">
            <v>Cống BTCT D 400 (L=4m)</v>
          </cell>
          <cell r="E119" t="str">
            <v>cái</v>
          </cell>
          <cell r="G119">
            <v>150000</v>
          </cell>
          <cell r="H119">
            <v>26818</v>
          </cell>
          <cell r="I119">
            <v>0</v>
          </cell>
          <cell r="J119" t="str">
            <v>"</v>
          </cell>
        </row>
        <row r="120">
          <cell r="B120" t="str">
            <v>BTCT600</v>
          </cell>
          <cell r="C120" t="str">
            <v>BB.13703</v>
          </cell>
          <cell r="D120" t="str">
            <v>Cống BTCT D 600 (L=4m)</v>
          </cell>
          <cell r="E120" t="str">
            <v>cái</v>
          </cell>
          <cell r="G120">
            <v>150000</v>
          </cell>
          <cell r="H120">
            <v>26818</v>
          </cell>
          <cell r="I120">
            <v>0</v>
          </cell>
          <cell r="J120" t="str">
            <v>"</v>
          </cell>
        </row>
        <row r="121">
          <cell r="B121" t="str">
            <v>BTCT800-10</v>
          </cell>
          <cell r="C121" t="str">
            <v>BB.13704</v>
          </cell>
          <cell r="D121" t="str">
            <v>Cống BTCT D 800, dày 80, L = 1000</v>
          </cell>
          <cell r="E121" t="str">
            <v>cái</v>
          </cell>
          <cell r="F121">
            <v>951000</v>
          </cell>
          <cell r="G121">
            <v>250000</v>
          </cell>
          <cell r="H121">
            <v>48760</v>
          </cell>
          <cell r="I121">
            <v>0</v>
          </cell>
          <cell r="J121" t="str">
            <v>"</v>
          </cell>
        </row>
        <row r="122">
          <cell r="B122" t="str">
            <v>BTCT800-10PG</v>
          </cell>
          <cell r="C122" t="str">
            <v>BB.13704</v>
          </cell>
          <cell r="D122" t="str">
            <v>Cống BTCT D 800, dày 80, L = 1000(Có phụ gia Silicafume)</v>
          </cell>
          <cell r="E122" t="str">
            <v>cái</v>
          </cell>
          <cell r="F122">
            <v>1046100.0000000001</v>
          </cell>
          <cell r="G122">
            <v>250000</v>
          </cell>
          <cell r="H122">
            <v>48760</v>
          </cell>
          <cell r="I122">
            <v>0</v>
          </cell>
          <cell r="J122" t="str">
            <v>"</v>
          </cell>
        </row>
        <row r="123">
          <cell r="B123" t="str">
            <v>BTCT800</v>
          </cell>
          <cell r="C123" t="str">
            <v>BB.13704</v>
          </cell>
          <cell r="D123" t="str">
            <v>Cống BTCT D 800 (L=0,8m)</v>
          </cell>
          <cell r="E123" t="str">
            <v>cái</v>
          </cell>
          <cell r="F123">
            <v>760800</v>
          </cell>
          <cell r="G123">
            <v>250000</v>
          </cell>
          <cell r="H123">
            <v>48760</v>
          </cell>
          <cell r="I123">
            <v>0</v>
          </cell>
          <cell r="J123" t="str">
            <v>"</v>
          </cell>
        </row>
        <row r="124">
          <cell r="B124" t="str">
            <v>BTCT800pg</v>
          </cell>
          <cell r="C124" t="str">
            <v>BB.13704</v>
          </cell>
          <cell r="D124" t="str">
            <v>Cống BTCT D 800 (L=0,8m)(Có phụ gia Silicafume)</v>
          </cell>
          <cell r="E124" t="str">
            <v>cái</v>
          </cell>
          <cell r="F124">
            <v>836880.00000000012</v>
          </cell>
          <cell r="G124">
            <v>250000</v>
          </cell>
          <cell r="H124">
            <v>48760</v>
          </cell>
          <cell r="I124">
            <v>0</v>
          </cell>
          <cell r="J124" t="str">
            <v>"</v>
          </cell>
        </row>
        <row r="125">
          <cell r="B125" t="str">
            <v>BTCT800-12</v>
          </cell>
          <cell r="C125" t="str">
            <v>BB.13704</v>
          </cell>
          <cell r="D125" t="str">
            <v>Cống BTCT D 800, dày 80, L = 1200</v>
          </cell>
          <cell r="E125" t="str">
            <v>cái</v>
          </cell>
          <cell r="F125">
            <v>1141200</v>
          </cell>
          <cell r="G125">
            <v>250000</v>
          </cell>
          <cell r="H125">
            <v>48760</v>
          </cell>
          <cell r="I125">
            <v>0</v>
          </cell>
          <cell r="J125" t="str">
            <v>"</v>
          </cell>
        </row>
        <row r="126">
          <cell r="B126" t="str">
            <v>BTCT1008</v>
          </cell>
          <cell r="C126" t="str">
            <v>BB.13704</v>
          </cell>
          <cell r="D126" t="str">
            <v>Cống BTCT D 1000, dày 100, L = 800</v>
          </cell>
          <cell r="E126" t="str">
            <v>cái</v>
          </cell>
          <cell r="F126">
            <v>1136000</v>
          </cell>
          <cell r="G126">
            <v>250000</v>
          </cell>
          <cell r="H126">
            <v>48760</v>
          </cell>
          <cell r="I126">
            <v>0</v>
          </cell>
          <cell r="J126" t="str">
            <v>"</v>
          </cell>
        </row>
        <row r="127">
          <cell r="B127" t="str">
            <v>BTCT1008PG</v>
          </cell>
          <cell r="C127" t="str">
            <v>BB.13704</v>
          </cell>
          <cell r="D127" t="str">
            <v>Cống BTCT D 1000, dày 100, L = 800(Có phụ gia Silicafume)</v>
          </cell>
          <cell r="E127" t="str">
            <v>cái</v>
          </cell>
          <cell r="G127">
            <v>250000</v>
          </cell>
          <cell r="H127">
            <v>48760</v>
          </cell>
          <cell r="I127">
            <v>0</v>
          </cell>
          <cell r="J127" t="str">
            <v>"</v>
          </cell>
        </row>
        <row r="128">
          <cell r="B128" t="str">
            <v>BTCT1000</v>
          </cell>
          <cell r="C128" t="str">
            <v>BB.13704</v>
          </cell>
          <cell r="D128" t="str">
            <v>Cống BTCT D 1000, dày 100, L = 1000</v>
          </cell>
          <cell r="E128" t="str">
            <v>cái</v>
          </cell>
          <cell r="F128">
            <v>1420000</v>
          </cell>
          <cell r="G128">
            <v>250000</v>
          </cell>
          <cell r="H128">
            <v>48760</v>
          </cell>
          <cell r="I128">
            <v>0</v>
          </cell>
          <cell r="J128" t="str">
            <v>"</v>
          </cell>
        </row>
        <row r="129">
          <cell r="B129" t="str">
            <v>BTCT1000PG</v>
          </cell>
          <cell r="C129" t="str">
            <v>BB.13704</v>
          </cell>
          <cell r="D129" t="str">
            <v>Cống BTCT D 1000, dày 100, L = 1000(Có phụ gia Silicafume)</v>
          </cell>
          <cell r="E129" t="str">
            <v>cái</v>
          </cell>
          <cell r="G129">
            <v>250000</v>
          </cell>
          <cell r="H129">
            <v>48760</v>
          </cell>
          <cell r="I129">
            <v>0</v>
          </cell>
          <cell r="J129" t="str">
            <v>"</v>
          </cell>
        </row>
        <row r="130">
          <cell r="B130" t="str">
            <v>BTCT1012</v>
          </cell>
          <cell r="C130" t="str">
            <v>BB.13704</v>
          </cell>
          <cell r="D130" t="str">
            <v>Cống BTCT D 1000, dày 100, L = 1200</v>
          </cell>
          <cell r="E130" t="str">
            <v>cái</v>
          </cell>
          <cell r="F130">
            <v>1704000</v>
          </cell>
          <cell r="G130">
            <v>250000</v>
          </cell>
          <cell r="H130">
            <v>48760</v>
          </cell>
          <cell r="I130">
            <v>0</v>
          </cell>
          <cell r="J130" t="str">
            <v>"</v>
          </cell>
        </row>
        <row r="131">
          <cell r="B131" t="str">
            <v>BTCT1012PG</v>
          </cell>
          <cell r="C131" t="str">
            <v>BB.13704</v>
          </cell>
          <cell r="D131" t="str">
            <v>Cống BTCT D 1000, dày 100, L = 1200 (Có phụ gia Silicafume)</v>
          </cell>
          <cell r="E131" t="str">
            <v>cái</v>
          </cell>
          <cell r="G131">
            <v>250000</v>
          </cell>
          <cell r="H131">
            <v>48760</v>
          </cell>
          <cell r="I131">
            <v>0</v>
          </cell>
          <cell r="J131" t="str">
            <v>"</v>
          </cell>
        </row>
        <row r="132">
          <cell r="B132" t="str">
            <v>BTCT1200</v>
          </cell>
          <cell r="C132" t="str">
            <v>BB.13705</v>
          </cell>
          <cell r="D132" t="str">
            <v>Cống BTCT D 1200 (L=0,8m)</v>
          </cell>
          <cell r="E132" t="str">
            <v>cái</v>
          </cell>
          <cell r="G132">
            <v>390000</v>
          </cell>
          <cell r="H132">
            <v>75578</v>
          </cell>
          <cell r="I132">
            <v>0</v>
          </cell>
          <cell r="J132" t="str">
            <v>"</v>
          </cell>
        </row>
        <row r="133">
          <cell r="B133" t="str">
            <v>BTCT1200PG</v>
          </cell>
          <cell r="C133" t="str">
            <v>BB.13705</v>
          </cell>
          <cell r="D133" t="str">
            <v>Cống BTCT D 1200 (L=0,8m) (Có phụ gia Silicafume)</v>
          </cell>
          <cell r="E133" t="str">
            <v>cái</v>
          </cell>
          <cell r="G133">
            <v>390000</v>
          </cell>
          <cell r="H133">
            <v>75578</v>
          </cell>
          <cell r="I133">
            <v>0</v>
          </cell>
          <cell r="J133" t="str">
            <v>"</v>
          </cell>
        </row>
        <row r="134">
          <cell r="B134" t="str">
            <v>BTCT1210</v>
          </cell>
          <cell r="C134" t="str">
            <v>BB.13705</v>
          </cell>
          <cell r="D134" t="str">
            <v>Cống BTCT D 1200 (L=1m)</v>
          </cell>
          <cell r="E134" t="str">
            <v>cái</v>
          </cell>
          <cell r="G134">
            <v>390000</v>
          </cell>
          <cell r="H134">
            <v>75578</v>
          </cell>
          <cell r="I134">
            <v>0</v>
          </cell>
          <cell r="J134" t="str">
            <v>"</v>
          </cell>
        </row>
        <row r="135">
          <cell r="B135" t="str">
            <v>COÏC BTCT</v>
          </cell>
        </row>
        <row r="136">
          <cell r="B136" t="str">
            <v>CBTCT20x20</v>
          </cell>
          <cell r="C136" t="str">
            <v>AC.25112</v>
          </cell>
          <cell r="D136" t="str">
            <v>Cọc BTCT 20x20 M.250</v>
          </cell>
          <cell r="E136" t="str">
            <v>mét</v>
          </cell>
          <cell r="G136">
            <v>153015</v>
          </cell>
          <cell r="H136">
            <v>18474.679</v>
          </cell>
          <cell r="I136">
            <v>44795.724000000002</v>
          </cell>
          <cell r="J136" t="str">
            <v>ĐM285</v>
          </cell>
        </row>
        <row r="137">
          <cell r="B137" t="str">
            <v>CBTCT25x25</v>
          </cell>
          <cell r="C137" t="str">
            <v>AC.25113</v>
          </cell>
          <cell r="D137" t="str">
            <v>Cọc BTCT 25x25 M.300</v>
          </cell>
          <cell r="E137" t="str">
            <v>mét</v>
          </cell>
          <cell r="G137">
            <v>224422</v>
          </cell>
          <cell r="H137">
            <v>21768.276000000002</v>
          </cell>
          <cell r="I137">
            <v>52755.294000000002</v>
          </cell>
          <cell r="J137" t="str">
            <v>"</v>
          </cell>
        </row>
        <row r="138">
          <cell r="B138" t="str">
            <v>CBTCT30x30</v>
          </cell>
          <cell r="C138" t="str">
            <v>AC.25113</v>
          </cell>
          <cell r="D138" t="str">
            <v>Cọc BTCT 30x30 M.300</v>
          </cell>
          <cell r="E138" t="str">
            <v>mét</v>
          </cell>
          <cell r="G138">
            <v>224422</v>
          </cell>
          <cell r="H138">
            <v>21768.276000000002</v>
          </cell>
          <cell r="I138">
            <v>52755.294000000002</v>
          </cell>
          <cell r="J138" t="str">
            <v>"</v>
          </cell>
        </row>
        <row r="139">
          <cell r="B139" t="str">
            <v>CBTCT35x35</v>
          </cell>
          <cell r="C139" t="str">
            <v>AC.25113</v>
          </cell>
          <cell r="D139" t="str">
            <v>Cọc BTCT 35x35 M.300</v>
          </cell>
          <cell r="E139" t="str">
            <v>mét</v>
          </cell>
          <cell r="G139">
            <v>224422</v>
          </cell>
          <cell r="H139">
            <v>21768.276000000002</v>
          </cell>
          <cell r="I139">
            <v>52755.294000000002</v>
          </cell>
          <cell r="J139" t="str">
            <v>"</v>
          </cell>
        </row>
        <row r="140">
          <cell r="B140" t="str">
            <v>ÑOÃ BEÂTOÂNG</v>
          </cell>
        </row>
        <row r="141">
          <cell r="B141" t="str">
            <v>C.2241</v>
          </cell>
          <cell r="C141" t="str">
            <v>AF.11111A</v>
          </cell>
          <cell r="D141" t="str">
            <v>Đổ bê tông đá 4x6 B7,5 (chiều rộng &lt;=250cm)</v>
          </cell>
          <cell r="E141" t="str">
            <v>m³</v>
          </cell>
          <cell r="G141">
            <v>771066.5</v>
          </cell>
          <cell r="H141">
            <v>238555.43000000002</v>
          </cell>
          <cell r="I141">
            <v>53385.987999999998</v>
          </cell>
          <cell r="J141" t="str">
            <v>ĐM285</v>
          </cell>
        </row>
        <row r="142">
          <cell r="B142" t="str">
            <v>C.2242</v>
          </cell>
          <cell r="C142" t="str">
            <v>AF.11121</v>
          </cell>
          <cell r="D142" t="str">
            <v>Đổ bê tông đá 4x6 B7,5 (chiều rộng &gt;250cm)</v>
          </cell>
          <cell r="E142" t="str">
            <v>m³</v>
          </cell>
          <cell r="G142">
            <v>784162.9</v>
          </cell>
          <cell r="H142">
            <v>177523</v>
          </cell>
          <cell r="I142">
            <v>48712.9</v>
          </cell>
          <cell r="J142" t="str">
            <v>"</v>
          </cell>
        </row>
        <row r="143">
          <cell r="B143" t="str">
            <v>C.2213</v>
          </cell>
          <cell r="C143" t="str">
            <v>AF.11212</v>
          </cell>
          <cell r="D143" t="str">
            <v>Đổ bê tông đá 1x2 B15 (chiều rộng &lt;=250cm)</v>
          </cell>
          <cell r="E143" t="str">
            <v>m³</v>
          </cell>
          <cell r="G143">
            <v>906357.23400000005</v>
          </cell>
          <cell r="H143">
            <v>274227.27</v>
          </cell>
          <cell r="I143">
            <v>53744.212999999996</v>
          </cell>
          <cell r="J143" t="str">
            <v>"</v>
          </cell>
        </row>
        <row r="144">
          <cell r="B144" t="str">
            <v>C.2223</v>
          </cell>
          <cell r="C144" t="str">
            <v>AF.11214</v>
          </cell>
          <cell r="D144" t="str">
            <v>Đổ bê tông đá 1x2 B20 (chiều rộng &gt;250cm)</v>
          </cell>
          <cell r="E144" t="str">
            <v>m³</v>
          </cell>
          <cell r="G144">
            <v>931447.3</v>
          </cell>
          <cell r="H144">
            <v>245340.7</v>
          </cell>
          <cell r="I144">
            <v>49060.7</v>
          </cell>
          <cell r="J144" t="str">
            <v>"</v>
          </cell>
        </row>
        <row r="145">
          <cell r="B145" t="str">
            <v>ĐỖ BÊTONG CÓ PHỤ GIA</v>
          </cell>
        </row>
        <row r="146">
          <cell r="B146" t="str">
            <v>C.22131</v>
          </cell>
          <cell r="C146" t="str">
            <v>AF.11213sr</v>
          </cell>
          <cell r="D146" t="str">
            <v>Đổ bê tông đá 1x2 B15 (chiều rộng &lt;=250cm)</v>
          </cell>
          <cell r="E146" t="str">
            <v>m³</v>
          </cell>
          <cell r="F146">
            <v>0</v>
          </cell>
          <cell r="G146">
            <v>1028431.4</v>
          </cell>
          <cell r="H146">
            <v>245340.7</v>
          </cell>
          <cell r="I146">
            <v>49060.7</v>
          </cell>
          <cell r="J146" t="str">
            <v>ĐM285</v>
          </cell>
        </row>
        <row r="147">
          <cell r="B147" t="str">
            <v>C.22231</v>
          </cell>
          <cell r="C147" t="str">
            <v>AF.11214sr</v>
          </cell>
          <cell r="D147" t="str">
            <v>Đổ bê tông đá 1x2 B20 (chiều rộng &gt;250cm)</v>
          </cell>
          <cell r="E147" t="str">
            <v>m³</v>
          </cell>
          <cell r="G147">
            <v>1110620.2</v>
          </cell>
          <cell r="H147">
            <v>245340.7</v>
          </cell>
          <cell r="I147">
            <v>49060.7</v>
          </cell>
          <cell r="J147" t="str">
            <v>"</v>
          </cell>
        </row>
        <row r="148">
          <cell r="B148" t="str">
            <v>QUEÙT NHÖÏA BITUM</v>
          </cell>
        </row>
        <row r="149">
          <cell r="B149" t="str">
            <v>BT</v>
          </cell>
          <cell r="C149" t="str">
            <v>AK.94111</v>
          </cell>
          <cell r="D149" t="str">
            <v>Quét nhựa bitum nóng (0,2kg/m²)</v>
          </cell>
          <cell r="E149" t="str">
            <v>m²</v>
          </cell>
          <cell r="G149">
            <v>29869.200000000001</v>
          </cell>
          <cell r="H149">
            <v>15268.3</v>
          </cell>
          <cell r="I149">
            <v>0</v>
          </cell>
        </row>
        <row r="150">
          <cell r="B150" t="str">
            <v>QBT</v>
          </cell>
          <cell r="C150" t="str">
            <v>AK.94111</v>
          </cell>
          <cell r="D150" t="str">
            <v>Quét nhựa bi tum nóng (0,2kg/m²)</v>
          </cell>
          <cell r="E150" t="str">
            <v>m²</v>
          </cell>
          <cell r="G150">
            <v>29869.200000000001</v>
          </cell>
          <cell r="H150">
            <v>15268.3</v>
          </cell>
          <cell r="I150">
            <v>0</v>
          </cell>
        </row>
        <row r="151">
          <cell r="B151" t="str">
            <v>Bulông</v>
          </cell>
        </row>
        <row r="152">
          <cell r="B152" t="str">
            <v>Bulông 10</v>
          </cell>
        </row>
        <row r="153">
          <cell r="B153" t="str">
            <v>B860</v>
          </cell>
          <cell r="D153" t="str">
            <v xml:space="preserve">Bulông M8x60 + vòng đệm vuông (57x57x5)  </v>
          </cell>
          <cell r="E153" t="str">
            <v>bộ</v>
          </cell>
          <cell r="F153">
            <v>7500</v>
          </cell>
        </row>
        <row r="154">
          <cell r="B154" t="str">
            <v>B1040</v>
          </cell>
          <cell r="D154" t="str">
            <v xml:space="preserve">Bulông M10x40 + vòng đệm vuông (57x57x5)  </v>
          </cell>
          <cell r="E154" t="str">
            <v>bộ</v>
          </cell>
          <cell r="F154">
            <v>7500</v>
          </cell>
        </row>
        <row r="155">
          <cell r="B155" t="str">
            <v>B1050</v>
          </cell>
          <cell r="D155" t="str">
            <v xml:space="preserve">Bulông M10x50 + vòng đệm vuông (57x57x5)  </v>
          </cell>
          <cell r="E155" t="str">
            <v>bộ</v>
          </cell>
          <cell r="F155">
            <v>0</v>
          </cell>
        </row>
        <row r="156">
          <cell r="B156" t="str">
            <v>Bulông 12</v>
          </cell>
        </row>
        <row r="157">
          <cell r="B157" t="str">
            <v>B10120</v>
          </cell>
          <cell r="D157" t="str">
            <v xml:space="preserve">Bulông M10x120 + 2 vòng đệm vuông d18 (60x60x6)  </v>
          </cell>
          <cell r="E157" t="str">
            <v>bộ</v>
          </cell>
          <cell r="F157">
            <v>20000</v>
          </cell>
        </row>
        <row r="158">
          <cell r="B158" t="str">
            <v>B1225</v>
          </cell>
          <cell r="D158" t="str">
            <v xml:space="preserve">Bulông M12x25 + 2 vòng đệm vuông d18 (60x60x6)  </v>
          </cell>
          <cell r="E158" t="str">
            <v>bộ</v>
          </cell>
          <cell r="F158">
            <v>20500</v>
          </cell>
        </row>
        <row r="159">
          <cell r="B159" t="str">
            <v>B1230</v>
          </cell>
          <cell r="D159" t="str">
            <v xml:space="preserve">Bulông M12x30 + 2 vòng đệm vuông d18 (60x60x6)  </v>
          </cell>
          <cell r="E159" t="str">
            <v>bộ</v>
          </cell>
          <cell r="F159">
            <v>20500</v>
          </cell>
        </row>
        <row r="160">
          <cell r="B160" t="str">
            <v>B1235</v>
          </cell>
          <cell r="D160" t="str">
            <v xml:space="preserve">Bulông M12x35 + vòng đệm vuông (57x57x5)  </v>
          </cell>
          <cell r="E160" t="str">
            <v>bộ</v>
          </cell>
          <cell r="F160">
            <v>13800</v>
          </cell>
        </row>
        <row r="161">
          <cell r="B161" t="str">
            <v>B1240</v>
          </cell>
          <cell r="D161" t="str">
            <v>Bulông M12x40 + vòng đệm vuông d14</v>
          </cell>
          <cell r="E161" t="str">
            <v>bộ</v>
          </cell>
          <cell r="F161">
            <v>4200</v>
          </cell>
        </row>
        <row r="162">
          <cell r="B162" t="str">
            <v>B1245</v>
          </cell>
          <cell r="D162" t="str">
            <v xml:space="preserve">Bulông M12x45 + vòng đệm vuông (57x57x5)  </v>
          </cell>
          <cell r="E162" t="str">
            <v>bộ</v>
          </cell>
          <cell r="F162">
            <v>0</v>
          </cell>
        </row>
        <row r="163">
          <cell r="B163" t="str">
            <v>B1250</v>
          </cell>
          <cell r="D163" t="str">
            <v xml:space="preserve">Bulông M12x50 + 2 vòng đệm vuông d18 (60x60x6)  </v>
          </cell>
          <cell r="E163" t="str">
            <v>bộ</v>
          </cell>
          <cell r="F163">
            <v>14300</v>
          </cell>
        </row>
        <row r="164">
          <cell r="B164" t="str">
            <v>B1260</v>
          </cell>
          <cell r="D164" t="str">
            <v xml:space="preserve">Bulông M12x60 + vòng đệm vuông (57x57x5)  </v>
          </cell>
          <cell r="E164" t="str">
            <v>bộ</v>
          </cell>
          <cell r="F164">
            <v>0</v>
          </cell>
        </row>
        <row r="165">
          <cell r="B165" t="str">
            <v>B1270</v>
          </cell>
          <cell r="D165" t="str">
            <v xml:space="preserve">Bulông M12x70 + vòng đệm vuông (57x57x5)  </v>
          </cell>
          <cell r="E165" t="str">
            <v>bộ</v>
          </cell>
          <cell r="F165">
            <v>9100</v>
          </cell>
        </row>
        <row r="166">
          <cell r="B166" t="str">
            <v>B1280</v>
          </cell>
          <cell r="D166" t="str">
            <v xml:space="preserve">Bulông M12x80 + vòng đệm vuông (57x57x5)  </v>
          </cell>
          <cell r="E166" t="str">
            <v>bộ</v>
          </cell>
          <cell r="F166">
            <v>9400</v>
          </cell>
        </row>
        <row r="167">
          <cell r="B167" t="str">
            <v>B12100</v>
          </cell>
          <cell r="D167" t="str">
            <v xml:space="preserve">Bulông M12x100 + vòng đệm vuông (57x57x5)  </v>
          </cell>
          <cell r="E167" t="str">
            <v>bộ</v>
          </cell>
          <cell r="F167">
            <v>22500</v>
          </cell>
        </row>
        <row r="168">
          <cell r="B168" t="str">
            <v>B12120</v>
          </cell>
          <cell r="D168" t="str">
            <v xml:space="preserve">Bulông M12x120 + vòng đệm vuông (57x57x5)  </v>
          </cell>
          <cell r="E168" t="str">
            <v>bộ</v>
          </cell>
          <cell r="F168">
            <v>11500</v>
          </cell>
        </row>
        <row r="169">
          <cell r="B169" t="str">
            <v>B12150</v>
          </cell>
          <cell r="D169" t="str">
            <v xml:space="preserve">Bulông M12x150 + vòng đệm vuông (57x57x5)  </v>
          </cell>
          <cell r="E169" t="str">
            <v>bộ</v>
          </cell>
          <cell r="F169">
            <v>17600</v>
          </cell>
        </row>
        <row r="170">
          <cell r="B170" t="str">
            <v>B12200</v>
          </cell>
          <cell r="D170" t="str">
            <v xml:space="preserve">Bulông M12x200 + vòng đệm vuông (57x57x5)  </v>
          </cell>
          <cell r="E170" t="str">
            <v>bộ</v>
          </cell>
          <cell r="F170">
            <v>19400</v>
          </cell>
        </row>
        <row r="171">
          <cell r="B171" t="str">
            <v>B12230</v>
          </cell>
          <cell r="D171" t="str">
            <v xml:space="preserve">Bulông M12x230 + vòng đệm vuông (57x57x5)  </v>
          </cell>
          <cell r="E171" t="str">
            <v>bộ</v>
          </cell>
          <cell r="F171">
            <v>12800</v>
          </cell>
        </row>
        <row r="172">
          <cell r="B172" t="str">
            <v>B12250</v>
          </cell>
          <cell r="D172" t="str">
            <v xml:space="preserve">Bulông M12x250 + vòng đệm vuông (57x57x5)  </v>
          </cell>
          <cell r="E172" t="str">
            <v>bộ</v>
          </cell>
          <cell r="F172">
            <v>21100</v>
          </cell>
        </row>
        <row r="173">
          <cell r="B173" t="str">
            <v>B12300</v>
          </cell>
          <cell r="D173" t="str">
            <v xml:space="preserve">Bulông M12x300 + vòng đệm vuông (57x57x5)  </v>
          </cell>
          <cell r="E173" t="str">
            <v>bộ</v>
          </cell>
          <cell r="F173">
            <v>31200</v>
          </cell>
        </row>
        <row r="174">
          <cell r="B174" t="str">
            <v>BU12</v>
          </cell>
          <cell r="D174" t="str">
            <v>Bulông Ubolt M12</v>
          </cell>
          <cell r="E174" t="str">
            <v>bộ</v>
          </cell>
          <cell r="F174">
            <v>10500</v>
          </cell>
        </row>
        <row r="175">
          <cell r="B175" t="str">
            <v xml:space="preserve">Bulông 14 </v>
          </cell>
        </row>
        <row r="176">
          <cell r="B176" t="str">
            <v>B1480v</v>
          </cell>
          <cell r="D176" t="str">
            <v xml:space="preserve">Bulông VRS  M14x80 + 2 vòng đệm vuông d18 (60x60x6)  </v>
          </cell>
          <cell r="E176" t="str">
            <v>bộ</v>
          </cell>
          <cell r="F176">
            <v>23800</v>
          </cell>
        </row>
        <row r="177">
          <cell r="B177" t="str">
            <v>B1440</v>
          </cell>
          <cell r="D177" t="str">
            <v xml:space="preserve">Bulông  M14x40 + vòng đệm vuông (57x57x5)  </v>
          </cell>
          <cell r="E177" t="str">
            <v>bộ</v>
          </cell>
          <cell r="F177">
            <v>0</v>
          </cell>
        </row>
        <row r="178">
          <cell r="B178" t="str">
            <v>B1450</v>
          </cell>
          <cell r="D178" t="str">
            <v xml:space="preserve">Bulông  M14x50 + vòng đệm vuông (57x57x5)  </v>
          </cell>
          <cell r="E178" t="str">
            <v>bộ</v>
          </cell>
          <cell r="F178">
            <v>14700</v>
          </cell>
        </row>
        <row r="179">
          <cell r="B179" t="str">
            <v>B1460</v>
          </cell>
          <cell r="D179" t="str">
            <v xml:space="preserve">Bulông  M14x60 + vòng đệm vuông (57x57x5)  </v>
          </cell>
          <cell r="E179" t="str">
            <v>bộ</v>
          </cell>
          <cell r="F179">
            <v>0</v>
          </cell>
        </row>
        <row r="180">
          <cell r="B180" t="str">
            <v>B14100</v>
          </cell>
          <cell r="D180" t="str">
            <v xml:space="preserve">Bulông  M14x100 + vòng đệm vuông (57x57x5)  </v>
          </cell>
          <cell r="E180" t="str">
            <v>bộ</v>
          </cell>
          <cell r="F180">
            <v>16300</v>
          </cell>
        </row>
        <row r="181">
          <cell r="B181" t="str">
            <v>B14150</v>
          </cell>
          <cell r="D181" t="str">
            <v xml:space="preserve">Bulông  M14x150 + vòng đệm vuông (57x57x5)  </v>
          </cell>
          <cell r="E181" t="str">
            <v>bộ</v>
          </cell>
          <cell r="F181">
            <v>18200</v>
          </cell>
        </row>
        <row r="182">
          <cell r="B182" t="str">
            <v>B14200</v>
          </cell>
          <cell r="D182" t="str">
            <v xml:space="preserve">Bulông  M14x200 + vòng đệm vuông (57x57x5)  </v>
          </cell>
          <cell r="E182" t="str">
            <v>bộ</v>
          </cell>
          <cell r="F182">
            <v>20300</v>
          </cell>
        </row>
        <row r="183">
          <cell r="B183" t="str">
            <v>B14250</v>
          </cell>
          <cell r="D183" t="str">
            <v xml:space="preserve">Bulông  M14x250 + vòng đệm vuông (57x57x5)  </v>
          </cell>
          <cell r="E183" t="str">
            <v>bộ</v>
          </cell>
          <cell r="F183">
            <v>22200</v>
          </cell>
        </row>
        <row r="184">
          <cell r="B184" t="str">
            <v>B14300</v>
          </cell>
          <cell r="D184" t="str">
            <v xml:space="preserve">Bulông  M14x300 + vòng đệm vuông (57x57x5)  </v>
          </cell>
          <cell r="E184" t="str">
            <v>bộ</v>
          </cell>
          <cell r="F184">
            <v>24400</v>
          </cell>
        </row>
        <row r="185">
          <cell r="B185" t="str">
            <v>B14350</v>
          </cell>
          <cell r="D185" t="str">
            <v xml:space="preserve">Bulông  M14x350 + vòng đệm vuông (57x57x5)  </v>
          </cell>
          <cell r="E185" t="str">
            <v>bộ</v>
          </cell>
          <cell r="F185">
            <v>30300</v>
          </cell>
        </row>
        <row r="186">
          <cell r="B186" t="str">
            <v>B14400</v>
          </cell>
          <cell r="D186" t="str">
            <v xml:space="preserve">Bulông  M14x400 + vòng đệm vuông (57x57x5)  </v>
          </cell>
          <cell r="E186" t="str">
            <v>bộ</v>
          </cell>
          <cell r="F186">
            <v>0</v>
          </cell>
        </row>
        <row r="187">
          <cell r="B187" t="str">
            <v>B14450</v>
          </cell>
          <cell r="D187" t="str">
            <v xml:space="preserve">Bulông  M14x450 + vòng đệm vuông (57x57x5)  </v>
          </cell>
          <cell r="E187" t="str">
            <v>bộ</v>
          </cell>
          <cell r="F187">
            <v>0</v>
          </cell>
        </row>
        <row r="188">
          <cell r="B188" t="str">
            <v>B14500</v>
          </cell>
          <cell r="D188" t="str">
            <v xml:space="preserve">Bulông  M14x500 + vòng đệm vuông (57x57x5)  </v>
          </cell>
          <cell r="E188" t="str">
            <v>bộ</v>
          </cell>
          <cell r="F188">
            <v>0</v>
          </cell>
        </row>
        <row r="189">
          <cell r="B189" t="str">
            <v>Bulông 14 VRS</v>
          </cell>
        </row>
        <row r="190">
          <cell r="B190" t="str">
            <v>B14100V</v>
          </cell>
          <cell r="D190" t="str">
            <v xml:space="preserve">Bulông  M14x100VRS+ 2 vòng đệm vuông d18 (60x60x6) </v>
          </cell>
          <cell r="E190" t="str">
            <v>bộ</v>
          </cell>
          <cell r="F190">
            <v>16300</v>
          </cell>
        </row>
        <row r="191">
          <cell r="B191" t="str">
            <v>B14150V</v>
          </cell>
          <cell r="D191" t="str">
            <v>Bulông  M14x150VRS+ 4 vòng đệm vuông d18 - 22 - 24 (50x50x5) + 4 Đai ốc</v>
          </cell>
          <cell r="E191" t="str">
            <v>bộ</v>
          </cell>
          <cell r="F191">
            <v>20100</v>
          </cell>
        </row>
        <row r="192">
          <cell r="B192" t="str">
            <v>B14200V</v>
          </cell>
          <cell r="D192" t="str">
            <v>Bulông  M14x200VRS+ 4 vòng đệm vuông d18 - 22 - 24 (50x50x5) + 4 Đai ốc</v>
          </cell>
          <cell r="E192" t="str">
            <v>bộ</v>
          </cell>
          <cell r="F192">
            <v>21900</v>
          </cell>
        </row>
        <row r="193">
          <cell r="B193" t="str">
            <v>B14250V</v>
          </cell>
          <cell r="D193" t="str">
            <v>Bulông  M14x250VRS+ 4 vòng đệm vuông d18 - 22 - 24 (50x50x5) + 4 Đai ốc</v>
          </cell>
          <cell r="E193" t="str">
            <v>bộ</v>
          </cell>
          <cell r="F193">
            <v>23700</v>
          </cell>
        </row>
        <row r="194">
          <cell r="B194" t="str">
            <v>B14300V</v>
          </cell>
          <cell r="D194" t="str">
            <v>Bulông  M14x300VRS+ 4 vòng đệm vuông d18 - 22 - 24 (50x50x5) + 4 Đai ốc</v>
          </cell>
          <cell r="E194" t="str">
            <v>bộ</v>
          </cell>
          <cell r="F194">
            <v>25600</v>
          </cell>
        </row>
        <row r="195">
          <cell r="B195" t="str">
            <v>B14350V</v>
          </cell>
          <cell r="D195" t="str">
            <v>Bulông  M14x350VRS+ 4 vòng đệm vuông d18 - 22 - 24 (50x50x5) + 4 Đai ốc</v>
          </cell>
          <cell r="E195" t="str">
            <v>bộ</v>
          </cell>
          <cell r="F195">
            <v>27300</v>
          </cell>
        </row>
        <row r="196">
          <cell r="B196" t="str">
            <v>B14400V</v>
          </cell>
          <cell r="D196" t="str">
            <v>Bulông  M14x400VRS+ 4 vòng đệm vuông d18 - 22 - 24 (50x50x5) + 4 Đai ốc</v>
          </cell>
          <cell r="E196" t="str">
            <v>bộ</v>
          </cell>
          <cell r="F196">
            <v>29100</v>
          </cell>
        </row>
        <row r="197">
          <cell r="B197" t="str">
            <v>B14450V</v>
          </cell>
          <cell r="D197" t="str">
            <v>Bulông  M14x450VRS+ 4 vòng đệm vuông d18 - 22 - 24 (50x50x5) + 4 Đai ốc</v>
          </cell>
          <cell r="E197" t="str">
            <v>bộ</v>
          </cell>
          <cell r="F197">
            <v>30900</v>
          </cell>
        </row>
        <row r="198">
          <cell r="B198" t="str">
            <v>B14500V</v>
          </cell>
          <cell r="D198" t="str">
            <v>Bulông  M14x500VRS+ 4 vòng đệm vuông d18 - 22 - 24 (50x50x5) + 4 Đai ốc</v>
          </cell>
          <cell r="E198" t="str">
            <v>bộ</v>
          </cell>
          <cell r="F198">
            <v>32700</v>
          </cell>
        </row>
        <row r="199">
          <cell r="B199" t="str">
            <v xml:space="preserve">Bulông 16 </v>
          </cell>
        </row>
        <row r="200">
          <cell r="B200" t="str">
            <v>B1630</v>
          </cell>
          <cell r="D200" t="str">
            <v xml:space="preserve">Bulông M16x30 + vòng đệm vuông (57x57x5)  </v>
          </cell>
          <cell r="E200" t="str">
            <v>bộ</v>
          </cell>
          <cell r="F200">
            <v>23200</v>
          </cell>
        </row>
        <row r="201">
          <cell r="B201" t="str">
            <v>B1635</v>
          </cell>
          <cell r="D201" t="str">
            <v xml:space="preserve">Bulông M16x35 + vòng đệm vuông (57x57x5)  </v>
          </cell>
          <cell r="E201" t="str">
            <v>bộ</v>
          </cell>
          <cell r="F201">
            <v>23200</v>
          </cell>
        </row>
        <row r="202">
          <cell r="B202" t="str">
            <v>B1640</v>
          </cell>
          <cell r="D202" t="str">
            <v xml:space="preserve">Bulông M16x40  + vòng đệm vuông (57x57x5)  </v>
          </cell>
          <cell r="E202" t="str">
            <v>bộ</v>
          </cell>
          <cell r="F202">
            <v>23200</v>
          </cell>
        </row>
        <row r="203">
          <cell r="B203" t="str">
            <v>B1650</v>
          </cell>
          <cell r="D203" t="str">
            <v>Bulông M16x50 + vòng đệm vuông d18 (60x60x6)</v>
          </cell>
          <cell r="E203" t="str">
            <v>bộ</v>
          </cell>
          <cell r="F203">
            <v>23800</v>
          </cell>
        </row>
        <row r="204">
          <cell r="B204" t="str">
            <v>B1660</v>
          </cell>
          <cell r="D204" t="str">
            <v>Bulông M16x60 + vòng đệm vuông d18 (60x60x6)</v>
          </cell>
          <cell r="E204" t="str">
            <v>bộ</v>
          </cell>
          <cell r="F204">
            <v>23800</v>
          </cell>
        </row>
        <row r="205">
          <cell r="B205" t="str">
            <v>B1680</v>
          </cell>
          <cell r="D205" t="str">
            <v xml:space="preserve">Bulông M16x80 + vòng đệm vuông (57x57x5)  </v>
          </cell>
          <cell r="E205" t="str">
            <v>bộ</v>
          </cell>
          <cell r="F205">
            <v>28600</v>
          </cell>
        </row>
        <row r="206">
          <cell r="B206" t="str">
            <v>B1690</v>
          </cell>
          <cell r="D206" t="str">
            <v xml:space="preserve">Bulông M16x90 + vòng đệm vuông (57x57x5)  </v>
          </cell>
          <cell r="E206" t="str">
            <v>bộ</v>
          </cell>
          <cell r="F206">
            <v>28600</v>
          </cell>
        </row>
        <row r="207">
          <cell r="B207" t="str">
            <v>B16100</v>
          </cell>
          <cell r="D207" t="str">
            <v>Bulông M16x100  + 2 vòng đệm vuông d18 (60x60x6)</v>
          </cell>
          <cell r="E207" t="str">
            <v>bộ</v>
          </cell>
          <cell r="F207">
            <v>28600</v>
          </cell>
        </row>
        <row r="208">
          <cell r="B208" t="str">
            <v>B161002</v>
          </cell>
          <cell r="D208" t="str">
            <v>Bulông M16x100  + 2 vòng đệm vuông d18 (60x60x6)</v>
          </cell>
          <cell r="E208" t="str">
            <v>bộ</v>
          </cell>
          <cell r="F208">
            <v>17800</v>
          </cell>
        </row>
        <row r="209">
          <cell r="B209" t="str">
            <v>B16150</v>
          </cell>
          <cell r="D209" t="str">
            <v xml:space="preserve">Bulông M16x150 + vòng đệm vuông (57x57x5)  </v>
          </cell>
          <cell r="E209" t="str">
            <v>bộ</v>
          </cell>
          <cell r="F209">
            <v>14700</v>
          </cell>
        </row>
        <row r="210">
          <cell r="B210" t="str">
            <v>B16200</v>
          </cell>
          <cell r="D210" t="str">
            <v>Bulông M16x200  + 2 vòng đệm vuông d18 (60x60x6)</v>
          </cell>
          <cell r="E210" t="str">
            <v>bộ</v>
          </cell>
          <cell r="F210">
            <v>37300</v>
          </cell>
        </row>
        <row r="211">
          <cell r="B211" t="str">
            <v>B16230</v>
          </cell>
          <cell r="D211" t="str">
            <v xml:space="preserve">Bulông M16x230 + vòng đệm vuông (57x57x5)  </v>
          </cell>
          <cell r="E211" t="str">
            <v>bộ</v>
          </cell>
          <cell r="F211">
            <v>38700</v>
          </cell>
        </row>
        <row r="212">
          <cell r="B212" t="str">
            <v>B16240</v>
          </cell>
          <cell r="D212" t="str">
            <v xml:space="preserve">Bulông M16x240 + vòng đệm vuông (57x57x5)  </v>
          </cell>
          <cell r="E212" t="str">
            <v>bộ</v>
          </cell>
          <cell r="F212">
            <v>38700</v>
          </cell>
        </row>
        <row r="213">
          <cell r="B213" t="str">
            <v>B16250</v>
          </cell>
          <cell r="D213" t="str">
            <v>Bulông M16x250  + 2 vòng đệm vuông d18 (60x60x6)</v>
          </cell>
          <cell r="E213" t="str">
            <v>bộ</v>
          </cell>
          <cell r="F213">
            <v>38700</v>
          </cell>
        </row>
        <row r="214">
          <cell r="B214" t="str">
            <v>B16260</v>
          </cell>
          <cell r="D214" t="str">
            <v xml:space="preserve">Bulông M16x260 + vòng đệm vuông (57x57x5)  </v>
          </cell>
          <cell r="E214" t="str">
            <v>bộ</v>
          </cell>
          <cell r="F214">
            <v>0</v>
          </cell>
        </row>
        <row r="215">
          <cell r="B215" t="str">
            <v>B16270</v>
          </cell>
          <cell r="D215" t="str">
            <v xml:space="preserve">Bulông M16x270 + vòng đệm vuông (57x57x5)  </v>
          </cell>
          <cell r="E215" t="str">
            <v>bộ</v>
          </cell>
          <cell r="F215">
            <v>0</v>
          </cell>
        </row>
        <row r="216">
          <cell r="B216" t="str">
            <v>B16280</v>
          </cell>
          <cell r="D216" t="str">
            <v xml:space="preserve">Bulông M16x280 + vòng đệm vuông (57x57x5)  </v>
          </cell>
          <cell r="E216" t="str">
            <v>bộ</v>
          </cell>
          <cell r="F216">
            <v>0</v>
          </cell>
        </row>
        <row r="217">
          <cell r="B217" t="str">
            <v>B16300</v>
          </cell>
          <cell r="D217" t="str">
            <v xml:space="preserve">Bulông M16x300 + vòng đệm vuông d18 (60x60x6)  </v>
          </cell>
          <cell r="E217" t="str">
            <v>bộ</v>
          </cell>
          <cell r="F217">
            <v>41600</v>
          </cell>
        </row>
        <row r="218">
          <cell r="B218" t="str">
            <v>B163002</v>
          </cell>
          <cell r="D218" t="str">
            <v>Bulông M16x300  + 2 vòng đệm vuông d18 (60x60x6)</v>
          </cell>
          <cell r="E218" t="str">
            <v>bộ</v>
          </cell>
          <cell r="F218">
            <v>0</v>
          </cell>
        </row>
        <row r="219">
          <cell r="B219" t="str">
            <v>B16350</v>
          </cell>
          <cell r="D219" t="str">
            <v>Bulông M16x350  + 2 vòng đệm vuông d18 (60x60x6)</v>
          </cell>
          <cell r="E219" t="str">
            <v>bộ</v>
          </cell>
          <cell r="F219">
            <v>45400</v>
          </cell>
        </row>
        <row r="220">
          <cell r="B220" t="str">
            <v>B163502</v>
          </cell>
          <cell r="D220" t="str">
            <v xml:space="preserve">Bulông M16x350 + 2 vòng đệm vuông (57x57x5)  </v>
          </cell>
          <cell r="E220" t="str">
            <v>bộ</v>
          </cell>
          <cell r="F220">
            <v>0</v>
          </cell>
        </row>
        <row r="221">
          <cell r="B221" t="str">
            <v>B16400</v>
          </cell>
          <cell r="D221" t="str">
            <v xml:space="preserve">Bulông M16x400 + vòng đệm vuông (57x57x5)  </v>
          </cell>
          <cell r="E221" t="str">
            <v>bộ</v>
          </cell>
          <cell r="F221">
            <v>0</v>
          </cell>
        </row>
        <row r="222">
          <cell r="B222" t="str">
            <v>B16450</v>
          </cell>
          <cell r="D222" t="str">
            <v xml:space="preserve">Bulông M16x450 + vòng đệm vuông (57x57x5) </v>
          </cell>
          <cell r="E222" t="str">
            <v>bộ</v>
          </cell>
          <cell r="F222">
            <v>29350</v>
          </cell>
        </row>
        <row r="223">
          <cell r="B223" t="str">
            <v>B164502</v>
          </cell>
          <cell r="D223" t="str">
            <v>Bulông M16x450  + 2 vòng đệm vuông d18 (60x60x6)</v>
          </cell>
          <cell r="E223" t="str">
            <v>bộ</v>
          </cell>
          <cell r="F223">
            <v>34750</v>
          </cell>
        </row>
        <row r="224">
          <cell r="B224" t="str">
            <v>B16500</v>
          </cell>
          <cell r="D224" t="str">
            <v xml:space="preserve">Bulông M16x500 + 2 vòng đệm vuông d18 (60x60x6)  </v>
          </cell>
          <cell r="E224" t="str">
            <v>bộ</v>
          </cell>
          <cell r="F224">
            <v>58000</v>
          </cell>
        </row>
        <row r="225">
          <cell r="B225" t="str">
            <v>B165002</v>
          </cell>
          <cell r="D225" t="str">
            <v xml:space="preserve">Bulông M16x500 + 2 vòng đệm vuông (57x57x5)  </v>
          </cell>
          <cell r="E225" t="str">
            <v>bộ</v>
          </cell>
          <cell r="F225">
            <v>63400</v>
          </cell>
        </row>
        <row r="226">
          <cell r="B226" t="str">
            <v>B16550</v>
          </cell>
          <cell r="D226" t="str">
            <v xml:space="preserve">Bulông M16x550 + vòng đệm vuông (57x57x5)  </v>
          </cell>
          <cell r="E226" t="str">
            <v>bộ</v>
          </cell>
          <cell r="F226">
            <v>0</v>
          </cell>
        </row>
        <row r="227">
          <cell r="B227" t="str">
            <v>B165502</v>
          </cell>
          <cell r="D227" t="str">
            <v xml:space="preserve">Bulông M16x550 + 2 vòng đệm vuông (57x57x5)  </v>
          </cell>
          <cell r="E227" t="str">
            <v>bộ</v>
          </cell>
          <cell r="F227">
            <v>5400</v>
          </cell>
        </row>
        <row r="228">
          <cell r="B228" t="str">
            <v>B16600</v>
          </cell>
          <cell r="D228" t="str">
            <v xml:space="preserve">Bulông M16x600 + vòng đệm vuông d18 (60x60x6)  </v>
          </cell>
          <cell r="E228" t="str">
            <v>bộ</v>
          </cell>
          <cell r="F228">
            <v>69200</v>
          </cell>
        </row>
        <row r="229">
          <cell r="B229" t="str">
            <v>B16650</v>
          </cell>
          <cell r="D229" t="str">
            <v xml:space="preserve">Bulông M16x650 + vòng đệm vuông d18 (60x60x6)  </v>
          </cell>
          <cell r="E229" t="str">
            <v>bộ</v>
          </cell>
          <cell r="F229">
            <v>39980</v>
          </cell>
        </row>
        <row r="230">
          <cell r="B230" t="str">
            <v>B166502</v>
          </cell>
          <cell r="D230" t="str">
            <v xml:space="preserve">Bulông M16x650 + vòng đệm vuông d18 (60x60x6)  </v>
          </cell>
          <cell r="E230" t="str">
            <v>bộ</v>
          </cell>
          <cell r="F230">
            <v>45380</v>
          </cell>
        </row>
        <row r="231">
          <cell r="B231" t="str">
            <v>B16700</v>
          </cell>
          <cell r="D231" t="str">
            <v xml:space="preserve">Bulông M16x700 + vòng đệm vuông d18 (60x60x6)  </v>
          </cell>
          <cell r="E231" t="str">
            <v>bộ</v>
          </cell>
          <cell r="F231">
            <v>48040</v>
          </cell>
        </row>
        <row r="232">
          <cell r="B232" t="str">
            <v>B16750</v>
          </cell>
          <cell r="D232" t="str">
            <v xml:space="preserve">Bulông M16x750 + vòng đệm vuông (57x57x5)  </v>
          </cell>
          <cell r="E232" t="str">
            <v>bộ</v>
          </cell>
          <cell r="F232">
            <v>0</v>
          </cell>
        </row>
        <row r="233">
          <cell r="B233" t="str">
            <v>B16800</v>
          </cell>
          <cell r="D233" t="str">
            <v xml:space="preserve">Bulông M16x800 + vòng đệm vuông (57x57x5)  </v>
          </cell>
          <cell r="E233" t="str">
            <v>bộ</v>
          </cell>
          <cell r="F233">
            <v>0</v>
          </cell>
        </row>
        <row r="234">
          <cell r="B234" t="str">
            <v>Bulông 16 VRS</v>
          </cell>
        </row>
        <row r="235">
          <cell r="B235" t="str">
            <v>B1635v</v>
          </cell>
          <cell r="D235" t="str">
            <v>Bulông VRS M16x35 + 4 vòng đệm vuông d18 - 22 - 24 (50x50x5)  + 4 Đai ốc</v>
          </cell>
          <cell r="E235" t="str">
            <v>bộ</v>
          </cell>
          <cell r="F235">
            <v>21300</v>
          </cell>
        </row>
        <row r="236">
          <cell r="B236" t="str">
            <v>B1640V</v>
          </cell>
          <cell r="D236" t="str">
            <v>Bulông VRS M16x40  + 4 vòng đệm vuông d18 - 22 - 24 (50x50x5)  + 4 Đai ốc</v>
          </cell>
          <cell r="E236" t="str">
            <v>bộ</v>
          </cell>
          <cell r="F236">
            <v>21300</v>
          </cell>
        </row>
        <row r="237">
          <cell r="B237" t="str">
            <v>B1650V</v>
          </cell>
          <cell r="D237" t="str">
            <v xml:space="preserve">Bulông VRS M16x50 + vòng đệm vuông d18 (60x60x6) </v>
          </cell>
          <cell r="E237" t="str">
            <v>bộ</v>
          </cell>
          <cell r="F237">
            <v>23800</v>
          </cell>
        </row>
        <row r="238">
          <cell r="B238" t="str">
            <v>B1660V</v>
          </cell>
          <cell r="D238" t="str">
            <v>Bulông VRS M16x60 + 4 vòng đệm vuông d18 - 22 - 24 (50x50x5)  + 4 Đai ốc</v>
          </cell>
          <cell r="E238" t="str">
            <v>bộ</v>
          </cell>
          <cell r="F238">
            <v>21300</v>
          </cell>
        </row>
        <row r="239">
          <cell r="B239" t="str">
            <v>B1680V</v>
          </cell>
          <cell r="D239" t="str">
            <v>Bulông VRS M16x80 + 4 vòng đệm vuông d18 - 22 - 24 (50x50x5)  + 4 Đai ốc</v>
          </cell>
          <cell r="E239" t="str">
            <v>bộ</v>
          </cell>
          <cell r="F239">
            <v>21300</v>
          </cell>
        </row>
        <row r="240">
          <cell r="B240" t="str">
            <v>B1690V</v>
          </cell>
          <cell r="D240" t="str">
            <v>Bulông VRS M16x90 + 4 vòng đệm vuông d18 - 22 - 24 (50x50x5)  + 4 Đai ốc</v>
          </cell>
          <cell r="E240" t="str">
            <v>bộ</v>
          </cell>
          <cell r="F240">
            <v>21300</v>
          </cell>
        </row>
        <row r="241">
          <cell r="B241" t="str">
            <v>B16100V2</v>
          </cell>
          <cell r="D241" t="str">
            <v>Bulông VRS M16x100 + 2 vòng đệm vuông (57x57x5)</v>
          </cell>
          <cell r="E241" t="str">
            <v>bộ</v>
          </cell>
          <cell r="F241">
            <v>19800</v>
          </cell>
        </row>
        <row r="242">
          <cell r="B242" t="str">
            <v>B16120V</v>
          </cell>
          <cell r="D242" t="str">
            <v>Bulông VRS M16x120 + 4 vòng đệm vuông d18 - 22 - 24 (50x50x5)  + 4 Đai ốc</v>
          </cell>
          <cell r="E242" t="str">
            <v>bộ</v>
          </cell>
          <cell r="F242">
            <v>0</v>
          </cell>
        </row>
        <row r="243">
          <cell r="B243" t="str">
            <v>B16150V</v>
          </cell>
          <cell r="D243" t="str">
            <v xml:space="preserve">Bulông VRS M16x150 + 2 vòng đệm vuông (57x57x5)  </v>
          </cell>
          <cell r="E243" t="str">
            <v>bộ</v>
          </cell>
          <cell r="F243">
            <v>21800</v>
          </cell>
        </row>
        <row r="244">
          <cell r="B244" t="str">
            <v>B16150V2</v>
          </cell>
          <cell r="D244" t="str">
            <v>Bulông M16x150VRS  + 2 vòng đệm vuông d18 (60x60x6)</v>
          </cell>
          <cell r="E244" t="str">
            <v>bộ</v>
          </cell>
          <cell r="F244">
            <v>36400</v>
          </cell>
        </row>
        <row r="245">
          <cell r="B245" t="str">
            <v>B16200V</v>
          </cell>
          <cell r="D245" t="str">
            <v xml:space="preserve">Bulông VRS M16x200 + vòng đệm vuông (57x57x5)  </v>
          </cell>
          <cell r="E245" t="str">
            <v>bộ</v>
          </cell>
          <cell r="F245">
            <v>18400</v>
          </cell>
        </row>
        <row r="246">
          <cell r="B246" t="str">
            <v>B16200V2</v>
          </cell>
          <cell r="D246" t="str">
            <v xml:space="preserve">Bulông VRS M16x200 + 2 vòng đệm vuông (57x57x5)  </v>
          </cell>
          <cell r="E246" t="str">
            <v>bộ</v>
          </cell>
          <cell r="F246">
            <v>36400</v>
          </cell>
        </row>
        <row r="247">
          <cell r="B247" t="str">
            <v>B16230V</v>
          </cell>
          <cell r="D247" t="str">
            <v>Bulông VRS M16x230 + 4 vòng đệm vuông d18 - 22 - 24 (50x50x5)  + 4 Đai ốc</v>
          </cell>
          <cell r="E247" t="str">
            <v>bộ</v>
          </cell>
          <cell r="F247">
            <v>0</v>
          </cell>
        </row>
        <row r="248">
          <cell r="B248" t="str">
            <v>B16240V</v>
          </cell>
          <cell r="D248" t="str">
            <v>Bulông VRS M16x240 + 4 vòng đệm vuông d18 - 22 - 24 (50x50x5)  + 4 Đai ốc</v>
          </cell>
          <cell r="E248" t="str">
            <v>bộ</v>
          </cell>
          <cell r="F248">
            <v>0</v>
          </cell>
        </row>
        <row r="249">
          <cell r="B249" t="str">
            <v>B16250V</v>
          </cell>
          <cell r="D249" t="str">
            <v>Bulông VRS M16x250 + 4 vòng đệm vuông d18 - 22 - 24 (50x50x5)  + 4 Đai ốc</v>
          </cell>
          <cell r="E249" t="str">
            <v>bộ</v>
          </cell>
          <cell r="F249">
            <v>26000</v>
          </cell>
        </row>
        <row r="250">
          <cell r="B250" t="str">
            <v>B16260V</v>
          </cell>
          <cell r="D250" t="str">
            <v>Bulông VRS M16x260 + 4 vòng đệm vuông d18 - 22 - 24 (50x50x5)  + 4 Đai ốc</v>
          </cell>
          <cell r="E250" t="str">
            <v>bộ</v>
          </cell>
          <cell r="F250">
            <v>0</v>
          </cell>
        </row>
        <row r="251">
          <cell r="B251" t="str">
            <v>B16270V</v>
          </cell>
          <cell r="D251" t="str">
            <v>Bulông VRS M16x270 + 4 vòng đệm vuông d18 - 22 - 24 (50x50x5)  + 4 Đai ốc</v>
          </cell>
          <cell r="E251" t="str">
            <v>bộ</v>
          </cell>
          <cell r="F251">
            <v>0</v>
          </cell>
        </row>
        <row r="252">
          <cell r="B252" t="str">
            <v>B16280V</v>
          </cell>
          <cell r="D252" t="str">
            <v>Bulông VRS M16x280 + 4 vòng đệm vuông d18 - 22 - 24 (50x50x5)  + 4 Đai ốc</v>
          </cell>
          <cell r="E252" t="str">
            <v>bộ</v>
          </cell>
          <cell r="F252">
            <v>0</v>
          </cell>
        </row>
        <row r="253">
          <cell r="B253" t="str">
            <v>B16300V2</v>
          </cell>
          <cell r="D253" t="str">
            <v>Bulông VRS M16x300 + 2 vòng đệm vuông d18 (60x60x6)</v>
          </cell>
          <cell r="E253" t="str">
            <v>bộ</v>
          </cell>
          <cell r="F253">
            <v>40200</v>
          </cell>
        </row>
        <row r="254">
          <cell r="B254" t="str">
            <v>B16300V</v>
          </cell>
          <cell r="D254" t="str">
            <v xml:space="preserve">Bulông VRS M16x300 + 4 vòng đệm vuông d18 (60x60x6)  </v>
          </cell>
          <cell r="E254" t="str">
            <v>bộ</v>
          </cell>
          <cell r="F254">
            <v>56600</v>
          </cell>
        </row>
        <row r="255">
          <cell r="B255" t="str">
            <v>B16320V</v>
          </cell>
          <cell r="D255" t="str">
            <v>Bulông VRS M16x320 + 4 vòng đệm vuông d18 - 22 - 24 (50x50x5)  + 4 Đai ốc</v>
          </cell>
          <cell r="E255" t="str">
            <v>bộ</v>
          </cell>
          <cell r="F255">
            <v>0</v>
          </cell>
        </row>
        <row r="256">
          <cell r="B256" t="str">
            <v>B16350V2</v>
          </cell>
          <cell r="D256" t="str">
            <v xml:space="preserve">Bulông VRS M16x350 + 2 vòng đệm vuông d18 (60x60x6)  </v>
          </cell>
          <cell r="E256" t="str">
            <v>bộ</v>
          </cell>
          <cell r="F256">
            <v>43100</v>
          </cell>
        </row>
        <row r="257">
          <cell r="B257" t="str">
            <v>B16350V</v>
          </cell>
          <cell r="D257" t="str">
            <v xml:space="preserve">Bulông VRS M16x350 + 4 vòng đệm vuông d18 (60x60x6) </v>
          </cell>
          <cell r="E257" t="str">
            <v>bộ</v>
          </cell>
          <cell r="F257">
            <v>59500</v>
          </cell>
        </row>
        <row r="258">
          <cell r="B258" t="str">
            <v>B16450V</v>
          </cell>
          <cell r="D258" t="str">
            <v xml:space="preserve">Bulông VRS M16x450 + 4 vòng đệm vuông d18 (60x60x6)  </v>
          </cell>
          <cell r="E258" t="str">
            <v>bộ</v>
          </cell>
          <cell r="F258">
            <v>45025</v>
          </cell>
        </row>
        <row r="259">
          <cell r="B259" t="str">
            <v>B16400V2</v>
          </cell>
          <cell r="D259" t="str">
            <v xml:space="preserve">Bulông M16x400VRS + 2 vòng đệm vuông d18 (60x60x6)  </v>
          </cell>
          <cell r="E259" t="str">
            <v>bộ</v>
          </cell>
          <cell r="F259">
            <v>46100</v>
          </cell>
        </row>
        <row r="260">
          <cell r="B260" t="str">
            <v>B16400V</v>
          </cell>
          <cell r="D260" t="str">
            <v>Bulông VRS M16x400 + 4 vòng đệm vuông d18 - 22 - 24 (50x50x5)  + 4 Đai ốc</v>
          </cell>
          <cell r="E260" t="str">
            <v>bộ</v>
          </cell>
          <cell r="F260">
            <v>42900</v>
          </cell>
        </row>
        <row r="261">
          <cell r="B261" t="str">
            <v>B16450V2</v>
          </cell>
          <cell r="D261" t="str">
            <v>Bulông VRS M16x450  + 2 vòng đệm vuông d18 (60x60x6)</v>
          </cell>
          <cell r="E261" t="str">
            <v>bộ</v>
          </cell>
          <cell r="F261">
            <v>45600</v>
          </cell>
        </row>
        <row r="262">
          <cell r="B262" t="str">
            <v>B16500V</v>
          </cell>
          <cell r="D262" t="str">
            <v>Bulông VRS M16x500 + 4 vòng đệm vuông d18 - 22 - 24 (50x50x5)  + 4 Đai ốc</v>
          </cell>
          <cell r="E262" t="str">
            <v>bộ</v>
          </cell>
          <cell r="F262">
            <v>47150</v>
          </cell>
        </row>
        <row r="263">
          <cell r="B263" t="str">
            <v>B16500V2</v>
          </cell>
          <cell r="D263" t="str">
            <v xml:space="preserve">Bulông VRS M16x500 + 2 vòng đệm vuông d18 (60x60x6)  </v>
          </cell>
          <cell r="E263" t="str">
            <v>bộ</v>
          </cell>
          <cell r="F263">
            <v>48500</v>
          </cell>
        </row>
        <row r="264">
          <cell r="B264" t="str">
            <v>B16550V</v>
          </cell>
          <cell r="D264" t="str">
            <v>Bulông VRS M16x550 + 4 vòng đệm vuông d18 - 22 - 24 (50x50x5)  + 4 Đai ốc</v>
          </cell>
          <cell r="E264" t="str">
            <v>bộ</v>
          </cell>
          <cell r="F264">
            <v>49275</v>
          </cell>
        </row>
        <row r="265">
          <cell r="B265" t="str">
            <v>B16550V2</v>
          </cell>
          <cell r="D265" t="str">
            <v>Bulông VRS M16x550 + 2 vòng đệm vuông (57x57x5)</v>
          </cell>
          <cell r="E265" t="str">
            <v>bộ</v>
          </cell>
          <cell r="F265">
            <v>38475</v>
          </cell>
        </row>
        <row r="266">
          <cell r="B266" t="str">
            <v>B16600V2</v>
          </cell>
          <cell r="D266" t="str">
            <v xml:space="preserve">Bulông VRS M16x600 + 2vòng đệm vuông d18 (60x60x6)  </v>
          </cell>
          <cell r="E266" t="str">
            <v>bộ</v>
          </cell>
          <cell r="F266">
            <v>53500</v>
          </cell>
        </row>
        <row r="267">
          <cell r="B267" t="str">
            <v>B16600V</v>
          </cell>
          <cell r="D267" t="str">
            <v xml:space="preserve">Bulông VRS M16x600 + 4 vòng đệm vuông d18 (60x60x6)  </v>
          </cell>
          <cell r="E267" t="str">
            <v>bộ</v>
          </cell>
          <cell r="F267">
            <v>51400</v>
          </cell>
        </row>
        <row r="268">
          <cell r="B268" t="str">
            <v>B16650V</v>
          </cell>
          <cell r="D268" t="str">
            <v>Bulông VRS M16x650 + 4 vòng đệm vuông (57x57x5)</v>
          </cell>
          <cell r="E268" t="str">
            <v>bộ</v>
          </cell>
          <cell r="F268">
            <v>53883</v>
          </cell>
        </row>
        <row r="269">
          <cell r="B269" t="str">
            <v>B16650V2</v>
          </cell>
          <cell r="D269" t="str">
            <v xml:space="preserve">Bulông VRS M16x650 + 2vòng đệm vuông d18 (60x60x6)  </v>
          </cell>
          <cell r="E269" t="str">
            <v>bộ</v>
          </cell>
          <cell r="F269">
            <v>56500</v>
          </cell>
        </row>
        <row r="270">
          <cell r="B270" t="str">
            <v>B16700V</v>
          </cell>
          <cell r="D270" t="str">
            <v xml:space="preserve">Bulông VRS M16x700 + 2 vòng đệm vuông (57x57x5)  </v>
          </cell>
          <cell r="E270" t="str">
            <v>bộ</v>
          </cell>
          <cell r="F270">
            <v>45567</v>
          </cell>
        </row>
        <row r="271">
          <cell r="B271" t="str">
            <v>B16700V2</v>
          </cell>
          <cell r="D271" t="str">
            <v xml:space="preserve">Bulông VRS M16x700 + 2vòng đệm vuông d18 (60x60x6)  </v>
          </cell>
          <cell r="E271" t="str">
            <v>bộ</v>
          </cell>
          <cell r="F271">
            <v>58850.000000000007</v>
          </cell>
        </row>
        <row r="272">
          <cell r="B272" t="str">
            <v>B16750V</v>
          </cell>
          <cell r="D272" t="str">
            <v xml:space="preserve">Bulông VRS M16x750 + 4 vòng đệm vuông d18 (60x60x6)  </v>
          </cell>
          <cell r="E272" t="str">
            <v>bộ</v>
          </cell>
          <cell r="F272">
            <v>69650</v>
          </cell>
        </row>
        <row r="273">
          <cell r="B273" t="str">
            <v>B16800V2</v>
          </cell>
          <cell r="D273" t="str">
            <v>Bulông VRS M16x800  + 2 vòng đệm vuông d18 (60x60x6)</v>
          </cell>
          <cell r="E273" t="str">
            <v>bộ</v>
          </cell>
          <cell r="F273">
            <v>50533</v>
          </cell>
        </row>
        <row r="274">
          <cell r="B274" t="str">
            <v>B1680V</v>
          </cell>
          <cell r="D274" t="str">
            <v>Bulông M16x80VRS + 4 vòng đệm vuông d18 - 22 - 24 (50x50x5) + 4 Đai ốc</v>
          </cell>
          <cell r="E274" t="str">
            <v>bộ</v>
          </cell>
          <cell r="F274">
            <v>21300</v>
          </cell>
        </row>
        <row r="275">
          <cell r="B275" t="str">
            <v>B16100V</v>
          </cell>
          <cell r="D275" t="str">
            <v>Bulông M16x100VRS + 4 vòng đệm vuông d18 - 22 - 24 (50x50x5) + 4 Đai ốc</v>
          </cell>
          <cell r="E275" t="str">
            <v>bộ</v>
          </cell>
          <cell r="F275">
            <v>36400</v>
          </cell>
        </row>
        <row r="276">
          <cell r="B276" t="str">
            <v>B20100V</v>
          </cell>
          <cell r="D276" t="str">
            <v>Bulông M20x100VRS + 4 vòng đệm vuông d18 - 22 - 24 (50x50x5) + 4 Đai ốc</v>
          </cell>
          <cell r="E276" t="str">
            <v>bộ</v>
          </cell>
          <cell r="F276">
            <v>0</v>
          </cell>
        </row>
        <row r="277">
          <cell r="B277" t="str">
            <v>B16150V</v>
          </cell>
          <cell r="D277" t="str">
            <v>Bulông M16x150VRS + 4 vòng đệm vuông d18 - 22 - 24 (50x50x5) + 4 Đai ốc</v>
          </cell>
          <cell r="E277" t="str">
            <v>bộ</v>
          </cell>
          <cell r="F277">
            <v>21800</v>
          </cell>
        </row>
        <row r="278">
          <cell r="B278" t="str">
            <v>B16200V</v>
          </cell>
          <cell r="D278" t="str">
            <v>Bulông M16x200VRS + 4 vòng đệm vuông d18 - 22 - 24 (50x50x5) + 4 Đai ốc</v>
          </cell>
          <cell r="E278" t="str">
            <v>bộ</v>
          </cell>
          <cell r="F278">
            <v>18400</v>
          </cell>
        </row>
        <row r="279">
          <cell r="B279" t="str">
            <v>B16250V</v>
          </cell>
          <cell r="D279" t="str">
            <v>Bulông M16x250VRS + 4 vòng đệm vuông d18 - 22 - 24 (50x50x5) + 4 Đai ốc</v>
          </cell>
          <cell r="E279" t="str">
            <v>bộ</v>
          </cell>
          <cell r="F279">
            <v>26000</v>
          </cell>
        </row>
        <row r="282">
          <cell r="B282" t="str">
            <v>B16400V</v>
          </cell>
          <cell r="D282" t="str">
            <v>Bulông M16x400VRS + 4 vòng đệm vuông d18 - 22 - 24 (50x50x5) + 4 Đai ốc</v>
          </cell>
          <cell r="E282" t="str">
            <v>bộ</v>
          </cell>
          <cell r="F282">
            <v>42900</v>
          </cell>
        </row>
        <row r="283">
          <cell r="B283" t="str">
            <v>B16450V</v>
          </cell>
          <cell r="D283" t="str">
            <v xml:space="preserve">Bulông M16x450VRS + 4 vòng đệm vuông d18 (60x60x6)  </v>
          </cell>
          <cell r="E283" t="str">
            <v>bộ</v>
          </cell>
          <cell r="F283">
            <v>53500</v>
          </cell>
        </row>
        <row r="284">
          <cell r="B284" t="str">
            <v>B16450V2</v>
          </cell>
          <cell r="D284" t="str">
            <v>Bulông M16x450VRS  + 2 vòng đệm vuông d18 (60x60x6)</v>
          </cell>
          <cell r="E284" t="str">
            <v>bộ</v>
          </cell>
          <cell r="F284">
            <v>45600</v>
          </cell>
        </row>
        <row r="285">
          <cell r="B285" t="str">
            <v>B16500V</v>
          </cell>
          <cell r="D285" t="str">
            <v>Bulông M16x500VRS + 4 vòng đệm vuông d18 - 22 - 24 (50x50x5) + 4 Đai ốc</v>
          </cell>
          <cell r="E285" t="str">
            <v>bộ</v>
          </cell>
          <cell r="F285">
            <v>53500</v>
          </cell>
        </row>
        <row r="286">
          <cell r="B286" t="str">
            <v>B16550V</v>
          </cell>
          <cell r="D286" t="str">
            <v>Bulông M16x550VRS + 4 vòng đệm vuông d18 - 22 - 24 (50x50x5) + 4 Đai ốc</v>
          </cell>
          <cell r="E286" t="str">
            <v>bộ</v>
          </cell>
          <cell r="F286">
            <v>0</v>
          </cell>
        </row>
        <row r="289">
          <cell r="B289" t="str">
            <v>B16650V</v>
          </cell>
          <cell r="D289" t="str">
            <v xml:space="preserve">Bulông M16x650VRS + 2 vòng đệm vuông (57x57x5) </v>
          </cell>
          <cell r="E289" t="str">
            <v>bộ</v>
          </cell>
        </row>
        <row r="290">
          <cell r="B290" t="str">
            <v>B16700V</v>
          </cell>
          <cell r="D290" t="str">
            <v xml:space="preserve">Bulông M16x700VRS + 2 vòng đệm vuông (57x57x5) </v>
          </cell>
          <cell r="E290" t="str">
            <v>bộ</v>
          </cell>
          <cell r="F290">
            <v>45567</v>
          </cell>
        </row>
        <row r="291">
          <cell r="B291" t="str">
            <v>B16750V</v>
          </cell>
          <cell r="D291" t="str">
            <v xml:space="preserve">Bulông M16x750VRS + 4 vòng đệm vuông d18 (60x60x6)  </v>
          </cell>
          <cell r="E291" t="str">
            <v>bộ</v>
          </cell>
          <cell r="F291">
            <v>69650</v>
          </cell>
        </row>
        <row r="292">
          <cell r="B292" t="str">
            <v>B16800V</v>
          </cell>
          <cell r="D292" t="str">
            <v>Bulông M16x800VRS + 4 vòng đệm vuông d18 - 22 - 24 (50x50x5) + 4 Đai ốc</v>
          </cell>
          <cell r="E292" t="str">
            <v>bộ</v>
          </cell>
          <cell r="F292">
            <v>0</v>
          </cell>
        </row>
        <row r="293">
          <cell r="B293" t="str">
            <v>B16800V2</v>
          </cell>
          <cell r="D293" t="str">
            <v>Bulông M16x800VRS  + 2 vòng đệm vuông d18 (60x60x6)</v>
          </cell>
          <cell r="E293" t="str">
            <v>bộ</v>
          </cell>
          <cell r="F293">
            <v>50533</v>
          </cell>
        </row>
        <row r="294">
          <cell r="B294" t="str">
            <v>B16850V</v>
          </cell>
          <cell r="D294" t="str">
            <v xml:space="preserve">Bulông M16x850VRS + 4 vòng đệm vuông d18(60x60x6) </v>
          </cell>
          <cell r="E294" t="str">
            <v>bộ</v>
          </cell>
          <cell r="F294">
            <v>84800</v>
          </cell>
        </row>
        <row r="295">
          <cell r="B295" t="str">
            <v>B16850V2</v>
          </cell>
          <cell r="D295" t="str">
            <v xml:space="preserve">Bulông M16x850VRS + 2 vòng đệm vuông d18(60x60x6) </v>
          </cell>
          <cell r="E295" t="str">
            <v>bộ</v>
          </cell>
          <cell r="F295">
            <v>68400</v>
          </cell>
        </row>
        <row r="296">
          <cell r="B296" t="str">
            <v>B16900V</v>
          </cell>
          <cell r="D296" t="str">
            <v>Bulông M16x900VRS + 4 vòng đệm vuông d18 - 22 - 24 (50x50x5) + 4 Đai ốc</v>
          </cell>
          <cell r="E296" t="str">
            <v>bộ</v>
          </cell>
          <cell r="F296">
            <v>0</v>
          </cell>
        </row>
        <row r="297">
          <cell r="B297" t="str">
            <v>B16950V</v>
          </cell>
          <cell r="D297" t="str">
            <v>Bulông M16x950VRS + 4 vòng đệm vuông d18 - 22 - 24 (50x50x5) + 4 Đai ốc</v>
          </cell>
          <cell r="E297" t="str">
            <v>bộ</v>
          </cell>
          <cell r="F297">
            <v>0</v>
          </cell>
        </row>
        <row r="298">
          <cell r="B298" t="str">
            <v>B161000V</v>
          </cell>
          <cell r="D298" t="str">
            <v>Bulông M16x1000VRS + 4 vòng đệm vuông d18 - 22 - 24 (50x50x5) + 4 Đai ốc</v>
          </cell>
          <cell r="E298" t="str">
            <v>bộ</v>
          </cell>
          <cell r="F298">
            <v>0</v>
          </cell>
        </row>
        <row r="299">
          <cell r="B299" t="str">
            <v>B161050V</v>
          </cell>
          <cell r="D299" t="str">
            <v>Bulông M16x1050VRS + 4 vòng đệm vuông d18 - 22 - 24 (50x50x5) + 4 Đai ốc</v>
          </cell>
          <cell r="E299" t="str">
            <v>bộ</v>
          </cell>
          <cell r="F299">
            <v>84800</v>
          </cell>
        </row>
        <row r="300">
          <cell r="B300" t="str">
            <v>Bulông 16 2ĐR</v>
          </cell>
        </row>
        <row r="301">
          <cell r="B301" t="str">
            <v>B163202ĐR</v>
          </cell>
          <cell r="D301" t="str">
            <v>Bulông M16x320 ven ren 2Đ + 2 vòng đệm vuông (57x57x5)</v>
          </cell>
          <cell r="E301" t="str">
            <v>bộ</v>
          </cell>
          <cell r="F301">
            <v>38700</v>
          </cell>
        </row>
        <row r="302">
          <cell r="B302" t="str">
            <v>B165002ĐR</v>
          </cell>
          <cell r="D302" t="str">
            <v>Bulông M16x500 ven ren 2Đ + 2 vòng đệm vuông (57x57x5)</v>
          </cell>
          <cell r="E302" t="str">
            <v>bộ</v>
          </cell>
          <cell r="F302">
            <v>38700</v>
          </cell>
        </row>
        <row r="303">
          <cell r="B303" t="str">
            <v>B165502ĐR</v>
          </cell>
          <cell r="D303" t="str">
            <v>Bulông M16x550 ven ren 2Đ + 2 vòng đệm vuông (57x57x5)</v>
          </cell>
          <cell r="E303" t="str">
            <v>bộ</v>
          </cell>
          <cell r="F303">
            <v>41300</v>
          </cell>
        </row>
        <row r="304">
          <cell r="B304" t="str">
            <v>B166002ĐR</v>
          </cell>
          <cell r="D304" t="str">
            <v>Bulông M16x600 ven ren 2Đ + 2 vòng đệm vuông (57x57x5)</v>
          </cell>
          <cell r="E304" t="str">
            <v>bộ</v>
          </cell>
          <cell r="F304">
            <v>43900</v>
          </cell>
        </row>
        <row r="305">
          <cell r="B305" t="str">
            <v>B166502ĐR</v>
          </cell>
          <cell r="D305" t="str">
            <v>Bulông M16x650 ven ren 2Đ + 2 vòng đệm vuông (57x57x5)</v>
          </cell>
          <cell r="E305" t="str">
            <v>bộ</v>
          </cell>
          <cell r="F305">
            <v>46500</v>
          </cell>
        </row>
        <row r="306">
          <cell r="B306" t="str">
            <v>B167002ĐR</v>
          </cell>
          <cell r="D306" t="str">
            <v>Bulông M16x700 ven ren 2Đ + 2 vòng đệm vuông (57x57x5)</v>
          </cell>
          <cell r="E306" t="str">
            <v>bộ</v>
          </cell>
          <cell r="F306">
            <v>0</v>
          </cell>
        </row>
        <row r="307">
          <cell r="B307" t="str">
            <v>B167502ĐR</v>
          </cell>
          <cell r="D307" t="str">
            <v>Bulông M16x750 ven ren 2Đ + 2 vòng đệm vuông (57x57x5)</v>
          </cell>
          <cell r="E307" t="str">
            <v>bộ</v>
          </cell>
          <cell r="F307">
            <v>51700</v>
          </cell>
        </row>
        <row r="308">
          <cell r="B308" t="str">
            <v>B168002ĐR</v>
          </cell>
          <cell r="D308" t="str">
            <v>Bulông M16x800 ven ren 2Đ + 2 vòng đệm vuông (57x57x5)</v>
          </cell>
          <cell r="E308" t="str">
            <v>bộ</v>
          </cell>
          <cell r="F308">
            <v>54300</v>
          </cell>
        </row>
        <row r="309">
          <cell r="B309" t="str">
            <v>B16800T</v>
          </cell>
          <cell r="D309" t="str">
            <v>Bulông bắt chân trụ M16x800/80</v>
          </cell>
          <cell r="E309" t="str">
            <v>bộ</v>
          </cell>
          <cell r="F309">
            <v>54300</v>
          </cell>
        </row>
        <row r="310">
          <cell r="B310" t="str">
            <v>B168502ĐR</v>
          </cell>
          <cell r="D310" t="str">
            <v>Bulông M16x850 ven ren 2Đ + 2 vòng đệm vuông (57x57x5)</v>
          </cell>
          <cell r="E310" t="str">
            <v>bộ</v>
          </cell>
          <cell r="F310">
            <v>56900</v>
          </cell>
        </row>
        <row r="311">
          <cell r="B311" t="str">
            <v>B16850T</v>
          </cell>
          <cell r="D311" t="str">
            <v>Bulông bắt chân trụ M16x850/80</v>
          </cell>
          <cell r="E311" t="str">
            <v>bộ</v>
          </cell>
          <cell r="F311">
            <v>56900</v>
          </cell>
        </row>
        <row r="312">
          <cell r="B312" t="str">
            <v>B169002ĐR</v>
          </cell>
          <cell r="D312" t="str">
            <v>Bulông M16x900 ven ren 2Đ + 2 vòng đệm vuông (57x57x5)</v>
          </cell>
          <cell r="E312" t="str">
            <v>bộ</v>
          </cell>
          <cell r="F312">
            <v>59500</v>
          </cell>
        </row>
        <row r="313">
          <cell r="B313" t="str">
            <v>B169502ĐR</v>
          </cell>
          <cell r="D313" t="str">
            <v>Bulông M16x950 ven ren 2Đ + 2 vòng đệm vuông (57x57x5)</v>
          </cell>
          <cell r="E313" t="str">
            <v>bộ</v>
          </cell>
          <cell r="F313">
            <v>62100</v>
          </cell>
        </row>
        <row r="314">
          <cell r="B314" t="str">
            <v>B1610002ĐR</v>
          </cell>
          <cell r="D314" t="str">
            <v>Bulông M16x1000 ven ren 2Đ + 2 vòng đệm vuông (57x57x5)</v>
          </cell>
          <cell r="E314" t="str">
            <v>bộ</v>
          </cell>
          <cell r="F314">
            <v>64700</v>
          </cell>
        </row>
        <row r="315">
          <cell r="B315" t="str">
            <v>Bulông MẮT 16</v>
          </cell>
        </row>
        <row r="316">
          <cell r="B316" t="str">
            <v>LĐV</v>
          </cell>
          <cell r="D316" t="str">
            <v xml:space="preserve"> Vòng đệm vuông (57x57x5)</v>
          </cell>
          <cell r="E316" t="str">
            <v>cái</v>
          </cell>
          <cell r="F316">
            <v>8200</v>
          </cell>
        </row>
        <row r="317">
          <cell r="B317" t="str">
            <v>BM16230</v>
          </cell>
          <cell r="D317" t="str">
            <v>Bulông mắt 16x200 + vòng đệm vuông (57x57x5)</v>
          </cell>
          <cell r="E317" t="str">
            <v>bộ</v>
          </cell>
          <cell r="F317">
            <v>43200</v>
          </cell>
        </row>
        <row r="318">
          <cell r="B318" t="str">
            <v>BM16250</v>
          </cell>
          <cell r="D318" t="str">
            <v>Bulông mắt 16x250 + vòng đệm vuông d18 (60x60x6)</v>
          </cell>
          <cell r="E318" t="str">
            <v>bộ</v>
          </cell>
          <cell r="F318">
            <v>46100</v>
          </cell>
        </row>
        <row r="319">
          <cell r="B319" t="str">
            <v>BM16300</v>
          </cell>
          <cell r="D319" t="str">
            <v xml:space="preserve">Bulông mắt 16x300 + 1 vòng đệm vuông d18 (60x60x6) </v>
          </cell>
          <cell r="E319" t="str">
            <v>bộ</v>
          </cell>
          <cell r="F319">
            <v>52900</v>
          </cell>
        </row>
        <row r="320">
          <cell r="B320" t="str">
            <v>BM16350</v>
          </cell>
          <cell r="D320" t="str">
            <v xml:space="preserve">Bulông mắt 16x350 + 1 vòng đệm vuông d18 - 22 - 24 (50x50x5) </v>
          </cell>
          <cell r="E320" t="str">
            <v>bộ</v>
          </cell>
          <cell r="F320">
            <v>57500</v>
          </cell>
        </row>
        <row r="321">
          <cell r="B321" t="str">
            <v>BM16500</v>
          </cell>
          <cell r="D321" t="str">
            <v>Bulông mắt 16x500 + vòng đệm vuông d18 (60x60x6)</v>
          </cell>
          <cell r="E321" t="str">
            <v>bộ</v>
          </cell>
          <cell r="F321">
            <v>48500</v>
          </cell>
        </row>
        <row r="322">
          <cell r="B322" t="str">
            <v>BM16600</v>
          </cell>
          <cell r="D322" t="str">
            <v>Bulông mắt 16x600 + vòng đệm vuông d18 (60x60x6)</v>
          </cell>
          <cell r="E322" t="str">
            <v>bộ</v>
          </cell>
          <cell r="F322">
            <v>90686</v>
          </cell>
        </row>
        <row r="323">
          <cell r="B323" t="str">
            <v>BLM16200</v>
          </cell>
          <cell r="D323" t="str">
            <v>Bulông móc 16x200  + 2 vòng đệm vuông d18 (60x60x6)</v>
          </cell>
          <cell r="E323" t="str">
            <v>bộ</v>
          </cell>
          <cell r="F323">
            <v>42900</v>
          </cell>
        </row>
        <row r="324">
          <cell r="B324" t="str">
            <v>BLM16250</v>
          </cell>
          <cell r="D324" t="str">
            <v>Bulông móc 16x250  + 2 vòng đệm vuông d18 (60x60x6)</v>
          </cell>
          <cell r="E324" t="str">
            <v>bộ</v>
          </cell>
          <cell r="F324">
            <v>42400</v>
          </cell>
        </row>
        <row r="325">
          <cell r="B325" t="str">
            <v>BLM16300</v>
          </cell>
          <cell r="D325" t="str">
            <v>Bulông móc 16x300 + vòng đệm vuông d18 (60x60x6)</v>
          </cell>
          <cell r="E325" t="str">
            <v>bộ</v>
          </cell>
          <cell r="F325">
            <v>49100</v>
          </cell>
        </row>
        <row r="326">
          <cell r="B326" t="str">
            <v>BLM16320</v>
          </cell>
          <cell r="D326" t="str">
            <v>Bulông móc 16x320 + vòng đệm vuông (57x57x5)</v>
          </cell>
          <cell r="E326" t="str">
            <v>bộ</v>
          </cell>
        </row>
        <row r="327">
          <cell r="B327" t="str">
            <v>BLM16350</v>
          </cell>
          <cell r="D327" t="str">
            <v>Bulông móc 16x350 + vòng đệm vuông (57x57x5)</v>
          </cell>
          <cell r="E327" t="str">
            <v>bộ</v>
          </cell>
          <cell r="F327">
            <v>50600</v>
          </cell>
        </row>
        <row r="328">
          <cell r="B328" t="str">
            <v>BLM16400</v>
          </cell>
          <cell r="D328" t="str">
            <v>Bulông móc 16x400 + vòng đệm vuông (57x57x5)</v>
          </cell>
          <cell r="E328" t="str">
            <v>bộ</v>
          </cell>
          <cell r="F328">
            <v>58300</v>
          </cell>
        </row>
        <row r="329">
          <cell r="B329" t="str">
            <v>BLM16500</v>
          </cell>
          <cell r="D329" t="str">
            <v>Bulông móc 16x500  + 2 vòng đệm vuông d18 (60x60x6)</v>
          </cell>
          <cell r="E329" t="str">
            <v>bộ</v>
          </cell>
          <cell r="F329">
            <v>64600</v>
          </cell>
        </row>
        <row r="330">
          <cell r="B330" t="str">
            <v>BLM16550</v>
          </cell>
          <cell r="D330" t="str">
            <v>Bulông móc 16x550 + vòng đệm vuông (57x57x5)</v>
          </cell>
          <cell r="E330" t="str">
            <v>bộ</v>
          </cell>
          <cell r="F330">
            <v>55660.000000000007</v>
          </cell>
        </row>
        <row r="331">
          <cell r="B331" t="str">
            <v>BLM16600</v>
          </cell>
          <cell r="D331" t="str">
            <v>Bulông móc 16x600  + 2 vòng đệm vuông d18 (60x60x6)</v>
          </cell>
          <cell r="E331" t="str">
            <v>bộ</v>
          </cell>
          <cell r="F331">
            <v>80600</v>
          </cell>
        </row>
        <row r="332">
          <cell r="B332" t="str">
            <v>BLM16650</v>
          </cell>
          <cell r="D332" t="str">
            <v>Bulông móc 16x650 + vòng đệm vuông d18 (60x60x6)</v>
          </cell>
          <cell r="E332" t="str">
            <v>bộ</v>
          </cell>
          <cell r="F332">
            <v>0</v>
          </cell>
        </row>
        <row r="333">
          <cell r="B333" t="str">
            <v xml:space="preserve">Bulông 20 </v>
          </cell>
        </row>
        <row r="334">
          <cell r="B334" t="str">
            <v>B2060</v>
          </cell>
          <cell r="D334" t="str">
            <v xml:space="preserve"> Bulông M20x60 + vòng đệm vuông (57x57x5) </v>
          </cell>
          <cell r="E334" t="str">
            <v>bộ</v>
          </cell>
        </row>
        <row r="335">
          <cell r="B335" t="str">
            <v>B2080</v>
          </cell>
          <cell r="D335" t="str">
            <v xml:space="preserve"> Bulông M20x80 + vòng đệm vuông (57x57x5) </v>
          </cell>
          <cell r="E335" t="str">
            <v>bộ</v>
          </cell>
          <cell r="F335">
            <v>21233.333333333332</v>
          </cell>
        </row>
        <row r="336">
          <cell r="B336" t="str">
            <v>B20100</v>
          </cell>
          <cell r="D336" t="str">
            <v xml:space="preserve"> Bulông M20x100 + vòng đệm vuông (57x57x5) </v>
          </cell>
          <cell r="E336" t="str">
            <v>bộ</v>
          </cell>
        </row>
        <row r="337">
          <cell r="B337" t="str">
            <v>B20120</v>
          </cell>
          <cell r="D337" t="str">
            <v xml:space="preserve"> Bulông M20x120 + vòng đệm vuông (57x57x5) </v>
          </cell>
          <cell r="E337" t="str">
            <v>bộ</v>
          </cell>
        </row>
        <row r="338">
          <cell r="B338" t="str">
            <v>B20150</v>
          </cell>
          <cell r="D338" t="str">
            <v xml:space="preserve"> Bulông M20x150 + vòng đệm vuông (57x57x5) </v>
          </cell>
          <cell r="E338" t="str">
            <v>bộ</v>
          </cell>
        </row>
        <row r="339">
          <cell r="B339" t="str">
            <v>B20200</v>
          </cell>
          <cell r="D339" t="str">
            <v xml:space="preserve"> Bulông M20x200 + vòng đệm vuông (57x57x5) </v>
          </cell>
          <cell r="E339" t="str">
            <v>bộ</v>
          </cell>
        </row>
        <row r="340">
          <cell r="B340" t="str">
            <v>B20220</v>
          </cell>
          <cell r="D340" t="str">
            <v xml:space="preserve"> Bulông M20x220 + vòng đệm vuông (57x57x5) </v>
          </cell>
          <cell r="E340" t="str">
            <v>bộ</v>
          </cell>
        </row>
        <row r="341">
          <cell r="B341" t="str">
            <v>B20250</v>
          </cell>
          <cell r="D341" t="str">
            <v xml:space="preserve"> Bulông M20x250 + vòng đệm vuông (57x57x5) </v>
          </cell>
          <cell r="E341" t="str">
            <v>bộ</v>
          </cell>
        </row>
        <row r="342">
          <cell r="B342" t="str">
            <v>B20300</v>
          </cell>
          <cell r="D342" t="str">
            <v xml:space="preserve"> Bulông M20x300 + vòng đệm vuông (57x57x5) </v>
          </cell>
          <cell r="E342" t="str">
            <v>bộ</v>
          </cell>
        </row>
        <row r="343">
          <cell r="B343" t="str">
            <v>B20350</v>
          </cell>
          <cell r="D343" t="str">
            <v xml:space="preserve"> Bulông M20x350 + vòng đệm vuông (57x57x5) </v>
          </cell>
          <cell r="E343" t="str">
            <v>bộ</v>
          </cell>
        </row>
        <row r="344">
          <cell r="B344" t="str">
            <v>B20400</v>
          </cell>
          <cell r="D344" t="str">
            <v xml:space="preserve"> Bulông M20x400 + vòng đệm vuông (57x57x5) </v>
          </cell>
          <cell r="E344" t="str">
            <v>bộ</v>
          </cell>
        </row>
        <row r="345">
          <cell r="B345" t="str">
            <v xml:space="preserve">Bulông 20 2ĐR </v>
          </cell>
        </row>
        <row r="346">
          <cell r="B346" t="str">
            <v>B205002ĐR</v>
          </cell>
          <cell r="D346" t="str">
            <v xml:space="preserve">Bulông M20x500 2ĐR  + vòng đệm vuông (57x57x5) </v>
          </cell>
          <cell r="E346" t="str">
            <v>bộ</v>
          </cell>
        </row>
        <row r="347">
          <cell r="B347" t="str">
            <v>B205502ĐR</v>
          </cell>
          <cell r="D347" t="str">
            <v xml:space="preserve">Bulông M20x550 2ĐR  + vòng đệm vuông (57x57x5) </v>
          </cell>
          <cell r="E347" t="str">
            <v>bộ</v>
          </cell>
        </row>
        <row r="348">
          <cell r="B348" t="str">
            <v>B206002ĐR</v>
          </cell>
          <cell r="D348" t="str">
            <v xml:space="preserve">Bulông M20x600 2ĐR  + vòng đệm vuông (57x57x5) </v>
          </cell>
          <cell r="E348" t="str">
            <v>bộ</v>
          </cell>
        </row>
        <row r="349">
          <cell r="B349" t="str">
            <v>B206502ĐR</v>
          </cell>
          <cell r="D349" t="str">
            <v xml:space="preserve">Bulông M20x650 2ĐR  + vòng đệm vuông (57x57x5) </v>
          </cell>
          <cell r="E349" t="str">
            <v>bộ</v>
          </cell>
        </row>
        <row r="350">
          <cell r="B350" t="str">
            <v>B207002ĐR</v>
          </cell>
          <cell r="D350" t="str">
            <v xml:space="preserve">Bulông M20x700 2ĐR  + vòng đệm vuông (57x57x5) </v>
          </cell>
          <cell r="E350" t="str">
            <v>bộ</v>
          </cell>
        </row>
        <row r="351">
          <cell r="B351" t="str">
            <v>B207502ĐR</v>
          </cell>
          <cell r="D351" t="str">
            <v xml:space="preserve">Bulông M20x750 2ĐR  + vòng đệm vuông (57x57x5) </v>
          </cell>
          <cell r="E351" t="str">
            <v>bộ</v>
          </cell>
        </row>
        <row r="352">
          <cell r="B352" t="str">
            <v>B208002ĐR</v>
          </cell>
          <cell r="D352" t="str">
            <v xml:space="preserve">Bulông M20x800 2ĐR  + vòng đệm vuông (57x57x5) </v>
          </cell>
          <cell r="E352" t="str">
            <v>bộ</v>
          </cell>
        </row>
        <row r="353">
          <cell r="B353" t="str">
            <v>B208502ĐR</v>
          </cell>
          <cell r="D353" t="str">
            <v xml:space="preserve">Bulông M20x850 2ĐR  + vòng đệm vuông (57x57x5) </v>
          </cell>
          <cell r="E353" t="str">
            <v>bộ</v>
          </cell>
        </row>
        <row r="354">
          <cell r="B354" t="str">
            <v>B209002ĐR</v>
          </cell>
          <cell r="D354" t="str">
            <v xml:space="preserve">Bulông M20x900 2ĐR  + vòng đệm vuông (57x57x5) </v>
          </cell>
          <cell r="E354" t="str">
            <v>bộ</v>
          </cell>
        </row>
        <row r="355">
          <cell r="B355" t="str">
            <v>B209502ĐR</v>
          </cell>
          <cell r="D355" t="str">
            <v xml:space="preserve">Bulông M20x950 2ĐR  + vòng đệm vuông (57x57x5) </v>
          </cell>
          <cell r="E355" t="str">
            <v>bộ</v>
          </cell>
        </row>
        <row r="356">
          <cell r="B356" t="str">
            <v>B2010002ĐR</v>
          </cell>
          <cell r="D356" t="str">
            <v xml:space="preserve">Bulông M20x1000 2ĐR  + vòng đệm vuông (57x57x5) </v>
          </cell>
          <cell r="E356" t="str">
            <v>bộ</v>
          </cell>
        </row>
        <row r="357">
          <cell r="B357" t="str">
            <v>Bulông 22</v>
          </cell>
        </row>
        <row r="358">
          <cell r="B358" t="str">
            <v>B22260</v>
          </cell>
          <cell r="D358" t="str">
            <v xml:space="preserve">Bulông M22x260/80 + vòng đệm vuông (57x57x5) </v>
          </cell>
          <cell r="E358" t="str">
            <v>bộ</v>
          </cell>
        </row>
        <row r="359">
          <cell r="B359" t="str">
            <v>B22450</v>
          </cell>
          <cell r="D359" t="str">
            <v xml:space="preserve">Bulông M22x450/80 + vòng đệm vuông (57x57x5) </v>
          </cell>
          <cell r="E359" t="str">
            <v>bộ</v>
          </cell>
        </row>
        <row r="360">
          <cell r="B360" t="str">
            <v>B22460</v>
          </cell>
          <cell r="D360" t="str">
            <v xml:space="preserve">Bulông M22x460/80 + vòng đệm vuông (57x57x5) </v>
          </cell>
          <cell r="E360" t="str">
            <v>bộ</v>
          </cell>
        </row>
        <row r="361">
          <cell r="B361" t="str">
            <v>B22500</v>
          </cell>
          <cell r="D361" t="str">
            <v xml:space="preserve">Bulông M22x500/80 + vòng đệm vuông (57x57x5) </v>
          </cell>
          <cell r="E361" t="str">
            <v>bộ</v>
          </cell>
        </row>
        <row r="362">
          <cell r="B362" t="str">
            <v>B22550</v>
          </cell>
          <cell r="D362" t="str">
            <v xml:space="preserve">Bulông M22x550/80 + vòng đệm vuông (57x57x5) </v>
          </cell>
          <cell r="E362" t="str">
            <v>bộ</v>
          </cell>
        </row>
        <row r="363">
          <cell r="B363" t="str">
            <v>B22600</v>
          </cell>
          <cell r="C363" t="str">
            <v xml:space="preserve"> </v>
          </cell>
          <cell r="D363" t="str">
            <v xml:space="preserve">Bulông M22x600/80 + vòng đệm vuông (57x57x5) </v>
          </cell>
          <cell r="E363" t="str">
            <v>bộ</v>
          </cell>
        </row>
        <row r="364">
          <cell r="B364" t="str">
            <v>B22650</v>
          </cell>
          <cell r="D364" t="str">
            <v xml:space="preserve">Bulông M22x650/80 + vòng đệm vuông (57x57x5) </v>
          </cell>
          <cell r="E364" t="str">
            <v>bộ</v>
          </cell>
        </row>
        <row r="365">
          <cell r="B365" t="str">
            <v>B22700</v>
          </cell>
          <cell r="D365" t="str">
            <v xml:space="preserve">Bulông M22x700/80 + vòng đệm vuông (57x57x5) </v>
          </cell>
          <cell r="E365" t="str">
            <v>bộ</v>
          </cell>
        </row>
        <row r="366">
          <cell r="B366" t="str">
            <v>B22750</v>
          </cell>
          <cell r="D366" t="str">
            <v xml:space="preserve">Bulông M22x750/80 + vòng đệm vuông (57x57x5) </v>
          </cell>
          <cell r="E366" t="str">
            <v>bộ</v>
          </cell>
        </row>
        <row r="367">
          <cell r="B367" t="str">
            <v>B22800</v>
          </cell>
          <cell r="D367" t="str">
            <v xml:space="preserve">Bulông M22x800/80 + vòng đệm vuông (57x57x5) </v>
          </cell>
          <cell r="E367" t="str">
            <v>bộ</v>
          </cell>
        </row>
        <row r="368">
          <cell r="B368" t="str">
            <v>B22800T</v>
          </cell>
          <cell r="D368" t="str">
            <v>Bulông bắt chân trụ M22x800/80</v>
          </cell>
          <cell r="E368" t="str">
            <v>bộ</v>
          </cell>
          <cell r="F368">
            <v>104800</v>
          </cell>
        </row>
        <row r="369">
          <cell r="B369" t="str">
            <v>B22850T</v>
          </cell>
          <cell r="D369" t="str">
            <v>Bulông bắt chân trụ M22x850/80</v>
          </cell>
          <cell r="E369" t="str">
            <v>bộ</v>
          </cell>
          <cell r="F369">
            <v>118800</v>
          </cell>
        </row>
        <row r="370">
          <cell r="B370" t="str">
            <v>B22850</v>
          </cell>
          <cell r="D370" t="str">
            <v xml:space="preserve">Bulông M22x850/80 + vòng đệm vuông (57x57x5) </v>
          </cell>
          <cell r="E370" t="str">
            <v>bộ</v>
          </cell>
        </row>
        <row r="371">
          <cell r="B371" t="str">
            <v>B221000</v>
          </cell>
          <cell r="D371" t="str">
            <v xml:space="preserve">Bulông M22x1000/80 + vòng đệm vuông (57x57x5) </v>
          </cell>
          <cell r="E371" t="str">
            <v>bộ</v>
          </cell>
        </row>
        <row r="372">
          <cell r="B372" t="str">
            <v>B241000</v>
          </cell>
          <cell r="D372" t="str">
            <v xml:space="preserve">Bulông M24x1000/80 + vòng đệm vuông (57x57x5) </v>
          </cell>
          <cell r="E372" t="str">
            <v>bộ</v>
          </cell>
        </row>
        <row r="373">
          <cell r="B373" t="str">
            <v>B36600</v>
          </cell>
          <cell r="D373" t="str">
            <v>Bulông neo M36-600</v>
          </cell>
          <cell r="E373" t="str">
            <v>Kg</v>
          </cell>
          <cell r="F373">
            <v>30000</v>
          </cell>
        </row>
        <row r="374">
          <cell r="B374" t="str">
            <v>B20</v>
          </cell>
          <cell r="D374" t="str">
            <v>Bulông neo M20</v>
          </cell>
          <cell r="E374" t="str">
            <v>Kg</v>
          </cell>
          <cell r="F374">
            <v>30000</v>
          </cell>
        </row>
        <row r="375">
          <cell r="B375" t="str">
            <v xml:space="preserve">Bulông 22 2ĐR </v>
          </cell>
        </row>
        <row r="376">
          <cell r="B376" t="str">
            <v>B224502ĐR</v>
          </cell>
          <cell r="D376" t="str">
            <v xml:space="preserve">Bulông M22x450/80 2ĐR + vòng đệm vuông (57x57x5) </v>
          </cell>
          <cell r="E376" t="str">
            <v>bộ</v>
          </cell>
          <cell r="F376">
            <v>0</v>
          </cell>
        </row>
        <row r="377">
          <cell r="B377" t="str">
            <v>B225002ĐR</v>
          </cell>
          <cell r="D377" t="str">
            <v xml:space="preserve">Bulông M22x500/80 2ĐR + vòng đệm vuông (57x57x5) </v>
          </cell>
          <cell r="E377" t="str">
            <v>bộ</v>
          </cell>
          <cell r="F377">
            <v>0</v>
          </cell>
        </row>
        <row r="378">
          <cell r="B378" t="str">
            <v>B225502ĐR</v>
          </cell>
          <cell r="D378" t="str">
            <v xml:space="preserve">Bulông M22x550/80 2ĐR + vòng đệm vuông (57x57x5) </v>
          </cell>
          <cell r="E378" t="str">
            <v>bộ</v>
          </cell>
          <cell r="F378">
            <v>67400</v>
          </cell>
        </row>
        <row r="379">
          <cell r="B379" t="str">
            <v>B226002ĐR</v>
          </cell>
          <cell r="D379" t="str">
            <v xml:space="preserve">Bulông M22x600/80 2ĐR + vòng đệm vuông (57x57x5) </v>
          </cell>
          <cell r="E379" t="str">
            <v>bộ</v>
          </cell>
          <cell r="F379">
            <v>71500</v>
          </cell>
        </row>
        <row r="380">
          <cell r="B380" t="str">
            <v>B226502ĐR</v>
          </cell>
          <cell r="D380" t="str">
            <v xml:space="preserve">Bulông M22x650/80 2ĐR + vòng đệm vuông (57x57x5) </v>
          </cell>
          <cell r="E380" t="str">
            <v>bộ</v>
          </cell>
          <cell r="F380">
            <v>124700</v>
          </cell>
        </row>
        <row r="381">
          <cell r="B381" t="str">
            <v>B227002ĐR</v>
          </cell>
          <cell r="D381" t="str">
            <v xml:space="preserve">Bulông M22x700/80 2ĐR + vòng đệm vuông (57x57x5) </v>
          </cell>
          <cell r="E381" t="str">
            <v>bộ</v>
          </cell>
          <cell r="F381">
            <v>0</v>
          </cell>
        </row>
        <row r="382">
          <cell r="B382" t="str">
            <v>B227502ĐR</v>
          </cell>
          <cell r="D382" t="str">
            <v xml:space="preserve">Bulông M22x750/80 2ĐR + vòng đệm vuông (57x57x5) </v>
          </cell>
          <cell r="E382" t="str">
            <v>bộ</v>
          </cell>
          <cell r="F382">
            <v>0</v>
          </cell>
        </row>
        <row r="383">
          <cell r="B383" t="str">
            <v>B228002ĐR</v>
          </cell>
          <cell r="D383" t="str">
            <v xml:space="preserve">Bulông M22x800/80 2ĐR + vòng đệm vuông (57x57x5) </v>
          </cell>
          <cell r="E383" t="str">
            <v>bộ</v>
          </cell>
          <cell r="F383">
            <v>87500</v>
          </cell>
        </row>
        <row r="384">
          <cell r="B384" t="str">
            <v>B228502ĐR</v>
          </cell>
          <cell r="D384" t="str">
            <v xml:space="preserve">Bulông M22x850/80 2ĐR + vòng đệm vuông (57x57x5) </v>
          </cell>
          <cell r="E384" t="str">
            <v>bộ</v>
          </cell>
          <cell r="F384">
            <v>91500</v>
          </cell>
        </row>
        <row r="385">
          <cell r="B385" t="str">
            <v>B229002ĐR</v>
          </cell>
          <cell r="D385" t="str">
            <v xml:space="preserve">Bulông M22x900/80 2ĐR + vòng đệm vuông (57x57x5) </v>
          </cell>
          <cell r="E385" t="str">
            <v>bộ</v>
          </cell>
          <cell r="F385">
            <v>0</v>
          </cell>
        </row>
        <row r="386">
          <cell r="B386" t="str">
            <v>B229502ĐR</v>
          </cell>
          <cell r="D386" t="str">
            <v xml:space="preserve">Bulông M22x950/80 2ĐR + vòng đệm vuông (57x57x5) </v>
          </cell>
          <cell r="E386" t="str">
            <v>bộ</v>
          </cell>
          <cell r="F386">
            <v>0</v>
          </cell>
        </row>
        <row r="387">
          <cell r="B387" t="str">
            <v>B2210002ĐR</v>
          </cell>
          <cell r="D387" t="str">
            <v xml:space="preserve">Bulông M22x1000/80 2ĐR + vòng đệm vuông (57x57x5) </v>
          </cell>
          <cell r="E387" t="str">
            <v>bộ</v>
          </cell>
          <cell r="F387">
            <v>0</v>
          </cell>
        </row>
        <row r="388">
          <cell r="B388" t="str">
            <v>Bulông 22 VRS</v>
          </cell>
        </row>
        <row r="389">
          <cell r="B389" t="str">
            <v>B22450V</v>
          </cell>
          <cell r="D389" t="str">
            <v>Bulông M22x450VRS + 4 vòng đệm vuông d18 - 22 - 24 (50x50x5) + 4 Đai ốc</v>
          </cell>
          <cell r="E389" t="str">
            <v>bộ</v>
          </cell>
          <cell r="F389">
            <v>0</v>
          </cell>
        </row>
        <row r="390">
          <cell r="B390" t="str">
            <v>B22500V</v>
          </cell>
          <cell r="D390" t="str">
            <v>Bulông M22x500VRS + 4 vòng đệm vuông d18 - 22 - 24 (50x50x5) + 4 Đai ốc</v>
          </cell>
          <cell r="E390" t="str">
            <v>bộ</v>
          </cell>
          <cell r="F390">
            <v>67400</v>
          </cell>
        </row>
        <row r="391">
          <cell r="B391" t="str">
            <v>B22500V2</v>
          </cell>
          <cell r="D391" t="str">
            <v xml:space="preserve">Bulông M22x500VRS + 2 vòng đệm vuông d 24 (80x80x6) </v>
          </cell>
          <cell r="E391" t="str">
            <v>bộ</v>
          </cell>
          <cell r="F391">
            <v>63000</v>
          </cell>
        </row>
        <row r="392">
          <cell r="B392" t="str">
            <v>B22550V</v>
          </cell>
          <cell r="D392" t="str">
            <v>Bulông M22x550VRS + 4 vòng đệm vuông d18 - 22 - 24 (50x50x5) + 4 Đai ốc</v>
          </cell>
          <cell r="E392" t="str">
            <v>bộ</v>
          </cell>
          <cell r="F392">
            <v>67400</v>
          </cell>
        </row>
        <row r="393">
          <cell r="B393" t="str">
            <v>B22600V</v>
          </cell>
          <cell r="D393" t="str">
            <v>Bulông M22x600VRS +  2vòng đệm vuông d24 (80x80x6) + Đai ốc</v>
          </cell>
          <cell r="E393" t="str">
            <v>bộ</v>
          </cell>
          <cell r="F393">
            <v>127400</v>
          </cell>
        </row>
        <row r="394">
          <cell r="B394" t="str">
            <v>B22650V</v>
          </cell>
          <cell r="D394" t="str">
            <v>Bulông M22x650VRS + 4 vòng đệm vuông d18 - 22 - 24 (50x50x5) + 4 Đai ốc</v>
          </cell>
          <cell r="E394" t="str">
            <v>bộ</v>
          </cell>
          <cell r="F394">
            <v>78200</v>
          </cell>
        </row>
        <row r="395">
          <cell r="B395" t="str">
            <v>B22650V2</v>
          </cell>
          <cell r="D395" t="str">
            <v xml:space="preserve">Bulông M22x650VRS + 2 vòng đệm vuông d24 (80x80x6) </v>
          </cell>
          <cell r="E395" t="str">
            <v>bộ</v>
          </cell>
        </row>
        <row r="396">
          <cell r="B396" t="str">
            <v>B22700V</v>
          </cell>
          <cell r="D396" t="str">
            <v>Bulông M22x700VRS + 4 vòng đệm vuông d18 - 22 - 24 (50x50x5) + 4 Đai ốc</v>
          </cell>
          <cell r="E396" t="str">
            <v>bộ</v>
          </cell>
          <cell r="F396">
            <v>90100</v>
          </cell>
        </row>
        <row r="397">
          <cell r="B397" t="str">
            <v>B22750V</v>
          </cell>
          <cell r="D397" t="str">
            <v>Bulông M22x750VRS + 4 vòng đệm vuông d18 - 22 - 24 (50x50x5) + 4 Đai ốc</v>
          </cell>
          <cell r="E397" t="str">
            <v>bộ</v>
          </cell>
          <cell r="F397">
            <v>100600</v>
          </cell>
        </row>
        <row r="398">
          <cell r="B398" t="str">
            <v>B22800V</v>
          </cell>
          <cell r="D398" t="str">
            <v>Bulông M22x800VRS + 4 vòng đệm vuông d24 (80x80x6)</v>
          </cell>
          <cell r="E398" t="str">
            <v>bộ</v>
          </cell>
          <cell r="F398">
            <v>90100</v>
          </cell>
        </row>
        <row r="399">
          <cell r="B399" t="str">
            <v>B22800V2</v>
          </cell>
          <cell r="D399" t="str">
            <v>Bulông M22x800VRS + 2 vòng đệm vuông d24 (80x80x6)</v>
          </cell>
          <cell r="E399" t="str">
            <v>bộ</v>
          </cell>
        </row>
        <row r="400">
          <cell r="B400" t="str">
            <v>B22850V</v>
          </cell>
          <cell r="D400" t="str">
            <v>Bulông M22x850VRS + 4 vòng đệm vuông d18 - 22 - 24 (50x50x5) + 4 Đai ốc</v>
          </cell>
          <cell r="E400" t="str">
            <v>bộ</v>
          </cell>
          <cell r="F400">
            <v>94100</v>
          </cell>
        </row>
        <row r="401">
          <cell r="B401" t="str">
            <v>B22900V</v>
          </cell>
          <cell r="D401" t="str">
            <v>Bulông M22x900VRS + 4 vòng đệm vuông d18 - 22 - 24 (50x50x5) + 4 Đai ốc</v>
          </cell>
          <cell r="E401" t="str">
            <v>bộ</v>
          </cell>
          <cell r="F401">
            <v>113100</v>
          </cell>
        </row>
        <row r="402">
          <cell r="B402" t="str">
            <v>B22950V</v>
          </cell>
          <cell r="D402" t="str">
            <v>Bulông M22x950VRS + 4 vòng đệm vuông d18 - 22 - 24 (50x50x5) + 4 Đai ốc</v>
          </cell>
          <cell r="E402" t="str">
            <v>bộ</v>
          </cell>
          <cell r="F402">
            <v>117000</v>
          </cell>
        </row>
        <row r="403">
          <cell r="B403" t="str">
            <v>B221000V</v>
          </cell>
          <cell r="D403" t="str">
            <v>Bulông M22x1000VRS + 4 vòng đệm vuông d18 - 22 - 24 (50x50x5) + 4 Đai ốc</v>
          </cell>
          <cell r="E403" t="str">
            <v>bộ</v>
          </cell>
          <cell r="F403">
            <v>106000</v>
          </cell>
        </row>
        <row r="404">
          <cell r="B404" t="str">
            <v>B221050V</v>
          </cell>
          <cell r="D404" t="str">
            <v>Bulông M22x1050VRS + 4 vòng đệm vuông  d24 (80x80x6)</v>
          </cell>
          <cell r="E404" t="str">
            <v>bộ</v>
          </cell>
          <cell r="F404">
            <v>223000</v>
          </cell>
        </row>
        <row r="405">
          <cell r="B405" t="str">
            <v>B221100V</v>
          </cell>
          <cell r="D405" t="str">
            <v>Bulông M22x1100VRS + 4 vòng đệm vuông d18 - 22 - 24 (50x50x5) + 4 Đai ốc</v>
          </cell>
          <cell r="E405" t="str">
            <v>bộ</v>
          </cell>
          <cell r="F405">
            <v>117000</v>
          </cell>
        </row>
        <row r="406">
          <cell r="B406" t="str">
            <v>B221150V</v>
          </cell>
          <cell r="D406" t="str">
            <v>Bulông M22x1150VRS + 4 vòng đệm vuông  d24 (80x80x6)</v>
          </cell>
          <cell r="E406" t="str">
            <v>bộ</v>
          </cell>
          <cell r="F406">
            <v>223000</v>
          </cell>
        </row>
        <row r="407">
          <cell r="B407" t="str">
            <v>B221200V</v>
          </cell>
          <cell r="D407" t="str">
            <v>Bulông M22x1200VRS + 4 vòng đệm vuông d18 - 22 - 24 (50x50x5) + 4 Đai ốc</v>
          </cell>
          <cell r="E407" t="str">
            <v>bộ</v>
          </cell>
          <cell r="F407">
            <v>117000</v>
          </cell>
        </row>
        <row r="408">
          <cell r="B408" t="str">
            <v>B221250V</v>
          </cell>
          <cell r="D408" t="str">
            <v>Bulông M22x1250VRS + 4 vòng đệm vuông d18 - 22 - 24 (50x50x5) + 4 Đai ốc</v>
          </cell>
          <cell r="E408" t="str">
            <v>bộ</v>
          </cell>
          <cell r="F408">
            <v>117000</v>
          </cell>
        </row>
        <row r="409">
          <cell r="B409" t="str">
            <v>Bulông 30</v>
          </cell>
        </row>
        <row r="410">
          <cell r="B410" t="str">
            <v>B30800</v>
          </cell>
          <cell r="D410" t="str">
            <v xml:space="preserve">Bulông M30x800 + vòng đệm vuông (57x57x5) </v>
          </cell>
          <cell r="E410" t="str">
            <v>bộ</v>
          </cell>
        </row>
        <row r="411">
          <cell r="B411" t="str">
            <v>B301000</v>
          </cell>
          <cell r="D411" t="str">
            <v xml:space="preserve">Bulông M30x1000 + vòng đệm vuông (57x57x5) </v>
          </cell>
          <cell r="E411" t="str">
            <v>bộ</v>
          </cell>
        </row>
        <row r="412">
          <cell r="B412" t="str">
            <v>BUGD</v>
          </cell>
          <cell r="D412" t="str">
            <v>Bulông U giữ dây</v>
          </cell>
          <cell r="E412" t="str">
            <v>cái</v>
          </cell>
        </row>
        <row r="413">
          <cell r="B413" t="str">
            <v>DAÂY DAÃN</v>
          </cell>
        </row>
        <row r="414">
          <cell r="B414" t="str">
            <v>CÁP ĐỒNG TRẦN</v>
          </cell>
        </row>
        <row r="415">
          <cell r="B415" t="str">
            <v>M22</v>
          </cell>
          <cell r="D415" t="str">
            <v>Cáp đồng trần M22mm²</v>
          </cell>
          <cell r="E415" t="str">
            <v>kg</v>
          </cell>
          <cell r="F415">
            <v>312640</v>
          </cell>
        </row>
        <row r="416">
          <cell r="B416" t="str">
            <v>M25</v>
          </cell>
          <cell r="D416" t="str">
            <v>Cáp đồng trần M25mm²</v>
          </cell>
          <cell r="E416" t="str">
            <v>kg</v>
          </cell>
          <cell r="F416">
            <v>312640</v>
          </cell>
        </row>
        <row r="417">
          <cell r="B417" t="str">
            <v>M50</v>
          </cell>
          <cell r="D417" t="str">
            <v>Cáp đồng trần M50mm²</v>
          </cell>
          <cell r="E417" t="str">
            <v>kg</v>
          </cell>
          <cell r="F417">
            <v>296500</v>
          </cell>
        </row>
        <row r="418">
          <cell r="B418" t="str">
            <v>M70</v>
          </cell>
          <cell r="D418" t="str">
            <v>Cáp đồng trần M70mm²</v>
          </cell>
          <cell r="E418" t="str">
            <v>kg</v>
          </cell>
          <cell r="F418">
            <v>319510</v>
          </cell>
        </row>
        <row r="419">
          <cell r="B419" t="str">
            <v>CÁP ĐỒNG TRẦN</v>
          </cell>
        </row>
        <row r="420">
          <cell r="B420" t="str">
            <v>CU/XLPE185</v>
          </cell>
          <cell r="D420" t="str">
            <v xml:space="preserve"> Cáp ngầm 3 pha-CXV(CRV)/Sehh-DSTA-3x185mm²-24kV</v>
          </cell>
          <cell r="E420" t="str">
            <v>mét</v>
          </cell>
          <cell r="F420">
            <v>0</v>
          </cell>
          <cell r="I420">
            <v>0</v>
          </cell>
          <cell r="J420" t="str">
            <v>ĐM285 / 100</v>
          </cell>
        </row>
        <row r="421">
          <cell r="B421" t="str">
            <v>CU/XLPE50</v>
          </cell>
          <cell r="C421" t="str">
            <v>07.3202</v>
          </cell>
          <cell r="D421" t="str">
            <v xml:space="preserve"> Cáp ngầm 3 pha-CXV(CRV)/Sehh-DSTA-3x50mm²-24kV</v>
          </cell>
          <cell r="E421" t="str">
            <v>mét</v>
          </cell>
          <cell r="F421">
            <v>1028590</v>
          </cell>
          <cell r="I421">
            <v>0</v>
          </cell>
          <cell r="J421" t="str">
            <v>ĐM285 / 100</v>
          </cell>
        </row>
        <row r="422">
          <cell r="B422" t="str">
            <v>CU/XLPE70</v>
          </cell>
          <cell r="D422" t="str">
            <v xml:space="preserve"> Cáp ngầm 3 pha-CXV(CRV)/Sehh-DSTA-3x70mm²-24kV</v>
          </cell>
          <cell r="E422" t="str">
            <v>mét</v>
          </cell>
          <cell r="F422">
            <v>0</v>
          </cell>
          <cell r="I422">
            <v>0</v>
          </cell>
          <cell r="J422" t="str">
            <v>ĐM285 / 100</v>
          </cell>
        </row>
        <row r="423">
          <cell r="B423" t="str">
            <v>CU/XLPE120</v>
          </cell>
          <cell r="D423" t="str">
            <v xml:space="preserve"> Cáp ngầm 3 pha-CXV(CRV)/Sehh-DSTA-3x120mm²-24kV</v>
          </cell>
          <cell r="E423" t="str">
            <v>mét</v>
          </cell>
          <cell r="F423">
            <v>0</v>
          </cell>
          <cell r="I423">
            <v>0</v>
          </cell>
          <cell r="J423" t="str">
            <v>ĐM285 / 100</v>
          </cell>
        </row>
        <row r="424">
          <cell r="B424" t="str">
            <v>CU/XLPE240</v>
          </cell>
          <cell r="D424" t="str">
            <v xml:space="preserve"> Cáp ngầm 3 pha-CXV(CRV)/Sehh-DSTA-3x240mm²-24kV</v>
          </cell>
          <cell r="E424" t="str">
            <v>mét</v>
          </cell>
          <cell r="F424">
            <v>2873750</v>
          </cell>
          <cell r="I424">
            <v>0</v>
          </cell>
          <cell r="J424" t="str">
            <v>ĐM285 / 100</v>
          </cell>
        </row>
        <row r="425">
          <cell r="B425" t="str">
            <v>CU/XLPE240-1</v>
          </cell>
          <cell r="D425" t="str">
            <v xml:space="preserve"> Cáp ngầm 1 pha CXV/S/DSTA240</v>
          </cell>
          <cell r="E425" t="str">
            <v>mét</v>
          </cell>
          <cell r="F425">
            <v>820000</v>
          </cell>
          <cell r="I425">
            <v>0</v>
          </cell>
        </row>
        <row r="426">
          <cell r="B426" t="str">
            <v>CU/XLPE300</v>
          </cell>
          <cell r="D426" t="str">
            <v xml:space="preserve"> Cáp ngầm 3 pha-CXV(CRV)/Sehh-DSTA-3x300mm²-24kV</v>
          </cell>
          <cell r="E426" t="str">
            <v>mét</v>
          </cell>
          <cell r="F426">
            <v>0</v>
          </cell>
          <cell r="I426">
            <v>0</v>
          </cell>
          <cell r="J426" t="str">
            <v>"</v>
          </cell>
        </row>
        <row r="427">
          <cell r="B427" t="str">
            <v>CU/XLPE1x300</v>
          </cell>
          <cell r="D427" t="str">
            <v xml:space="preserve"> Cáp ngầm 3 pha-CXV(CRV)/Sehh-DSTA-1x300mm²-24kV</v>
          </cell>
          <cell r="E427" t="str">
            <v>mét</v>
          </cell>
          <cell r="F427">
            <v>0</v>
          </cell>
          <cell r="I427">
            <v>0</v>
          </cell>
          <cell r="J427" t="str">
            <v>"</v>
          </cell>
        </row>
        <row r="428">
          <cell r="B428" t="str">
            <v>CÁP NHÔM LÕI THÉP CHỐNG THẤM</v>
          </cell>
        </row>
        <row r="429">
          <cell r="B429" t="str">
            <v>XLPE50CT</v>
          </cell>
          <cell r="D429" t="str">
            <v>Dây nhôm bọc lõi thép chống thấm cách điện ACXH/WB-24KV-50mm²</v>
          </cell>
          <cell r="E429" t="str">
            <v>mét</v>
          </cell>
          <cell r="F429">
            <v>47960</v>
          </cell>
          <cell r="J429" t="str">
            <v>ĐM285 / 1000</v>
          </cell>
        </row>
        <row r="430">
          <cell r="B430" t="str">
            <v>ACXH70</v>
          </cell>
          <cell r="D430" t="str">
            <v>Dây nhôm bọc lõi thép chống thấm cách điện ACXH/WB-24KV-70mm²</v>
          </cell>
          <cell r="E430" t="str">
            <v>mét</v>
          </cell>
          <cell r="F430">
            <v>55873</v>
          </cell>
          <cell r="J430" t="str">
            <v>"</v>
          </cell>
        </row>
        <row r="431">
          <cell r="B431" t="str">
            <v>ACXH95</v>
          </cell>
          <cell r="D431" t="str">
            <v>Dây nhôm lõi thép bọc chống thấm Cách điện XLPE, vỏ HDPE 24 kV [ACXH]-95/16</v>
          </cell>
          <cell r="E431" t="str">
            <v>mét</v>
          </cell>
          <cell r="F431">
            <v>72040</v>
          </cell>
          <cell r="J431" t="str">
            <v>"</v>
          </cell>
        </row>
        <row r="432">
          <cell r="B432" t="str">
            <v>ACXH120</v>
          </cell>
          <cell r="D432" t="str">
            <v>Dây nhôm bọc lõi thép chống thấm cách điện ACXH/WB-24KV-120mm²</v>
          </cell>
          <cell r="E432" t="str">
            <v>mét</v>
          </cell>
          <cell r="F432">
            <v>84130</v>
          </cell>
          <cell r="J432" t="str">
            <v>"</v>
          </cell>
        </row>
        <row r="433">
          <cell r="B433" t="str">
            <v>ACXH150</v>
          </cell>
          <cell r="D433" t="str">
            <v>Dây nhôm bọc lõi thép chống thấm cách điện ACXH/WB-24KV-150mm²</v>
          </cell>
          <cell r="E433" t="str">
            <v>mét</v>
          </cell>
          <cell r="F433">
            <v>99170</v>
          </cell>
          <cell r="J433" t="str">
            <v>"</v>
          </cell>
        </row>
        <row r="434">
          <cell r="B434" t="str">
            <v>ACXH185</v>
          </cell>
          <cell r="D434" t="str">
            <v>Dây nhôm lõi thép bọc chống thấm Cách điện XLPE, vỏ HDPE 24 kV [ACXH]-185/24</v>
          </cell>
          <cell r="E434" t="str">
            <v>mét</v>
          </cell>
          <cell r="F434">
            <v>103898</v>
          </cell>
          <cell r="J434" t="str">
            <v>"</v>
          </cell>
        </row>
        <row r="435">
          <cell r="B435" t="str">
            <v>ACXH50</v>
          </cell>
          <cell r="D435" t="str">
            <v>Dây nhôm bọc lõi thép chống thấm cách điện ACXH/WB-24KV-50mm²</v>
          </cell>
          <cell r="E435" t="str">
            <v>mét</v>
          </cell>
          <cell r="F435">
            <v>46480</v>
          </cell>
          <cell r="J435" t="str">
            <v>"</v>
          </cell>
        </row>
        <row r="436">
          <cell r="B436" t="str">
            <v>ACXH240</v>
          </cell>
          <cell r="D436" t="str">
            <v>Dây nhôm bọc lõi thép chống thấm cách điện ACXH/WB-24KV-240mm²</v>
          </cell>
          <cell r="E436" t="str">
            <v>mét</v>
          </cell>
          <cell r="F436">
            <v>141250</v>
          </cell>
          <cell r="J436" t="str">
            <v>"</v>
          </cell>
        </row>
        <row r="437">
          <cell r="B437" t="str">
            <v>XLPEAX240CT</v>
          </cell>
          <cell r="D437" t="str">
            <v>Dây nhôm chống thấm cách điện XLPE AX/WB- 24KV240mm²</v>
          </cell>
          <cell r="E437" t="str">
            <v>mét</v>
          </cell>
          <cell r="J437" t="str">
            <v>"</v>
          </cell>
        </row>
        <row r="438">
          <cell r="B438" t="str">
            <v>duplex2x4</v>
          </cell>
          <cell r="D438" t="str">
            <v>Cáp Duplex Du-CV-2x4</v>
          </cell>
          <cell r="E438" t="str">
            <v>mét</v>
          </cell>
          <cell r="F438">
            <v>22300</v>
          </cell>
          <cell r="J438" t="str">
            <v>"</v>
          </cell>
        </row>
        <row r="439">
          <cell r="B439" t="str">
            <v>duplex2x6</v>
          </cell>
          <cell r="D439" t="str">
            <v>Cáp Duplex Du-CV-2x6</v>
          </cell>
          <cell r="E439" t="str">
            <v>mét</v>
          </cell>
          <cell r="F439">
            <v>36100</v>
          </cell>
          <cell r="J439" t="str">
            <v>"</v>
          </cell>
        </row>
        <row r="440">
          <cell r="B440" t="str">
            <v>duplex2x7</v>
          </cell>
          <cell r="D440" t="str">
            <v>Cáp Duplex Du-CV-2x7</v>
          </cell>
          <cell r="E440" t="str">
            <v>mét</v>
          </cell>
          <cell r="F440">
            <v>36100</v>
          </cell>
          <cell r="J440" t="str">
            <v>"</v>
          </cell>
        </row>
        <row r="441">
          <cell r="B441" t="str">
            <v>duplex2x10</v>
          </cell>
          <cell r="D441" t="str">
            <v>Cáp Duplex Du-CV-2x10</v>
          </cell>
          <cell r="E441" t="str">
            <v>mét</v>
          </cell>
          <cell r="F441">
            <v>62700</v>
          </cell>
          <cell r="J441" t="str">
            <v>"</v>
          </cell>
        </row>
        <row r="442">
          <cell r="B442" t="str">
            <v>duplex2x11</v>
          </cell>
          <cell r="D442" t="str">
            <v>Cáp Duplex Du-CV-2x11</v>
          </cell>
          <cell r="E442" t="str">
            <v>mét</v>
          </cell>
          <cell r="F442">
            <v>54700</v>
          </cell>
          <cell r="J442" t="str">
            <v>"</v>
          </cell>
        </row>
        <row r="443">
          <cell r="B443" t="str">
            <v>duplex2x25</v>
          </cell>
          <cell r="D443" t="str">
            <v>Cáp Duplex Du-CV-2x25</v>
          </cell>
          <cell r="E443" t="str">
            <v>mét</v>
          </cell>
          <cell r="F443">
            <v>0</v>
          </cell>
          <cell r="J443" t="str">
            <v>"</v>
          </cell>
        </row>
        <row r="444">
          <cell r="B444" t="str">
            <v>CÁP NHÔM LÕI THÉP BOC CÁCH ĐIỆN XLPE</v>
          </cell>
        </row>
        <row r="445">
          <cell r="B445" t="str">
            <v>XLPE50A</v>
          </cell>
          <cell r="D445" t="str">
            <v>Dây nhôm bọc  cách điện AL/XLPE - 24KV-50mm²</v>
          </cell>
          <cell r="E445" t="str">
            <v>mét</v>
          </cell>
          <cell r="F445">
            <v>57000</v>
          </cell>
          <cell r="J445" t="str">
            <v>ĐM285 / 1000</v>
          </cell>
        </row>
        <row r="446">
          <cell r="B446" t="str">
            <v>XLPE70A</v>
          </cell>
          <cell r="D446" t="str">
            <v>Dây nhôm bọc  cách điện AL/XLPE - 24KV-70mm²</v>
          </cell>
          <cell r="E446" t="str">
            <v>mét</v>
          </cell>
          <cell r="F446">
            <v>67700</v>
          </cell>
          <cell r="J446" t="str">
            <v>"</v>
          </cell>
        </row>
        <row r="447">
          <cell r="B447" t="str">
            <v>XLPE95A</v>
          </cell>
          <cell r="D447" t="str">
            <v>Dây nhôm bọc  cách điện AL/XLPE - 24KV-95mm²</v>
          </cell>
          <cell r="E447" t="str">
            <v>mét</v>
          </cell>
          <cell r="F447">
            <v>80900</v>
          </cell>
          <cell r="J447" t="str">
            <v>"</v>
          </cell>
        </row>
        <row r="448">
          <cell r="B448" t="str">
            <v>XLPE120A</v>
          </cell>
          <cell r="D448" t="str">
            <v>Dây nhôm bọc  cách điện AL/XLPE - 24KV-120mm²</v>
          </cell>
          <cell r="E448" t="str">
            <v>mét</v>
          </cell>
          <cell r="F448">
            <v>92900</v>
          </cell>
          <cell r="J448" t="str">
            <v>"</v>
          </cell>
        </row>
        <row r="449">
          <cell r="B449" t="str">
            <v>XLPE150A</v>
          </cell>
          <cell r="D449" t="str">
            <v>Dây nhôm bọc  cách điện AL/XLPE - 24KV-150mm²</v>
          </cell>
          <cell r="E449" t="str">
            <v>mét</v>
          </cell>
          <cell r="F449">
            <v>106300</v>
          </cell>
          <cell r="J449" t="str">
            <v>"</v>
          </cell>
        </row>
        <row r="450">
          <cell r="B450" t="str">
            <v>XLPE185A</v>
          </cell>
          <cell r="D450" t="str">
            <v>Dây nhôm bọc  cách điện AL/XLPE - 24KV-185mm²</v>
          </cell>
          <cell r="E450" t="str">
            <v>mét</v>
          </cell>
          <cell r="F450">
            <v>117800</v>
          </cell>
          <cell r="J450" t="str">
            <v>"</v>
          </cell>
        </row>
        <row r="451">
          <cell r="B451" t="str">
            <v>XLPE240A</v>
          </cell>
          <cell r="D451" t="str">
            <v>Dây nhôm bọc  cách điện AL/XLPE - 24KV-240mm²</v>
          </cell>
          <cell r="E451" t="str">
            <v>mét</v>
          </cell>
          <cell r="F451">
            <v>141300</v>
          </cell>
          <cell r="J451" t="str">
            <v>"</v>
          </cell>
        </row>
        <row r="452">
          <cell r="B452" t="str">
            <v>CÁP NHÔM LÕI THÉP : AC.A (CHO VÙNG BỊ NHIỄM MẶN)</v>
          </cell>
        </row>
        <row r="453">
          <cell r="B453" t="str">
            <v>AC.A50</v>
          </cell>
          <cell r="D453" t="str">
            <v>Dây dẫn nhôm lõi thép trần AC.A-50/8</v>
          </cell>
          <cell r="E453" t="str">
            <v>kg</v>
          </cell>
          <cell r="F453">
            <v>79200</v>
          </cell>
          <cell r="J453" t="str">
            <v>ĐM285/KLR/1000</v>
          </cell>
        </row>
        <row r="454">
          <cell r="B454" t="str">
            <v>AC.A70</v>
          </cell>
          <cell r="D454" t="str">
            <v>Dây dẫn nhôm lõi thép trần AC.A-70/11</v>
          </cell>
          <cell r="E454" t="str">
            <v>kg</v>
          </cell>
          <cell r="F454">
            <v>75200</v>
          </cell>
          <cell r="J454" t="str">
            <v>"</v>
          </cell>
        </row>
        <row r="455">
          <cell r="B455" t="str">
            <v>AC.A95</v>
          </cell>
          <cell r="D455" t="str">
            <v>Dây dẫn nhôm lõi thép trần AC.A-95/16</v>
          </cell>
          <cell r="E455" t="str">
            <v>kg</v>
          </cell>
          <cell r="F455">
            <v>75200</v>
          </cell>
          <cell r="J455" t="str">
            <v>"</v>
          </cell>
        </row>
        <row r="456">
          <cell r="B456" t="str">
            <v>AC.A120</v>
          </cell>
          <cell r="D456" t="str">
            <v>Dây dẫn nhôm lõi thép trần AC.A-120/27</v>
          </cell>
          <cell r="E456" t="str">
            <v>kg</v>
          </cell>
          <cell r="F456">
            <v>75200</v>
          </cell>
          <cell r="J456" t="str">
            <v>"</v>
          </cell>
        </row>
        <row r="457">
          <cell r="B457" t="str">
            <v>AC.A150</v>
          </cell>
          <cell r="D457" t="str">
            <v>Dây dẫn nhôm lõi thép trần AC.A-150/24</v>
          </cell>
          <cell r="E457" t="str">
            <v>kg</v>
          </cell>
          <cell r="F457">
            <v>75200</v>
          </cell>
          <cell r="J457" t="str">
            <v>"</v>
          </cell>
        </row>
        <row r="458">
          <cell r="B458" t="str">
            <v>AC.A185</v>
          </cell>
          <cell r="D458" t="str">
            <v>Dây dẫn nhôm lõi thép trần AC.A-185/24</v>
          </cell>
          <cell r="E458" t="str">
            <v>kg</v>
          </cell>
          <cell r="F458">
            <v>76400</v>
          </cell>
          <cell r="J458" t="str">
            <v>"</v>
          </cell>
        </row>
        <row r="459">
          <cell r="B459" t="str">
            <v>AC.A240</v>
          </cell>
          <cell r="D459" t="str">
            <v>Dây dẫn nhôm lõi thép trần AC.A-240/32</v>
          </cell>
          <cell r="E459" t="str">
            <v>kg</v>
          </cell>
          <cell r="F459">
            <v>76400</v>
          </cell>
          <cell r="J459" t="str">
            <v>"</v>
          </cell>
        </row>
        <row r="460">
          <cell r="B460" t="str">
            <v>ACKP35</v>
          </cell>
          <cell r="D460" t="str">
            <v>Dây dẫn nhôm lõi thép bọc mỡ ACKP-35/6,2</v>
          </cell>
          <cell r="E460" t="str">
            <v>kg</v>
          </cell>
          <cell r="F460">
            <v>60400</v>
          </cell>
          <cell r="J460" t="str">
            <v>ĐM285/KLR/1000</v>
          </cell>
        </row>
        <row r="461">
          <cell r="B461" t="str">
            <v>ACKP50</v>
          </cell>
          <cell r="D461" t="str">
            <v>Dây dẫn nhôm lõi thép bọc mỡ ACKP-50/8</v>
          </cell>
          <cell r="E461" t="str">
            <v>kg</v>
          </cell>
          <cell r="F461">
            <v>60400</v>
          </cell>
          <cell r="J461" t="str">
            <v>ĐM285/KLR/1000</v>
          </cell>
        </row>
        <row r="462">
          <cell r="B462" t="str">
            <v>ACKP70</v>
          </cell>
          <cell r="D462" t="str">
            <v>Dây dẫn nhôm lõi thép bọc mỡ ACKP-70/11</v>
          </cell>
          <cell r="E462" t="str">
            <v>kg</v>
          </cell>
          <cell r="F462">
            <v>59120</v>
          </cell>
          <cell r="J462" t="str">
            <v>"</v>
          </cell>
        </row>
        <row r="463">
          <cell r="B463" t="str">
            <v>ACKP95</v>
          </cell>
          <cell r="D463" t="str">
            <v>Dây dẫn nhôm lõi thép bọc mỡ ACKP-95/16</v>
          </cell>
          <cell r="E463" t="str">
            <v>kg</v>
          </cell>
          <cell r="F463">
            <v>59750</v>
          </cell>
          <cell r="J463" t="str">
            <v>"</v>
          </cell>
        </row>
        <row r="464">
          <cell r="B464" t="str">
            <v>ACKP120</v>
          </cell>
          <cell r="D464" t="str">
            <v>Dây dẫn nhôm lõi thép bọc mỡ ACKP-120/27</v>
          </cell>
          <cell r="E464" t="str">
            <v>kg</v>
          </cell>
          <cell r="F464">
            <v>61900</v>
          </cell>
          <cell r="J464" t="str">
            <v>"</v>
          </cell>
        </row>
        <row r="465">
          <cell r="B465" t="str">
            <v>ACKP150</v>
          </cell>
          <cell r="D465" t="str">
            <v>Dây dẫn nhôm lõi thép bọc mỡ ACKP-150/24</v>
          </cell>
          <cell r="E465" t="str">
            <v>kg</v>
          </cell>
          <cell r="F465">
            <v>61900</v>
          </cell>
          <cell r="J465" t="str">
            <v>"</v>
          </cell>
        </row>
        <row r="466">
          <cell r="B466" t="str">
            <v>ACKP185</v>
          </cell>
          <cell r="D466" t="str">
            <v>Dây dẫn nhôm lõi thép bọc mỡ ACKP-185/24</v>
          </cell>
          <cell r="E466" t="str">
            <v>kg</v>
          </cell>
          <cell r="F466">
            <v>61500</v>
          </cell>
          <cell r="J466" t="str">
            <v>"</v>
          </cell>
        </row>
        <row r="467">
          <cell r="B467" t="str">
            <v>ACKP240</v>
          </cell>
          <cell r="D467" t="str">
            <v>Dây dẫn nhôm lõi thép bọc mỡ ACKP-240/32</v>
          </cell>
          <cell r="E467" t="str">
            <v>kg</v>
          </cell>
          <cell r="F467">
            <v>61900</v>
          </cell>
          <cell r="J467" t="str">
            <v>"</v>
          </cell>
        </row>
        <row r="468">
          <cell r="B468" t="str">
            <v>AsXV70</v>
          </cell>
          <cell r="D468" t="str">
            <v>Dây dẫn nhôm lõi thép bọc bọc cách điện AsV70/11</v>
          </cell>
          <cell r="E468" t="str">
            <v>m</v>
          </cell>
          <cell r="F468">
            <v>18700</v>
          </cell>
          <cell r="J468" t="str">
            <v>"</v>
          </cell>
        </row>
        <row r="469">
          <cell r="B469" t="str">
            <v>AsXV95</v>
          </cell>
          <cell r="D469" t="str">
            <v>Dây dẫn nhôm lõi thép bọc bọc cách điện AsV95/16</v>
          </cell>
          <cell r="E469" t="str">
            <v>m</v>
          </cell>
          <cell r="F469">
            <v>32401.81818181818</v>
          </cell>
          <cell r="J469" t="str">
            <v>"</v>
          </cell>
        </row>
        <row r="470">
          <cell r="B470" t="str">
            <v>CÁP NHÔM LÕI THÉP : AC</v>
          </cell>
        </row>
        <row r="471">
          <cell r="B471" t="str">
            <v>AC35</v>
          </cell>
          <cell r="D471" t="str">
            <v>Dây dẫn nhôm lõi thép trần AC 35/6,2</v>
          </cell>
          <cell r="E471" t="str">
            <v>kg</v>
          </cell>
          <cell r="F471">
            <v>79670</v>
          </cell>
          <cell r="J471" t="str">
            <v>ĐM285/KLR/1000</v>
          </cell>
        </row>
        <row r="472">
          <cell r="B472" t="str">
            <v>AC50</v>
          </cell>
          <cell r="D472" t="str">
            <v>Dây dẫn nhôm lõi thép trần AC 50/8</v>
          </cell>
          <cell r="E472" t="str">
            <v>kg</v>
          </cell>
          <cell r="F472">
            <v>76882</v>
          </cell>
          <cell r="J472" t="str">
            <v>"</v>
          </cell>
        </row>
        <row r="473">
          <cell r="B473" t="str">
            <v>AC70</v>
          </cell>
          <cell r="D473" t="str">
            <v>Dây dẫn nhôm lõi thép trần AC 70/11</v>
          </cell>
          <cell r="E473" t="str">
            <v>kg</v>
          </cell>
          <cell r="F473">
            <v>78070</v>
          </cell>
          <cell r="J473" t="str">
            <v>"</v>
          </cell>
        </row>
        <row r="474">
          <cell r="B474" t="str">
            <v>AC95</v>
          </cell>
          <cell r="D474" t="str">
            <v>Dây dẫn nhôm lõi thép trần AC 95/16</v>
          </cell>
          <cell r="E474" t="str">
            <v>kg</v>
          </cell>
          <cell r="F474">
            <v>75764</v>
          </cell>
          <cell r="J474" t="str">
            <v>"</v>
          </cell>
        </row>
        <row r="475">
          <cell r="B475" t="str">
            <v>AC120</v>
          </cell>
          <cell r="D475" t="str">
            <v>Dây dẫn nhôm lõi thép trần AC 120/19</v>
          </cell>
          <cell r="E475" t="str">
            <v>kg</v>
          </cell>
          <cell r="F475">
            <v>73000</v>
          </cell>
          <cell r="J475" t="str">
            <v>"</v>
          </cell>
        </row>
        <row r="476">
          <cell r="B476" t="str">
            <v>AC120/27</v>
          </cell>
          <cell r="D476" t="str">
            <v>Dây dẫn nhôm lõi thép trần AC 120/27</v>
          </cell>
          <cell r="E476" t="str">
            <v>kg</v>
          </cell>
          <cell r="F476">
            <v>0</v>
          </cell>
          <cell r="J476" t="str">
            <v>"</v>
          </cell>
        </row>
        <row r="477">
          <cell r="B477" t="str">
            <v>AC150</v>
          </cell>
          <cell r="D477" t="str">
            <v>Dây dẫn nhôm lõi thép trần AC 150/19</v>
          </cell>
          <cell r="E477" t="str">
            <v>kg</v>
          </cell>
          <cell r="F477">
            <v>81530</v>
          </cell>
          <cell r="J477" t="str">
            <v>"</v>
          </cell>
        </row>
        <row r="478">
          <cell r="B478" t="str">
            <v>AC185</v>
          </cell>
          <cell r="D478" t="str">
            <v>Dây dẫn nhôm lõi thép trần AC 185/24</v>
          </cell>
          <cell r="E478" t="str">
            <v>kg</v>
          </cell>
          <cell r="F478">
            <v>70000</v>
          </cell>
          <cell r="J478" t="str">
            <v>"</v>
          </cell>
        </row>
        <row r="479">
          <cell r="B479" t="str">
            <v>AC240</v>
          </cell>
          <cell r="D479" t="str">
            <v>Dây dẫn nhôm lõi thép trần AC 240/32</v>
          </cell>
          <cell r="E479" t="str">
            <v>mét</v>
          </cell>
          <cell r="F479">
            <v>74470</v>
          </cell>
          <cell r="J479" t="str">
            <v>"</v>
          </cell>
        </row>
        <row r="480">
          <cell r="B480" t="str">
            <v>CÁP NHÔM BỌC HẠ ÁP : AV</v>
          </cell>
        </row>
        <row r="481">
          <cell r="B481" t="str">
            <v>av35</v>
          </cell>
          <cell r="D481" t="str">
            <v>Dây dẫn nhôm bọc AV35</v>
          </cell>
          <cell r="E481" t="str">
            <v>mét</v>
          </cell>
          <cell r="F481">
            <v>13450</v>
          </cell>
          <cell r="J481" t="str">
            <v>ĐM285 / 1000</v>
          </cell>
        </row>
        <row r="482">
          <cell r="B482" t="str">
            <v>av50</v>
          </cell>
          <cell r="D482" t="str">
            <v>Dây dẫn nhôm bọc AV50</v>
          </cell>
          <cell r="E482" t="str">
            <v>mét</v>
          </cell>
          <cell r="F482">
            <v>18820</v>
          </cell>
          <cell r="J482" t="str">
            <v>"</v>
          </cell>
        </row>
        <row r="483">
          <cell r="B483" t="str">
            <v>av70</v>
          </cell>
          <cell r="D483" t="str">
            <v>Dây dẫn nhôm bọc AV70</v>
          </cell>
          <cell r="E483" t="str">
            <v>mét</v>
          </cell>
          <cell r="F483">
            <v>25400</v>
          </cell>
          <cell r="J483" t="str">
            <v>"</v>
          </cell>
        </row>
        <row r="484">
          <cell r="B484" t="str">
            <v>av70-1</v>
          </cell>
          <cell r="C484" t="str">
            <v>T4.4201</v>
          </cell>
          <cell r="D484" t="str">
            <v>Dây dẫn nhôm bọc AV70 (Dây dẫn từ MCCB lên lưới hạ thế)</v>
          </cell>
          <cell r="E484" t="str">
            <v>mét</v>
          </cell>
          <cell r="F484">
            <v>25400</v>
          </cell>
          <cell r="G484">
            <v>1900</v>
          </cell>
          <cell r="H484">
            <v>11838.7</v>
          </cell>
          <cell r="I484">
            <v>0</v>
          </cell>
          <cell r="J484" t="str">
            <v>"</v>
          </cell>
        </row>
        <row r="485">
          <cell r="B485" t="str">
            <v>av95</v>
          </cell>
          <cell r="D485" t="str">
            <v>Dây dẫn nhôm bọc AV95</v>
          </cell>
          <cell r="E485" t="str">
            <v>mét</v>
          </cell>
          <cell r="F485">
            <v>34500</v>
          </cell>
          <cell r="J485" t="str">
            <v>"</v>
          </cell>
        </row>
        <row r="486">
          <cell r="B486" t="str">
            <v>av120</v>
          </cell>
          <cell r="D486" t="str">
            <v>Dây dẫn nhôm bọc AV120</v>
          </cell>
          <cell r="E486" t="str">
            <v>mét</v>
          </cell>
          <cell r="F486">
            <v>42000</v>
          </cell>
          <cell r="J486" t="str">
            <v>"</v>
          </cell>
        </row>
        <row r="487">
          <cell r="B487" t="str">
            <v>av150</v>
          </cell>
          <cell r="D487" t="str">
            <v>Dây dẫn nhôm bọc AV150</v>
          </cell>
          <cell r="E487" t="str">
            <v>mét</v>
          </cell>
          <cell r="F487">
            <v>54000</v>
          </cell>
          <cell r="J487" t="str">
            <v>"</v>
          </cell>
        </row>
        <row r="488">
          <cell r="B488" t="str">
            <v>av185</v>
          </cell>
          <cell r="D488" t="str">
            <v>Dây dẫn nhôm bọc AV185</v>
          </cell>
          <cell r="E488" t="str">
            <v>mét</v>
          </cell>
          <cell r="F488">
            <v>66100</v>
          </cell>
          <cell r="J488" t="str">
            <v>"</v>
          </cell>
        </row>
        <row r="489">
          <cell r="B489" t="str">
            <v>av240</v>
          </cell>
          <cell r="D489" t="str">
            <v>Dây dẫn nhôm bọc AV240</v>
          </cell>
          <cell r="E489" t="str">
            <v>mét</v>
          </cell>
          <cell r="F489">
            <v>83600</v>
          </cell>
          <cell r="J489" t="str">
            <v>"</v>
          </cell>
        </row>
        <row r="490">
          <cell r="B490" t="str">
            <v>ABC2X35</v>
          </cell>
          <cell r="D490" t="str">
            <v>Cáp hạ thế ABC 2x35</v>
          </cell>
          <cell r="E490" t="str">
            <v>mét</v>
          </cell>
          <cell r="J490" t="str">
            <v>"</v>
          </cell>
        </row>
        <row r="491">
          <cell r="B491" t="str">
            <v>ABC2X50</v>
          </cell>
          <cell r="D491" t="str">
            <v>Cáp hạ thế ABC 2x50</v>
          </cell>
          <cell r="E491" t="str">
            <v>mét</v>
          </cell>
          <cell r="F491">
            <v>0</v>
          </cell>
          <cell r="J491" t="str">
            <v>"</v>
          </cell>
        </row>
        <row r="492">
          <cell r="B492" t="str">
            <v>ABC2X70</v>
          </cell>
          <cell r="D492" t="str">
            <v>Cáp hạ thế ABC 2x70</v>
          </cell>
          <cell r="E492" t="str">
            <v>mét</v>
          </cell>
          <cell r="F492">
            <v>0</v>
          </cell>
          <cell r="J492" t="str">
            <v>"</v>
          </cell>
        </row>
        <row r="493">
          <cell r="B493" t="str">
            <v>ABC2X70-1</v>
          </cell>
          <cell r="C493" t="str">
            <v>T4.4202</v>
          </cell>
          <cell r="D493" t="str">
            <v>Cáp nhôm bọc ABC 2x70 (Dây từ MCCB lên lưới hạ thế)</v>
          </cell>
          <cell r="E493" t="str">
            <v>mét</v>
          </cell>
          <cell r="F493">
            <v>0</v>
          </cell>
          <cell r="G493">
            <v>1900</v>
          </cell>
          <cell r="H493">
            <v>28412.9</v>
          </cell>
          <cell r="I493">
            <v>0</v>
          </cell>
          <cell r="J493" t="str">
            <v>"</v>
          </cell>
        </row>
        <row r="494">
          <cell r="B494" t="str">
            <v>ABC2X95</v>
          </cell>
          <cell r="D494" t="str">
            <v>Cáp hạ thế ABC 2x95</v>
          </cell>
          <cell r="E494" t="str">
            <v>mét</v>
          </cell>
          <cell r="F494">
            <v>0</v>
          </cell>
          <cell r="J494" t="str">
            <v>"</v>
          </cell>
        </row>
        <row r="495">
          <cell r="B495" t="str">
            <v>ABC2X120</v>
          </cell>
          <cell r="D495" t="str">
            <v>Cáp hạ thế ABC 2x120</v>
          </cell>
          <cell r="E495" t="str">
            <v>mét</v>
          </cell>
          <cell r="F495">
            <v>0</v>
          </cell>
          <cell r="J495" t="str">
            <v>"</v>
          </cell>
        </row>
        <row r="496">
          <cell r="B496" t="str">
            <v>ABC2X150</v>
          </cell>
          <cell r="D496" t="str">
            <v>Cáp hạ thế ABC 2x150</v>
          </cell>
          <cell r="E496" t="str">
            <v>mét</v>
          </cell>
          <cell r="F496">
            <v>0</v>
          </cell>
          <cell r="J496" t="str">
            <v>"</v>
          </cell>
        </row>
        <row r="497">
          <cell r="B497" t="str">
            <v>ABC3x35</v>
          </cell>
          <cell r="D497" t="str">
            <v>Cáp hạ thế ABC 3x35</v>
          </cell>
          <cell r="E497" t="str">
            <v>mét</v>
          </cell>
          <cell r="J497" t="str">
            <v>"</v>
          </cell>
        </row>
        <row r="498">
          <cell r="B498" t="str">
            <v>ABC3x50</v>
          </cell>
          <cell r="D498" t="str">
            <v>Cáp hạ thế ABC 3x50</v>
          </cell>
          <cell r="E498" t="str">
            <v>mét</v>
          </cell>
          <cell r="F498">
            <v>48070</v>
          </cell>
          <cell r="J498" t="str">
            <v>"</v>
          </cell>
        </row>
        <row r="499">
          <cell r="B499" t="str">
            <v>ABC3x70</v>
          </cell>
          <cell r="D499" t="str">
            <v>Cáp hạ thế ABC 3x70</v>
          </cell>
          <cell r="E499" t="str">
            <v>mét</v>
          </cell>
          <cell r="F499">
            <v>66400</v>
          </cell>
          <cell r="J499" t="str">
            <v>"</v>
          </cell>
        </row>
        <row r="500">
          <cell r="B500" t="str">
            <v>ABC3x70-1</v>
          </cell>
          <cell r="C500" t="str">
            <v>T4.4203</v>
          </cell>
          <cell r="D500" t="str">
            <v>Cáp nhôm bọc ABC 3x70 (Dây từ MCCB lên lưới hạ thế)</v>
          </cell>
          <cell r="E500" t="str">
            <v>mét</v>
          </cell>
          <cell r="F500">
            <v>66400</v>
          </cell>
          <cell r="G500">
            <v>2140</v>
          </cell>
          <cell r="H500">
            <v>40251.599999999999</v>
          </cell>
          <cell r="I500">
            <v>0</v>
          </cell>
          <cell r="J500" t="str">
            <v>"</v>
          </cell>
        </row>
        <row r="501">
          <cell r="B501" t="str">
            <v>ABC3x95</v>
          </cell>
          <cell r="D501" t="str">
            <v>Cáp hạ thế ABC 3x95</v>
          </cell>
          <cell r="E501" t="str">
            <v>mét</v>
          </cell>
          <cell r="F501">
            <v>89530</v>
          </cell>
          <cell r="J501" t="str">
            <v>"</v>
          </cell>
        </row>
        <row r="502">
          <cell r="B502" t="str">
            <v>ABC3x120</v>
          </cell>
          <cell r="D502" t="str">
            <v>Cáp hạ thế ABC 3x120</v>
          </cell>
          <cell r="E502" t="str">
            <v>mét</v>
          </cell>
          <cell r="F502">
            <v>0</v>
          </cell>
          <cell r="J502" t="str">
            <v>"</v>
          </cell>
        </row>
        <row r="503">
          <cell r="B503" t="str">
            <v>ABC3x150</v>
          </cell>
          <cell r="D503" t="str">
            <v>Cáp hạ thế ABC 3x150</v>
          </cell>
          <cell r="E503" t="str">
            <v>mét</v>
          </cell>
          <cell r="F503">
            <v>0</v>
          </cell>
          <cell r="J503" t="str">
            <v>"</v>
          </cell>
        </row>
        <row r="504">
          <cell r="B504" t="str">
            <v>ABC4X35</v>
          </cell>
          <cell r="D504" t="str">
            <v>Cáp hạ thế ABC 4x35</v>
          </cell>
          <cell r="E504" t="str">
            <v>mét</v>
          </cell>
          <cell r="J504" t="str">
            <v>"</v>
          </cell>
        </row>
        <row r="505">
          <cell r="B505" t="str">
            <v>ABC4X50</v>
          </cell>
          <cell r="D505" t="str">
            <v>Cáp hạ thế ABC 4x50</v>
          </cell>
          <cell r="E505" t="str">
            <v>mét</v>
          </cell>
          <cell r="F505">
            <v>63850</v>
          </cell>
          <cell r="J505" t="str">
            <v>"</v>
          </cell>
        </row>
        <row r="506">
          <cell r="B506" t="str">
            <v>ABC4X70</v>
          </cell>
          <cell r="D506" t="str">
            <v>Cáp hạ thế ABC 4x70</v>
          </cell>
          <cell r="E506" t="str">
            <v>mét</v>
          </cell>
          <cell r="F506">
            <v>0</v>
          </cell>
          <cell r="J506" t="str">
            <v>"</v>
          </cell>
        </row>
        <row r="507">
          <cell r="B507" t="str">
            <v>ABC4x70-1</v>
          </cell>
          <cell r="C507" t="str">
            <v>T4.4203</v>
          </cell>
          <cell r="D507" t="str">
            <v>Cáp nhôm bọc ABC 4x70 (Dây từ MCCB lên lưới hạ thế)</v>
          </cell>
          <cell r="E507" t="str">
            <v>mét</v>
          </cell>
          <cell r="F507">
            <v>0</v>
          </cell>
          <cell r="G507">
            <v>2140</v>
          </cell>
          <cell r="H507">
            <v>40251.599999999999</v>
          </cell>
          <cell r="I507">
            <v>0</v>
          </cell>
          <cell r="J507" t="str">
            <v>"</v>
          </cell>
        </row>
        <row r="508">
          <cell r="B508" t="str">
            <v>ABC4X95</v>
          </cell>
          <cell r="D508" t="str">
            <v>Cáp hạ thế ABC 4x95</v>
          </cell>
          <cell r="E508" t="str">
            <v>mét</v>
          </cell>
          <cell r="F508">
            <v>101000</v>
          </cell>
          <cell r="J508" t="str">
            <v>"</v>
          </cell>
        </row>
        <row r="509">
          <cell r="B509" t="str">
            <v>ABC4X120</v>
          </cell>
          <cell r="D509" t="str">
            <v>Cáp hạ thế ABC 4x120</v>
          </cell>
          <cell r="E509" t="str">
            <v>mét</v>
          </cell>
          <cell r="F509">
            <v>142618</v>
          </cell>
          <cell r="J509" t="str">
            <v>"</v>
          </cell>
        </row>
        <row r="510">
          <cell r="B510" t="str">
            <v>ABC4X150</v>
          </cell>
          <cell r="D510" t="str">
            <v>Cáp hạ thế ABC 4x150</v>
          </cell>
          <cell r="E510" t="str">
            <v>mét</v>
          </cell>
          <cell r="F510">
            <v>0</v>
          </cell>
          <cell r="J510" t="str">
            <v>"</v>
          </cell>
        </row>
        <row r="511">
          <cell r="B511" t="str">
            <v>CÁP NHÔM TRẦN: A</v>
          </cell>
        </row>
        <row r="512">
          <cell r="B512" t="str">
            <v>A35</v>
          </cell>
          <cell r="D512" t="str">
            <v>Cáp nhôm A-35</v>
          </cell>
          <cell r="E512" t="str">
            <v>kg</v>
          </cell>
          <cell r="F512">
            <v>131170</v>
          </cell>
          <cell r="J512" t="str">
            <v>ĐM285/KLR/1000</v>
          </cell>
        </row>
        <row r="513">
          <cell r="B513" t="str">
            <v>A50</v>
          </cell>
          <cell r="D513" t="str">
            <v>Dây nhôm buộc A-50</v>
          </cell>
          <cell r="E513" t="str">
            <v>kg</v>
          </cell>
          <cell r="F513">
            <v>107926</v>
          </cell>
          <cell r="J513" t="str">
            <v>"</v>
          </cell>
        </row>
        <row r="514">
          <cell r="B514" t="str">
            <v>A70</v>
          </cell>
          <cell r="D514" t="str">
            <v>Cáp nhôm A-70</v>
          </cell>
          <cell r="E514" t="str">
            <v>kg</v>
          </cell>
          <cell r="F514">
            <v>116561</v>
          </cell>
          <cell r="J514" t="str">
            <v>"</v>
          </cell>
        </row>
        <row r="515">
          <cell r="B515" t="str">
            <v>A95</v>
          </cell>
          <cell r="D515" t="str">
            <v>Cáp nhôm A-95</v>
          </cell>
          <cell r="E515" t="str">
            <v>kg</v>
          </cell>
          <cell r="F515">
            <v>114841</v>
          </cell>
          <cell r="J515" t="str">
            <v>"</v>
          </cell>
        </row>
        <row r="516">
          <cell r="B516" t="str">
            <v>A120</v>
          </cell>
          <cell r="D516" t="str">
            <v>Cáp nhôm A-120</v>
          </cell>
          <cell r="E516" t="str">
            <v>kg</v>
          </cell>
          <cell r="F516">
            <v>110280</v>
          </cell>
          <cell r="J516" t="str">
            <v>"</v>
          </cell>
        </row>
        <row r="517">
          <cell r="B517" t="str">
            <v>A150</v>
          </cell>
          <cell r="D517" t="str">
            <v>Cáp nhôm A-150</v>
          </cell>
          <cell r="E517" t="str">
            <v>kg</v>
          </cell>
          <cell r="F517">
            <v>109212</v>
          </cell>
          <cell r="J517" t="str">
            <v>"</v>
          </cell>
        </row>
        <row r="518">
          <cell r="B518" t="str">
            <v>Cap-Mu-Al2-2x6</v>
          </cell>
          <cell r="D518" t="str">
            <v>Bổ sung cáp Muller cho điện kế 2x6mm2</v>
          </cell>
          <cell r="E518" t="str">
            <v>m</v>
          </cell>
          <cell r="F518">
            <v>79880</v>
          </cell>
          <cell r="J518" t="str">
            <v>"</v>
          </cell>
        </row>
        <row r="519">
          <cell r="B519" t="str">
            <v>Cap-Mu-Al2-2x10</v>
          </cell>
          <cell r="D519" t="str">
            <v>Cáp 2 ruột Muller nhôm 2x10 mm2</v>
          </cell>
          <cell r="E519" t="str">
            <v>m</v>
          </cell>
          <cell r="F519">
            <v>57200</v>
          </cell>
          <cell r="J519" t="str">
            <v>"</v>
          </cell>
        </row>
        <row r="520">
          <cell r="B520" t="str">
            <v>Cap-Dup-Al-2x6</v>
          </cell>
          <cell r="D520" t="str">
            <v>Cáp Duplex nhôm 2x6 mm2</v>
          </cell>
          <cell r="E520" t="str">
            <v>m</v>
          </cell>
          <cell r="F520">
            <v>8950</v>
          </cell>
          <cell r="J520" t="str">
            <v>"</v>
          </cell>
        </row>
        <row r="521">
          <cell r="B521" t="str">
            <v>Cap-Dup-Al-2x10</v>
          </cell>
          <cell r="D521" t="str">
            <v>Cáp Duplex nhôm 2x10 mm2</v>
          </cell>
          <cell r="E521" t="str">
            <v>m</v>
          </cell>
          <cell r="F521">
            <v>9280</v>
          </cell>
          <cell r="J521" t="str">
            <v>"</v>
          </cell>
        </row>
        <row r="522">
          <cell r="B522" t="str">
            <v>Cap-Dup-Al-2x11</v>
          </cell>
          <cell r="D522" t="str">
            <v>Cáp Duplex nhôm 2x11 mm2</v>
          </cell>
          <cell r="E522" t="str">
            <v>m</v>
          </cell>
          <cell r="F522">
            <v>9280</v>
          </cell>
          <cell r="J522" t="str">
            <v>"</v>
          </cell>
        </row>
        <row r="523">
          <cell r="B523" t="str">
            <v>CÁP THÉP</v>
          </cell>
        </row>
        <row r="524">
          <cell r="B524" t="str">
            <v>tk35</v>
          </cell>
          <cell r="D524" t="str">
            <v>Cáp thép TK 35mm2</v>
          </cell>
          <cell r="E524" t="str">
            <v>kg</v>
          </cell>
          <cell r="F524">
            <v>34830</v>
          </cell>
        </row>
        <row r="525">
          <cell r="B525" t="str">
            <v>tk50</v>
          </cell>
          <cell r="D525" t="str">
            <v>Cáp thép TK 50mm2</v>
          </cell>
          <cell r="E525" t="str">
            <v>mét</v>
          </cell>
          <cell r="F525">
            <v>35520</v>
          </cell>
        </row>
        <row r="526">
          <cell r="B526" t="str">
            <v>C3/8</v>
          </cell>
          <cell r="D526" t="str">
            <v>Cáp thép 3/8"</v>
          </cell>
          <cell r="E526" t="str">
            <v>mét</v>
          </cell>
          <cell r="F526">
            <v>31900</v>
          </cell>
        </row>
        <row r="527">
          <cell r="B527" t="str">
            <v>C5/8</v>
          </cell>
          <cell r="D527" t="str">
            <v>Cáp thép 5/8"</v>
          </cell>
          <cell r="E527" t="str">
            <v>mét</v>
          </cell>
          <cell r="F527">
            <v>34100</v>
          </cell>
        </row>
        <row r="528">
          <cell r="B528" t="str">
            <v>HOÄP NOÁI CAÙP TRUNG HAÏ THEÁ</v>
          </cell>
        </row>
        <row r="529">
          <cell r="B529" t="str">
            <v>HNC450</v>
          </cell>
          <cell r="C529" t="str">
            <v>D4.4111</v>
          </cell>
          <cell r="D529" t="str">
            <v>Hộp nối cáp 3x50+1x25 mm²</v>
          </cell>
          <cell r="E529" t="str">
            <v>bộ</v>
          </cell>
          <cell r="F529">
            <v>240000</v>
          </cell>
          <cell r="G529">
            <v>24570</v>
          </cell>
          <cell r="H529">
            <v>547027.1</v>
          </cell>
          <cell r="I529">
            <v>0</v>
          </cell>
          <cell r="J529" t="str">
            <v>ĐM285</v>
          </cell>
        </row>
        <row r="530">
          <cell r="B530" t="str">
            <v>HNC470</v>
          </cell>
          <cell r="C530" t="str">
            <v>D4.4112</v>
          </cell>
          <cell r="D530" t="str">
            <v>Hộp nối cáp 3x70+1x35mm²</v>
          </cell>
          <cell r="E530" t="str">
            <v>bộ</v>
          </cell>
          <cell r="F530">
            <v>320000</v>
          </cell>
          <cell r="G530">
            <v>24570</v>
          </cell>
          <cell r="H530">
            <v>558543.5</v>
          </cell>
          <cell r="I530">
            <v>0</v>
          </cell>
          <cell r="J530" t="str">
            <v>"</v>
          </cell>
        </row>
        <row r="531">
          <cell r="B531" t="str">
            <v>HNC495</v>
          </cell>
          <cell r="C531" t="str">
            <v>D4.4113</v>
          </cell>
          <cell r="D531" t="str">
            <v>Hộp nối cáp 3x95+1x50mm²</v>
          </cell>
          <cell r="E531" t="str">
            <v>bộ</v>
          </cell>
          <cell r="F531">
            <v>450000</v>
          </cell>
          <cell r="G531">
            <v>24570</v>
          </cell>
          <cell r="H531">
            <v>616125.30000000005</v>
          </cell>
          <cell r="I531">
            <v>0</v>
          </cell>
          <cell r="J531" t="str">
            <v>"</v>
          </cell>
        </row>
        <row r="532">
          <cell r="B532" t="str">
            <v>HNC4150</v>
          </cell>
          <cell r="C532" t="str">
            <v>D4.4114</v>
          </cell>
          <cell r="D532" t="str">
            <v>Hộp nối cáp 3x150+1x95mm²</v>
          </cell>
          <cell r="E532" t="str">
            <v>bộ</v>
          </cell>
          <cell r="F532">
            <v>700000</v>
          </cell>
          <cell r="G532">
            <v>30922.5</v>
          </cell>
          <cell r="H532">
            <v>682344.3</v>
          </cell>
          <cell r="I532">
            <v>0</v>
          </cell>
          <cell r="J532" t="str">
            <v>"</v>
          </cell>
        </row>
        <row r="533">
          <cell r="B533" t="str">
            <v>HNC4240</v>
          </cell>
          <cell r="C533" t="str">
            <v>D4.4115</v>
          </cell>
          <cell r="D533" t="str">
            <v>Hộp nối cáp 3x240+1x120mm²</v>
          </cell>
          <cell r="E533" t="str">
            <v>bộ</v>
          </cell>
          <cell r="F533">
            <v>1050000</v>
          </cell>
          <cell r="G533">
            <v>30922.5</v>
          </cell>
          <cell r="H533">
            <v>739926.1</v>
          </cell>
          <cell r="I533">
            <v>0</v>
          </cell>
          <cell r="J533" t="str">
            <v>"</v>
          </cell>
        </row>
        <row r="534">
          <cell r="B534" t="str">
            <v>HNC50</v>
          </cell>
          <cell r="C534" t="str">
            <v>D4.4312</v>
          </cell>
          <cell r="D534" t="str">
            <v>Hộp nối cáp 22kV-3x50mm²</v>
          </cell>
          <cell r="E534" t="str">
            <v>bộ</v>
          </cell>
          <cell r="F534">
            <v>2266000</v>
          </cell>
          <cell r="G534">
            <v>57645</v>
          </cell>
          <cell r="H534">
            <v>1200580.5</v>
          </cell>
          <cell r="I534">
            <v>0</v>
          </cell>
          <cell r="J534" t="str">
            <v>ĐM285x3</v>
          </cell>
        </row>
        <row r="535">
          <cell r="B535" t="str">
            <v>HNC95</v>
          </cell>
          <cell r="C535" t="str">
            <v>D4.4313</v>
          </cell>
          <cell r="D535" t="str">
            <v>Hộp nối cáp 22kV-3x95mm²</v>
          </cell>
          <cell r="E535" t="str">
            <v>bộ</v>
          </cell>
          <cell r="F535">
            <v>2369000</v>
          </cell>
          <cell r="G535">
            <v>57645</v>
          </cell>
          <cell r="H535">
            <v>1341655.8999999999</v>
          </cell>
          <cell r="I535">
            <v>0</v>
          </cell>
          <cell r="J535" t="str">
            <v>"</v>
          </cell>
        </row>
        <row r="536">
          <cell r="B536" t="str">
            <v>HNC150</v>
          </cell>
          <cell r="C536" t="str">
            <v>D4.4314</v>
          </cell>
          <cell r="D536" t="str">
            <v>Hộp nối cáp 22kV-3x150mm²</v>
          </cell>
          <cell r="E536" t="str">
            <v>bộ</v>
          </cell>
          <cell r="F536">
            <v>2472000</v>
          </cell>
          <cell r="G536">
            <v>76860</v>
          </cell>
          <cell r="H536">
            <v>1476973.2</v>
          </cell>
          <cell r="I536">
            <v>0</v>
          </cell>
          <cell r="J536" t="str">
            <v>"</v>
          </cell>
        </row>
        <row r="537">
          <cell r="B537" t="str">
            <v>HNC185</v>
          </cell>
          <cell r="C537" t="str">
            <v>D4.4314</v>
          </cell>
          <cell r="D537" t="str">
            <v>Hộp nối cáp 22kV-3x185mm²</v>
          </cell>
          <cell r="E537" t="str">
            <v>bộ</v>
          </cell>
          <cell r="F537">
            <v>2472000</v>
          </cell>
          <cell r="G537">
            <v>76860</v>
          </cell>
          <cell r="H537">
            <v>1476973.2</v>
          </cell>
          <cell r="I537">
            <v>0</v>
          </cell>
          <cell r="J537" t="str">
            <v>"</v>
          </cell>
        </row>
        <row r="538">
          <cell r="B538" t="str">
            <v>HNC240</v>
          </cell>
          <cell r="C538" t="str">
            <v>D4.4315</v>
          </cell>
          <cell r="D538" t="str">
            <v>Hộp nối cáp 22kV-3x240mm²</v>
          </cell>
          <cell r="E538" t="str">
            <v>bộ</v>
          </cell>
          <cell r="F538">
            <v>0</v>
          </cell>
          <cell r="G538">
            <v>76860</v>
          </cell>
          <cell r="H538">
            <v>1615169.5</v>
          </cell>
          <cell r="I538">
            <v>0</v>
          </cell>
          <cell r="J538" t="str">
            <v>"</v>
          </cell>
        </row>
        <row r="539">
          <cell r="B539" t="str">
            <v>HNC300</v>
          </cell>
          <cell r="C539" t="str">
            <v>D4.4316</v>
          </cell>
          <cell r="D539" t="str">
            <v>Hộp nối cáp 22kV-3x300mm²</v>
          </cell>
          <cell r="E539" t="str">
            <v>bộ</v>
          </cell>
          <cell r="F539">
            <v>3296000</v>
          </cell>
          <cell r="G539">
            <v>76860</v>
          </cell>
          <cell r="H539">
            <v>1773519.4</v>
          </cell>
          <cell r="I539">
            <v>0</v>
          </cell>
          <cell r="J539" t="str">
            <v>"</v>
          </cell>
        </row>
        <row r="540">
          <cell r="B540" t="str">
            <v>HOP1CT</v>
          </cell>
          <cell r="C540" t="str">
            <v>D4.6303</v>
          </cell>
          <cell r="D540" t="str">
            <v>Hộp 1 công tơ</v>
          </cell>
          <cell r="E540" t="str">
            <v>bộ</v>
          </cell>
          <cell r="F540">
            <v>195000</v>
          </cell>
          <cell r="J540" t="str">
            <v>"</v>
          </cell>
        </row>
        <row r="541">
          <cell r="B541" t="str">
            <v>HOP2CT</v>
          </cell>
          <cell r="C541" t="str">
            <v>D4.6303</v>
          </cell>
          <cell r="D541" t="str">
            <v>Hộp 2 công tơ</v>
          </cell>
          <cell r="E541" t="str">
            <v>bộ</v>
          </cell>
          <cell r="F541">
            <v>436000</v>
          </cell>
          <cell r="J541" t="str">
            <v>"</v>
          </cell>
        </row>
        <row r="542">
          <cell r="B542" t="str">
            <v>HOP4CT</v>
          </cell>
          <cell r="C542" t="str">
            <v>D4.6303</v>
          </cell>
          <cell r="D542" t="str">
            <v>Hộp 4 công tơ</v>
          </cell>
          <cell r="E542" t="str">
            <v>bộ</v>
          </cell>
          <cell r="F542">
            <v>614000</v>
          </cell>
          <cell r="J542" t="str">
            <v>"</v>
          </cell>
        </row>
        <row r="543">
          <cell r="B543" t="str">
            <v>HOÄP ÑAÀU CAÙP TRUNG HAÏ THEÁ</v>
          </cell>
        </row>
        <row r="544">
          <cell r="B544" t="str">
            <v>DC450</v>
          </cell>
          <cell r="C544" t="str">
            <v>D4.3111</v>
          </cell>
          <cell r="D544" t="str">
            <v>Đầu cáp hạ áp 3x50+1x25mm²</v>
          </cell>
          <cell r="E544" t="str">
            <v>bộ</v>
          </cell>
          <cell r="F544">
            <v>349882</v>
          </cell>
          <cell r="G544">
            <v>12369</v>
          </cell>
          <cell r="H544">
            <v>227448.1</v>
          </cell>
          <cell r="I544">
            <v>0</v>
          </cell>
          <cell r="J544" t="str">
            <v>ĐM285</v>
          </cell>
        </row>
        <row r="545">
          <cell r="B545" t="str">
            <v>DC470</v>
          </cell>
          <cell r="C545" t="str">
            <v>D4.3111</v>
          </cell>
          <cell r="D545" t="str">
            <v>Đầu cáp hạ áp 3x70+1x35mm²</v>
          </cell>
          <cell r="E545" t="str">
            <v>bộ</v>
          </cell>
          <cell r="F545">
            <v>349882</v>
          </cell>
          <cell r="G545">
            <v>12369</v>
          </cell>
          <cell r="H545">
            <v>227448.1</v>
          </cell>
          <cell r="I545">
            <v>0</v>
          </cell>
          <cell r="J545" t="str">
            <v>"</v>
          </cell>
        </row>
        <row r="546">
          <cell r="B546" t="str">
            <v>DC495</v>
          </cell>
          <cell r="C546" t="str">
            <v>D4.3112</v>
          </cell>
          <cell r="D546" t="str">
            <v>Đầu cáp hạ áp 3x95+1x48mm²</v>
          </cell>
          <cell r="E546" t="str">
            <v>bộ</v>
          </cell>
          <cell r="F546">
            <v>354575</v>
          </cell>
          <cell r="G546">
            <v>12369</v>
          </cell>
          <cell r="H546">
            <v>261997.2</v>
          </cell>
          <cell r="I546">
            <v>0</v>
          </cell>
          <cell r="J546" t="str">
            <v>"</v>
          </cell>
        </row>
        <row r="547">
          <cell r="B547" t="str">
            <v>DC4150</v>
          </cell>
          <cell r="C547" t="str">
            <v>D4.3113</v>
          </cell>
          <cell r="D547" t="str">
            <v>Đầu cáp hạ áp 3x150+1x70mm²</v>
          </cell>
          <cell r="E547" t="str">
            <v>bộ</v>
          </cell>
          <cell r="F547">
            <v>423037</v>
          </cell>
          <cell r="G547">
            <v>12705</v>
          </cell>
          <cell r="H547">
            <v>296546.3</v>
          </cell>
          <cell r="I547">
            <v>0</v>
          </cell>
          <cell r="J547" t="str">
            <v>"</v>
          </cell>
        </row>
        <row r="548">
          <cell r="B548" t="str">
            <v>DC4240</v>
          </cell>
          <cell r="C548" t="str">
            <v>D4.3113</v>
          </cell>
          <cell r="D548" t="str">
            <v>Đầu cáp hạ áp 3x240+1x120mm²</v>
          </cell>
          <cell r="E548" t="str">
            <v>bộ</v>
          </cell>
          <cell r="F548">
            <v>491500</v>
          </cell>
          <cell r="G548">
            <v>12705</v>
          </cell>
          <cell r="H548">
            <v>296546.3</v>
          </cell>
          <cell r="I548">
            <v>0</v>
          </cell>
          <cell r="J548" t="str">
            <v>"</v>
          </cell>
        </row>
        <row r="549">
          <cell r="B549" t="str">
            <v>DC240-ID</v>
          </cell>
          <cell r="C549" t="str">
            <v>D4.3312</v>
          </cell>
          <cell r="D549" t="str">
            <v>Đầu cáp ngầm 01 pha 1x240mm2 trong nhà</v>
          </cell>
          <cell r="E549" t="str">
            <v>bộ</v>
          </cell>
          <cell r="F549">
            <v>3000000</v>
          </cell>
          <cell r="G549">
            <v>23394</v>
          </cell>
          <cell r="H549">
            <v>590213.5</v>
          </cell>
          <cell r="J549" t="str">
            <v>ĐM285x3</v>
          </cell>
        </row>
        <row r="550">
          <cell r="B550" t="str">
            <v>DC240-OD</v>
          </cell>
          <cell r="C550" t="str">
            <v>D4.3312</v>
          </cell>
          <cell r="D550" t="str">
            <v>Đầu cáp ngầm 01 pha 1x240mm2 ngoài trời</v>
          </cell>
          <cell r="E550" t="str">
            <v>bộ</v>
          </cell>
          <cell r="F550">
            <v>3000000</v>
          </cell>
          <cell r="G550">
            <v>23394</v>
          </cell>
          <cell r="H550">
            <v>590213.5</v>
          </cell>
          <cell r="J550" t="str">
            <v>ĐM285x3</v>
          </cell>
        </row>
        <row r="551">
          <cell r="B551" t="str">
            <v>DC50-OD</v>
          </cell>
          <cell r="C551" t="str">
            <v>D4.3312</v>
          </cell>
          <cell r="D551" t="str">
            <v>Đầu cáp ngầm 3 pha 3x50mm2 ngoài trời</v>
          </cell>
          <cell r="E551" t="str">
            <v>bộ</v>
          </cell>
          <cell r="F551">
            <v>4740000</v>
          </cell>
          <cell r="G551">
            <v>23394</v>
          </cell>
          <cell r="H551">
            <v>590213.5</v>
          </cell>
          <cell r="J551" t="str">
            <v>ĐM285x3</v>
          </cell>
        </row>
        <row r="552">
          <cell r="B552" t="str">
            <v>DC50-ID</v>
          </cell>
          <cell r="C552" t="str">
            <v>D4.3312</v>
          </cell>
          <cell r="D552" t="str">
            <v>Đầu cáp ngầm 3 pha 3x50mm2 trong nhà</v>
          </cell>
          <cell r="E552" t="str">
            <v>bộ</v>
          </cell>
          <cell r="F552">
            <v>4740000</v>
          </cell>
          <cell r="G552">
            <v>23394</v>
          </cell>
          <cell r="H552">
            <v>590213.5</v>
          </cell>
          <cell r="J552" t="str">
            <v>ĐM285x3</v>
          </cell>
        </row>
        <row r="553">
          <cell r="B553" t="str">
            <v>DCEB</v>
          </cell>
          <cell r="C553" t="str">
            <v>D4.3312</v>
          </cell>
          <cell r="D553" t="str">
            <v>Đầu nối cáp ngầm 3 pha 3x50mm2-đầu búa đơn ( ELBOW)</v>
          </cell>
          <cell r="E553" t="str">
            <v>bộ</v>
          </cell>
          <cell r="F553">
            <v>7000000</v>
          </cell>
          <cell r="G553">
            <v>23394</v>
          </cell>
          <cell r="H553">
            <v>590213.5</v>
          </cell>
          <cell r="J553" t="str">
            <v>ĐM285x3</v>
          </cell>
        </row>
        <row r="554">
          <cell r="B554" t="str">
            <v>DCCV50</v>
          </cell>
          <cell r="C554" t="str">
            <v>D4.3312</v>
          </cell>
          <cell r="D554" t="str">
            <v>Đầu cose đồng cho dây CV 600V_50mm2</v>
          </cell>
          <cell r="E554" t="str">
            <v>bộ</v>
          </cell>
          <cell r="F554">
            <v>26290</v>
          </cell>
          <cell r="G554">
            <v>23394</v>
          </cell>
          <cell r="H554">
            <v>590213.5</v>
          </cell>
          <cell r="J554" t="str">
            <v>ĐM285x3</v>
          </cell>
        </row>
        <row r="555">
          <cell r="B555" t="str">
            <v>DCCV185</v>
          </cell>
          <cell r="C555" t="str">
            <v>D4.3312</v>
          </cell>
          <cell r="D555" t="str">
            <v>Đầu cose đồng cho dây CV 600V_185mm2</v>
          </cell>
          <cell r="E555" t="str">
            <v>bộ</v>
          </cell>
          <cell r="F555">
            <v>0</v>
          </cell>
          <cell r="G555">
            <v>23394</v>
          </cell>
          <cell r="H555">
            <v>590213.5</v>
          </cell>
          <cell r="J555" t="str">
            <v>ĐM285x3</v>
          </cell>
        </row>
        <row r="556">
          <cell r="B556" t="str">
            <v>DC95</v>
          </cell>
          <cell r="C556" t="str">
            <v>D4.3313</v>
          </cell>
          <cell r="D556" t="str">
            <v>Đầu cáp 24kV-3x95mm²</v>
          </cell>
          <cell r="E556" t="str">
            <v>bộ</v>
          </cell>
          <cell r="F556">
            <v>0</v>
          </cell>
          <cell r="G556">
            <v>23730</v>
          </cell>
          <cell r="H556">
            <v>653553.4</v>
          </cell>
          <cell r="I556">
            <v>0</v>
          </cell>
          <cell r="J556" t="str">
            <v>"</v>
          </cell>
        </row>
        <row r="557">
          <cell r="B557" t="str">
            <v>DC120</v>
          </cell>
          <cell r="C557" t="str">
            <v>D4.3313</v>
          </cell>
          <cell r="D557" t="str">
            <v>Đầu cáp 24kV-3x120mm²</v>
          </cell>
          <cell r="E557" t="str">
            <v>bộ</v>
          </cell>
          <cell r="F557">
            <v>0</v>
          </cell>
          <cell r="G557">
            <v>23730</v>
          </cell>
          <cell r="H557">
            <v>653553.4</v>
          </cell>
          <cell r="I557">
            <v>0</v>
          </cell>
          <cell r="J557" t="str">
            <v>"</v>
          </cell>
        </row>
        <row r="558">
          <cell r="B558" t="str">
            <v>DC150</v>
          </cell>
          <cell r="C558" t="str">
            <v>D4.3314</v>
          </cell>
          <cell r="D558" t="str">
            <v>Đầu cáp 24kV-3x150mm²</v>
          </cell>
          <cell r="E558" t="str">
            <v>bộ</v>
          </cell>
          <cell r="F558">
            <v>0</v>
          </cell>
          <cell r="G558">
            <v>27405</v>
          </cell>
          <cell r="H558">
            <v>719772.5</v>
          </cell>
          <cell r="I558">
            <v>0</v>
          </cell>
          <cell r="J558" t="str">
            <v>"</v>
          </cell>
        </row>
        <row r="559">
          <cell r="B559" t="str">
            <v>DC185o</v>
          </cell>
          <cell r="C559" t="str">
            <v>D4.3314</v>
          </cell>
          <cell r="D559" t="str">
            <v>Đầu cáp O.D 24kV 3x185mm²</v>
          </cell>
          <cell r="E559" t="str">
            <v>bộ</v>
          </cell>
          <cell r="F559">
            <v>0</v>
          </cell>
          <cell r="G559">
            <v>27405</v>
          </cell>
          <cell r="H559">
            <v>719772.5</v>
          </cell>
          <cell r="I559">
            <v>0</v>
          </cell>
          <cell r="J559" t="str">
            <v>"</v>
          </cell>
        </row>
        <row r="560">
          <cell r="B560" t="str">
            <v>DC185I</v>
          </cell>
          <cell r="C560" t="str">
            <v>D4.3314</v>
          </cell>
          <cell r="D560" t="str">
            <v>Đầu cáp I.D 24kV-3x185mm²</v>
          </cell>
          <cell r="E560" t="str">
            <v>bộ</v>
          </cell>
          <cell r="F560">
            <v>0</v>
          </cell>
          <cell r="G560">
            <v>27405</v>
          </cell>
          <cell r="H560">
            <v>719772.5</v>
          </cell>
          <cell r="I560">
            <v>0</v>
          </cell>
          <cell r="J560" t="str">
            <v>"</v>
          </cell>
        </row>
        <row r="561">
          <cell r="B561" t="str">
            <v>DC240I</v>
          </cell>
          <cell r="C561" t="str">
            <v>D4.3315</v>
          </cell>
          <cell r="D561" t="str">
            <v>Đầu cáp I.D 24kV-3x240mm²</v>
          </cell>
          <cell r="E561" t="str">
            <v>bộ</v>
          </cell>
          <cell r="F561">
            <v>0</v>
          </cell>
          <cell r="G561">
            <v>27741</v>
          </cell>
          <cell r="H561">
            <v>803266.1</v>
          </cell>
          <cell r="I561">
            <v>0</v>
          </cell>
          <cell r="J561" t="str">
            <v>"</v>
          </cell>
        </row>
        <row r="562">
          <cell r="B562" t="str">
            <v>DC240O</v>
          </cell>
          <cell r="C562" t="str">
            <v>D4.3315</v>
          </cell>
          <cell r="D562" t="str">
            <v>Đầu cáp O.D 24kV-3x240mm²</v>
          </cell>
          <cell r="E562" t="str">
            <v>bộ</v>
          </cell>
          <cell r="F562">
            <v>0</v>
          </cell>
          <cell r="G562">
            <v>27741</v>
          </cell>
          <cell r="H562">
            <v>803266.1</v>
          </cell>
          <cell r="I562">
            <v>0</v>
          </cell>
          <cell r="J562" t="str">
            <v>"</v>
          </cell>
        </row>
        <row r="563">
          <cell r="B563" t="str">
            <v>DC70O</v>
          </cell>
          <cell r="C563" t="str">
            <v>D4.3312</v>
          </cell>
          <cell r="D563" t="str">
            <v>Đầu cáp O.D 24kV-3x70mm²</v>
          </cell>
          <cell r="E563" t="str">
            <v>bộ</v>
          </cell>
          <cell r="F563">
            <v>0</v>
          </cell>
          <cell r="G563">
            <v>23394</v>
          </cell>
          <cell r="H563">
            <v>590213.5</v>
          </cell>
          <cell r="I563">
            <v>0</v>
          </cell>
          <cell r="J563" t="str">
            <v>"</v>
          </cell>
        </row>
        <row r="564">
          <cell r="B564" t="str">
            <v>DC300I</v>
          </cell>
          <cell r="C564" t="str">
            <v>D4.3316</v>
          </cell>
          <cell r="D564" t="str">
            <v>Đầu cáp I.D 24kV-3x300mm²</v>
          </cell>
          <cell r="E564" t="str">
            <v>bộ</v>
          </cell>
          <cell r="F564">
            <v>0</v>
          </cell>
          <cell r="G564">
            <v>27741</v>
          </cell>
          <cell r="H564">
            <v>1042230.6</v>
          </cell>
          <cell r="I564">
            <v>0</v>
          </cell>
          <cell r="J564" t="str">
            <v>"</v>
          </cell>
        </row>
        <row r="565">
          <cell r="B565" t="str">
            <v>DC300O</v>
          </cell>
          <cell r="C565" t="str">
            <v>D4.3316</v>
          </cell>
          <cell r="D565" t="str">
            <v>Đầu cáp O.D 24kV-3x300mm²</v>
          </cell>
          <cell r="E565" t="str">
            <v>bộ</v>
          </cell>
          <cell r="F565">
            <v>0</v>
          </cell>
          <cell r="G565">
            <v>27741</v>
          </cell>
          <cell r="H565">
            <v>1042230.6</v>
          </cell>
          <cell r="I565">
            <v>0</v>
          </cell>
          <cell r="J565" t="str">
            <v>"</v>
          </cell>
        </row>
        <row r="566">
          <cell r="B566" t="str">
            <v>CDĐ2</v>
          </cell>
          <cell r="C566" t="str">
            <v>D3.3241</v>
          </cell>
          <cell r="D566" t="str">
            <v>Collier sắt dẹp 30x4 - Kẹp ống sắt trên cột đơn</v>
          </cell>
          <cell r="E566" t="str">
            <v>bộ</v>
          </cell>
        </row>
        <row r="567">
          <cell r="B567" t="str">
            <v>DC500</v>
          </cell>
          <cell r="C567" t="str">
            <v>D4.3317</v>
          </cell>
          <cell r="D567" t="str">
            <v>Đầu cáp 24kV 1x500mm²</v>
          </cell>
          <cell r="E567" t="str">
            <v>bộ</v>
          </cell>
          <cell r="F567">
            <v>1089664</v>
          </cell>
          <cell r="G567">
            <v>33306</v>
          </cell>
          <cell r="H567">
            <v>1249525.1000000001</v>
          </cell>
          <cell r="I567">
            <v>0</v>
          </cell>
          <cell r="J567" t="str">
            <v>"</v>
          </cell>
        </row>
        <row r="568">
          <cell r="B568" t="str">
            <v>COÏC TIEÁP ÑÒA</v>
          </cell>
        </row>
        <row r="569">
          <cell r="B569" t="str">
            <v>CTDFE</v>
          </cell>
          <cell r="D569" t="str">
            <v>Cọc tiếp đất sắt góc L50 x50 x5 (mạ đồng)</v>
          </cell>
          <cell r="E569" t="str">
            <v>cọc</v>
          </cell>
        </row>
        <row r="570">
          <cell r="B570" t="str">
            <v>CTD1612</v>
          </cell>
          <cell r="D570" t="str">
            <v>Cọc tiếp địa (mạ kẽm nhúng nóng (độ dày lớp mạ ≥80µm)): Ø16 - 1,2m</v>
          </cell>
          <cell r="E570" t="str">
            <v>cọc</v>
          </cell>
          <cell r="F570">
            <v>0</v>
          </cell>
        </row>
        <row r="571">
          <cell r="B571" t="str">
            <v>CTD1618</v>
          </cell>
          <cell r="D571" t="str">
            <v>Cọc tiếp địa (mạ kẽm nhúng nóng (độ dày lớp mạ ≥80µm)): Ø16 - 1,8m</v>
          </cell>
          <cell r="E571" t="str">
            <v>cọc</v>
          </cell>
          <cell r="F571">
            <v>0</v>
          </cell>
        </row>
        <row r="572">
          <cell r="B572" t="str">
            <v>CTD1624</v>
          </cell>
          <cell r="D572" t="str">
            <v>Cọc tiếp địa mạ đồng hoặc kẽm Ø 16- 2,4m</v>
          </cell>
          <cell r="E572" t="str">
            <v>cọc</v>
          </cell>
          <cell r="F572">
            <v>168800</v>
          </cell>
        </row>
        <row r="573">
          <cell r="B573" t="str">
            <v>CTD2224</v>
          </cell>
          <cell r="D573" t="str">
            <v>Cọc tiếp địa (mạ kẽm nhúng nóng (độ dày lớp mạ ≥80µm)): Ø22 - 2,4m</v>
          </cell>
          <cell r="E573" t="str">
            <v>cọc</v>
          </cell>
          <cell r="F573">
            <v>0</v>
          </cell>
        </row>
        <row r="574">
          <cell r="B574" t="str">
            <v>CTD2424</v>
          </cell>
          <cell r="D574" t="str">
            <v>Cọc tiếp địa (mạ kẽm nhúng nóng (độ dày lớp mạ ≥80µm)): Ø24 - 2,4m</v>
          </cell>
          <cell r="E574" t="str">
            <v>cọc</v>
          </cell>
        </row>
        <row r="575">
          <cell r="B575" t="str">
            <v>KEÏP</v>
          </cell>
        </row>
        <row r="576">
          <cell r="B576" t="str">
            <v>KẸP CỌC TIẾP ĐỊA</v>
          </cell>
        </row>
        <row r="577">
          <cell r="B577" t="str">
            <v>KCD</v>
          </cell>
          <cell r="D577" t="str">
            <v>Kẹp cọc tiếp đất</v>
          </cell>
          <cell r="E577" t="str">
            <v>cái</v>
          </cell>
          <cell r="F577">
            <v>15000</v>
          </cell>
        </row>
        <row r="578">
          <cell r="B578" t="str">
            <v>KCDFe</v>
          </cell>
          <cell r="D578" t="str">
            <v>Kẹp cọc tiếp đất và dây đồng 25mm²</v>
          </cell>
          <cell r="E578" t="str">
            <v>cái</v>
          </cell>
          <cell r="F578">
            <v>14300</v>
          </cell>
        </row>
        <row r="579">
          <cell r="B579" t="str">
            <v>KẸP 2 RÃNH 3 BULÔNG</v>
          </cell>
        </row>
        <row r="580">
          <cell r="B580" t="str">
            <v>K3B</v>
          </cell>
          <cell r="D580" t="str">
            <v>Kẹp cáp 3 bulông 3/8"</v>
          </cell>
          <cell r="E580" t="str">
            <v>cái</v>
          </cell>
          <cell r="F580">
            <v>27500</v>
          </cell>
        </row>
        <row r="581">
          <cell r="B581" t="str">
            <v>K3B58</v>
          </cell>
          <cell r="D581" t="str">
            <v>Kẹp cáp 3 bulông 5/8"</v>
          </cell>
          <cell r="E581" t="str">
            <v>cái</v>
          </cell>
          <cell r="F581">
            <v>0</v>
          </cell>
        </row>
        <row r="582">
          <cell r="B582" t="str">
            <v>K185</v>
          </cell>
          <cell r="D582" t="str">
            <v>Kẹp nhôm 2 rãnh 3 bulông cỡ dây 150-240mm²</v>
          </cell>
          <cell r="E582" t="str">
            <v>cái</v>
          </cell>
          <cell r="F582">
            <v>177100</v>
          </cell>
        </row>
        <row r="583">
          <cell r="B583" t="str">
            <v>K95</v>
          </cell>
          <cell r="D583" t="str">
            <v>Kẹp nhôm 2 rãnh 3 bulông cỡ dây 95-120mm²</v>
          </cell>
          <cell r="E583" t="str">
            <v>cái</v>
          </cell>
          <cell r="F583">
            <v>177100</v>
          </cell>
        </row>
        <row r="584">
          <cell r="B584" t="str">
            <v>K50</v>
          </cell>
          <cell r="D584" t="str">
            <v>Kẹp nhôm 2 rãnh 3 bulông cỡ dây 50-70mm²</v>
          </cell>
          <cell r="E584" t="str">
            <v>cái</v>
          </cell>
          <cell r="F584">
            <v>53000</v>
          </cell>
        </row>
        <row r="585">
          <cell r="B585" t="str">
            <v>KẸP NỐI ÉP NHÔM-NHÔM</v>
          </cell>
        </row>
        <row r="586">
          <cell r="B586" t="str">
            <v>KWR-Duplex</v>
          </cell>
          <cell r="D586" t="str">
            <v>Kẹp ngừng cáp Duplex DuCV2x10</v>
          </cell>
          <cell r="E586" t="str">
            <v>cái</v>
          </cell>
          <cell r="F586">
            <v>8000</v>
          </cell>
        </row>
        <row r="587">
          <cell r="B587" t="str">
            <v>KWR189</v>
          </cell>
          <cell r="D587" t="str">
            <v>Kẹp nối ép WR cỡ dây 25mm2</v>
          </cell>
          <cell r="E587" t="str">
            <v>cái</v>
          </cell>
          <cell r="F587">
            <v>10800</v>
          </cell>
        </row>
        <row r="588">
          <cell r="B588" t="str">
            <v>KWR289</v>
          </cell>
          <cell r="D588" t="str">
            <v>Kẹp nối ép WR289(70/16-35)</v>
          </cell>
          <cell r="E588" t="str">
            <v>cái</v>
          </cell>
          <cell r="F588">
            <v>9100</v>
          </cell>
        </row>
        <row r="589">
          <cell r="B589" t="str">
            <v>KWR259</v>
          </cell>
          <cell r="D589" t="str">
            <v>Kẹp nối ép WR cỡ dây 35-50mm2</v>
          </cell>
          <cell r="E589" t="str">
            <v>cái</v>
          </cell>
          <cell r="F589">
            <v>10800</v>
          </cell>
        </row>
        <row r="590">
          <cell r="B590" t="str">
            <v>KWR279</v>
          </cell>
          <cell r="D590" t="str">
            <v>Kẹp nối ép WR279 cỡ dây 50-70mm2</v>
          </cell>
          <cell r="E590" t="str">
            <v>cái</v>
          </cell>
          <cell r="F590">
            <v>17800</v>
          </cell>
        </row>
        <row r="591">
          <cell r="B591" t="str">
            <v>KWR379</v>
          </cell>
          <cell r="D591" t="str">
            <v>Kẹp nối ép WR379(70-95/25-50)</v>
          </cell>
          <cell r="E591" t="str">
            <v>cái</v>
          </cell>
          <cell r="F591">
            <v>25900</v>
          </cell>
        </row>
        <row r="592">
          <cell r="B592" t="str">
            <v>KWR399</v>
          </cell>
          <cell r="D592" t="str">
            <v>Kẹp nối ép WR399 (70-95/50-70)</v>
          </cell>
          <cell r="E592" t="str">
            <v>cái</v>
          </cell>
          <cell r="F592">
            <v>20600</v>
          </cell>
        </row>
        <row r="593">
          <cell r="B593" t="str">
            <v>KWR339</v>
          </cell>
          <cell r="D593" t="str">
            <v>Kẹp nối ép WR339 (95-120/50-70)</v>
          </cell>
          <cell r="E593" t="str">
            <v>cái</v>
          </cell>
          <cell r="F593">
            <v>35700</v>
          </cell>
        </row>
        <row r="594">
          <cell r="B594" t="str">
            <v>KWR419</v>
          </cell>
          <cell r="D594" t="str">
            <v>Kẹp nối ép WR419(70-95/70-95)</v>
          </cell>
          <cell r="E594" t="str">
            <v>cái</v>
          </cell>
          <cell r="F594">
            <v>24200</v>
          </cell>
        </row>
        <row r="595">
          <cell r="B595" t="str">
            <v>KWR815</v>
          </cell>
          <cell r="D595" t="str">
            <v>Kẹp nối ép WR815 cỡ dây 95-120</v>
          </cell>
          <cell r="E595" t="str">
            <v>cái</v>
          </cell>
          <cell r="F595">
            <v>35700</v>
          </cell>
        </row>
        <row r="596">
          <cell r="B596" t="str">
            <v>KWR835</v>
          </cell>
          <cell r="D596" t="str">
            <v>Kẹp nối ép WR835(120-240/120-185)</v>
          </cell>
          <cell r="E596" t="str">
            <v>cái</v>
          </cell>
          <cell r="F596">
            <v>36900</v>
          </cell>
        </row>
        <row r="597">
          <cell r="B597" t="str">
            <v>KWR929</v>
          </cell>
          <cell r="D597" t="str">
            <v>Kẹp nối ép WR929 cỡ dây 120-240</v>
          </cell>
          <cell r="E597" t="str">
            <v>cái</v>
          </cell>
          <cell r="F597">
            <v>57900</v>
          </cell>
        </row>
        <row r="598">
          <cell r="B598" t="str">
            <v>KẸP SPLIPBOLT</v>
          </cell>
        </row>
        <row r="599">
          <cell r="B599" t="str">
            <v>KCUCU</v>
          </cell>
          <cell r="D599" t="str">
            <v>Kẹp Splibolt Cu loại 25mm²</v>
          </cell>
          <cell r="E599" t="str">
            <v>cái</v>
          </cell>
          <cell r="F599">
            <v>0</v>
          </cell>
        </row>
        <row r="600">
          <cell r="B600" t="str">
            <v>KCUAL</v>
          </cell>
          <cell r="D600" t="str">
            <v>Kẹp Splibolt Cu-AL cỡ dây 50-70mm²</v>
          </cell>
          <cell r="E600" t="str">
            <v>cái</v>
          </cell>
          <cell r="F600">
            <v>0</v>
          </cell>
        </row>
        <row r="601">
          <cell r="B601" t="str">
            <v>KẸP U</v>
          </cell>
        </row>
        <row r="602">
          <cell r="B602" t="str">
            <v>KEU</v>
          </cell>
          <cell r="D602" t="str">
            <v>Kẹp U dừng dây trung hòa</v>
          </cell>
          <cell r="E602" t="str">
            <v>cái</v>
          </cell>
        </row>
        <row r="603">
          <cell r="B603" t="str">
            <v>KHOAÙ (NEÙO, ÑÔÕ)</v>
          </cell>
        </row>
        <row r="604">
          <cell r="B604" t="str">
            <v>KHOÁ ĐỠ</v>
          </cell>
        </row>
        <row r="605">
          <cell r="B605" t="str">
            <v>KD50</v>
          </cell>
          <cell r="D605" t="str">
            <v>Khóa đỡ cho dây 50,70</v>
          </cell>
          <cell r="E605" t="str">
            <v>cái</v>
          </cell>
          <cell r="F605">
            <v>130300</v>
          </cell>
        </row>
        <row r="606">
          <cell r="B606" t="str">
            <v>KD95</v>
          </cell>
          <cell r="D606" t="str">
            <v>Khóa đỡ cho dây 95,120</v>
          </cell>
          <cell r="E606" t="str">
            <v>cái</v>
          </cell>
          <cell r="F606">
            <v>130300</v>
          </cell>
        </row>
        <row r="607">
          <cell r="B607" t="str">
            <v>KD185</v>
          </cell>
          <cell r="D607" t="str">
            <v>Khóa đỡ cho dây 150,240</v>
          </cell>
          <cell r="E607" t="str">
            <v>cái</v>
          </cell>
          <cell r="F607">
            <v>138200</v>
          </cell>
        </row>
        <row r="608">
          <cell r="B608" t="str">
            <v>KHOÁ NÉO</v>
          </cell>
        </row>
        <row r="609">
          <cell r="B609" t="str">
            <v>KN185</v>
          </cell>
          <cell r="D609" t="str">
            <v>Khóa néo cho dây 150-240</v>
          </cell>
          <cell r="E609" t="str">
            <v>cái</v>
          </cell>
          <cell r="F609">
            <v>167200</v>
          </cell>
        </row>
        <row r="610">
          <cell r="B610" t="str">
            <v>KN120</v>
          </cell>
          <cell r="D610" t="str">
            <v>Khóa néo cho dây AC120-185</v>
          </cell>
          <cell r="E610" t="str">
            <v>cái</v>
          </cell>
          <cell r="F610">
            <v>200000</v>
          </cell>
        </row>
        <row r="611">
          <cell r="B611" t="str">
            <v>KN95</v>
          </cell>
          <cell r="D611" t="str">
            <v>Khóa néo cho dây 95 -120</v>
          </cell>
          <cell r="E611" t="str">
            <v>cái</v>
          </cell>
          <cell r="F611">
            <v>163300</v>
          </cell>
        </row>
        <row r="612">
          <cell r="B612" t="str">
            <v>KN50</v>
          </cell>
          <cell r="D612" t="str">
            <v>Khóa néo cho dây 50-70</v>
          </cell>
          <cell r="E612" t="str">
            <v>cái</v>
          </cell>
          <cell r="F612">
            <v>155500</v>
          </cell>
        </row>
        <row r="613">
          <cell r="B613" t="str">
            <v>KN35</v>
          </cell>
          <cell r="D613" t="str">
            <v>Khóa néo cho dây 22-35</v>
          </cell>
          <cell r="E613" t="str">
            <v>cái</v>
          </cell>
          <cell r="F613">
            <v>57750</v>
          </cell>
        </row>
        <row r="614">
          <cell r="B614" t="str">
            <v>OÁNG NOÁI DAÂY</v>
          </cell>
        </row>
        <row r="615">
          <cell r="B615" t="str">
            <v>ÔNG NỐI DÂY A</v>
          </cell>
        </row>
        <row r="616">
          <cell r="B616" t="str">
            <v>ON240A</v>
          </cell>
          <cell r="D616" t="str">
            <v>Ống nối chịu lực cho dây A-240</v>
          </cell>
          <cell r="E616" t="str">
            <v>cái</v>
          </cell>
          <cell r="F616">
            <v>0</v>
          </cell>
        </row>
        <row r="617">
          <cell r="B617" t="str">
            <v>ON185A</v>
          </cell>
          <cell r="D617" t="str">
            <v>Ống nối chịu lực cho dây A-185</v>
          </cell>
          <cell r="E617" t="str">
            <v>cái</v>
          </cell>
          <cell r="F617">
            <v>0</v>
          </cell>
        </row>
        <row r="618">
          <cell r="B618" t="str">
            <v>ON150A</v>
          </cell>
          <cell r="D618" t="str">
            <v>Ống nối chịu lực cho dây A-150</v>
          </cell>
          <cell r="E618" t="str">
            <v>cái</v>
          </cell>
          <cell r="F618">
            <v>0</v>
          </cell>
        </row>
        <row r="619">
          <cell r="B619" t="str">
            <v>ON120A</v>
          </cell>
          <cell r="D619" t="str">
            <v>Ống nối chịu lực cho dây A-120</v>
          </cell>
          <cell r="E619" t="str">
            <v>cái</v>
          </cell>
          <cell r="F619">
            <v>0</v>
          </cell>
        </row>
        <row r="620">
          <cell r="B620" t="str">
            <v>ON95A</v>
          </cell>
          <cell r="D620" t="str">
            <v>Ống nối chịu lực cho dây A-95</v>
          </cell>
          <cell r="E620" t="str">
            <v>cái</v>
          </cell>
          <cell r="F620">
            <v>0</v>
          </cell>
        </row>
        <row r="621">
          <cell r="B621" t="str">
            <v>ON70A</v>
          </cell>
          <cell r="D621" t="str">
            <v>Ống nối chịu lực cho dây A-70</v>
          </cell>
          <cell r="E621" t="str">
            <v>cái</v>
          </cell>
          <cell r="F621">
            <v>0</v>
          </cell>
        </row>
        <row r="622">
          <cell r="B622" t="str">
            <v>ON50A</v>
          </cell>
          <cell r="D622" t="str">
            <v>Ống nối chịu lực cho dây A-50</v>
          </cell>
          <cell r="E622" t="str">
            <v>cái</v>
          </cell>
          <cell r="F622">
            <v>0</v>
          </cell>
        </row>
        <row r="623">
          <cell r="B623" t="str">
            <v>ON50ABC</v>
          </cell>
          <cell r="D623" t="str">
            <v>Ống nối dây ABC cỡ dây 50mm²</v>
          </cell>
          <cell r="E623" t="str">
            <v>cái</v>
          </cell>
          <cell r="F623">
            <v>25800</v>
          </cell>
        </row>
        <row r="624">
          <cell r="B624" t="str">
            <v>ON70ABC</v>
          </cell>
          <cell r="D624" t="str">
            <v>Ống nối dây ABC cỡ dây 70mm²</v>
          </cell>
          <cell r="E624" t="str">
            <v>cái</v>
          </cell>
          <cell r="F624">
            <v>26500</v>
          </cell>
        </row>
        <row r="625">
          <cell r="B625" t="str">
            <v>ON95ABC</v>
          </cell>
          <cell r="D625" t="str">
            <v>Ống nối dây ABC cỡ dây 95mm²</v>
          </cell>
          <cell r="E625" t="str">
            <v>cái</v>
          </cell>
          <cell r="F625">
            <v>27500</v>
          </cell>
        </row>
        <row r="626">
          <cell r="B626" t="str">
            <v>ON120ABC</v>
          </cell>
          <cell r="D626" t="str">
            <v>Ống nối dây ABC cỡ dây 120mm²</v>
          </cell>
          <cell r="E626" t="str">
            <v>cái</v>
          </cell>
          <cell r="F626">
            <v>37300</v>
          </cell>
        </row>
        <row r="627">
          <cell r="B627" t="str">
            <v>ON150ABC</v>
          </cell>
          <cell r="D627" t="str">
            <v>Ống nối dây ABC cỡ dây 150mm²</v>
          </cell>
          <cell r="E627" t="str">
            <v>cái</v>
          </cell>
          <cell r="F627">
            <v>37300</v>
          </cell>
        </row>
        <row r="628">
          <cell r="B628" t="str">
            <v>ÔNG NỐI DÂY AC</v>
          </cell>
        </row>
        <row r="629">
          <cell r="B629" t="str">
            <v>ON25CU</v>
          </cell>
          <cell r="D629" t="str">
            <v>Ống nối ép dây đồng cỡ dây 25mm²</v>
          </cell>
          <cell r="E629" t="str">
            <v>cái</v>
          </cell>
          <cell r="F629">
            <v>147500</v>
          </cell>
        </row>
        <row r="630">
          <cell r="B630" t="str">
            <v>ONACX240</v>
          </cell>
          <cell r="D630" t="str">
            <v>Ống nối chịu lực cho dây ACX 240</v>
          </cell>
          <cell r="E630" t="str">
            <v>cái</v>
          </cell>
          <cell r="F630">
            <v>0</v>
          </cell>
        </row>
        <row r="631">
          <cell r="B631" t="str">
            <v>ONACX185</v>
          </cell>
          <cell r="D631" t="str">
            <v>Ống nối chịu lực cho dây ACX185</v>
          </cell>
          <cell r="E631" t="str">
            <v>cái</v>
          </cell>
          <cell r="F631">
            <v>0</v>
          </cell>
        </row>
        <row r="632">
          <cell r="B632" t="str">
            <v>ONACX150</v>
          </cell>
          <cell r="D632" t="str">
            <v>Ống nối chịu lực cho dây ACX 150</v>
          </cell>
          <cell r="E632" t="str">
            <v>cái</v>
          </cell>
          <cell r="F632">
            <v>0</v>
          </cell>
        </row>
        <row r="633">
          <cell r="B633" t="str">
            <v>ONACX120</v>
          </cell>
          <cell r="D633" t="str">
            <v>Ống nối chịu lực cho dây ACX120</v>
          </cell>
          <cell r="E633" t="str">
            <v>cái</v>
          </cell>
          <cell r="F633">
            <v>0</v>
          </cell>
        </row>
        <row r="634">
          <cell r="B634" t="str">
            <v>ONACX95</v>
          </cell>
          <cell r="D634" t="str">
            <v>Ống nối chịu lực cho dây ACX 95</v>
          </cell>
          <cell r="E634" t="str">
            <v>cái</v>
          </cell>
          <cell r="F634">
            <v>0</v>
          </cell>
        </row>
        <row r="635">
          <cell r="B635" t="str">
            <v>ONACX70</v>
          </cell>
          <cell r="D635" t="str">
            <v>Ống nối chịu lực cho dây ACX 70</v>
          </cell>
          <cell r="E635" t="str">
            <v>cái</v>
          </cell>
          <cell r="F635">
            <v>0</v>
          </cell>
        </row>
        <row r="636">
          <cell r="B636" t="str">
            <v>ONACX50</v>
          </cell>
          <cell r="D636" t="str">
            <v>Ống nối chịu lực cho dây ACXH 50</v>
          </cell>
          <cell r="E636" t="str">
            <v>cái</v>
          </cell>
          <cell r="F636">
            <v>0</v>
          </cell>
        </row>
        <row r="637">
          <cell r="B637" t="str">
            <v>ON240</v>
          </cell>
          <cell r="D637" t="str">
            <v>Ống nối chịu lực cho dây AC 240</v>
          </cell>
          <cell r="E637" t="str">
            <v>cái</v>
          </cell>
          <cell r="F637">
            <v>271200</v>
          </cell>
        </row>
        <row r="638">
          <cell r="B638" t="str">
            <v>ON185</v>
          </cell>
          <cell r="D638" t="str">
            <v>Ống nối chịu lực cho dây AC185</v>
          </cell>
          <cell r="E638" t="str">
            <v>cái</v>
          </cell>
          <cell r="F638">
            <v>212000</v>
          </cell>
        </row>
        <row r="639">
          <cell r="B639" t="str">
            <v>ON150</v>
          </cell>
          <cell r="D639" t="str">
            <v>Ống nối chịu lực cho dây AC 150</v>
          </cell>
          <cell r="E639" t="str">
            <v>cái</v>
          </cell>
          <cell r="F639">
            <v>176200</v>
          </cell>
        </row>
        <row r="640">
          <cell r="B640" t="str">
            <v>ON120</v>
          </cell>
          <cell r="D640" t="str">
            <v>Ống nối chịu lực cho dây AC120</v>
          </cell>
          <cell r="E640" t="str">
            <v>cái</v>
          </cell>
          <cell r="F640">
            <v>135700</v>
          </cell>
        </row>
        <row r="641">
          <cell r="B641" t="str">
            <v>ON95</v>
          </cell>
          <cell r="D641" t="str">
            <v>Ống nối chịu lực cho dây AC 95</v>
          </cell>
          <cell r="E641" t="str">
            <v>cái</v>
          </cell>
          <cell r="F641">
            <v>100500</v>
          </cell>
        </row>
        <row r="642">
          <cell r="B642" t="str">
            <v>BOC CD</v>
          </cell>
          <cell r="D642" t="str">
            <v>Bọc cách điện co nhiệt  cho đầu cáp ngầm 1x240mm2</v>
          </cell>
          <cell r="E642" t="str">
            <v>Mét</v>
          </cell>
          <cell r="F642">
            <v>45000</v>
          </cell>
        </row>
        <row r="643">
          <cell r="B643" t="str">
            <v>CO NHIET</v>
          </cell>
          <cell r="D643" t="str">
            <v>Ống co nhiệt (1m/mối nối)</v>
          </cell>
          <cell r="E643" t="str">
            <v>Mét</v>
          </cell>
          <cell r="F643">
            <v>150000</v>
          </cell>
        </row>
        <row r="644">
          <cell r="B644" t="str">
            <v>ON240L</v>
          </cell>
          <cell r="D644" t="str">
            <v>Ống nối lèo cho dây AC240</v>
          </cell>
          <cell r="E644" t="str">
            <v>cái</v>
          </cell>
          <cell r="F644">
            <v>271200</v>
          </cell>
        </row>
        <row r="645">
          <cell r="B645" t="str">
            <v>ON185L+CO</v>
          </cell>
          <cell r="D645" t="str">
            <v>Ống nối ép lèo dây 185mm2+ co nhiệt (0,5m)</v>
          </cell>
          <cell r="E645" t="str">
            <v>cái</v>
          </cell>
          <cell r="F645">
            <v>257000</v>
          </cell>
        </row>
        <row r="646">
          <cell r="B646" t="str">
            <v>ON185L</v>
          </cell>
          <cell r="D646" t="str">
            <v>Ống nối ép lèo dây 185mm2</v>
          </cell>
          <cell r="E646" t="str">
            <v>cái</v>
          </cell>
          <cell r="F646">
            <v>212000</v>
          </cell>
        </row>
        <row r="647">
          <cell r="B647" t="str">
            <v>ONACXH185L</v>
          </cell>
          <cell r="D647" t="str">
            <v>Ống nối lèo cho dây ACXH185</v>
          </cell>
          <cell r="E647" t="str">
            <v>cái</v>
          </cell>
          <cell r="F647">
            <v>176200</v>
          </cell>
        </row>
        <row r="648">
          <cell r="B648" t="str">
            <v>ON150L</v>
          </cell>
          <cell r="D648" t="str">
            <v>Ống nối lèo cho dây AC 150</v>
          </cell>
          <cell r="E648" t="str">
            <v>cái</v>
          </cell>
          <cell r="F648">
            <v>176200</v>
          </cell>
        </row>
        <row r="649">
          <cell r="B649" t="str">
            <v>ON120L</v>
          </cell>
          <cell r="D649" t="str">
            <v>Ống nối lèo cho dây ACKP120</v>
          </cell>
          <cell r="E649" t="str">
            <v>cái</v>
          </cell>
          <cell r="F649">
            <v>135700</v>
          </cell>
        </row>
        <row r="650">
          <cell r="B650" t="str">
            <v>ON95L</v>
          </cell>
          <cell r="D650" t="str">
            <v>Ống nối lèo cho dây AC95</v>
          </cell>
          <cell r="E650" t="str">
            <v>cái</v>
          </cell>
          <cell r="F650">
            <v>100500</v>
          </cell>
        </row>
        <row r="651">
          <cell r="B651" t="str">
            <v>ON70L</v>
          </cell>
          <cell r="D651" t="str">
            <v>Ống nối lèo cho dây AC70</v>
          </cell>
          <cell r="E651" t="str">
            <v>cái</v>
          </cell>
          <cell r="F651">
            <v>0</v>
          </cell>
        </row>
        <row r="652">
          <cell r="B652" t="str">
            <v>ON70</v>
          </cell>
          <cell r="D652" t="str">
            <v>Ống nối chịu lực cho dây AC 70</v>
          </cell>
          <cell r="E652" t="str">
            <v>cái</v>
          </cell>
          <cell r="F652">
            <v>86500</v>
          </cell>
        </row>
        <row r="653">
          <cell r="B653" t="str">
            <v>ON50</v>
          </cell>
          <cell r="D653" t="str">
            <v>Ống nối chịu lực cho dây AC50</v>
          </cell>
          <cell r="E653" t="str">
            <v>cái</v>
          </cell>
          <cell r="F653">
            <v>80900</v>
          </cell>
        </row>
        <row r="654">
          <cell r="B654" t="str">
            <v>ON35</v>
          </cell>
          <cell r="D654" t="str">
            <v>Ống nối chịu lực cho dây AC 35</v>
          </cell>
          <cell r="E654" t="str">
            <v>cái</v>
          </cell>
          <cell r="F654">
            <v>0</v>
          </cell>
        </row>
        <row r="655">
          <cell r="B655" t="str">
            <v>ONACKP185</v>
          </cell>
          <cell r="D655" t="str">
            <v>Ống nối chịu lực cho dây ACKP185</v>
          </cell>
          <cell r="E655" t="str">
            <v>cái</v>
          </cell>
          <cell r="F655">
            <v>0</v>
          </cell>
        </row>
        <row r="656">
          <cell r="B656" t="str">
            <v>ONACKP150</v>
          </cell>
          <cell r="D656" t="str">
            <v>Ống nối chịu lực cho dây ACKP150</v>
          </cell>
          <cell r="E656" t="str">
            <v>cái</v>
          </cell>
          <cell r="F656">
            <v>0</v>
          </cell>
        </row>
        <row r="657">
          <cell r="B657" t="str">
            <v>ONACKP120</v>
          </cell>
          <cell r="D657" t="str">
            <v>Ống nối chịu lực cho dây ACKP120</v>
          </cell>
          <cell r="E657" t="str">
            <v>cái</v>
          </cell>
          <cell r="F657">
            <v>0</v>
          </cell>
        </row>
        <row r="658">
          <cell r="B658" t="str">
            <v>ONACKP95</v>
          </cell>
          <cell r="D658" t="str">
            <v>Ống nối chịu lực cho dây ACKP 95</v>
          </cell>
          <cell r="E658" t="str">
            <v>cái</v>
          </cell>
          <cell r="F658">
            <v>0</v>
          </cell>
        </row>
        <row r="659">
          <cell r="B659" t="str">
            <v>ONACKP70</v>
          </cell>
          <cell r="D659" t="str">
            <v>Ống nối chịu lực cho dây ACKP 70</v>
          </cell>
          <cell r="E659" t="str">
            <v>cái</v>
          </cell>
          <cell r="F659">
            <v>0</v>
          </cell>
        </row>
        <row r="660">
          <cell r="B660" t="str">
            <v>ONACKP50</v>
          </cell>
          <cell r="D660" t="str">
            <v>Ống nối chịu lực cho dây ACKP50</v>
          </cell>
          <cell r="E660" t="str">
            <v>cái</v>
          </cell>
          <cell r="F660">
            <v>0</v>
          </cell>
        </row>
        <row r="661">
          <cell r="B661" t="str">
            <v>ONACKP35</v>
          </cell>
          <cell r="D661" t="str">
            <v>Ống nối chịu lực cho dây ACKP 35</v>
          </cell>
          <cell r="E661" t="str">
            <v>cái</v>
          </cell>
          <cell r="F661">
            <v>0</v>
          </cell>
        </row>
        <row r="662">
          <cell r="B662" t="str">
            <v>OÁNG NOÁI DAÂY AV</v>
          </cell>
        </row>
        <row r="663">
          <cell r="B663" t="str">
            <v>ON240v</v>
          </cell>
          <cell r="D663" t="str">
            <v>Ống nối chịu lực cho dây AV 240mm²</v>
          </cell>
          <cell r="E663" t="str">
            <v>cái</v>
          </cell>
          <cell r="F663">
            <v>0</v>
          </cell>
        </row>
        <row r="664">
          <cell r="B664" t="str">
            <v>ON185v</v>
          </cell>
          <cell r="D664" t="str">
            <v>Ống nối chịu lực cho dây AV 185mm²</v>
          </cell>
          <cell r="E664" t="str">
            <v>cái</v>
          </cell>
          <cell r="F664">
            <v>0</v>
          </cell>
        </row>
        <row r="665">
          <cell r="B665" t="str">
            <v>ON150v</v>
          </cell>
          <cell r="D665" t="str">
            <v>Ống nối chịu lực cho dây AV 150mm²</v>
          </cell>
          <cell r="E665" t="str">
            <v>cái</v>
          </cell>
          <cell r="F665">
            <v>0</v>
          </cell>
        </row>
        <row r="666">
          <cell r="B666" t="str">
            <v>ON120v</v>
          </cell>
          <cell r="D666" t="str">
            <v>Ống nối chịu lực cho dây AV 120mm²</v>
          </cell>
          <cell r="E666" t="str">
            <v>cái</v>
          </cell>
          <cell r="F666">
            <v>0</v>
          </cell>
        </row>
        <row r="667">
          <cell r="B667" t="str">
            <v>ON95v</v>
          </cell>
          <cell r="D667" t="str">
            <v>Ống nối chịu lực cho dây AV 95mm²</v>
          </cell>
          <cell r="E667" t="str">
            <v>cái</v>
          </cell>
          <cell r="F667">
            <v>0</v>
          </cell>
        </row>
        <row r="668">
          <cell r="B668" t="str">
            <v>ON70v</v>
          </cell>
          <cell r="D668" t="str">
            <v>Ống nối chịu lực cho dây AV 70mm²</v>
          </cell>
          <cell r="E668" t="str">
            <v>cái</v>
          </cell>
          <cell r="F668">
            <v>0</v>
          </cell>
        </row>
        <row r="669">
          <cell r="B669" t="str">
            <v>ON50v</v>
          </cell>
          <cell r="D669" t="str">
            <v>Ống nối chịu lực cho dây AV 50mm²</v>
          </cell>
          <cell r="E669" t="str">
            <v>cái</v>
          </cell>
          <cell r="F669">
            <v>0</v>
          </cell>
        </row>
        <row r="670">
          <cell r="B670" t="str">
            <v>ON35v</v>
          </cell>
          <cell r="D670" t="str">
            <v>Ống nối chịu lực cho dây AV 35</v>
          </cell>
          <cell r="E670" t="str">
            <v>cái</v>
          </cell>
          <cell r="F670">
            <v>0</v>
          </cell>
        </row>
        <row r="671">
          <cell r="B671" t="str">
            <v>COÅ DEÂ</v>
          </cell>
        </row>
        <row r="672">
          <cell r="B672" t="str">
            <v>CD21</v>
          </cell>
          <cell r="D672" t="str">
            <v>Côdê cùm ống sứ t Ø21 (PL 30x3) (mạ kẽm nhúng nóng (độ dày lớp mạ ≥80µm))</v>
          </cell>
          <cell r="E672" t="str">
            <v>bộ</v>
          </cell>
          <cell r="F672">
            <v>0</v>
          </cell>
        </row>
        <row r="673">
          <cell r="B673" t="str">
            <v>CD-C195</v>
          </cell>
          <cell r="D673" t="str">
            <v>Côdê C195x2</v>
          </cell>
          <cell r="E673" t="str">
            <v>Kg</v>
          </cell>
          <cell r="F673">
            <v>31000</v>
          </cell>
        </row>
        <row r="674">
          <cell r="B674" t="str">
            <v>CD200</v>
          </cell>
          <cell r="D674" t="str">
            <v>Côdê chống lắc xà FCO  Ø 200-Fe 8x100  (mạ kẽm nhúng nóng (độ dày lớp mạ ≥80µm))</v>
          </cell>
          <cell r="E674" t="str">
            <v>bộ</v>
          </cell>
          <cell r="F674">
            <v>0</v>
          </cell>
        </row>
        <row r="675">
          <cell r="B675" t="str">
            <v>CD210</v>
          </cell>
          <cell r="D675" t="str">
            <v>Côdê Ø 210-Fe 8x100 (mạ kẽm nhúng nóng (độ dày lớp mạ ≥80µm))</v>
          </cell>
          <cell r="E675" t="str">
            <v>bộ</v>
          </cell>
          <cell r="F675">
            <v>0</v>
          </cell>
        </row>
        <row r="676">
          <cell r="B676" t="str">
            <v>CD230</v>
          </cell>
          <cell r="D676" t="str">
            <v>Côdê Ø 230-Fe 8x100 (mạ kẽm nhúng nóng (độ dày lớp mạ ≥80µm))</v>
          </cell>
          <cell r="E676" t="str">
            <v>bộ</v>
          </cell>
          <cell r="F676">
            <v>0</v>
          </cell>
        </row>
        <row r="677">
          <cell r="B677" t="str">
            <v>CD240</v>
          </cell>
          <cell r="D677" t="str">
            <v>Côdê Ø 240-Fe 8x100 (mạ kẽm nhúng nóng (độ dày lớp mạ ≥80µm))</v>
          </cell>
          <cell r="E677" t="str">
            <v>bộ</v>
          </cell>
          <cell r="F677">
            <v>0</v>
          </cell>
        </row>
        <row r="678">
          <cell r="B678" t="str">
            <v>CD245</v>
          </cell>
          <cell r="D678" t="str">
            <v>Côdê Ø 245-Fe 8x100 (mạ kẽm nhúng nóng (độ dày lớp mạ ≥80µm))</v>
          </cell>
          <cell r="E678" t="str">
            <v>bộ</v>
          </cell>
          <cell r="F678">
            <v>0</v>
          </cell>
        </row>
        <row r="679">
          <cell r="B679" t="str">
            <v>CD250</v>
          </cell>
          <cell r="D679" t="str">
            <v>Côdê Ø 250-Fe 8x100 (mạ kẽm nhúng nóng (độ dày lớp mạ ≥80µm))</v>
          </cell>
          <cell r="E679" t="str">
            <v>bộ</v>
          </cell>
          <cell r="F679">
            <v>0</v>
          </cell>
        </row>
        <row r="680">
          <cell r="B680" t="str">
            <v>CD260</v>
          </cell>
          <cell r="D680" t="str">
            <v>Côdê Ø 260-Fe 8x100 (mạ kẽm nhúng nóng (độ dày lớp mạ ≥80µm))</v>
          </cell>
          <cell r="E680" t="str">
            <v>bộ</v>
          </cell>
          <cell r="F680">
            <v>0</v>
          </cell>
        </row>
        <row r="681">
          <cell r="B681" t="str">
            <v>CD262</v>
          </cell>
          <cell r="D681" t="str">
            <v>Côdê Ø 262-Fe 8x100 (mạ kẽm nhúng nóng (độ dày lớp mạ ≥80µm))</v>
          </cell>
          <cell r="E681" t="str">
            <v>bộ</v>
          </cell>
          <cell r="F681">
            <v>0</v>
          </cell>
        </row>
        <row r="682">
          <cell r="B682" t="str">
            <v>CD330</v>
          </cell>
          <cell r="D682" t="str">
            <v>Côdê Ø 330-Fe 8x100 (mạ kẽm nhúng nóng (độ dày lớp mạ ≥80µm))</v>
          </cell>
          <cell r="E682" t="str">
            <v>bộ</v>
          </cell>
          <cell r="F682">
            <v>0</v>
          </cell>
        </row>
        <row r="683">
          <cell r="B683" t="str">
            <v>CD335</v>
          </cell>
          <cell r="D683" t="str">
            <v>Côdê Ø 335-Fe 8x100 (mạ kẽm nhúng nóng (độ dày lớp mạ ≥80µm))</v>
          </cell>
          <cell r="E683" t="str">
            <v>bộ</v>
          </cell>
          <cell r="F683">
            <v>0</v>
          </cell>
        </row>
        <row r="684">
          <cell r="B684" t="str">
            <v>CD366</v>
          </cell>
          <cell r="D684" t="str">
            <v>Côdê Ø 366-Fe 8x100 (mạ kẽm nhúng nóng (độ dày lớp mạ ≥80µm))</v>
          </cell>
          <cell r="E684" t="str">
            <v>bộ</v>
          </cell>
          <cell r="F684">
            <v>0</v>
          </cell>
        </row>
        <row r="685">
          <cell r="B685" t="str">
            <v>CD280</v>
          </cell>
          <cell r="D685" t="str">
            <v>Côdê Ø 280-Fe 8x100 (mạ kẽm nhúng nóng (độ dày lớp mạ ≥80µm))</v>
          </cell>
          <cell r="E685" t="str">
            <v>bộ</v>
          </cell>
          <cell r="F685">
            <v>0</v>
          </cell>
        </row>
        <row r="686">
          <cell r="B686" t="str">
            <v>CD142</v>
          </cell>
          <cell r="D686" t="str">
            <v>Côdê CD.X-142 (mạ kẽm nhúng nóng (độ dày lớp mạ ≥80µm))</v>
          </cell>
          <cell r="E686" t="str">
            <v>bộ</v>
          </cell>
          <cell r="F686">
            <v>0</v>
          </cell>
        </row>
        <row r="687">
          <cell r="B687" t="str">
            <v>CD142a</v>
          </cell>
          <cell r="D687" t="str">
            <v>Côdê CD.X-142A (mạ kẽm nhúng nóng (độ dày lớp mạ ≥80µm))</v>
          </cell>
          <cell r="E687" t="str">
            <v>bộ</v>
          </cell>
          <cell r="F687">
            <v>0</v>
          </cell>
        </row>
        <row r="688">
          <cell r="B688" t="str">
            <v>CD146</v>
          </cell>
          <cell r="D688" t="str">
            <v>Côdê CD.X-146 (mạ kẽm nhúng nóng (độ dày lớp mạ ≥80µm))</v>
          </cell>
          <cell r="E688" t="str">
            <v>bộ</v>
          </cell>
          <cell r="F688">
            <v>0</v>
          </cell>
        </row>
        <row r="689">
          <cell r="B689" t="str">
            <v>CD146a</v>
          </cell>
          <cell r="D689" t="str">
            <v>Côdê CD.X-146A (mạ kẽm nhúng nóng (độ dày lớp mạ ≥80µm))</v>
          </cell>
          <cell r="E689" t="str">
            <v>bộ</v>
          </cell>
          <cell r="F689">
            <v>0</v>
          </cell>
        </row>
        <row r="690">
          <cell r="B690" t="str">
            <v>CD195</v>
          </cell>
          <cell r="D690" t="str">
            <v>Côdê Ø 195-Fe 8x100 (mạ kẽm nhúng nóng)</v>
          </cell>
          <cell r="E690" t="str">
            <v>bộ</v>
          </cell>
          <cell r="F690">
            <v>0</v>
          </cell>
        </row>
        <row r="691">
          <cell r="B691" t="str">
            <v>Cdinox</v>
          </cell>
          <cell r="D691" t="str">
            <v>Côdê inox 15 Ø 120 (bao gồm cao su đệm)</v>
          </cell>
          <cell r="E691" t="str">
            <v>bộ</v>
          </cell>
          <cell r="F691">
            <v>0</v>
          </cell>
        </row>
        <row r="692">
          <cell r="B692" t="str">
            <v>CD207</v>
          </cell>
          <cell r="D692" t="str">
            <v>Côdê Ø 207-Fe 5x50 (mạ kẽm nhúng nóng)</v>
          </cell>
          <cell r="E692" t="str">
            <v>bộ</v>
          </cell>
          <cell r="F692">
            <v>0</v>
          </cell>
        </row>
        <row r="693">
          <cell r="B693" t="str">
            <v>cd267</v>
          </cell>
          <cell r="C693">
            <v>0</v>
          </cell>
          <cell r="D693" t="str">
            <v>Côdê Ø 267-Fe 5x50 (mạ kẽm nhúng nóng (độ dày lớp mạ ≥80µm))</v>
          </cell>
          <cell r="E693" t="str">
            <v>bộ</v>
          </cell>
          <cell r="F693">
            <v>0</v>
          </cell>
          <cell r="G693">
            <v>0</v>
          </cell>
          <cell r="H693">
            <v>0</v>
          </cell>
          <cell r="I693">
            <v>0</v>
          </cell>
        </row>
        <row r="694">
          <cell r="B694" t="str">
            <v>cd275</v>
          </cell>
          <cell r="C694">
            <v>0</v>
          </cell>
          <cell r="D694" t="str">
            <v>Côdê Ø 275-Fe 5x50 (mạ kẽm nhúng nóng (độ dày lớp mạ ≥80µm))</v>
          </cell>
          <cell r="E694" t="str">
            <v>bộ</v>
          </cell>
          <cell r="F694">
            <v>0</v>
          </cell>
          <cell r="G694">
            <v>0</v>
          </cell>
          <cell r="H694">
            <v>0</v>
          </cell>
          <cell r="I694">
            <v>0</v>
          </cell>
        </row>
        <row r="695">
          <cell r="B695" t="str">
            <v>cd289</v>
          </cell>
          <cell r="C695">
            <v>0</v>
          </cell>
          <cell r="D695" t="str">
            <v>Côdê Ø 289-Fe 5x50 (mạ kẽm nhúng nóng (độ dày lớp mạ ≥80µm))</v>
          </cell>
          <cell r="E695" t="str">
            <v>bộ</v>
          </cell>
          <cell r="F695">
            <v>0</v>
          </cell>
          <cell r="G695">
            <v>0</v>
          </cell>
          <cell r="H695">
            <v>0</v>
          </cell>
          <cell r="I695">
            <v>0</v>
          </cell>
        </row>
        <row r="696">
          <cell r="B696" t="str">
            <v>cd297</v>
          </cell>
          <cell r="C696">
            <v>0</v>
          </cell>
          <cell r="D696" t="str">
            <v>Côdê Ø 297-Fe 5x50 (mạ kẽm nhúng nóng (độ dày lớp mạ ≥80µm))</v>
          </cell>
          <cell r="E696" t="str">
            <v>bộ</v>
          </cell>
          <cell r="F696">
            <v>0</v>
          </cell>
          <cell r="G696">
            <v>0</v>
          </cell>
          <cell r="H696">
            <v>0</v>
          </cell>
          <cell r="I696">
            <v>0</v>
          </cell>
        </row>
        <row r="697">
          <cell r="B697" t="str">
            <v>cd284</v>
          </cell>
          <cell r="C697">
            <v>0</v>
          </cell>
          <cell r="D697" t="str">
            <v>Côdê Ø 284-Fe 5x50 (mạ kẽm nhúng nóng (độ dày lớp mạ ≥80µm))</v>
          </cell>
          <cell r="E697" t="str">
            <v>bộ</v>
          </cell>
          <cell r="F697">
            <v>0</v>
          </cell>
          <cell r="G697">
            <v>0</v>
          </cell>
          <cell r="H697">
            <v>0</v>
          </cell>
          <cell r="I697">
            <v>0</v>
          </cell>
        </row>
        <row r="698">
          <cell r="B698" t="str">
            <v>cd292</v>
          </cell>
          <cell r="C698">
            <v>0</v>
          </cell>
          <cell r="D698" t="str">
            <v>Côdê Ø 292-Fe 5x50 (mạ kẽm nhúng nóng (độ dày lớp mạ ≥80µm))</v>
          </cell>
          <cell r="E698" t="str">
            <v>bộ</v>
          </cell>
          <cell r="F698">
            <v>0</v>
          </cell>
          <cell r="G698">
            <v>0</v>
          </cell>
          <cell r="H698">
            <v>0</v>
          </cell>
          <cell r="I698">
            <v>0</v>
          </cell>
        </row>
        <row r="699">
          <cell r="B699" t="str">
            <v>cd307</v>
          </cell>
          <cell r="C699">
            <v>0</v>
          </cell>
          <cell r="D699" t="str">
            <v>Côdê Ø 307-Fe 5x50 (mạ kẽm nhúng nóng (độ dày lớp mạ ≥80µm))</v>
          </cell>
          <cell r="E699" t="str">
            <v>bộ</v>
          </cell>
          <cell r="F699">
            <v>0</v>
          </cell>
          <cell r="G699">
            <v>0</v>
          </cell>
          <cell r="H699">
            <v>0</v>
          </cell>
          <cell r="I699">
            <v>0</v>
          </cell>
        </row>
        <row r="700">
          <cell r="B700" t="str">
            <v>cd315</v>
          </cell>
          <cell r="C700">
            <v>0</v>
          </cell>
          <cell r="D700" t="str">
            <v>Côdê Ø 315-Fe 5x50 (mạ kẽm nhúng nóng (độ dày lớp mạ ≥80µm))</v>
          </cell>
          <cell r="E700" t="str">
            <v>bộ</v>
          </cell>
          <cell r="F700">
            <v>0</v>
          </cell>
          <cell r="G700">
            <v>0</v>
          </cell>
          <cell r="H700">
            <v>0</v>
          </cell>
          <cell r="I700">
            <v>0</v>
          </cell>
        </row>
        <row r="701">
          <cell r="B701" t="str">
            <v>CD200-FCO</v>
          </cell>
          <cell r="D701" t="str">
            <v>Côdê Ø 200-FCO-Fe 5x50 (mạ kẽm nhúng nóng (độ dày lớp mạ ≥80µm))</v>
          </cell>
          <cell r="E701" t="str">
            <v>bộ</v>
          </cell>
          <cell r="F701">
            <v>0</v>
          </cell>
        </row>
        <row r="702">
          <cell r="B702" t="str">
            <v>ÑAÀU COSE BAÉT Bulông</v>
          </cell>
        </row>
        <row r="703">
          <cell r="B703" t="str">
            <v>COSE16</v>
          </cell>
          <cell r="D703" t="str">
            <v>Đầu cosse nhôm + Bulông dây 16 mm²</v>
          </cell>
          <cell r="E703" t="str">
            <v>cái</v>
          </cell>
          <cell r="J703" t="str">
            <v xml:space="preserve"> </v>
          </cell>
        </row>
        <row r="704">
          <cell r="B704" t="str">
            <v>COSE25</v>
          </cell>
          <cell r="D704" t="str">
            <v>Đầu cosse nhôm + Bulông dây 25mm²</v>
          </cell>
          <cell r="E704" t="str">
            <v>cái</v>
          </cell>
        </row>
        <row r="705">
          <cell r="B705" t="str">
            <v>COSE35</v>
          </cell>
          <cell r="D705" t="str">
            <v>Đầu cosse nhôm + Bulông dây 35 mm²</v>
          </cell>
          <cell r="E705" t="str">
            <v>cái</v>
          </cell>
        </row>
        <row r="706">
          <cell r="B706" t="str">
            <v>COSE50</v>
          </cell>
          <cell r="D706" t="str">
            <v>Đầu cosse nhôm + Bulông dây 50 mm²</v>
          </cell>
          <cell r="E706" t="str">
            <v>cái</v>
          </cell>
        </row>
        <row r="707">
          <cell r="B707" t="str">
            <v>COSE70</v>
          </cell>
          <cell r="D707" t="str">
            <v>Đầu cosse nhôm + Bulông dây 70 mm²</v>
          </cell>
          <cell r="E707" t="str">
            <v>cái</v>
          </cell>
        </row>
        <row r="708">
          <cell r="B708" t="str">
            <v>COSE95</v>
          </cell>
          <cell r="D708" t="str">
            <v>Đầu cosse nhôm + Bulông dây 95 mm²</v>
          </cell>
          <cell r="E708" t="str">
            <v>cái</v>
          </cell>
        </row>
        <row r="709">
          <cell r="B709" t="str">
            <v>COSE120</v>
          </cell>
          <cell r="D709" t="str">
            <v>Đầu cosse nhôm + Bulông dây 120 mm²</v>
          </cell>
          <cell r="E709" t="str">
            <v>cái</v>
          </cell>
        </row>
        <row r="710">
          <cell r="B710" t="str">
            <v>COSE150</v>
          </cell>
          <cell r="D710" t="str">
            <v>Đầu cosse nhôm + Bulông dây 150 mm²</v>
          </cell>
          <cell r="E710" t="str">
            <v>cái</v>
          </cell>
        </row>
        <row r="711">
          <cell r="B711" t="str">
            <v>COSE185</v>
          </cell>
          <cell r="D711" t="str">
            <v>Đầu cosse nhôm + Bulông dây 185 mm²</v>
          </cell>
          <cell r="E711" t="str">
            <v>cái</v>
          </cell>
        </row>
        <row r="712">
          <cell r="B712" t="str">
            <v>COS185AL</v>
          </cell>
          <cell r="D712" t="str">
            <v>Đầu cosse Cu - AL 185mm²</v>
          </cell>
          <cell r="E712" t="str">
            <v>cái</v>
          </cell>
          <cell r="F712">
            <v>0</v>
          </cell>
        </row>
        <row r="713">
          <cell r="B713" t="str">
            <v>COSE240</v>
          </cell>
          <cell r="D713" t="str">
            <v>Đầu cosse nhôm + Bulông dây 240 mm²</v>
          </cell>
          <cell r="E713" t="str">
            <v>cái</v>
          </cell>
        </row>
        <row r="714">
          <cell r="B714" t="str">
            <v>OÁC XIEÁT CAÙP</v>
          </cell>
        </row>
        <row r="715">
          <cell r="B715" t="str">
            <v>OXC14C</v>
          </cell>
          <cell r="D715" t="str">
            <v>Ốc xiết cáp Cu cỡ 14mm²</v>
          </cell>
          <cell r="E715" t="str">
            <v>cái</v>
          </cell>
          <cell r="F715">
            <v>0</v>
          </cell>
        </row>
        <row r="716">
          <cell r="B716" t="str">
            <v>OXC22C</v>
          </cell>
          <cell r="D716" t="str">
            <v>Ốc xiết cáp Cu cỡ 22mm²</v>
          </cell>
          <cell r="E716" t="str">
            <v>cái</v>
          </cell>
          <cell r="F716">
            <v>0</v>
          </cell>
        </row>
        <row r="717">
          <cell r="B717" t="str">
            <v>OXC25C</v>
          </cell>
          <cell r="D717" t="str">
            <v>Kẹp Splitbolt cỡ 25mm²</v>
          </cell>
          <cell r="E717" t="str">
            <v>cái</v>
          </cell>
          <cell r="F717">
            <v>0</v>
          </cell>
        </row>
        <row r="718">
          <cell r="B718" t="str">
            <v>OXC35C</v>
          </cell>
          <cell r="D718" t="str">
            <v>Kẹp splitbolt cỡ 35mm²</v>
          </cell>
          <cell r="E718" t="str">
            <v>cái</v>
          </cell>
          <cell r="F718">
            <v>0</v>
          </cell>
        </row>
        <row r="719">
          <cell r="B719" t="str">
            <v>OXC10</v>
          </cell>
          <cell r="D719" t="str">
            <v>Kẹp splitbolt Cu cỡ A35-50/C10-50 (1/0 Cu-Al)</v>
          </cell>
          <cell r="E719" t="str">
            <v>cái</v>
          </cell>
          <cell r="F719">
            <v>78000</v>
          </cell>
        </row>
        <row r="720">
          <cell r="B720" t="str">
            <v>OXC25</v>
          </cell>
          <cell r="D720" t="str">
            <v xml:space="preserve">Kẹp split bolt đồng nối dây duplex </v>
          </cell>
          <cell r="E720" t="str">
            <v>cái</v>
          </cell>
          <cell r="F720">
            <v>78000</v>
          </cell>
        </row>
        <row r="721">
          <cell r="B721" t="str">
            <v>OXC50</v>
          </cell>
          <cell r="D721" t="str">
            <v>Kẹp splitbolt Cu cỡ A35-50/C10-50 (1/0 Cu-Al)</v>
          </cell>
          <cell r="E721" t="str">
            <v>cái</v>
          </cell>
          <cell r="F721">
            <v>78000</v>
          </cell>
        </row>
        <row r="722">
          <cell r="B722" t="str">
            <v>OXC50C</v>
          </cell>
          <cell r="D722" t="str">
            <v>Ốc xiết cáp Cu cỡ 50mm²</v>
          </cell>
          <cell r="E722" t="str">
            <v>cái</v>
          </cell>
          <cell r="F722">
            <v>0</v>
          </cell>
        </row>
        <row r="723">
          <cell r="B723" t="str">
            <v>OXC38C</v>
          </cell>
          <cell r="D723" t="str">
            <v>Ốc xiết cáp Cu cỡ 38mm²</v>
          </cell>
          <cell r="E723" t="str">
            <v>cái</v>
          </cell>
          <cell r="F723">
            <v>0</v>
          </cell>
        </row>
        <row r="724">
          <cell r="B724" t="str">
            <v>OXC120C</v>
          </cell>
          <cell r="D724" t="str">
            <v>Ốc xiết cáp Cu cỡ 120mm²</v>
          </cell>
          <cell r="E724" t="str">
            <v>cái</v>
          </cell>
          <cell r="F724">
            <v>0</v>
          </cell>
        </row>
        <row r="725">
          <cell r="B725" t="str">
            <v>OXC150C</v>
          </cell>
          <cell r="D725" t="str">
            <v>Ốc xiết cáp Cu cỡ 150mm²</v>
          </cell>
          <cell r="E725" t="str">
            <v>cái</v>
          </cell>
          <cell r="F725">
            <v>0</v>
          </cell>
        </row>
        <row r="726">
          <cell r="B726" t="str">
            <v>OXC11</v>
          </cell>
          <cell r="D726" t="str">
            <v>Ốc xiết cáp Cu cỡ dây 11</v>
          </cell>
          <cell r="E726" t="str">
            <v>cái</v>
          </cell>
          <cell r="F726">
            <v>0</v>
          </cell>
          <cell r="J726" t="str">
            <v>ĐM285</v>
          </cell>
        </row>
        <row r="727">
          <cell r="B727" t="str">
            <v>OXC22</v>
          </cell>
          <cell r="D727" t="str">
            <v>Kẹp Splitbolt Cu-AL cỡ dây 11-22mm²</v>
          </cell>
          <cell r="E727" t="str">
            <v>cái</v>
          </cell>
          <cell r="F727">
            <v>0</v>
          </cell>
          <cell r="J727" t="str">
            <v>ĐM285</v>
          </cell>
        </row>
        <row r="728">
          <cell r="B728" t="str">
            <v>OXC70</v>
          </cell>
          <cell r="D728" t="str">
            <v>Kẹp Splitbolt Cu-AL cỡ dây 50-70mm²</v>
          </cell>
          <cell r="E728" t="str">
            <v>cái</v>
          </cell>
          <cell r="F728">
            <v>41000</v>
          </cell>
          <cell r="J728" t="str">
            <v>"</v>
          </cell>
        </row>
        <row r="729">
          <cell r="B729" t="str">
            <v>OXC95</v>
          </cell>
          <cell r="D729" t="str">
            <v>Kẹp Splitbolt Cu-AL cỡ dây 95-120mm²</v>
          </cell>
          <cell r="E729" t="str">
            <v>cái</v>
          </cell>
          <cell r="F729">
            <v>0</v>
          </cell>
          <cell r="J729" t="str">
            <v>"</v>
          </cell>
        </row>
        <row r="730">
          <cell r="B730" t="str">
            <v>OXC185</v>
          </cell>
          <cell r="D730" t="str">
            <v>Kẹp Splitbolt Cu-AL cỡ dây 150-240mm²</v>
          </cell>
          <cell r="E730" t="str">
            <v>cái</v>
          </cell>
          <cell r="F730">
            <v>0</v>
          </cell>
          <cell r="J730" t="str">
            <v>"</v>
          </cell>
        </row>
        <row r="731">
          <cell r="B731" t="str">
            <v>OXC250</v>
          </cell>
          <cell r="D731" t="str">
            <v>Ốc xiết cáp Cu-AL 250MCM</v>
          </cell>
          <cell r="E731" t="str">
            <v>cái</v>
          </cell>
          <cell r="F731">
            <v>0</v>
          </cell>
          <cell r="J731" t="str">
            <v>"</v>
          </cell>
        </row>
        <row r="732">
          <cell r="B732" t="str">
            <v>OXC350</v>
          </cell>
          <cell r="D732" t="str">
            <v>Ốc xiết cáp Cu-AL 350MCM</v>
          </cell>
          <cell r="E732" t="str">
            <v>cái</v>
          </cell>
          <cell r="F732">
            <v>0</v>
          </cell>
          <cell r="J732" t="str">
            <v>"</v>
          </cell>
        </row>
        <row r="733">
          <cell r="B733" t="str">
            <v>OXC400</v>
          </cell>
          <cell r="D733" t="str">
            <v>Ốc xiết cáp Cu-AL 400-500MCM</v>
          </cell>
          <cell r="E733" t="str">
            <v>cái</v>
          </cell>
          <cell r="F733">
            <v>0</v>
          </cell>
          <cell r="J733" t="str">
            <v>"</v>
          </cell>
        </row>
        <row r="734">
          <cell r="B734" t="str">
            <v>OXC600</v>
          </cell>
          <cell r="D734" t="str">
            <v>Ốc xiết cáp Cu-AL 600-800MCM</v>
          </cell>
          <cell r="E734" t="str">
            <v>cái</v>
          </cell>
          <cell r="F734">
            <v>0</v>
          </cell>
          <cell r="J734" t="str">
            <v>"</v>
          </cell>
        </row>
        <row r="735">
          <cell r="B735" t="str">
            <v>KQ2/0</v>
          </cell>
          <cell r="D735" t="str">
            <v>Kẹp quai dây 50-70mm²</v>
          </cell>
          <cell r="E735" t="str">
            <v>cái</v>
          </cell>
          <cell r="F735">
            <v>235600</v>
          </cell>
          <cell r="J735" t="str">
            <v>"</v>
          </cell>
        </row>
        <row r="736">
          <cell r="B736" t="str">
            <v>KQ3/0</v>
          </cell>
          <cell r="D736" t="str">
            <v>Kẹp quai dây 95-120mm²</v>
          </cell>
          <cell r="E736" t="str">
            <v>cái</v>
          </cell>
          <cell r="F736">
            <v>137000</v>
          </cell>
          <cell r="J736" t="str">
            <v>"</v>
          </cell>
        </row>
        <row r="737">
          <cell r="B737" t="str">
            <v>KQ4/0</v>
          </cell>
          <cell r="D737" t="str">
            <v>Kẹp quai dây 150-185mm²</v>
          </cell>
          <cell r="E737" t="str">
            <v>cái</v>
          </cell>
          <cell r="F737">
            <v>46200</v>
          </cell>
          <cell r="J737" t="str">
            <v>__"__</v>
          </cell>
        </row>
        <row r="738">
          <cell r="B738" t="str">
            <v>KH1/0</v>
          </cell>
          <cell r="D738" t="str">
            <v>Hotline clamp dây đồng 25mm²</v>
          </cell>
          <cell r="E738" t="str">
            <v>cái</v>
          </cell>
          <cell r="F738">
            <v>67100</v>
          </cell>
        </row>
        <row r="739">
          <cell r="B739" t="str">
            <v>KH2/0</v>
          </cell>
          <cell r="D739" t="str">
            <v>Hotline clamp dây đồng 50-70mm²</v>
          </cell>
          <cell r="E739" t="str">
            <v>cái</v>
          </cell>
          <cell r="F739">
            <v>163000</v>
          </cell>
        </row>
        <row r="740">
          <cell r="B740" t="str">
            <v>KH3/0</v>
          </cell>
          <cell r="D740" t="str">
            <v>Hotline clamp dây đồng 95-120mm²</v>
          </cell>
          <cell r="E740" t="str">
            <v>cái</v>
          </cell>
          <cell r="F740">
            <v>252500</v>
          </cell>
        </row>
        <row r="741">
          <cell r="B741" t="str">
            <v>KH4/0</v>
          </cell>
          <cell r="D741" t="str">
            <v>Hotline clamp dây đồng 185-240mm²</v>
          </cell>
          <cell r="E741" t="str">
            <v>cái</v>
          </cell>
          <cell r="F741">
            <v>110300</v>
          </cell>
        </row>
        <row r="742">
          <cell r="B742" t="str">
            <v>KQ2/0+KH1/0</v>
          </cell>
          <cell r="D742" t="str">
            <v>Kẹp quai dây 50-70mm² +Hotline Clamp dây đồng 25mm²</v>
          </cell>
          <cell r="E742" t="str">
            <v>bộ</v>
          </cell>
          <cell r="F742">
            <v>288600</v>
          </cell>
          <cell r="J742" t="str">
            <v>ĐM286</v>
          </cell>
        </row>
        <row r="743">
          <cell r="B743" t="str">
            <v>KQ3/0+KH1/0</v>
          </cell>
          <cell r="D743" t="str">
            <v>Kẹp quai dây 95-120mm² +Hotline Clamp dây đồng 25mm²</v>
          </cell>
          <cell r="E743" t="str">
            <v>bộ</v>
          </cell>
          <cell r="F743">
            <v>204100</v>
          </cell>
          <cell r="J743" t="str">
            <v>"</v>
          </cell>
        </row>
        <row r="744">
          <cell r="B744" t="str">
            <v>K12022</v>
          </cell>
          <cell r="D744" t="str">
            <v>Kẹp quai dây 120mm² +Hotline Clamp dây đồng 22mm²</v>
          </cell>
          <cell r="E744" t="str">
            <v>bộ</v>
          </cell>
          <cell r="F744">
            <v>204100</v>
          </cell>
          <cell r="J744" t="str">
            <v>"</v>
          </cell>
        </row>
        <row r="745">
          <cell r="B745" t="str">
            <v>K12050</v>
          </cell>
          <cell r="D745" t="str">
            <v>Kẹp quai dây 120mm² +Hotline Clamp dây đồng 50mm²</v>
          </cell>
          <cell r="E745" t="str">
            <v>bộ</v>
          </cell>
          <cell r="F745">
            <v>300000</v>
          </cell>
          <cell r="J745" t="str">
            <v>"</v>
          </cell>
        </row>
        <row r="746">
          <cell r="B746" t="str">
            <v>K120120</v>
          </cell>
          <cell r="D746" t="str">
            <v>Kẹp quai dây 120mm² +Hotline Clamp dây đồng 120mm²</v>
          </cell>
          <cell r="E746" t="str">
            <v>bộ</v>
          </cell>
          <cell r="F746">
            <v>389500</v>
          </cell>
          <cell r="J746" t="str">
            <v>"</v>
          </cell>
        </row>
        <row r="747">
          <cell r="B747" t="str">
            <v>K12095</v>
          </cell>
          <cell r="D747" t="str">
            <v>Kẹp quai dây 120mm² +Hotline Clamp dây đồng 95mm²</v>
          </cell>
          <cell r="E747" t="str">
            <v>bộ</v>
          </cell>
          <cell r="F747">
            <v>389500</v>
          </cell>
          <cell r="J747" t="str">
            <v>"</v>
          </cell>
        </row>
        <row r="748">
          <cell r="B748" t="str">
            <v>KQ5070</v>
          </cell>
          <cell r="D748" t="str">
            <v>Kẹp quai dây 50-70mm² +Hotline Clamp dây đồng 50mm²</v>
          </cell>
          <cell r="E748" t="str">
            <v>bộ</v>
          </cell>
          <cell r="F748">
            <v>283030</v>
          </cell>
          <cell r="J748" t="str">
            <v>ĐM286</v>
          </cell>
        </row>
        <row r="749">
          <cell r="B749" t="str">
            <v>KQ5095</v>
          </cell>
          <cell r="D749" t="str">
            <v>Kẹp quai dây 50-95mm² +Hotline Clamp dây đồng 50mm²</v>
          </cell>
          <cell r="E749" t="str">
            <v>bộ</v>
          </cell>
          <cell r="F749">
            <v>0</v>
          </cell>
          <cell r="J749" t="str">
            <v>ĐM286</v>
          </cell>
        </row>
        <row r="750">
          <cell r="B750" t="str">
            <v>KQ7095</v>
          </cell>
          <cell r="D750" t="str">
            <v>Kẹp quai dây 70-95mm² +Hotline Clamp dây đồng 25mm²</v>
          </cell>
          <cell r="E750" t="str">
            <v>bộ</v>
          </cell>
          <cell r="F750">
            <v>0</v>
          </cell>
          <cell r="J750" t="str">
            <v>ĐM286</v>
          </cell>
        </row>
        <row r="751">
          <cell r="B751" t="str">
            <v>KQ7095BOC</v>
          </cell>
          <cell r="D751" t="str">
            <v xml:space="preserve">Kẹp quai dây 70-95mm² + bọc cách điện +Hotline Clamp dây đồng 50mm² </v>
          </cell>
          <cell r="E751" t="str">
            <v>bộ</v>
          </cell>
          <cell r="F751">
            <v>424545</v>
          </cell>
          <cell r="J751" t="str">
            <v>ĐM286</v>
          </cell>
        </row>
        <row r="752">
          <cell r="B752" t="str">
            <v>KQ7025BOC</v>
          </cell>
          <cell r="D752" t="str">
            <v xml:space="preserve">Kẹp quai dây 70-95mm² + bọc cách điện +Hotline Clamp dây đồng 25mm² </v>
          </cell>
          <cell r="E752" t="str">
            <v>bộ</v>
          </cell>
          <cell r="F752">
            <v>0</v>
          </cell>
          <cell r="J752" t="str">
            <v>ĐM286</v>
          </cell>
        </row>
        <row r="753">
          <cell r="B753" t="str">
            <v>KQ120240</v>
          </cell>
          <cell r="D753" t="str">
            <v>Kẹp quai dây 120-240mm² +Hotline Clamp dây đồng 50mm²</v>
          </cell>
          <cell r="E753" t="str">
            <v>bộ</v>
          </cell>
          <cell r="F753">
            <v>209200</v>
          </cell>
          <cell r="J753" t="str">
            <v>ĐM286</v>
          </cell>
        </row>
        <row r="754">
          <cell r="B754" t="str">
            <v>KQ95120</v>
          </cell>
          <cell r="D754" t="str">
            <v>Kẹp quai dây 95-120mm² +Hotline Clamp dây đồng 50mm²</v>
          </cell>
          <cell r="E754" t="str">
            <v>bộ</v>
          </cell>
          <cell r="F754">
            <v>0</v>
          </cell>
          <cell r="J754" t="str">
            <v>"</v>
          </cell>
        </row>
        <row r="755">
          <cell r="B755" t="str">
            <v>KQ95120-70</v>
          </cell>
          <cell r="D755" t="str">
            <v>Kẹp quai dây 95-120mm² +Hotline Clamp dây đồng 70mm²</v>
          </cell>
          <cell r="E755" t="str">
            <v>bộ</v>
          </cell>
          <cell r="F755">
            <v>0</v>
          </cell>
          <cell r="J755" t="str">
            <v>"</v>
          </cell>
        </row>
        <row r="756">
          <cell r="B756" t="str">
            <v>KQ95120-95</v>
          </cell>
          <cell r="D756" t="str">
            <v>Kẹp quai dây 95-120mm² +Hotline Clamp dây đồng 95mm²</v>
          </cell>
          <cell r="E756" t="str">
            <v>bộ</v>
          </cell>
          <cell r="F756">
            <v>0</v>
          </cell>
          <cell r="J756" t="str">
            <v>"</v>
          </cell>
        </row>
        <row r="757">
          <cell r="B757" t="str">
            <v>K18522</v>
          </cell>
          <cell r="D757" t="str">
            <v>Kẹp quai dây 185mm² +Hotline Clamp dây đồng 22mm²</v>
          </cell>
          <cell r="E757" t="str">
            <v>bộ</v>
          </cell>
          <cell r="F757">
            <v>0</v>
          </cell>
          <cell r="J757" t="str">
            <v>ĐM286</v>
          </cell>
        </row>
        <row r="758">
          <cell r="B758" t="str">
            <v>K18525</v>
          </cell>
          <cell r="D758" t="str">
            <v>Kẹp quai dây 150-185mm² +Hotline Clamp dây đồng 25mm²</v>
          </cell>
          <cell r="E758" t="str">
            <v>bộ</v>
          </cell>
          <cell r="F758">
            <v>464700</v>
          </cell>
          <cell r="J758" t="str">
            <v>ĐM286</v>
          </cell>
        </row>
        <row r="759">
          <cell r="B759" t="str">
            <v>K18525BOC</v>
          </cell>
          <cell r="D759" t="str">
            <v>Kẹp quai dây 150-185mm² + bọc cách điện + Hotline Clamp dây đồng 25mm²</v>
          </cell>
          <cell r="E759" t="str">
            <v>bộ</v>
          </cell>
          <cell r="F759">
            <v>697050</v>
          </cell>
          <cell r="J759" t="str">
            <v>ĐM286</v>
          </cell>
        </row>
        <row r="760">
          <cell r="B760" t="str">
            <v>K18550</v>
          </cell>
          <cell r="D760" t="str">
            <v>Kẹp quai dây 150-185mm² +Hotline Clamp dây đồng 50mm²</v>
          </cell>
          <cell r="E760" t="str">
            <v>bộ</v>
          </cell>
          <cell r="F760">
            <v>389500</v>
          </cell>
          <cell r="J760" t="str">
            <v>ĐM286</v>
          </cell>
        </row>
        <row r="761">
          <cell r="B761" t="str">
            <v>K18570</v>
          </cell>
          <cell r="D761" t="str">
            <v>Kẹp quai dây 150-185mm² +Hotline Clamp dây đồng 70mm²</v>
          </cell>
          <cell r="E761" t="str">
            <v>bộ</v>
          </cell>
          <cell r="F761">
            <v>389500</v>
          </cell>
          <cell r="J761" t="str">
            <v>ĐM286</v>
          </cell>
        </row>
        <row r="762">
          <cell r="B762" t="str">
            <v>K24050</v>
          </cell>
          <cell r="D762" t="str">
            <v>Kẹp quai dây 185-240mm² +Hotline Clamp dây đồng 50mm²</v>
          </cell>
          <cell r="E762" t="str">
            <v>bộ</v>
          </cell>
          <cell r="F762">
            <v>0</v>
          </cell>
          <cell r="J762" t="str">
            <v>ĐM286</v>
          </cell>
        </row>
        <row r="763">
          <cell r="B763" t="str">
            <v>K24050BOC</v>
          </cell>
          <cell r="D763" t="str">
            <v>Kẹp quai dây 185-240mm² + bọc cách điện+Hotline Clamp dây đồng 50mm²</v>
          </cell>
          <cell r="E763" t="str">
            <v>bộ</v>
          </cell>
          <cell r="F763">
            <v>0</v>
          </cell>
          <cell r="J763" t="str">
            <v>ĐM286</v>
          </cell>
        </row>
        <row r="764">
          <cell r="B764" t="str">
            <v>K24095</v>
          </cell>
          <cell r="D764" t="str">
            <v>Kẹp quai dây 185-240mm² +Hotline Clamp dây đồng 95mm²</v>
          </cell>
          <cell r="E764" t="str">
            <v>bộ</v>
          </cell>
          <cell r="F764">
            <v>0</v>
          </cell>
          <cell r="J764" t="str">
            <v>ĐM286</v>
          </cell>
        </row>
        <row r="765">
          <cell r="B765" t="str">
            <v>K24025</v>
          </cell>
          <cell r="D765" t="str">
            <v>Kẹp quai dây 185-240mm² +Hotline Clamp dây đồng 25mm²</v>
          </cell>
          <cell r="E765" t="str">
            <v>bộ</v>
          </cell>
          <cell r="F765">
            <v>0</v>
          </cell>
          <cell r="J765" t="str">
            <v>ĐM286</v>
          </cell>
        </row>
        <row r="766">
          <cell r="B766" t="str">
            <v>K240120</v>
          </cell>
          <cell r="D766" t="str">
            <v>Kẹp quai dây 185-240mm² +Hotline Clamp dây đồng 120mm²</v>
          </cell>
          <cell r="E766" t="str">
            <v>bộ</v>
          </cell>
          <cell r="F766">
            <v>0</v>
          </cell>
          <cell r="J766" t="str">
            <v>ĐM286</v>
          </cell>
        </row>
        <row r="767">
          <cell r="B767" t="str">
            <v>K240150</v>
          </cell>
          <cell r="D767" t="str">
            <v>Kẹp quai dây 185-240mm² +Hotline Clamp dây đồng 150mm²</v>
          </cell>
          <cell r="E767" t="str">
            <v>bộ</v>
          </cell>
          <cell r="F767">
            <v>0</v>
          </cell>
          <cell r="J767" t="str">
            <v>ĐM286</v>
          </cell>
        </row>
        <row r="768">
          <cell r="B768" t="str">
            <v>K240185</v>
          </cell>
          <cell r="D768" t="str">
            <v>Kẹp quai dây 185-240mm² +Hotline Clamp dây đồng 185mm²</v>
          </cell>
          <cell r="E768" t="str">
            <v>bộ</v>
          </cell>
          <cell r="F768">
            <v>0</v>
          </cell>
          <cell r="J768" t="str">
            <v>ĐM286</v>
          </cell>
        </row>
        <row r="769">
          <cell r="B769" t="str">
            <v>K240240</v>
          </cell>
          <cell r="D769" t="str">
            <v>Kẹp quai dây 185-240mm² +Hotline Clamp dây đồng 240mm²</v>
          </cell>
          <cell r="E769" t="str">
            <v>bộ</v>
          </cell>
          <cell r="F769">
            <v>0</v>
          </cell>
          <cell r="J769" t="str">
            <v>ĐM286</v>
          </cell>
        </row>
        <row r="770">
          <cell r="B770" t="str">
            <v>KQ4/0+KH1/0</v>
          </cell>
          <cell r="D770" t="str">
            <v>Kẹp quai dây 185mm² +Hotline Clamp dây đồng 25mm²</v>
          </cell>
          <cell r="E770" t="str">
            <v>bộ</v>
          </cell>
          <cell r="F770">
            <v>0</v>
          </cell>
          <cell r="J770" t="str">
            <v>ĐM286</v>
          </cell>
        </row>
        <row r="771">
          <cell r="B771" t="str">
            <v>KQ4/0+KH4/0</v>
          </cell>
          <cell r="D771" t="str">
            <v>Kẹp quai dây 185mm² +Hotline Clamp dây đồng 185mm²</v>
          </cell>
          <cell r="E771" t="str">
            <v>bộ</v>
          </cell>
          <cell r="F771">
            <v>0</v>
          </cell>
          <cell r="J771" t="str">
            <v>"</v>
          </cell>
        </row>
        <row r="772">
          <cell r="B772" t="str">
            <v>SÖÙ CHAÈNG</v>
          </cell>
        </row>
        <row r="773">
          <cell r="B773" t="str">
            <v>SN</v>
          </cell>
          <cell r="D773" t="str">
            <v>Sứ chằng</v>
          </cell>
          <cell r="E773" t="str">
            <v>cái</v>
          </cell>
          <cell r="F773">
            <v>40000</v>
          </cell>
        </row>
        <row r="774">
          <cell r="B774" t="str">
            <v>SN20</v>
          </cell>
          <cell r="D774" t="str">
            <v>Sứ chằng 20</v>
          </cell>
          <cell r="E774" t="str">
            <v>cái</v>
          </cell>
          <cell r="F774">
            <v>40000</v>
          </cell>
        </row>
        <row r="775">
          <cell r="B775" t="str">
            <v>SÖÙ ÑÖÙNG VAØ PHUÏ KIEÄN</v>
          </cell>
        </row>
        <row r="776">
          <cell r="B776" t="str">
            <v>SD-POLyMER</v>
          </cell>
          <cell r="D776" t="str">
            <v>Sứ đứng 24KV- Polymer</v>
          </cell>
          <cell r="E776" t="str">
            <v>cái</v>
          </cell>
          <cell r="F776">
            <v>0</v>
          </cell>
        </row>
        <row r="777">
          <cell r="B777" t="str">
            <v>SDCM</v>
          </cell>
          <cell r="D777" t="str">
            <v>Sứ đứng 24KV- Loại CNM</v>
          </cell>
          <cell r="E777" t="str">
            <v>cái</v>
          </cell>
          <cell r="F777">
            <v>0</v>
          </cell>
        </row>
        <row r="778">
          <cell r="B778" t="str">
            <v>SDCON</v>
          </cell>
          <cell r="D778" t="str">
            <v>Sứ đứng 24KV- Loại chống ô nhiễm</v>
          </cell>
          <cell r="E778" t="str">
            <v>cái</v>
          </cell>
          <cell r="F778">
            <v>225000</v>
          </cell>
        </row>
        <row r="779">
          <cell r="B779" t="str">
            <v>SD</v>
          </cell>
          <cell r="D779" t="str">
            <v xml:space="preserve">Sứ đứng 24KV </v>
          </cell>
          <cell r="E779" t="str">
            <v>cái</v>
          </cell>
          <cell r="F779">
            <v>225000</v>
          </cell>
        </row>
        <row r="780">
          <cell r="B780" t="str">
            <v>SDCM35</v>
          </cell>
          <cell r="D780" t="str">
            <v>Sứ đứng 35KV- Loại CNM</v>
          </cell>
          <cell r="E780" t="str">
            <v>cái</v>
          </cell>
          <cell r="F780">
            <v>0</v>
          </cell>
        </row>
        <row r="781">
          <cell r="B781" t="str">
            <v>SD35</v>
          </cell>
          <cell r="D781" t="str">
            <v xml:space="preserve">Sứ đứng 35KV </v>
          </cell>
          <cell r="E781" t="str">
            <v>cái</v>
          </cell>
          <cell r="F781">
            <v>376000</v>
          </cell>
        </row>
        <row r="782">
          <cell r="B782" t="str">
            <v>CSD</v>
          </cell>
          <cell r="D782" t="str">
            <v>Ty sứ đứng 24KV</v>
          </cell>
          <cell r="E782" t="str">
            <v>cái</v>
          </cell>
          <cell r="F782">
            <v>65000</v>
          </cell>
        </row>
        <row r="783">
          <cell r="B783" t="str">
            <v>CSD35</v>
          </cell>
          <cell r="D783" t="str">
            <v>Ty sứ đứng 35KV (bọc chì)</v>
          </cell>
          <cell r="E783" t="str">
            <v>cái</v>
          </cell>
          <cell r="F783">
            <v>128000</v>
          </cell>
        </row>
        <row r="784">
          <cell r="B784" t="str">
            <v>CSDI</v>
          </cell>
          <cell r="D784" t="str">
            <v>Chân sứ đỉnh thẳng 24KV</v>
          </cell>
          <cell r="E784" t="str">
            <v>cái</v>
          </cell>
          <cell r="F784">
            <v>65000</v>
          </cell>
        </row>
        <row r="785">
          <cell r="B785" t="str">
            <v>CSDG</v>
          </cell>
          <cell r="D785" t="str">
            <v>Chân sứ đỉnh đỡ cong 24KV</v>
          </cell>
          <cell r="E785" t="str">
            <v>cái</v>
          </cell>
          <cell r="F785">
            <v>0</v>
          </cell>
        </row>
        <row r="786">
          <cell r="B786" t="str">
            <v>CSDI35</v>
          </cell>
          <cell r="D786" t="str">
            <v>Chân sứ đỉnh thẳng 35KV (bọc chì)</v>
          </cell>
          <cell r="E786" t="str">
            <v>cái</v>
          </cell>
          <cell r="F786">
            <v>160000</v>
          </cell>
        </row>
        <row r="787">
          <cell r="B787" t="str">
            <v>CSDG35</v>
          </cell>
          <cell r="D787" t="str">
            <v>Chân sứ đỉnh đỡ cong 35KV (bọc chì)</v>
          </cell>
          <cell r="E787" t="str">
            <v>cái</v>
          </cell>
          <cell r="F787">
            <v>162000</v>
          </cell>
        </row>
        <row r="788">
          <cell r="B788" t="str">
            <v>CSDI870</v>
          </cell>
          <cell r="D788" t="str">
            <v>Chân sứ đỉnh thẳng 870</v>
          </cell>
          <cell r="E788" t="str">
            <v>cái</v>
          </cell>
          <cell r="F788">
            <v>77175</v>
          </cell>
        </row>
        <row r="789">
          <cell r="B789" t="str">
            <v>CSDG870</v>
          </cell>
          <cell r="D789" t="str">
            <v>Chân sứ đỉnh đỡ cong 870</v>
          </cell>
          <cell r="E789" t="str">
            <v>cái</v>
          </cell>
          <cell r="F789">
            <v>78278</v>
          </cell>
        </row>
        <row r="790">
          <cell r="B790" t="str">
            <v>SDTC</v>
          </cell>
          <cell r="D790" t="str">
            <v>Sứ đở LB.FCO/FCO (loại 14kV-polymer)</v>
          </cell>
          <cell r="E790" t="str">
            <v>cái</v>
          </cell>
          <cell r="F790">
            <v>318000</v>
          </cell>
        </row>
        <row r="791">
          <cell r="B791" t="str">
            <v>SÖÙ TREO VAØ PHUÏ KIEÄN</v>
          </cell>
        </row>
        <row r="792">
          <cell r="B792" t="str">
            <v>STply</v>
          </cell>
          <cell r="D792" t="str">
            <v>Cách điện treo Polymer 24kV-70KN</v>
          </cell>
          <cell r="E792" t="str">
            <v>chuỗi</v>
          </cell>
          <cell r="F792">
            <v>285000</v>
          </cell>
        </row>
        <row r="793">
          <cell r="B793" t="str">
            <v>STply35</v>
          </cell>
          <cell r="D793" t="str">
            <v>Chuỗi cách điện néo polymer 35kV</v>
          </cell>
          <cell r="E793" t="str">
            <v>chuỗi</v>
          </cell>
          <cell r="F793">
            <v>0</v>
          </cell>
        </row>
        <row r="794">
          <cell r="B794" t="str">
            <v>ST120</v>
          </cell>
          <cell r="D794" t="str">
            <v>Bát cách điện thủy tinh 120kN</v>
          </cell>
          <cell r="E794" t="str">
            <v>bát</v>
          </cell>
          <cell r="F794">
            <v>0</v>
          </cell>
        </row>
        <row r="795">
          <cell r="B795" t="str">
            <v>ST</v>
          </cell>
          <cell r="D795" t="str">
            <v>Bát cách điện thủy tinh 70kN</v>
          </cell>
          <cell r="E795" t="str">
            <v>bát</v>
          </cell>
          <cell r="F795">
            <v>0</v>
          </cell>
        </row>
        <row r="796">
          <cell r="B796" t="str">
            <v>MT</v>
          </cell>
          <cell r="D796" t="str">
            <v>Móc treo chữ U  (SD chốt bu lông)</v>
          </cell>
          <cell r="E796" t="str">
            <v>cái</v>
          </cell>
          <cell r="F796">
            <v>32400</v>
          </cell>
        </row>
        <row r="797">
          <cell r="B797" t="str">
            <v>MTA</v>
          </cell>
          <cell r="D797" t="str">
            <v xml:space="preserve">Móc treo chữ A </v>
          </cell>
          <cell r="E797" t="str">
            <v>cái</v>
          </cell>
          <cell r="F797">
            <v>54000</v>
          </cell>
        </row>
        <row r="798">
          <cell r="B798" t="str">
            <v>MND</v>
          </cell>
          <cell r="D798" t="str">
            <v>Mắt nối đơn</v>
          </cell>
          <cell r="E798" t="str">
            <v>cái</v>
          </cell>
          <cell r="F798">
            <v>16100</v>
          </cell>
        </row>
        <row r="799">
          <cell r="B799" t="str">
            <v>MNK</v>
          </cell>
          <cell r="D799" t="str">
            <v>Mắt nối ghép</v>
          </cell>
          <cell r="E799" t="str">
            <v>cái</v>
          </cell>
          <cell r="F799">
            <v>45500</v>
          </cell>
        </row>
        <row r="800">
          <cell r="B800" t="str">
            <v>VT</v>
          </cell>
          <cell r="D800" t="str">
            <v>Vòng treo đầu tròn</v>
          </cell>
          <cell r="E800" t="str">
            <v>cái</v>
          </cell>
          <cell r="F800">
            <v>6700</v>
          </cell>
        </row>
        <row r="801">
          <cell r="B801" t="str">
            <v>MNTG</v>
          </cell>
          <cell r="D801" t="str">
            <v>Thanh nối trung gian</v>
          </cell>
          <cell r="E801" t="str">
            <v>cái</v>
          </cell>
          <cell r="F801">
            <v>42000</v>
          </cell>
        </row>
        <row r="802">
          <cell r="B802" t="str">
            <v>Gn</v>
          </cell>
          <cell r="D802" t="str">
            <v>Giá nới sứ treo + ty : 2PL 40x4-350</v>
          </cell>
          <cell r="E802" t="str">
            <v>bộ</v>
          </cell>
          <cell r="F802">
            <v>42000</v>
          </cell>
        </row>
        <row r="803">
          <cell r="B803" t="str">
            <v>RACK</v>
          </cell>
        </row>
        <row r="804">
          <cell r="B804" t="str">
            <v>SOC</v>
          </cell>
          <cell r="D804" t="str">
            <v xml:space="preserve">Sứ ống chỉ </v>
          </cell>
          <cell r="E804" t="str">
            <v>cái</v>
          </cell>
          <cell r="F804">
            <v>17000</v>
          </cell>
        </row>
        <row r="805">
          <cell r="B805" t="str">
            <v>R1</v>
          </cell>
          <cell r="D805" t="str">
            <v>Uclevis loại lớn</v>
          </cell>
          <cell r="E805" t="str">
            <v>cái</v>
          </cell>
          <cell r="F805">
            <v>26300</v>
          </cell>
        </row>
        <row r="806">
          <cell r="B806" t="str">
            <v>R2</v>
          </cell>
          <cell r="D806" t="str">
            <v>Rack 2 sứ</v>
          </cell>
          <cell r="E806" t="str">
            <v>bộ</v>
          </cell>
          <cell r="F806">
            <v>83500</v>
          </cell>
        </row>
        <row r="807">
          <cell r="B807" t="str">
            <v>R3</v>
          </cell>
          <cell r="D807" t="str">
            <v>Rack 3 sứ</v>
          </cell>
          <cell r="E807" t="str">
            <v>bộ</v>
          </cell>
          <cell r="F807">
            <v>122400</v>
          </cell>
        </row>
        <row r="808">
          <cell r="B808" t="str">
            <v>R4</v>
          </cell>
          <cell r="D808" t="str">
            <v>Rack 4 sứ</v>
          </cell>
          <cell r="E808" t="str">
            <v>bộ</v>
          </cell>
          <cell r="F808">
            <v>242900</v>
          </cell>
        </row>
        <row r="809">
          <cell r="B809" t="str">
            <v>SAÉT THEÙP</v>
          </cell>
        </row>
        <row r="810">
          <cell r="B810" t="str">
            <v>FeO141</v>
          </cell>
          <cell r="D810" t="str">
            <v>Thép ống F 141 x 5</v>
          </cell>
          <cell r="E810" t="str">
            <v>kg</v>
          </cell>
          <cell r="F810">
            <v>15500</v>
          </cell>
        </row>
        <row r="811">
          <cell r="B811" t="str">
            <v>Fe</v>
          </cell>
          <cell r="D811" t="str">
            <v>Thép tròn</v>
          </cell>
          <cell r="E811" t="str">
            <v>kg</v>
          </cell>
          <cell r="F811">
            <v>0</v>
          </cell>
        </row>
        <row r="812">
          <cell r="B812" t="str">
            <v>Fe&lt;10</v>
          </cell>
          <cell r="D812" t="str">
            <v>Thép tròn Ø (6-10)</v>
          </cell>
          <cell r="E812" t="str">
            <v>kg</v>
          </cell>
          <cell r="G812">
            <v>16610</v>
          </cell>
        </row>
        <row r="813">
          <cell r="B813" t="str">
            <v>Fe10</v>
          </cell>
          <cell r="D813" t="str">
            <v>Thép tròn Ø10</v>
          </cell>
          <cell r="E813" t="str">
            <v>kg</v>
          </cell>
          <cell r="F813">
            <v>0</v>
          </cell>
        </row>
        <row r="814">
          <cell r="B814" t="str">
            <v>Fe18</v>
          </cell>
          <cell r="D814" t="str">
            <v>Thép tròn gân Ø&lt;18</v>
          </cell>
          <cell r="E814" t="str">
            <v>kg</v>
          </cell>
          <cell r="F814">
            <v>15530</v>
          </cell>
        </row>
        <row r="815">
          <cell r="B815" t="str">
            <v>Fe&gt;18</v>
          </cell>
          <cell r="D815" t="str">
            <v>Thép tròn gân Ø&gt;18</v>
          </cell>
          <cell r="E815" t="str">
            <v>kg</v>
          </cell>
          <cell r="F815">
            <v>15530</v>
          </cell>
        </row>
        <row r="816">
          <cell r="B816" t="str">
            <v>FeMK</v>
          </cell>
          <cell r="D816" t="str">
            <v>Thép tròn Ø10 (mạ kẽm nhúng nóng (độ dày lớp mạ ≥80µm)</v>
          </cell>
          <cell r="E816" t="str">
            <v>kg</v>
          </cell>
          <cell r="F816">
            <v>0</v>
          </cell>
        </row>
        <row r="817">
          <cell r="B817" t="str">
            <v>SU40</v>
          </cell>
          <cell r="D817" t="str">
            <v>Sắt U80 x 40 x 4,5 (mạ kẽm nhúng nóng (độ dày lớp mạ ≥80µm))</v>
          </cell>
          <cell r="E817" t="str">
            <v>kg</v>
          </cell>
          <cell r="F817">
            <v>18000</v>
          </cell>
        </row>
        <row r="818">
          <cell r="B818" t="str">
            <v>S40</v>
          </cell>
          <cell r="D818" t="str">
            <v>Sắt dẹt 40 x 4 (mạ kẽm nhúng nóng (độ dày lớp mạ ≥80µm))</v>
          </cell>
          <cell r="E818" t="str">
            <v>kg</v>
          </cell>
          <cell r="F818">
            <v>18000</v>
          </cell>
        </row>
        <row r="819">
          <cell r="B819" t="str">
            <v>S140</v>
          </cell>
          <cell r="D819" t="str">
            <v>U140 x 58 x 2500 (12,3kg/m)</v>
          </cell>
          <cell r="E819" t="str">
            <v>kg</v>
          </cell>
          <cell r="F819">
            <v>23000</v>
          </cell>
        </row>
        <row r="820">
          <cell r="B820" t="str">
            <v>S160</v>
          </cell>
          <cell r="D820" t="str">
            <v>U160 x 64 x 25 x 8,4 - 4000 (14,2kg/m)</v>
          </cell>
          <cell r="E820" t="str">
            <v>kg</v>
          </cell>
          <cell r="F820">
            <v>23000</v>
          </cell>
        </row>
        <row r="821">
          <cell r="B821" t="str">
            <v>S45</v>
          </cell>
          <cell r="D821" t="str">
            <v>Sắt dẹt 45 x 4 (mạ kẽm nhúng nóng (độ dày lớp mạ ≥80µm))</v>
          </cell>
          <cell r="E821" t="str">
            <v>kg</v>
          </cell>
          <cell r="F821">
            <v>30561.687785310445</v>
          </cell>
        </row>
        <row r="822">
          <cell r="B822" t="str">
            <v>S50</v>
          </cell>
          <cell r="D822" t="str">
            <v>Thanh chống L50 x 50 x 5</v>
          </cell>
          <cell r="E822" t="str">
            <v>kg</v>
          </cell>
          <cell r="F822">
            <v>30561.687785310445</v>
          </cell>
        </row>
        <row r="823">
          <cell r="B823" t="str">
            <v>S50-1,5</v>
          </cell>
          <cell r="D823" t="str">
            <v>Potelet L50 x 50 x 5 - 1,5m</v>
          </cell>
          <cell r="E823" t="str">
            <v>cây</v>
          </cell>
          <cell r="F823">
            <v>143194</v>
          </cell>
        </row>
        <row r="824">
          <cell r="B824" t="str">
            <v>S50-7</v>
          </cell>
          <cell r="D824" t="str">
            <v>Thanh chống L50 x50 x 5 - 0,7m</v>
          </cell>
          <cell r="E824" t="str">
            <v>kg</v>
          </cell>
          <cell r="F824">
            <v>31000</v>
          </cell>
        </row>
        <row r="825">
          <cell r="B825" t="str">
            <v>S604</v>
          </cell>
          <cell r="D825" t="str">
            <v>Sắt dẹt 60 x 4 (mạ kẽm nhúng nóng (độ dày lớp mạ ≥80µm))</v>
          </cell>
          <cell r="E825" t="str">
            <v>kg</v>
          </cell>
          <cell r="F825">
            <v>31000</v>
          </cell>
        </row>
        <row r="826">
          <cell r="B826" t="str">
            <v>S60</v>
          </cell>
          <cell r="D826" t="str">
            <v>Thanh chống PL6 x 60 x 920 (2,826kg/m)</v>
          </cell>
          <cell r="E826" t="str">
            <v>kg</v>
          </cell>
          <cell r="F826">
            <v>30561.687785310445</v>
          </cell>
        </row>
        <row r="827">
          <cell r="B827" t="str">
            <v>S60-686</v>
          </cell>
          <cell r="D827" t="str">
            <v>Thanh chống PL6 x 60 x 686</v>
          </cell>
          <cell r="E827" t="str">
            <v>kg</v>
          </cell>
          <cell r="F827">
            <v>30561.687785310445</v>
          </cell>
        </row>
        <row r="828">
          <cell r="B828" t="str">
            <v>S60-740</v>
          </cell>
          <cell r="D828" t="str">
            <v>Thanh chống PL6 x 60 x 740</v>
          </cell>
          <cell r="E828" t="str">
            <v>kg</v>
          </cell>
          <cell r="F828">
            <v>30561.687785310445</v>
          </cell>
        </row>
        <row r="829">
          <cell r="B829" t="str">
            <v>S608-CO</v>
          </cell>
          <cell r="D829" t="str">
            <v>Thanh chống dẹp composite 60x10-0,81m</v>
          </cell>
          <cell r="E829" t="str">
            <v>cây</v>
          </cell>
          <cell r="F829">
            <v>115000</v>
          </cell>
        </row>
        <row r="830">
          <cell r="B830" t="str">
            <v>S60-CO</v>
          </cell>
          <cell r="D830" t="str">
            <v>Thanh chống Composite 10x50x920</v>
          </cell>
          <cell r="E830" t="str">
            <v>kg</v>
          </cell>
          <cell r="F830">
            <v>85000</v>
          </cell>
        </row>
        <row r="831">
          <cell r="B831" t="str">
            <v>S50-CO</v>
          </cell>
          <cell r="D831" t="str">
            <v>Thanh chống Composite 50x50x5-505</v>
          </cell>
          <cell r="E831" t="str">
            <v>kg</v>
          </cell>
          <cell r="F831">
            <v>85000</v>
          </cell>
        </row>
        <row r="832">
          <cell r="B832" t="str">
            <v>S40-CO</v>
          </cell>
          <cell r="D832" t="str">
            <v>Thanh chống Composite 40x10-0,92m</v>
          </cell>
          <cell r="E832" t="str">
            <v>cây</v>
          </cell>
          <cell r="F832">
            <v>135000</v>
          </cell>
        </row>
        <row r="833">
          <cell r="B833" t="str">
            <v>SL75-28-CO</v>
          </cell>
          <cell r="D833" t="str">
            <v>Xà composite 75 x 75 x 6 -2,8m</v>
          </cell>
          <cell r="E833" t="str">
            <v>cây</v>
          </cell>
          <cell r="F833">
            <v>1146600</v>
          </cell>
        </row>
        <row r="834">
          <cell r="B834" t="str">
            <v>SL75-8-CO</v>
          </cell>
          <cell r="D834" t="str">
            <v>Xà composite L75 x 75 x 6 -0,81m</v>
          </cell>
          <cell r="E834" t="str">
            <v>cây</v>
          </cell>
          <cell r="F834">
            <v>319200</v>
          </cell>
        </row>
        <row r="835">
          <cell r="B835" t="str">
            <v>SL75-CO</v>
          </cell>
          <cell r="D835" t="str">
            <v>Thanh xà hộp L75 x 75 x 6 Composite</v>
          </cell>
          <cell r="E835" t="str">
            <v>kg</v>
          </cell>
          <cell r="F835">
            <v>85000</v>
          </cell>
        </row>
        <row r="836">
          <cell r="B836" t="str">
            <v>SL80-CO</v>
          </cell>
          <cell r="D836" t="str">
            <v>Thanh xà hộp 80x110x5-CO Composite</v>
          </cell>
          <cell r="E836" t="str">
            <v>kg</v>
          </cell>
          <cell r="F836">
            <v>85000</v>
          </cell>
        </row>
        <row r="837">
          <cell r="B837" t="str">
            <v>S59</v>
          </cell>
          <cell r="D837" t="str">
            <v>PL59 x 161 x 6</v>
          </cell>
          <cell r="E837" t="str">
            <v>kg</v>
          </cell>
          <cell r="F837">
            <v>23000</v>
          </cell>
        </row>
        <row r="838">
          <cell r="B838" t="str">
            <v>S1270</v>
          </cell>
          <cell r="D838" t="str">
            <v>Thanh chống PL1270 x 60 x 6</v>
          </cell>
          <cell r="E838" t="str">
            <v>kg</v>
          </cell>
          <cell r="F838">
            <v>23000</v>
          </cell>
        </row>
        <row r="839">
          <cell r="B839" t="str">
            <v>S380</v>
          </cell>
          <cell r="D839" t="str">
            <v>Thanh chống PL380x100 x 10</v>
          </cell>
          <cell r="E839" t="str">
            <v>kg</v>
          </cell>
          <cell r="F839">
            <v>23000</v>
          </cell>
        </row>
        <row r="840">
          <cell r="B840" t="str">
            <v>S63</v>
          </cell>
          <cell r="D840" t="str">
            <v>Thanh chống PL63 x 63 x 6</v>
          </cell>
          <cell r="E840" t="str">
            <v>kg</v>
          </cell>
          <cell r="F840">
            <v>23000</v>
          </cell>
        </row>
        <row r="841">
          <cell r="B841" t="str">
            <v>S300</v>
          </cell>
          <cell r="D841" t="str">
            <v>Thanh chống PL300 x 90 x 10</v>
          </cell>
          <cell r="E841" t="str">
            <v>kg</v>
          </cell>
          <cell r="F841">
            <v>23000</v>
          </cell>
        </row>
        <row r="842">
          <cell r="B842" t="str">
            <v>S90</v>
          </cell>
          <cell r="D842" t="str">
            <v>L90 x 90 x 7</v>
          </cell>
          <cell r="E842" t="str">
            <v>kg</v>
          </cell>
          <cell r="F842">
            <v>23000</v>
          </cell>
        </row>
        <row r="843">
          <cell r="B843" t="str">
            <v>S740</v>
          </cell>
          <cell r="D843" t="str">
            <v>Thanh nối PL60x6x410</v>
          </cell>
          <cell r="E843" t="str">
            <v>cây</v>
          </cell>
          <cell r="F843">
            <v>36300</v>
          </cell>
        </row>
        <row r="844">
          <cell r="B844" t="str">
            <v>S70</v>
          </cell>
          <cell r="D844" t="str">
            <v>Sắt dẹt 70 x 7 (mạ kẽm nhúng nóng (độ dày lớp mạ ≥80µm))</v>
          </cell>
          <cell r="E844" t="str">
            <v>kg</v>
          </cell>
          <cell r="F844">
            <v>23000</v>
          </cell>
        </row>
        <row r="845">
          <cell r="B845" t="str">
            <v>S806</v>
          </cell>
          <cell r="D845" t="str">
            <v>Sắt dẹt 80 x 6 (mạ kẽm nhúng nóng (độ dày lớp mạ ≥80µm))</v>
          </cell>
          <cell r="E845" t="str">
            <v>kg</v>
          </cell>
          <cell r="F845">
            <v>23000</v>
          </cell>
        </row>
        <row r="846">
          <cell r="B846" t="str">
            <v>S808</v>
          </cell>
          <cell r="D846" t="str">
            <v>Sắt dẹt 80 x 8 (mạ kẽm nhúng nóng (độ dày lớp mạ ≥80µm))</v>
          </cell>
          <cell r="E846" t="str">
            <v>kg</v>
          </cell>
          <cell r="F846">
            <v>23000</v>
          </cell>
        </row>
        <row r="847">
          <cell r="B847" t="str">
            <v>S1007</v>
          </cell>
          <cell r="D847" t="str">
            <v>Sắt dẹt 100 x 7 (mạ kẽm nhúng nóng (độ dày lớp mạ ≥80µm))</v>
          </cell>
          <cell r="E847" t="str">
            <v>kg</v>
          </cell>
          <cell r="F847">
            <v>23000</v>
          </cell>
        </row>
        <row r="848">
          <cell r="B848" t="str">
            <v>S1008</v>
          </cell>
          <cell r="D848" t="str">
            <v>Sắt dẹt 100 x 8 (mạ kẽm nhúng nóng (độ dày lớp mạ ≥80µm))</v>
          </cell>
          <cell r="E848" t="str">
            <v>kg</v>
          </cell>
          <cell r="F848">
            <v>23000</v>
          </cell>
        </row>
        <row r="849">
          <cell r="B849" t="str">
            <v>S10010</v>
          </cell>
          <cell r="D849" t="str">
            <v>Sắt dẹt 100 x 10 (mạ kẽm nhúng nóng (độ dày lớp mạ ≥80µm))</v>
          </cell>
          <cell r="E849" t="str">
            <v>kg</v>
          </cell>
          <cell r="F849">
            <v>23000</v>
          </cell>
        </row>
        <row r="850">
          <cell r="B850" t="str">
            <v>S1025</v>
          </cell>
          <cell r="D850" t="str">
            <v>Thanh chống  PL 1025x100 x 8 (mạ kẽm nhúng nóng (độ dày lớp mạ ≥80µm))</v>
          </cell>
          <cell r="E850" t="str">
            <v>kg</v>
          </cell>
          <cell r="F850">
            <v>30561.687785310445</v>
          </cell>
        </row>
        <row r="851">
          <cell r="B851" t="str">
            <v>SL32</v>
          </cell>
          <cell r="D851" t="str">
            <v>Sắt góc L32 x 32 x 3 (mạ kẽm nhúng nóng (độ dày lớp mạ ≥80µm))</v>
          </cell>
          <cell r="E851" t="str">
            <v>kg</v>
          </cell>
          <cell r="F851">
            <v>23000</v>
          </cell>
        </row>
        <row r="852">
          <cell r="B852" t="str">
            <v>SL40</v>
          </cell>
          <cell r="D852" t="str">
            <v>Sắt góc L40 x40 x 4 (mạ kẽm nhúng nóng (độ dày lớp mạ ≥80µm))</v>
          </cell>
          <cell r="E852" t="str">
            <v>kg</v>
          </cell>
          <cell r="F852">
            <v>23000</v>
          </cell>
        </row>
        <row r="853">
          <cell r="B853" t="str">
            <v>SL45</v>
          </cell>
          <cell r="D853" t="str">
            <v>Sắt góc L45 x 45 x 4 (mạ kẽm nhúng nóng (độ dày lớp mạ ≥80µm))</v>
          </cell>
          <cell r="E853" t="str">
            <v>kg</v>
          </cell>
          <cell r="F853">
            <v>23000</v>
          </cell>
        </row>
        <row r="854">
          <cell r="B854" t="str">
            <v>SL50</v>
          </cell>
          <cell r="D854" t="str">
            <v>Thanh chống sắt mạ kẽm L60 x60 x 6 - 2100</v>
          </cell>
          <cell r="E854" t="str">
            <v>cây</v>
          </cell>
          <cell r="F854">
            <v>262300</v>
          </cell>
        </row>
        <row r="855">
          <cell r="B855" t="str">
            <v>SL60</v>
          </cell>
          <cell r="D855" t="str">
            <v>Thanh chống sắt mạ kẽm L60 x60 x 6 - 2500</v>
          </cell>
          <cell r="E855" t="str">
            <v>cây</v>
          </cell>
          <cell r="F855">
            <v>361728</v>
          </cell>
        </row>
        <row r="856">
          <cell r="B856" t="str">
            <v>SL65</v>
          </cell>
          <cell r="D856" t="str">
            <v>Sắt góc L65 x 65 x 6 (mạ kẽm nhúng nóng (độ dày lớp mạ ≥80µm))</v>
          </cell>
          <cell r="E856" t="str">
            <v>kg</v>
          </cell>
          <cell r="F856">
            <v>31000</v>
          </cell>
        </row>
        <row r="857">
          <cell r="B857" t="str">
            <v>SL70</v>
          </cell>
          <cell r="D857" t="str">
            <v>Sắt góc L70 x 70 x 7 (mạ kẽm nhúng nóng (độ dày lớp mạ ≥80µm))</v>
          </cell>
          <cell r="E857" t="str">
            <v>kg</v>
          </cell>
          <cell r="F857">
            <v>31000</v>
          </cell>
        </row>
        <row r="858">
          <cell r="B858" t="str">
            <v>SL75</v>
          </cell>
          <cell r="D858" t="str">
            <v>Thanh L75 x 75 x 8</v>
          </cell>
          <cell r="E858" t="str">
            <v>kg</v>
          </cell>
          <cell r="F858">
            <v>30561.687785310445</v>
          </cell>
        </row>
        <row r="859">
          <cell r="B859" t="str">
            <v>SL758</v>
          </cell>
          <cell r="D859" t="str">
            <v>Xà sắt L75 x 75 x 8 - 2m 2 ốp</v>
          </cell>
          <cell r="E859" t="str">
            <v>kg</v>
          </cell>
          <cell r="F859">
            <v>531300</v>
          </cell>
        </row>
        <row r="860">
          <cell r="B860" t="str">
            <v>FeT6</v>
          </cell>
          <cell r="D860" t="str">
            <v>Thép tấm 6mm</v>
          </cell>
          <cell r="E860" t="str">
            <v>kg</v>
          </cell>
          <cell r="F860">
            <v>23000</v>
          </cell>
        </row>
        <row r="861">
          <cell r="B861" t="str">
            <v>SL758-24</v>
          </cell>
          <cell r="D861" t="str">
            <v>Xà sắt L75 x 75 x 8 - 2,4m 4 ốp</v>
          </cell>
          <cell r="E861" t="str">
            <v>cây</v>
          </cell>
          <cell r="F861">
            <v>703200</v>
          </cell>
        </row>
        <row r="862">
          <cell r="B862" t="str">
            <v>SL758-2</v>
          </cell>
          <cell r="D862" t="str">
            <v>Xà sắt L75 x 75 x 8 - 2m 3 ốp</v>
          </cell>
          <cell r="E862" t="str">
            <v>cây</v>
          </cell>
          <cell r="F862">
            <v>555500</v>
          </cell>
        </row>
        <row r="863">
          <cell r="B863" t="str">
            <v>SL758-8</v>
          </cell>
          <cell r="D863" t="str">
            <v>L75 x 75 x 8 - 0,8m 1 ốp</v>
          </cell>
          <cell r="E863" t="str">
            <v>kg</v>
          </cell>
          <cell r="F863">
            <v>31000</v>
          </cell>
        </row>
        <row r="864">
          <cell r="B864" t="str">
            <v>FeT5</v>
          </cell>
          <cell r="D864" t="str">
            <v>Thép tấm 5mm</v>
          </cell>
          <cell r="E864" t="str">
            <v>kg</v>
          </cell>
          <cell r="F864">
            <v>23000</v>
          </cell>
        </row>
        <row r="865">
          <cell r="B865" t="str">
            <v>FeT4</v>
          </cell>
          <cell r="D865" t="str">
            <v>Thép tấm 4mm</v>
          </cell>
          <cell r="E865" t="str">
            <v>kg</v>
          </cell>
          <cell r="F865">
            <v>23000</v>
          </cell>
        </row>
        <row r="866">
          <cell r="B866" t="str">
            <v>FeT2</v>
          </cell>
          <cell r="D866" t="str">
            <v>Thép tấm 2mm</v>
          </cell>
          <cell r="E866" t="str">
            <v>kg</v>
          </cell>
          <cell r="F866">
            <v>23000</v>
          </cell>
        </row>
        <row r="867">
          <cell r="B867" t="str">
            <v>GDO-CN22</v>
          </cell>
          <cell r="C867" t="str">
            <v>D2.6011</v>
          </cell>
          <cell r="D867" t="str">
            <v>Giá đỡ cáp ngầm trung thế 22kV</v>
          </cell>
          <cell r="E867" t="str">
            <v>Bộ</v>
          </cell>
          <cell r="G867">
            <v>0</v>
          </cell>
          <cell r="H867">
            <v>111240.7</v>
          </cell>
          <cell r="I867">
            <v>0</v>
          </cell>
        </row>
        <row r="868">
          <cell r="B868" t="str">
            <v>MBH</v>
          </cell>
          <cell r="C868" t="str">
            <v>D3.3201</v>
          </cell>
          <cell r="D868" t="str">
            <v>Mốc báo hiệu cáp ngầm</v>
          </cell>
          <cell r="E868" t="str">
            <v>bộ</v>
          </cell>
          <cell r="F868" t="str">
            <v xml:space="preserve"> </v>
          </cell>
          <cell r="G868">
            <v>0</v>
          </cell>
          <cell r="H868">
            <v>47354.8</v>
          </cell>
          <cell r="I868">
            <v>0</v>
          </cell>
        </row>
        <row r="869">
          <cell r="B869" t="str">
            <v>BCDDT</v>
          </cell>
          <cell r="D869" t="str">
            <v>Biển báo chỉ danh đầu tuyến cáp ngầm</v>
          </cell>
          <cell r="E869" t="str">
            <v>cái</v>
          </cell>
          <cell r="F869">
            <v>350000</v>
          </cell>
          <cell r="G869">
            <v>0</v>
          </cell>
          <cell r="I869">
            <v>0</v>
          </cell>
        </row>
        <row r="870">
          <cell r="B870" t="str">
            <v>MBHDL</v>
          </cell>
          <cell r="D870" t="str">
            <v>Mốc báo hiệu điện lực</v>
          </cell>
          <cell r="E870" t="str">
            <v>cái</v>
          </cell>
          <cell r="F870">
            <v>100000</v>
          </cell>
          <cell r="H870">
            <v>67874.2</v>
          </cell>
        </row>
        <row r="871">
          <cell r="B871" t="str">
            <v>COCBH</v>
          </cell>
          <cell r="D871" t="str">
            <v>Cọc BTCT báo hiệu cáp ngầm (20m/mốc)</v>
          </cell>
          <cell r="E871" t="str">
            <v>cọc</v>
          </cell>
        </row>
        <row r="872">
          <cell r="B872" t="str">
            <v>CÖØ TRAØM</v>
          </cell>
        </row>
        <row r="873">
          <cell r="B873" t="str">
            <v>CT3</v>
          </cell>
          <cell r="D873" t="str">
            <v>Cừ tràm (25cây/mm²) - Ø80-100</v>
          </cell>
          <cell r="E873" t="str">
            <v>cây</v>
          </cell>
        </row>
        <row r="874">
          <cell r="B874" t="str">
            <v>CT4</v>
          </cell>
          <cell r="D874" t="str">
            <v>Cừ tràm (4,5 mét/cây) - Ø80-100</v>
          </cell>
          <cell r="E874" t="str">
            <v>cây</v>
          </cell>
        </row>
        <row r="875">
          <cell r="B875" t="str">
            <v>CT5</v>
          </cell>
          <cell r="D875" t="str">
            <v>Cừ tràm (5 mét/cây) - Ø80-100</v>
          </cell>
          <cell r="E875" t="str">
            <v>cây</v>
          </cell>
          <cell r="F875">
            <v>36364</v>
          </cell>
        </row>
        <row r="876">
          <cell r="B876" t="str">
            <v>KÍNH TRAÉNG, MAØU</v>
          </cell>
        </row>
        <row r="877">
          <cell r="B877" t="str">
            <v>KINH3</v>
          </cell>
          <cell r="D877" t="str">
            <v>Kính trắng 3 li ngoại</v>
          </cell>
          <cell r="E877" t="str">
            <v>m²</v>
          </cell>
        </row>
        <row r="878">
          <cell r="B878" t="str">
            <v>KINH5</v>
          </cell>
          <cell r="D878" t="str">
            <v>Kính trắng 5 li ngoại</v>
          </cell>
          <cell r="E878" t="str">
            <v>m²</v>
          </cell>
        </row>
        <row r="879">
          <cell r="B879" t="str">
            <v>KINHM5</v>
          </cell>
          <cell r="D879" t="str">
            <v>Kính màu 5 li ngoại</v>
          </cell>
          <cell r="E879" t="str">
            <v>m²</v>
          </cell>
        </row>
        <row r="880">
          <cell r="B880" t="str">
            <v>XI MAÊNG, CAÙT, ÑAÙ, GAÏCH</v>
          </cell>
        </row>
        <row r="881">
          <cell r="B881" t="str">
            <v>XM</v>
          </cell>
          <cell r="D881" t="str">
            <v>Xi măng</v>
          </cell>
          <cell r="E881" t="str">
            <v>kg</v>
          </cell>
          <cell r="G881">
            <v>1250</v>
          </cell>
        </row>
        <row r="882">
          <cell r="B882" t="str">
            <v>catto</v>
          </cell>
          <cell r="D882" t="str">
            <v>Cát đổ nền</v>
          </cell>
          <cell r="E882" t="str">
            <v>m³</v>
          </cell>
          <cell r="F882">
            <v>182466</v>
          </cell>
        </row>
        <row r="883">
          <cell r="B883" t="str">
            <v>CV</v>
          </cell>
          <cell r="D883" t="str">
            <v>Cát vàng</v>
          </cell>
          <cell r="E883" t="str">
            <v>m³</v>
          </cell>
          <cell r="G883">
            <v>318000</v>
          </cell>
        </row>
        <row r="884">
          <cell r="B884" t="str">
            <v>Cdem</v>
          </cell>
          <cell r="D884" t="str">
            <v>Cát đệm</v>
          </cell>
          <cell r="E884" t="str">
            <v>m³</v>
          </cell>
          <cell r="F884">
            <v>182466</v>
          </cell>
        </row>
        <row r="885">
          <cell r="B885" t="str">
            <v>CDEN</v>
          </cell>
          <cell r="D885" t="str">
            <v>Cát đen</v>
          </cell>
          <cell r="E885" t="str">
            <v>m³</v>
          </cell>
          <cell r="F885">
            <v>182466</v>
          </cell>
        </row>
        <row r="886">
          <cell r="B886" t="str">
            <v>DAMI</v>
          </cell>
          <cell r="D886" t="str">
            <v>Đá mi</v>
          </cell>
          <cell r="E886" t="str">
            <v>m³</v>
          </cell>
          <cell r="F886">
            <v>300000</v>
          </cell>
        </row>
        <row r="887">
          <cell r="B887" t="str">
            <v>D0,5x1</v>
          </cell>
          <cell r="D887" t="str">
            <v>Đá 0,5x1</v>
          </cell>
          <cell r="E887" t="str">
            <v>m³</v>
          </cell>
          <cell r="G887">
            <v>460000</v>
          </cell>
        </row>
        <row r="888">
          <cell r="B888" t="str">
            <v>D1x2</v>
          </cell>
          <cell r="D888" t="str">
            <v>Đá 1x2</v>
          </cell>
          <cell r="E888" t="str">
            <v>m³</v>
          </cell>
          <cell r="F888">
            <v>380000</v>
          </cell>
        </row>
        <row r="889">
          <cell r="B889" t="str">
            <v>D2x3</v>
          </cell>
          <cell r="D889" t="str">
            <v>Đá 2x3</v>
          </cell>
          <cell r="E889" t="str">
            <v>m³</v>
          </cell>
          <cell r="F889">
            <v>245000</v>
          </cell>
        </row>
        <row r="890">
          <cell r="B890" t="str">
            <v>D2x4</v>
          </cell>
          <cell r="D890" t="str">
            <v>Đá 2x4</v>
          </cell>
          <cell r="E890" t="str">
            <v>m³</v>
          </cell>
          <cell r="F890">
            <v>380000</v>
          </cell>
        </row>
        <row r="891">
          <cell r="B891" t="str">
            <v>D4x6</v>
          </cell>
          <cell r="D891" t="str">
            <v>Đá 4x6</v>
          </cell>
          <cell r="E891" t="str">
            <v>m³</v>
          </cell>
          <cell r="G891">
            <v>370000</v>
          </cell>
        </row>
        <row r="892">
          <cell r="B892" t="str">
            <v>dahoc</v>
          </cell>
          <cell r="D892" t="str">
            <v>Đá học 20x30</v>
          </cell>
          <cell r="E892" t="str">
            <v>m³</v>
          </cell>
        </row>
        <row r="893">
          <cell r="B893" t="str">
            <v>gachong</v>
          </cell>
          <cell r="D893" t="str">
            <v>Gạch ống</v>
          </cell>
          <cell r="E893" t="str">
            <v>viên</v>
          </cell>
        </row>
        <row r="894">
          <cell r="B894" t="str">
            <v>gachth</v>
          </cell>
          <cell r="D894" t="str">
            <v>Gạch thẻ</v>
          </cell>
          <cell r="E894" t="str">
            <v>viên</v>
          </cell>
        </row>
        <row r="895">
          <cell r="B895" t="str">
            <v>gachbt</v>
          </cell>
          <cell r="D895" t="str">
            <v>Gạch bêtông làm dấu (300x300x30)</v>
          </cell>
          <cell r="E895" t="str">
            <v>viên</v>
          </cell>
          <cell r="G895">
            <v>20000</v>
          </cell>
        </row>
        <row r="896">
          <cell r="B896" t="str">
            <v>gachvo</v>
          </cell>
          <cell r="D896" t="str">
            <v>Gạch vỡ</v>
          </cell>
          <cell r="E896" t="str">
            <v>m³</v>
          </cell>
        </row>
        <row r="897">
          <cell r="B897" t="str">
            <v>NUOC</v>
          </cell>
          <cell r="D897" t="str">
            <v>Nước</v>
          </cell>
          <cell r="E897" t="str">
            <v>m³</v>
          </cell>
          <cell r="G897">
            <v>10000</v>
          </cell>
        </row>
        <row r="898">
          <cell r="B898" t="str">
            <v>CAÙC VAÄT LIEÄU KHAÙC</v>
          </cell>
        </row>
        <row r="899">
          <cell r="B899" t="str">
            <v>PU</v>
          </cell>
          <cell r="D899" t="str">
            <v>.Puli</v>
          </cell>
          <cell r="E899" t="str">
            <v>cái</v>
          </cell>
        </row>
        <row r="900">
          <cell r="B900" t="str">
            <v>EKE300</v>
          </cell>
          <cell r="D900" t="str">
            <v>Ê KE 5x300x300\Zn</v>
          </cell>
          <cell r="E900" t="str">
            <v>kg</v>
          </cell>
        </row>
        <row r="901">
          <cell r="B901" t="str">
            <v>HI</v>
          </cell>
          <cell r="D901" t="str">
            <v>Hắc ín</v>
          </cell>
          <cell r="E901" t="str">
            <v>kg</v>
          </cell>
        </row>
        <row r="902">
          <cell r="B902" t="str">
            <v>MANG</v>
          </cell>
          <cell r="D902" t="str">
            <v xml:space="preserve">Máng che dây chằng </v>
          </cell>
          <cell r="E902" t="str">
            <v>cái</v>
          </cell>
          <cell r="F902">
            <v>41895</v>
          </cell>
        </row>
        <row r="903">
          <cell r="B903" t="str">
            <v>tachrung</v>
          </cell>
          <cell r="D903" t="str">
            <v>Tạ chống rung</v>
          </cell>
          <cell r="E903" t="str">
            <v>bộ</v>
          </cell>
        </row>
        <row r="904">
          <cell r="B904" t="str">
            <v>MT61A</v>
          </cell>
          <cell r="D904" t="str">
            <v>Móc treo CK61A</v>
          </cell>
          <cell r="E904" t="str">
            <v>cái</v>
          </cell>
        </row>
        <row r="905">
          <cell r="B905" t="str">
            <v>S</v>
          </cell>
          <cell r="D905" t="str">
            <v>Sơn kẻ biển và đánh số cột</v>
          </cell>
          <cell r="E905" t="str">
            <v>kg</v>
          </cell>
        </row>
        <row r="906">
          <cell r="B906" t="str">
            <v>TDFE12</v>
          </cell>
          <cell r="D906" t="str">
            <v>Dây tiếp địa sắt Ø12(mạ đồng)</v>
          </cell>
          <cell r="E906" t="str">
            <v>kg</v>
          </cell>
        </row>
        <row r="907">
          <cell r="B907" t="str">
            <v>TON150</v>
          </cell>
          <cell r="D907" t="str">
            <v>Tôn150x95x8</v>
          </cell>
          <cell r="E907" t="str">
            <v>tấm</v>
          </cell>
          <cell r="F907">
            <v>100000</v>
          </cell>
        </row>
        <row r="908">
          <cell r="B908" t="str">
            <v>TON350</v>
          </cell>
          <cell r="D908" t="str">
            <v>Tôn 350x350x10</v>
          </cell>
          <cell r="E908" t="str">
            <v>tấm</v>
          </cell>
          <cell r="F908">
            <v>150000</v>
          </cell>
        </row>
        <row r="909">
          <cell r="B909" t="str">
            <v>TON615</v>
          </cell>
          <cell r="D909" t="str">
            <v>Tôn 615x440x8</v>
          </cell>
          <cell r="E909" t="str">
            <v>tấm</v>
          </cell>
          <cell r="F909">
            <v>200000</v>
          </cell>
        </row>
        <row r="910">
          <cell r="B910" t="str">
            <v>TAMN</v>
          </cell>
          <cell r="D910" t="str">
            <v>Tấm nối sắt dẹt 100 x 10-800</v>
          </cell>
          <cell r="E910" t="str">
            <v>bộ</v>
          </cell>
        </row>
        <row r="911">
          <cell r="B911" t="str">
            <v>TN606</v>
          </cell>
          <cell r="D911" t="str">
            <v>Tấm nối PL 60x6- 410</v>
          </cell>
          <cell r="E911" t="str">
            <v>cây</v>
          </cell>
          <cell r="F911">
            <v>36300</v>
          </cell>
        </row>
        <row r="912">
          <cell r="B912" t="str">
            <v>TNCT3</v>
          </cell>
          <cell r="D912" t="str">
            <v>Tấm nối CT3, ð=4, 200x60 mạ Zn</v>
          </cell>
          <cell r="E912" t="str">
            <v>cái</v>
          </cell>
          <cell r="F912">
            <v>15600</v>
          </cell>
        </row>
        <row r="913">
          <cell r="B913" t="str">
            <v>TNCT3250</v>
          </cell>
          <cell r="D913" t="str">
            <v>Tấm nối CT3, ð=4, 250x60 mạ Zn</v>
          </cell>
          <cell r="E913" t="str">
            <v>cái</v>
          </cell>
          <cell r="F913">
            <v>18720</v>
          </cell>
        </row>
        <row r="914">
          <cell r="B914" t="str">
            <v>TAMN6</v>
          </cell>
          <cell r="D914" t="str">
            <v>Tấm tôn nối 6mm</v>
          </cell>
          <cell r="E914" t="str">
            <v>cái</v>
          </cell>
          <cell r="F914">
            <v>15600</v>
          </cell>
        </row>
        <row r="915">
          <cell r="B915" t="str">
            <v>CL</v>
          </cell>
          <cell r="D915" t="str">
            <v>Bộ thanh chống [D(60/50)x1500+1BL VRS 16x300</v>
          </cell>
          <cell r="E915" t="str">
            <v>bộ</v>
          </cell>
          <cell r="F915">
            <v>302100</v>
          </cell>
        </row>
        <row r="916">
          <cell r="B916" t="str">
            <v>CLHT</v>
          </cell>
          <cell r="D916" t="str">
            <v>Bộ thanh chống [D(60/50)x1200+1BL VRS 16x300</v>
          </cell>
          <cell r="E916" t="str">
            <v>bộ</v>
          </cell>
          <cell r="F916">
            <v>254800</v>
          </cell>
        </row>
        <row r="917">
          <cell r="B917" t="str">
            <v>X</v>
          </cell>
          <cell r="D917" t="str">
            <v>Xăng</v>
          </cell>
          <cell r="E917" t="str">
            <v>kg</v>
          </cell>
        </row>
        <row r="918">
          <cell r="B918" t="str">
            <v>SON</v>
          </cell>
          <cell r="D918" t="str">
            <v>Sơn màu</v>
          </cell>
          <cell r="E918" t="str">
            <v>kg</v>
          </cell>
        </row>
        <row r="919">
          <cell r="B919" t="str">
            <v>SONCR</v>
          </cell>
          <cell r="D919" t="str">
            <v>Sơn chống rỉ</v>
          </cell>
          <cell r="E919" t="str">
            <v>kg</v>
          </cell>
        </row>
        <row r="920">
          <cell r="B920" t="str">
            <v>GO</v>
          </cell>
          <cell r="D920" t="str">
            <v>Gỗ ván khuôn móng cột dày 10mm</v>
          </cell>
          <cell r="E920" t="str">
            <v>m3</v>
          </cell>
        </row>
        <row r="921">
          <cell r="B921" t="str">
            <v>DINH</v>
          </cell>
          <cell r="D921" t="str">
            <v>Đinh các loại</v>
          </cell>
          <cell r="E921" t="str">
            <v>kg</v>
          </cell>
        </row>
        <row r="922">
          <cell r="B922" t="str">
            <v>qhan</v>
          </cell>
          <cell r="D922" t="str">
            <v>Que hàn điện</v>
          </cell>
          <cell r="E922" t="str">
            <v>kg</v>
          </cell>
        </row>
        <row r="923">
          <cell r="B923" t="str">
            <v>oxy</v>
          </cell>
          <cell r="D923" t="str">
            <v>Ô xy</v>
          </cell>
          <cell r="E923" t="str">
            <v>m³</v>
          </cell>
        </row>
        <row r="924">
          <cell r="B924" t="str">
            <v>axetylen</v>
          </cell>
          <cell r="D924" t="str">
            <v>Hơi Axetylen</v>
          </cell>
          <cell r="E924" t="str">
            <v>m³</v>
          </cell>
        </row>
        <row r="925">
          <cell r="B925" t="str">
            <v>coson</v>
          </cell>
          <cell r="D925" t="str">
            <v>Cọ sơn</v>
          </cell>
          <cell r="E925" t="str">
            <v>cái</v>
          </cell>
        </row>
        <row r="926">
          <cell r="B926" t="str">
            <v>BGem</v>
          </cell>
          <cell r="D926" t="str">
            <v>Bột hoá chất Gem 25</v>
          </cell>
          <cell r="E926" t="str">
            <v>kg</v>
          </cell>
        </row>
        <row r="927">
          <cell r="B927" t="str">
            <v>thepb</v>
          </cell>
          <cell r="D927" t="str">
            <v>Dây thép buộc</v>
          </cell>
          <cell r="E927" t="str">
            <v>kg</v>
          </cell>
        </row>
        <row r="928">
          <cell r="B928" t="str">
            <v>daucap95</v>
          </cell>
          <cell r="D928" t="str">
            <v>Đầu cáp 24kV 3x95mm²</v>
          </cell>
          <cell r="E928" t="str">
            <v>cái</v>
          </cell>
        </row>
        <row r="929">
          <cell r="B929" t="str">
            <v>costk114</v>
          </cell>
          <cell r="D929" t="str">
            <v>Măng sông STK 114</v>
          </cell>
          <cell r="E929" t="str">
            <v>cái</v>
          </cell>
        </row>
        <row r="930">
          <cell r="B930" t="str">
            <v>costk90</v>
          </cell>
          <cell r="D930" t="str">
            <v>Măng sông STK 90</v>
          </cell>
          <cell r="E930" t="str">
            <v>cái</v>
          </cell>
        </row>
        <row r="931">
          <cell r="B931" t="str">
            <v>GU-FCO</v>
          </cell>
          <cell r="D931" t="str">
            <v>Giá U 80x600 lắp FCO</v>
          </cell>
          <cell r="E931" t="str">
            <v>bộ</v>
          </cell>
        </row>
        <row r="932">
          <cell r="B932" t="str">
            <v>doc</v>
          </cell>
          <cell r="D932" t="str">
            <v>Đai ốc</v>
          </cell>
          <cell r="E932" t="str">
            <v>cái</v>
          </cell>
        </row>
        <row r="933">
          <cell r="B933" t="str">
            <v>Vd</v>
          </cell>
          <cell r="D933" t="str">
            <v>Vòng đệm</v>
          </cell>
          <cell r="E933" t="str">
            <v>cái</v>
          </cell>
        </row>
        <row r="934">
          <cell r="B934" t="str">
            <v>TNEO</v>
          </cell>
          <cell r="D934" t="str">
            <v>Tấm néo</v>
          </cell>
          <cell r="E934" t="str">
            <v>cái</v>
          </cell>
        </row>
        <row r="935">
          <cell r="B935" t="str">
            <v>THANHNEO</v>
          </cell>
          <cell r="D935" t="str">
            <v>Thanh néo</v>
          </cell>
          <cell r="E935" t="str">
            <v>cái</v>
          </cell>
        </row>
        <row r="936">
          <cell r="B936" t="str">
            <v>TDO</v>
          </cell>
          <cell r="D936" t="str">
            <v>Tăng đơ</v>
          </cell>
          <cell r="E936" t="str">
            <v>cái</v>
          </cell>
        </row>
        <row r="937">
          <cell r="B937" t="str">
            <v>MN</v>
          </cell>
          <cell r="D937" t="str">
            <v>Móc nối</v>
          </cell>
          <cell r="E937" t="str">
            <v>cái</v>
          </cell>
        </row>
        <row r="938">
          <cell r="B938" t="str">
            <v>KHOENN</v>
          </cell>
          <cell r="D938" t="str">
            <v>Khoen néo</v>
          </cell>
          <cell r="E938" t="str">
            <v>cái</v>
          </cell>
        </row>
        <row r="939">
          <cell r="B939" t="str">
            <v>Thanhtac</v>
          </cell>
          <cell r="D939" t="str">
            <v>Thanh tăng cường</v>
          </cell>
          <cell r="E939" t="str">
            <v>cái</v>
          </cell>
        </row>
        <row r="940">
          <cell r="B940" t="str">
            <v>Mocneo</v>
          </cell>
          <cell r="D940" t="str">
            <v>Móc néo</v>
          </cell>
          <cell r="E940" t="str">
            <v>cái</v>
          </cell>
        </row>
        <row r="941">
          <cell r="B941" t="str">
            <v>nhua</v>
          </cell>
          <cell r="D941" t="str">
            <v>Nhựa đường</v>
          </cell>
          <cell r="E941" t="str">
            <v>kg</v>
          </cell>
        </row>
        <row r="942">
          <cell r="B942" t="str">
            <v>BTNHUATHO</v>
          </cell>
          <cell r="C942" t="str">
            <v>AD.23215</v>
          </cell>
          <cell r="D942" t="str">
            <v>Bêtông nhựa hạt thô C20 ( dày 0,7cm )</v>
          </cell>
          <cell r="E942" t="str">
            <v>100M2</v>
          </cell>
          <cell r="F942">
            <v>21138000</v>
          </cell>
          <cell r="H942">
            <v>522500</v>
          </cell>
          <cell r="I942">
            <v>549127</v>
          </cell>
        </row>
        <row r="943">
          <cell r="B943" t="str">
            <v>BTNHUAmin</v>
          </cell>
          <cell r="C943" t="str">
            <v>AD.23231</v>
          </cell>
          <cell r="D943" t="str">
            <v>Bêtông nhựa hạt mịn C10 ( dày 0,3cm )</v>
          </cell>
          <cell r="E943" t="str">
            <v>100M2</v>
          </cell>
          <cell r="F943">
            <v>10908000</v>
          </cell>
          <cell r="H943">
            <v>231990</v>
          </cell>
          <cell r="I943">
            <v>354175.8</v>
          </cell>
        </row>
        <row r="944">
          <cell r="B944" t="str">
            <v>Nhutuong</v>
          </cell>
          <cell r="C944" t="str">
            <v>AD.24213</v>
          </cell>
          <cell r="D944" t="str">
            <v>Nhủ tương ( tưới lớp dính bám mặt đường nhựa pha dầu 1Kg/1m2)</v>
          </cell>
          <cell r="E944" t="str">
            <v>100M2</v>
          </cell>
          <cell r="F944">
            <v>1235900</v>
          </cell>
          <cell r="H944">
            <v>54038.1</v>
          </cell>
          <cell r="I944">
            <v>367666</v>
          </cell>
        </row>
        <row r="945">
          <cell r="B945" t="str">
            <v>Catbt</v>
          </cell>
          <cell r="C945" t="str">
            <v>XA.1713</v>
          </cell>
          <cell r="D945" t="str">
            <v xml:space="preserve">Cắt đường bê tông </v>
          </cell>
          <cell r="E945" t="str">
            <v>100M</v>
          </cell>
          <cell r="F945">
            <v>1235900</v>
          </cell>
          <cell r="H945">
            <v>54038.1</v>
          </cell>
          <cell r="I945">
            <v>367666</v>
          </cell>
        </row>
        <row r="946">
          <cell r="B946" t="str">
            <v>DPMD</v>
          </cell>
          <cell r="C946" t="str">
            <v>AA.21441</v>
          </cell>
          <cell r="D946" t="str">
            <v>Đào phá mặt đường nhựa</v>
          </cell>
          <cell r="E946" t="str">
            <v>M3</v>
          </cell>
          <cell r="H946">
            <v>387612</v>
          </cell>
        </row>
        <row r="947">
          <cell r="B947" t="str">
            <v>DPVH</v>
          </cell>
          <cell r="C947" t="str">
            <v>SA.12121</v>
          </cell>
          <cell r="D947" t="str">
            <v>Đào phá vĩa hè</v>
          </cell>
          <cell r="E947" t="str">
            <v>M2</v>
          </cell>
          <cell r="G947">
            <v>24500</v>
          </cell>
          <cell r="H947">
            <v>428174.6</v>
          </cell>
          <cell r="I947">
            <v>127153.7</v>
          </cell>
        </row>
        <row r="948">
          <cell r="B948" t="str">
            <v>BTNHUA</v>
          </cell>
          <cell r="D948" t="str">
            <v>Bêtông nhựa nóng</v>
          </cell>
          <cell r="E948" t="str">
            <v>kg</v>
          </cell>
        </row>
        <row r="949">
          <cell r="B949" t="str">
            <v>DHT</v>
          </cell>
          <cell r="C949" t="str">
            <v>AA.21441</v>
          </cell>
          <cell r="D949" t="str">
            <v>Đào hố tạm cho công tác khoan</v>
          </cell>
          <cell r="E949" t="str">
            <v>m3</v>
          </cell>
          <cell r="H949">
            <v>387612</v>
          </cell>
        </row>
        <row r="950">
          <cell r="B950" t="str">
            <v>MDAP2.5</v>
          </cell>
          <cell r="C950" t="str">
            <v>AB.13212</v>
          </cell>
          <cell r="D950" t="str">
            <v>Đắp hố tạm và tái lập theo hiện trạng ban dầu</v>
          </cell>
          <cell r="E950" t="str">
            <v>m3</v>
          </cell>
          <cell r="G950">
            <v>0</v>
          </cell>
          <cell r="H950">
            <v>125499.4</v>
          </cell>
          <cell r="I950">
            <v>0</v>
          </cell>
        </row>
        <row r="951">
          <cell r="B951" t="str">
            <v>khoan</v>
          </cell>
          <cell r="C951" t="str">
            <v>RB.06</v>
          </cell>
          <cell r="D951" t="str">
            <v>Khoan đặt ống đường kính 150-200mm trên cạn</v>
          </cell>
          <cell r="E951" t="str">
            <v>m</v>
          </cell>
        </row>
        <row r="952">
          <cell r="B952" t="str">
            <v>ONKH</v>
          </cell>
          <cell r="D952" t="str">
            <v>Ống nối kiểu H (Liên kết giữa ống thép và ống nhựa xoắn)</v>
          </cell>
          <cell r="E952" t="str">
            <v>cái</v>
          </cell>
          <cell r="F952">
            <v>350000</v>
          </cell>
        </row>
        <row r="953">
          <cell r="B953" t="str">
            <v>OCON</v>
          </cell>
          <cell r="C953" t="str">
            <v>TT</v>
          </cell>
          <cell r="D953" t="str">
            <v>Ống co nguội kéo dài bọc cách điện đầu cáp ngầm (CXV (CRV) Sehh/DSTA-3x240mm2 24kV)</v>
          </cell>
          <cell r="E953" t="str">
            <v>m</v>
          </cell>
          <cell r="F953">
            <v>1500000</v>
          </cell>
        </row>
        <row r="954">
          <cell r="B954" t="str">
            <v>SH</v>
          </cell>
          <cell r="D954" t="str">
            <v>Thép hình viền nắp đan</v>
          </cell>
          <cell r="E954" t="str">
            <v>kg</v>
          </cell>
          <cell r="F954">
            <v>18000</v>
          </cell>
        </row>
        <row r="955">
          <cell r="B955" t="str">
            <v>FeO195</v>
          </cell>
          <cell r="D955" t="str">
            <v>Ống thép tráng kẽm D195</v>
          </cell>
          <cell r="E955" t="str">
            <v>ống</v>
          </cell>
          <cell r="F955">
            <v>2280888</v>
          </cell>
        </row>
        <row r="956">
          <cell r="B956" t="str">
            <v>FeO168</v>
          </cell>
          <cell r="D956" t="str">
            <v>Thép ống F 168</v>
          </cell>
          <cell r="E956" t="str">
            <v>m</v>
          </cell>
          <cell r="F956">
            <v>380148</v>
          </cell>
        </row>
        <row r="957">
          <cell r="B957" t="str">
            <v>FeO49</v>
          </cell>
          <cell r="D957" t="str">
            <v>Thép ống F 49</v>
          </cell>
          <cell r="E957" t="str">
            <v>m</v>
          </cell>
          <cell r="F957">
            <v>114044.4</v>
          </cell>
        </row>
        <row r="958">
          <cell r="B958" t="str">
            <v>GD-OT168</v>
          </cell>
          <cell r="D958" t="str">
            <v>Giá đỡ ống thép D168</v>
          </cell>
          <cell r="E958" t="str">
            <v>bộ</v>
          </cell>
          <cell r="F958">
            <v>380148</v>
          </cell>
        </row>
        <row r="959">
          <cell r="B959" t="str">
            <v>Pha</v>
          </cell>
          <cell r="C959" t="str">
            <v>03.5422</v>
          </cell>
          <cell r="D959" t="str">
            <v>Công tác phá thành hố ga hiện hữu</v>
          </cell>
          <cell r="E959" t="str">
            <v>m3</v>
          </cell>
          <cell r="G959">
            <v>25610.86</v>
          </cell>
          <cell r="H959">
            <v>38119.224000000002</v>
          </cell>
          <cell r="I959">
            <v>21027.393676653803</v>
          </cell>
        </row>
        <row r="960">
          <cell r="B960" t="str">
            <v>bb2n</v>
          </cell>
          <cell r="D960" t="str">
            <v>Biển báo hiệu 2 nguồn điện</v>
          </cell>
          <cell r="E960" t="str">
            <v>cái</v>
          </cell>
          <cell r="F960">
            <v>10000</v>
          </cell>
          <cell r="H960">
            <v>44000</v>
          </cell>
          <cell r="I960">
            <v>0</v>
          </cell>
        </row>
        <row r="961">
          <cell r="B961" t="str">
            <v>BBVC</v>
          </cell>
          <cell r="C961" t="str">
            <v>06.3191</v>
          </cell>
          <cell r="D961" t="str">
            <v>Biển báo chỉ danh đầu tuyến</v>
          </cell>
          <cell r="E961" t="str">
            <v>cái</v>
          </cell>
          <cell r="F961">
            <v>350000</v>
          </cell>
          <cell r="H961">
            <v>44000</v>
          </cell>
          <cell r="I961">
            <v>0</v>
          </cell>
        </row>
        <row r="962">
          <cell r="B962" t="str">
            <v>BBNH</v>
          </cell>
          <cell r="C962" t="str">
            <v>D3.3201</v>
          </cell>
          <cell r="D962" t="str">
            <v>Biển số trụ và biển báo nguy hiểm (Decan)</v>
          </cell>
          <cell r="E962" t="str">
            <v>cái</v>
          </cell>
          <cell r="F962">
            <v>100000</v>
          </cell>
          <cell r="G962">
            <v>2000</v>
          </cell>
          <cell r="H962">
            <v>3413.2000000000003</v>
          </cell>
          <cell r="I962">
            <v>9348.1350000000002</v>
          </cell>
        </row>
        <row r="963">
          <cell r="B963" t="str">
            <v>AO.503</v>
          </cell>
          <cell r="C963" t="str">
            <v>AD.23213</v>
          </cell>
          <cell r="D963" t="str">
            <v>Bê tông nhựa nóng hạt thô dày 50mm</v>
          </cell>
          <cell r="E963" t="str">
            <v>100m2</v>
          </cell>
          <cell r="F963">
            <v>12344576.719999999</v>
          </cell>
          <cell r="H963">
            <v>189989.16457142858</v>
          </cell>
          <cell r="I963">
            <v>333118.20571428572</v>
          </cell>
        </row>
        <row r="964">
          <cell r="B964" t="str">
            <v>AO.503-1</v>
          </cell>
          <cell r="C964" t="str">
            <v>AD.23233</v>
          </cell>
          <cell r="D964" t="str">
            <v>Bê tông nhựa nóng hạt mịn dày 50mm</v>
          </cell>
          <cell r="E964" t="str">
            <v>100m2</v>
          </cell>
          <cell r="F964">
            <v>13118457.719999999</v>
          </cell>
          <cell r="H964">
            <v>197460.14642857146</v>
          </cell>
          <cell r="I964">
            <v>346682.03428571427</v>
          </cell>
        </row>
        <row r="965">
          <cell r="B965" t="str">
            <v>CD</v>
          </cell>
          <cell r="C965" t="str">
            <v>AL.22111</v>
          </cell>
          <cell r="D965" t="str">
            <v>Công tác cắt đường nhựa</v>
          </cell>
          <cell r="E965" t="str">
            <v>m</v>
          </cell>
          <cell r="G965">
            <v>1241.5</v>
          </cell>
          <cell r="H965">
            <v>3182.5</v>
          </cell>
          <cell r="I965">
            <v>1679.5</v>
          </cell>
        </row>
        <row r="966">
          <cell r="B966" t="str">
            <v>VUA75</v>
          </cell>
          <cell r="C966" t="str">
            <v>B.2224</v>
          </cell>
          <cell r="D966" t="str">
            <v>Vữa xi măng M75, dày 70mm</v>
          </cell>
          <cell r="E966" t="str">
            <v>m3</v>
          </cell>
          <cell r="F966">
            <v>662232.80000000005</v>
          </cell>
        </row>
        <row r="967">
          <cell r="B967" t="str">
            <v>OLHDPE-195</v>
          </cell>
          <cell r="D967" t="str">
            <v>Nút loe bằng HDPE D195/150</v>
          </cell>
          <cell r="E967" t="str">
            <v>cái</v>
          </cell>
          <cell r="F967">
            <v>63199.999999999993</v>
          </cell>
        </row>
        <row r="968">
          <cell r="B968" t="str">
            <v>M-HDPE</v>
          </cell>
          <cell r="D968" t="str">
            <v>Máng nối ống HDPE</v>
          </cell>
          <cell r="E968" t="str">
            <v>cái</v>
          </cell>
          <cell r="F968">
            <v>250440</v>
          </cell>
        </row>
        <row r="969">
          <cell r="B969" t="str">
            <v>HDPE-195</v>
          </cell>
          <cell r="C969" t="str">
            <v>04.8003</v>
          </cell>
          <cell r="D969" t="str">
            <v>Ống HDPE D195/150, dày 2,8mm</v>
          </cell>
          <cell r="E969" t="str">
            <v>m</v>
          </cell>
          <cell r="F969">
            <v>256000</v>
          </cell>
          <cell r="G969">
            <v>800</v>
          </cell>
          <cell r="H969">
            <v>19387.5</v>
          </cell>
          <cell r="I969">
            <v>0</v>
          </cell>
        </row>
        <row r="970">
          <cell r="B970" t="str">
            <v>HDPE-63</v>
          </cell>
          <cell r="C970" t="str">
            <v>04.8003</v>
          </cell>
          <cell r="D970" t="str">
            <v>Ống HDPE D63</v>
          </cell>
          <cell r="E970" t="str">
            <v>m</v>
          </cell>
          <cell r="F970">
            <v>173389</v>
          </cell>
          <cell r="G970">
            <v>800</v>
          </cell>
          <cell r="H970">
            <v>19387.5</v>
          </cell>
          <cell r="I970">
            <v>0</v>
          </cell>
        </row>
        <row r="971">
          <cell r="B971" t="str">
            <v>LGVH</v>
          </cell>
          <cell r="C971" t="str">
            <v>AK.55110</v>
          </cell>
          <cell r="D971" t="str">
            <v>Tái lập vĩa hè (Lát gạch vĩa hè)</v>
          </cell>
          <cell r="E971" t="str">
            <v>m2</v>
          </cell>
          <cell r="F971">
            <v>99064.197272727266</v>
          </cell>
          <cell r="G971">
            <v>115232.4</v>
          </cell>
          <cell r="H971">
            <v>39697.699999999997</v>
          </cell>
          <cell r="I971">
            <v>0</v>
          </cell>
        </row>
        <row r="972">
          <cell r="B972" t="str">
            <v>PVVH</v>
          </cell>
          <cell r="C972" t="str">
            <v>SA.11213</v>
          </cell>
          <cell r="D972" t="str">
            <v>Công tác phá vở vĩa hè (Nền gạch xi măng)</v>
          </cell>
          <cell r="E972" t="str">
            <v>m2</v>
          </cell>
          <cell r="G972">
            <v>0</v>
          </cell>
          <cell r="H972">
            <v>18402.8</v>
          </cell>
          <cell r="I972">
            <v>0</v>
          </cell>
        </row>
        <row r="973">
          <cell r="B973" t="str">
            <v>TTN</v>
          </cell>
          <cell r="C973" t="str">
            <v>AK.21110</v>
          </cell>
          <cell r="D973" t="str">
            <v>Trát tường ngoài dày 1cm vữa M75</v>
          </cell>
          <cell r="E973" t="str">
            <v>m2</v>
          </cell>
          <cell r="F973">
            <v>11920.190399999999</v>
          </cell>
          <cell r="H973">
            <v>51604.355000000003</v>
          </cell>
          <cell r="I973">
            <v>187</v>
          </cell>
        </row>
        <row r="974">
          <cell r="B974" t="str">
            <v>LANG</v>
          </cell>
          <cell r="C974" t="str">
            <v>AK.42214</v>
          </cell>
          <cell r="D974" t="str">
            <v>Láng vữa dày 2cm vữa M75</v>
          </cell>
          <cell r="E974" t="str">
            <v>m2</v>
          </cell>
          <cell r="F974">
            <v>29850.143459999999</v>
          </cell>
          <cell r="H974">
            <v>33308.265500000001</v>
          </cell>
          <cell r="I974">
            <v>178</v>
          </cell>
        </row>
        <row r="975">
          <cell r="B975" t="str">
            <v>XTTN</v>
          </cell>
          <cell r="C975" t="str">
            <v>AE.52214</v>
          </cell>
          <cell r="D975" t="str">
            <v>Xây tường gạch thẻ dày &lt;30cm giếng cáp</v>
          </cell>
          <cell r="E975" t="str">
            <v>m3</v>
          </cell>
          <cell r="F975">
            <v>1169589.9701181799</v>
          </cell>
          <cell r="H975">
            <v>522997.2</v>
          </cell>
        </row>
        <row r="976">
          <cell r="B976" t="str">
            <v>HHN</v>
          </cell>
          <cell r="C976" t="str">
            <v>T4.7411</v>
          </cell>
          <cell r="D976" t="str">
            <v>Mối hàn hóa nhiệt</v>
          </cell>
          <cell r="E976" t="str">
            <v>vị trí</v>
          </cell>
          <cell r="G976">
            <v>374416.5</v>
          </cell>
          <cell r="H976">
            <v>31758.12</v>
          </cell>
          <cell r="I976">
            <v>0</v>
          </cell>
        </row>
        <row r="977">
          <cell r="B977" t="str">
            <v>HDIEN</v>
          </cell>
          <cell r="D977" t="str">
            <v>Mối hàn điện</v>
          </cell>
          <cell r="E977" t="str">
            <v>vị trí</v>
          </cell>
          <cell r="F977">
            <v>50000</v>
          </cell>
        </row>
        <row r="978">
          <cell r="B978" t="str">
            <v>gach</v>
          </cell>
          <cell r="D978" t="str">
            <v>Gạch thẻ</v>
          </cell>
          <cell r="E978" t="str">
            <v>viên</v>
          </cell>
          <cell r="F978">
            <v>1500</v>
          </cell>
        </row>
        <row r="979">
          <cell r="B979" t="str">
            <v>BNH</v>
          </cell>
          <cell r="D979" t="str">
            <v>Bảng nguy hiểm - Biển số trụ</v>
          </cell>
          <cell r="E979" t="str">
            <v>bộ</v>
          </cell>
          <cell r="F979">
            <v>100000</v>
          </cell>
        </row>
        <row r="980">
          <cell r="B980" t="str">
            <v>MNYC</v>
          </cell>
          <cell r="D980" t="str">
            <v>Mắt nối yếm cáp</v>
          </cell>
          <cell r="E980" t="str">
            <v>bộ</v>
          </cell>
          <cell r="F980">
            <v>5000</v>
          </cell>
        </row>
        <row r="981">
          <cell r="B981" t="str">
            <v>YC</v>
          </cell>
          <cell r="D981" t="str">
            <v>Yếm cáp</v>
          </cell>
          <cell r="E981" t="str">
            <v>cái</v>
          </cell>
          <cell r="F981">
            <v>6000</v>
          </cell>
        </row>
        <row r="982">
          <cell r="B982" t="str">
            <v>KHONG</v>
          </cell>
        </row>
        <row r="983">
          <cell r="B983" t="str">
            <v>BẢNG KÊ ĐƠN GIÁ NHÂN CÔNG PHẦN ĐƯỜNG DÂY
( 285/NLDK/QĐ-BCN )</v>
          </cell>
        </row>
        <row r="984">
          <cell r="B984" t="str">
            <v>KHONG</v>
          </cell>
        </row>
        <row r="985">
          <cell r="B985" t="str">
            <v>Mã</v>
          </cell>
          <cell r="C985" t="str">
            <v>MHĐG</v>
          </cell>
          <cell r="D985" t="str">
            <v>CÔNG VIỆC</v>
          </cell>
          <cell r="E985" t="str">
            <v>ĐƠN VỊ</v>
          </cell>
          <cell r="G985" t="str">
            <v>VLP</v>
          </cell>
          <cell r="H985" t="str">
            <v>NC</v>
          </cell>
          <cell r="I985" t="str">
            <v>MTC</v>
          </cell>
          <cell r="J985" t="str">
            <v>DGTT</v>
          </cell>
        </row>
        <row r="986">
          <cell r="B986" t="str">
            <v>1*</v>
          </cell>
          <cell r="C986">
            <v>2</v>
          </cell>
          <cell r="D986">
            <v>3</v>
          </cell>
          <cell r="E986">
            <v>4</v>
          </cell>
          <cell r="G986">
            <v>6</v>
          </cell>
          <cell r="H986">
            <v>7</v>
          </cell>
          <cell r="I986">
            <v>8</v>
          </cell>
          <cell r="J986">
            <v>9</v>
          </cell>
        </row>
        <row r="987">
          <cell r="B987" t="str">
            <v>PHAÙT TUYEÁN</v>
          </cell>
        </row>
        <row r="988">
          <cell r="B988" t="str">
            <v>PT1</v>
          </cell>
          <cell r="C988" t="str">
            <v>AA.11111</v>
          </cell>
          <cell r="D988" t="str">
            <v>Công tác phát tuyến phục vụ thi công</v>
          </cell>
          <cell r="E988" t="str">
            <v>m²</v>
          </cell>
          <cell r="G988">
            <v>0</v>
          </cell>
          <cell r="H988">
            <v>194252.19999999998</v>
          </cell>
          <cell r="I988">
            <v>0</v>
          </cell>
        </row>
        <row r="989">
          <cell r="B989" t="str">
            <v>PT2</v>
          </cell>
          <cell r="C989" t="str">
            <v>AA.11112</v>
          </cell>
          <cell r="D989" t="str">
            <v>Công tác phát tuyến phục vụ thi công</v>
          </cell>
          <cell r="E989" t="str">
            <v>m²</v>
          </cell>
          <cell r="G989">
            <v>0</v>
          </cell>
          <cell r="H989">
            <v>2620.7240000000002</v>
          </cell>
          <cell r="I989">
            <v>0</v>
          </cell>
        </row>
        <row r="990">
          <cell r="B990" t="str">
            <v>PT3</v>
          </cell>
          <cell r="C990" t="str">
            <v>AA.11113</v>
          </cell>
          <cell r="D990" t="str">
            <v>Công tác phát tuyến phục vụ thi công</v>
          </cell>
          <cell r="E990" t="str">
            <v>m²</v>
          </cell>
          <cell r="G990">
            <v>0</v>
          </cell>
          <cell r="H990">
            <v>3026.7509999999997</v>
          </cell>
          <cell r="I990">
            <v>0</v>
          </cell>
        </row>
        <row r="991">
          <cell r="B991" t="str">
            <v>ÑAØO VAØ ÑAÉP ÑAÁT, CAÙT</v>
          </cell>
        </row>
        <row r="992">
          <cell r="B992" t="str">
            <v>DTC-C1</v>
          </cell>
          <cell r="C992" t="str">
            <v>AB.11361</v>
          </cell>
          <cell r="D992" t="str">
            <v>Đào đất thủ công cấp 1 (có đà cản)</v>
          </cell>
          <cell r="E992" t="str">
            <v>m³</v>
          </cell>
          <cell r="G992">
            <v>0</v>
          </cell>
          <cell r="H992">
            <v>102238</v>
          </cell>
          <cell r="I992">
            <v>0</v>
          </cell>
        </row>
        <row r="993">
          <cell r="B993" t="str">
            <v>DTC-C1-KDC</v>
          </cell>
          <cell r="C993" t="str">
            <v>AB.11421</v>
          </cell>
          <cell r="D993" t="str">
            <v>Đào đất thủ công cấp 1 (không đà cản)</v>
          </cell>
          <cell r="E993" t="str">
            <v>m³</v>
          </cell>
          <cell r="G993">
            <v>0</v>
          </cell>
          <cell r="H993">
            <v>222878.8</v>
          </cell>
          <cell r="I993">
            <v>0</v>
          </cell>
        </row>
        <row r="994">
          <cell r="B994" t="str">
            <v>DTC-C2</v>
          </cell>
          <cell r="C994" t="str">
            <v>AB.11362</v>
          </cell>
          <cell r="D994" t="str">
            <v>Đào đất thủ công cấp 2 (có đà cản)</v>
          </cell>
          <cell r="E994" t="str">
            <v>m³</v>
          </cell>
          <cell r="G994">
            <v>0</v>
          </cell>
          <cell r="H994">
            <v>139043.70000000001</v>
          </cell>
          <cell r="I994">
            <v>0</v>
          </cell>
        </row>
        <row r="995">
          <cell r="B995" t="str">
            <v>DTC-C2-KDC</v>
          </cell>
          <cell r="C995" t="str">
            <v>AB.11422</v>
          </cell>
          <cell r="D995" t="str">
            <v>Đào đất thủ công cấp 2 (không đà cản)</v>
          </cell>
          <cell r="E995" t="str">
            <v>m³</v>
          </cell>
          <cell r="G995">
            <v>0</v>
          </cell>
          <cell r="H995">
            <v>323072.09999999998</v>
          </cell>
          <cell r="I995">
            <v>0</v>
          </cell>
        </row>
        <row r="996">
          <cell r="B996" t="str">
            <v>DTC-C3</v>
          </cell>
          <cell r="C996" t="str">
            <v>AB.11443</v>
          </cell>
          <cell r="D996" t="str">
            <v>Đào đất thủ công cấp 3</v>
          </cell>
          <cell r="E996" t="str">
            <v>m³</v>
          </cell>
          <cell r="G996">
            <v>0</v>
          </cell>
          <cell r="H996">
            <v>308758.8</v>
          </cell>
          <cell r="I996">
            <v>0</v>
          </cell>
        </row>
        <row r="997">
          <cell r="B997" t="str">
            <v>DTC-C4</v>
          </cell>
          <cell r="C997" t="str">
            <v>AB.11444</v>
          </cell>
          <cell r="D997" t="str">
            <v>Đào đất thủ công cấp 4</v>
          </cell>
          <cell r="E997" t="str">
            <v>m³</v>
          </cell>
          <cell r="G997">
            <v>0</v>
          </cell>
          <cell r="H997">
            <v>478473.8</v>
          </cell>
          <cell r="I997">
            <v>0</v>
          </cell>
        </row>
        <row r="998">
          <cell r="B998" t="str">
            <v>DM-C1</v>
          </cell>
          <cell r="C998" t="str">
            <v>AB.25111</v>
          </cell>
          <cell r="D998" t="str">
            <v xml:space="preserve">Đào đất bằng máy đào 0,8m3 đất cấp 1 </v>
          </cell>
          <cell r="E998" t="str">
            <v>m³</v>
          </cell>
          <cell r="G998">
            <v>0</v>
          </cell>
          <cell r="H998">
            <v>5970.6990000000005</v>
          </cell>
          <cell r="I998">
            <v>8207</v>
          </cell>
        </row>
        <row r="999">
          <cell r="B999" t="str">
            <v>DM-C2</v>
          </cell>
          <cell r="C999" t="str">
            <v>AB.25112</v>
          </cell>
          <cell r="D999" t="str">
            <v>Đào đất bằng máy đào 0,8m3 đất cấp 2</v>
          </cell>
          <cell r="E999" t="str">
            <v>m³</v>
          </cell>
          <cell r="G999">
            <v>0</v>
          </cell>
          <cell r="H999">
            <v>7770.0879999999997</v>
          </cell>
          <cell r="I999">
            <v>9661.4054400000005</v>
          </cell>
        </row>
        <row r="1000">
          <cell r="B1000" t="str">
            <v>DM-C3</v>
          </cell>
          <cell r="C1000" t="str">
            <v>AB.25113</v>
          </cell>
          <cell r="D1000" t="str">
            <v>Đào đất bằng máy đào 0,8m3 đất cấp 3</v>
          </cell>
          <cell r="E1000" t="str">
            <v>m³</v>
          </cell>
          <cell r="G1000">
            <v>0</v>
          </cell>
          <cell r="H1000">
            <v>9140.0769999999993</v>
          </cell>
          <cell r="I1000">
            <v>13505.19</v>
          </cell>
        </row>
        <row r="1001">
          <cell r="B1001" t="str">
            <v>DM-C4</v>
          </cell>
          <cell r="C1001" t="str">
            <v>AB.25114</v>
          </cell>
          <cell r="D1001" t="str">
            <v>Đào đất bằng máy đào 0,8m3 đất cấp 4</v>
          </cell>
          <cell r="E1001" t="str">
            <v>m³</v>
          </cell>
          <cell r="G1001">
            <v>0</v>
          </cell>
          <cell r="H1001">
            <v>10142.01</v>
          </cell>
          <cell r="I1001">
            <v>15660.826999999999</v>
          </cell>
        </row>
        <row r="1002">
          <cell r="B1002" t="str">
            <v>MDAP1</v>
          </cell>
          <cell r="C1002" t="str">
            <v>AB.65110</v>
          </cell>
          <cell r="D1002" t="str">
            <v>Đắp đất công trình bằng đầm cóc, độ chặt K = 0,85</v>
          </cell>
          <cell r="E1002" t="str">
            <v>m³</v>
          </cell>
          <cell r="G1002">
            <v>0</v>
          </cell>
          <cell r="H1002">
            <v>11021.256399999998</v>
          </cell>
          <cell r="I1002">
            <v>12534.226000000001</v>
          </cell>
        </row>
        <row r="1003">
          <cell r="B1003" t="str">
            <v>MDAP2</v>
          </cell>
          <cell r="C1003" t="str">
            <v>AB.65110</v>
          </cell>
          <cell r="D1003" t="str">
            <v>Đắp đất móng bằng máy đầm cóc, độ chặt k=0,85</v>
          </cell>
          <cell r="E1003" t="str">
            <v>m³</v>
          </cell>
          <cell r="G1003">
            <v>0</v>
          </cell>
          <cell r="H1003">
            <v>11021.256399999998</v>
          </cell>
          <cell r="I1003">
            <v>12534.226000000001</v>
          </cell>
        </row>
        <row r="1004">
          <cell r="B1004" t="str">
            <v>MDAP3</v>
          </cell>
          <cell r="C1004" t="str">
            <v>AB.65120</v>
          </cell>
          <cell r="D1004" t="str">
            <v>Đắp đất móng bằng máy đầm cóc, độ chặt k=0,9</v>
          </cell>
          <cell r="E1004" t="str">
            <v>m³</v>
          </cell>
          <cell r="G1004">
            <v>0</v>
          </cell>
          <cell r="H1004">
            <v>12657.063999999998</v>
          </cell>
          <cell r="I1004">
            <v>14386.298000000001</v>
          </cell>
        </row>
        <row r="1005">
          <cell r="B1005" t="str">
            <v>MDAP4</v>
          </cell>
          <cell r="C1005" t="str">
            <v>AB.65130</v>
          </cell>
          <cell r="D1005" t="str">
            <v>Đắp đất móng bằng máy đầm cóc, độ chặt k=0,95</v>
          </cell>
          <cell r="E1005" t="str">
            <v>m³</v>
          </cell>
          <cell r="G1005">
            <v>0</v>
          </cell>
          <cell r="H1005">
            <v>14579.138999999999</v>
          </cell>
          <cell r="I1005">
            <v>16567.628000000001</v>
          </cell>
        </row>
        <row r="1006">
          <cell r="B1006" t="str">
            <v>DTD1</v>
          </cell>
          <cell r="C1006" t="str">
            <v>AB.11511</v>
          </cell>
          <cell r="D1006" t="str">
            <v>Đào rãnh tiếp địa đất cấp 1</v>
          </cell>
          <cell r="E1006" t="str">
            <v>m³</v>
          </cell>
          <cell r="G1006">
            <v>0</v>
          </cell>
          <cell r="H1006">
            <v>124730.4</v>
          </cell>
          <cell r="I1006">
            <v>0</v>
          </cell>
        </row>
        <row r="1007">
          <cell r="B1007" t="str">
            <v>DTD2</v>
          </cell>
          <cell r="C1007" t="str">
            <v>AB.11502</v>
          </cell>
          <cell r="D1007" t="str">
            <v>Đào rãnh tiếp địa đất cấp 2</v>
          </cell>
          <cell r="E1007" t="str">
            <v>m³</v>
          </cell>
          <cell r="G1007">
            <v>0</v>
          </cell>
          <cell r="H1007">
            <v>222878.8</v>
          </cell>
          <cell r="I1007">
            <v>0</v>
          </cell>
        </row>
        <row r="1008">
          <cell r="B1008" t="str">
            <v>DTD3</v>
          </cell>
          <cell r="C1008" t="str">
            <v>AB.11513</v>
          </cell>
          <cell r="D1008" t="str">
            <v>Đào rãnh tiếp địa đất cấp 3</v>
          </cell>
          <cell r="E1008" t="str">
            <v>m³</v>
          </cell>
          <cell r="G1008">
            <v>0</v>
          </cell>
          <cell r="H1008">
            <v>249153.3</v>
          </cell>
          <cell r="I1008">
            <v>0</v>
          </cell>
        </row>
        <row r="1009">
          <cell r="B1009" t="str">
            <v>DTD4</v>
          </cell>
          <cell r="C1009" t="str">
            <v>AB.11514</v>
          </cell>
          <cell r="D1009" t="str">
            <v>Đào rãnh tiếp địa đất cấp 4</v>
          </cell>
          <cell r="E1009" t="str">
            <v>m³</v>
          </cell>
          <cell r="G1009">
            <v>0</v>
          </cell>
          <cell r="H1009">
            <v>380189.5</v>
          </cell>
          <cell r="I1009">
            <v>0</v>
          </cell>
        </row>
        <row r="1010">
          <cell r="B1010" t="str">
            <v>DATD1</v>
          </cell>
          <cell r="C1010" t="str">
            <v>AB.65110</v>
          </cell>
          <cell r="D1010" t="str">
            <v>Đắp đất rãnh tiếp địa bằng đầm cóc, độ chặt K = 0,85</v>
          </cell>
          <cell r="E1010" t="str">
            <v>m³</v>
          </cell>
          <cell r="G1010">
            <v>0</v>
          </cell>
          <cell r="H1010">
            <v>11021.256399999998</v>
          </cell>
          <cell r="I1010">
            <v>12534.226000000001</v>
          </cell>
        </row>
        <row r="1011">
          <cell r="B1011" t="str">
            <v>DATD2</v>
          </cell>
          <cell r="C1011" t="str">
            <v>AB.65120</v>
          </cell>
          <cell r="D1011" t="str">
            <v>Đắp đất rãnh tiếp địa bằng đầm cóc, độ chặt K = 0,9</v>
          </cell>
          <cell r="E1011" t="str">
            <v>m³</v>
          </cell>
          <cell r="G1011">
            <v>0</v>
          </cell>
          <cell r="H1011">
            <v>12657.064400000001</v>
          </cell>
          <cell r="I1011">
            <v>14386.298200000001</v>
          </cell>
        </row>
        <row r="1012">
          <cell r="B1012" t="str">
            <v>DCAT</v>
          </cell>
          <cell r="C1012" t="str">
            <v>AB.13411</v>
          </cell>
          <cell r="D1012" t="str">
            <v xml:space="preserve">Đắp cát </v>
          </cell>
          <cell r="E1012" t="str">
            <v>m³</v>
          </cell>
          <cell r="G1012">
            <v>349676.4</v>
          </cell>
          <cell r="H1012">
            <v>83051.100000000006</v>
          </cell>
          <cell r="I1012">
            <v>0</v>
          </cell>
        </row>
        <row r="1013">
          <cell r="B1013" t="str">
            <v>NC4,5/7</v>
          </cell>
          <cell r="D1013" t="str">
            <v xml:space="preserve">Vận chuyển, lắp đặt  và tháo dỡ thiết bị khoan </v>
          </cell>
          <cell r="E1013" t="str">
            <v>công</v>
          </cell>
          <cell r="H1013">
            <v>257586</v>
          </cell>
        </row>
        <row r="1014">
          <cell r="B1014" t="str">
            <v>GIA COÂNG THEÙP VAØ VAÙN KHUOÂN</v>
          </cell>
        </row>
        <row r="1015">
          <cell r="B1015" t="str">
            <v>F</v>
          </cell>
          <cell r="D1015" t="str">
            <v>Gia công cốt thép</v>
          </cell>
          <cell r="E1015">
            <v>0</v>
          </cell>
        </row>
        <row r="1016">
          <cell r="B1016" t="str">
            <v>LCT10</v>
          </cell>
          <cell r="C1016" t="str">
            <v>AG.13111</v>
          </cell>
          <cell r="D1016" t="str">
            <v>Gia công và lắp dựng cốt thép ≤10</v>
          </cell>
          <cell r="E1016" t="str">
            <v>kg</v>
          </cell>
          <cell r="G1016">
            <v>14371.25</v>
          </cell>
          <cell r="H1016">
            <v>3301.0520000000001</v>
          </cell>
          <cell r="I1016">
            <v>109.54360000000001</v>
          </cell>
        </row>
        <row r="1017">
          <cell r="B1017" t="str">
            <v>LCT18</v>
          </cell>
          <cell r="C1017" t="str">
            <v>AG.13121</v>
          </cell>
          <cell r="D1017" t="str">
            <v>Gia công và lắp dựng cốt thép ≤18</v>
          </cell>
          <cell r="E1017" t="str">
            <v>kg</v>
          </cell>
          <cell r="G1017">
            <v>18541.544600000001</v>
          </cell>
          <cell r="H1017">
            <v>1568.2756000000002</v>
          </cell>
          <cell r="I1017">
            <v>501.72800000000001</v>
          </cell>
        </row>
        <row r="1018">
          <cell r="B1018" t="str">
            <v>F1</v>
          </cell>
          <cell r="D1018" t="str">
            <v>Lắp dựng ván khuôn</v>
          </cell>
          <cell r="E1018">
            <v>0</v>
          </cell>
        </row>
        <row r="1019">
          <cell r="B1019" t="str">
            <v>LDVANK</v>
          </cell>
          <cell r="C1019" t="str">
            <v>AF.82521</v>
          </cell>
          <cell r="D1019" t="str">
            <v>Gia công và lắp dựng ván khuôn thép</v>
          </cell>
          <cell r="E1019" t="str">
            <v>m²</v>
          </cell>
          <cell r="G1019">
            <v>17352.884999999998</v>
          </cell>
          <cell r="H1019">
            <v>70741.212</v>
          </cell>
          <cell r="I1019">
            <v>3801.2240000000002</v>
          </cell>
        </row>
        <row r="1020">
          <cell r="B1020" t="str">
            <v>ÑOÙNG COÏC TRE, TRAØM</v>
          </cell>
        </row>
        <row r="1021">
          <cell r="B1021" t="str">
            <v>J</v>
          </cell>
          <cell r="D1021" t="str">
            <v>Đóng cọc tre, gỗ (hoặc cừ tràm) bằng thủ công</v>
          </cell>
          <cell r="E1021">
            <v>0</v>
          </cell>
        </row>
        <row r="1022">
          <cell r="B1022" t="str">
            <v>DCT25</v>
          </cell>
          <cell r="C1022" t="str">
            <v>AC.11112</v>
          </cell>
          <cell r="D1022" t="str">
            <v>Đóng cọc tràm (đất cấp 2) - 2,5 m</v>
          </cell>
          <cell r="E1022" t="str">
            <v>mét</v>
          </cell>
          <cell r="G1022">
            <v>18266.233</v>
          </cell>
          <cell r="H1022">
            <v>3210.4659999999999</v>
          </cell>
          <cell r="I1022">
            <v>0</v>
          </cell>
        </row>
        <row r="1023">
          <cell r="B1023" t="str">
            <v>DCT30</v>
          </cell>
          <cell r="C1023" t="str">
            <v>AC.11122</v>
          </cell>
          <cell r="D1023" t="str">
            <v>Đóng cọc tràm (đất cấp 2) - 3 m</v>
          </cell>
          <cell r="E1023" t="str">
            <v>mét</v>
          </cell>
          <cell r="G1023">
            <v>19299.226000000002</v>
          </cell>
          <cell r="H1023">
            <v>5016.3530000000001</v>
          </cell>
          <cell r="I1023">
            <v>0</v>
          </cell>
        </row>
        <row r="1024">
          <cell r="B1024" t="str">
            <v>DCT50</v>
          </cell>
          <cell r="C1024" t="str">
            <v>AC.11122</v>
          </cell>
          <cell r="D1024" t="str">
            <v>Đóng cọc tràm (đất cấp 2) &gt; 2,5 m</v>
          </cell>
          <cell r="E1024" t="str">
            <v>mét</v>
          </cell>
          <cell r="G1024">
            <v>19299.226000000002</v>
          </cell>
          <cell r="H1024">
            <v>5016.3530000000001</v>
          </cell>
          <cell r="I1024">
            <v>0</v>
          </cell>
        </row>
        <row r="1025">
          <cell r="B1025" t="str">
            <v>DCT125</v>
          </cell>
          <cell r="C1025" t="str">
            <v>AC.11111</v>
          </cell>
          <cell r="D1025" t="str">
            <v>Đóng cọc tràm (đất cấp 1) - 2,5 m</v>
          </cell>
          <cell r="E1025" t="str">
            <v>mét</v>
          </cell>
          <cell r="G1025">
            <v>18266.233</v>
          </cell>
          <cell r="H1025">
            <v>2987.5170000000003</v>
          </cell>
          <cell r="I1025">
            <v>0</v>
          </cell>
        </row>
        <row r="1026">
          <cell r="B1026" t="str">
            <v>DCT130</v>
          </cell>
          <cell r="C1026" t="str">
            <v>AC.11121</v>
          </cell>
          <cell r="D1026" t="str">
            <v>Đóng cọc tràm (đất cấp 1) - 3 m</v>
          </cell>
          <cell r="E1026" t="str">
            <v>mét</v>
          </cell>
          <cell r="G1026">
            <v>19299.226000000002</v>
          </cell>
          <cell r="H1026">
            <v>4503.57</v>
          </cell>
          <cell r="I1026">
            <v>0</v>
          </cell>
        </row>
        <row r="1027">
          <cell r="B1027" t="str">
            <v>DCT150</v>
          </cell>
          <cell r="C1027" t="str">
            <v>AC.11122</v>
          </cell>
          <cell r="D1027" t="str">
            <v>Đóng cọc tràm (đất cấp 2) - 5 m</v>
          </cell>
          <cell r="E1027" t="str">
            <v>mét</v>
          </cell>
          <cell r="G1027">
            <v>19299.226000000002</v>
          </cell>
          <cell r="H1027">
            <v>5016.3530000000001</v>
          </cell>
          <cell r="I1027">
            <v>0</v>
          </cell>
        </row>
        <row r="1028">
          <cell r="B1028" t="str">
            <v>DCTre25</v>
          </cell>
          <cell r="C1028" t="str">
            <v>AC.11112</v>
          </cell>
          <cell r="D1028" t="str">
            <v>Đóng cọc tre (đất cấp 2) ≤ 2,5 m</v>
          </cell>
          <cell r="E1028" t="str">
            <v>mét</v>
          </cell>
          <cell r="G1028">
            <v>18266.233</v>
          </cell>
          <cell r="H1028">
            <v>3210.4659999999999</v>
          </cell>
          <cell r="I1028">
            <v>0</v>
          </cell>
        </row>
        <row r="1029">
          <cell r="B1029" t="str">
            <v>DCTHEP</v>
          </cell>
          <cell r="C1029" t="str">
            <v>AC.22321</v>
          </cell>
          <cell r="D1029" t="str">
            <v>Đóng cọc thép bằng búa máy có trọng lượng &lt;=1,8T dưới nước, D cọc &lt;=300mm</v>
          </cell>
          <cell r="E1029" t="str">
            <v>mét</v>
          </cell>
          <cell r="G1029">
            <v>406000</v>
          </cell>
          <cell r="H1029">
            <v>10093.32</v>
          </cell>
          <cell r="I1029">
            <v>175151.693</v>
          </cell>
        </row>
        <row r="1030">
          <cell r="B1030" t="str">
            <v>LAÉP XAØ, TIEÁP ÑÒA</v>
          </cell>
        </row>
        <row r="1031">
          <cell r="B1031" t="str">
            <v>O</v>
          </cell>
          <cell r="D1031" t="str">
            <v>Lắp xà</v>
          </cell>
          <cell r="E1031">
            <v>0</v>
          </cell>
        </row>
        <row r="1032">
          <cell r="B1032" t="str">
            <v>NMB</v>
          </cell>
          <cell r="C1032" t="str">
            <v>D2.5101</v>
          </cell>
          <cell r="D1032" t="str">
            <v>Nối cột bê tông bằng mặt bích, địa hình bình thường</v>
          </cell>
          <cell r="E1032" t="str">
            <v>1 mối nối</v>
          </cell>
          <cell r="G1032">
            <v>19839</v>
          </cell>
          <cell r="H1032">
            <v>793953</v>
          </cell>
        </row>
        <row r="1033">
          <cell r="B1033" t="str">
            <v>LCL</v>
          </cell>
          <cell r="C1033" t="str">
            <v>D2.6011</v>
          </cell>
          <cell r="D1033" t="str">
            <v>Lắp bộ chống lệch</v>
          </cell>
          <cell r="E1033" t="str">
            <v>bộ</v>
          </cell>
          <cell r="H1033">
            <v>124338</v>
          </cell>
        </row>
        <row r="1034">
          <cell r="B1034" t="str">
            <v>LXIT</v>
          </cell>
          <cell r="C1034" t="str">
            <v>D2.6011</v>
          </cell>
          <cell r="D1034" t="str">
            <v>Lắp xà có trọng lượng &lt;=15kg</v>
          </cell>
          <cell r="E1034" t="str">
            <v>bộ</v>
          </cell>
          <cell r="G1034">
            <v>0</v>
          </cell>
          <cell r="H1034">
            <v>124338</v>
          </cell>
          <cell r="I1034">
            <v>0</v>
          </cell>
        </row>
        <row r="1035">
          <cell r="B1035" t="str">
            <v>LXIG</v>
          </cell>
          <cell r="C1035" t="str">
            <v>D2.6021</v>
          </cell>
          <cell r="D1035" t="str">
            <v>Lắp xà có trọng lượng &lt;=25kg</v>
          </cell>
          <cell r="E1035" t="str">
            <v>bộ</v>
          </cell>
          <cell r="G1035">
            <v>0</v>
          </cell>
          <cell r="H1035">
            <v>207230</v>
          </cell>
          <cell r="I1035">
            <v>0</v>
          </cell>
        </row>
        <row r="1036">
          <cell r="B1036" t="str">
            <v>LXIG50</v>
          </cell>
          <cell r="C1036" t="str">
            <v>D2.6031</v>
          </cell>
          <cell r="D1036" t="str">
            <v>Lắp xà đỡ có trọng lượng &lt;=50kg</v>
          </cell>
          <cell r="E1036" t="str">
            <v>bộ</v>
          </cell>
          <cell r="G1036">
            <v>0</v>
          </cell>
          <cell r="H1036">
            <v>280370</v>
          </cell>
          <cell r="I1036">
            <v>0</v>
          </cell>
        </row>
        <row r="1037">
          <cell r="B1037" t="str">
            <v>LXIG100</v>
          </cell>
          <cell r="C1037" t="str">
            <v>D2.6041</v>
          </cell>
          <cell r="D1037" t="str">
            <v>Lắp xà đỡ có trọng lượng &lt;=100kg</v>
          </cell>
          <cell r="E1037" t="str">
            <v>bộ</v>
          </cell>
          <cell r="G1037">
            <v>0</v>
          </cell>
          <cell r="H1037">
            <v>377890</v>
          </cell>
          <cell r="I1037">
            <v>0</v>
          </cell>
        </row>
        <row r="1038">
          <cell r="B1038" t="str">
            <v>LXIN</v>
          </cell>
          <cell r="C1038" t="str">
            <v>D2.6032</v>
          </cell>
          <cell r="D1038" t="str">
            <v>Lắp xà néo có trọng lượng &lt;=50kg</v>
          </cell>
          <cell r="E1038" t="str">
            <v>bộ</v>
          </cell>
          <cell r="G1038">
            <v>0</v>
          </cell>
          <cell r="H1038">
            <v>373014</v>
          </cell>
          <cell r="I1038">
            <v>0</v>
          </cell>
        </row>
        <row r="1039">
          <cell r="B1039" t="str">
            <v>LXIN100</v>
          </cell>
          <cell r="C1039" t="str">
            <v>D2.6042</v>
          </cell>
          <cell r="D1039" t="str">
            <v>Lắp xà néo có trọng lượng &lt;=100kg</v>
          </cell>
          <cell r="E1039" t="str">
            <v>bộ</v>
          </cell>
          <cell r="G1039">
            <v>0</v>
          </cell>
          <cell r="H1039">
            <v>502228</v>
          </cell>
          <cell r="I1039">
            <v>0</v>
          </cell>
        </row>
        <row r="1040">
          <cell r="B1040" t="str">
            <v>LXIN90</v>
          </cell>
          <cell r="C1040" t="str">
            <v>D2.6042</v>
          </cell>
          <cell r="D1040" t="str">
            <v>Lắp xà</v>
          </cell>
          <cell r="E1040" t="str">
            <v>bộ</v>
          </cell>
          <cell r="H1040">
            <v>502228</v>
          </cell>
        </row>
        <row r="1041">
          <cell r="B1041" t="str">
            <v>LXIN290</v>
          </cell>
          <cell r="C1041" t="str">
            <v>D2.6042</v>
          </cell>
          <cell r="D1041" t="str">
            <v>Lắp xà</v>
          </cell>
          <cell r="E1041" t="str">
            <v>bộ</v>
          </cell>
          <cell r="H1041">
            <v>502228</v>
          </cell>
        </row>
        <row r="1042">
          <cell r="B1042" t="str">
            <v>LXIND</v>
          </cell>
          <cell r="C1042" t="str">
            <v>D2.6042</v>
          </cell>
          <cell r="D1042" t="str">
            <v>Lắp xà</v>
          </cell>
          <cell r="E1042" t="str">
            <v>bộ</v>
          </cell>
          <cell r="H1042">
            <v>502228</v>
          </cell>
        </row>
        <row r="1043">
          <cell r="B1043" t="str">
            <v>LXIN14+2</v>
          </cell>
          <cell r="C1043" t="str">
            <v>D2.6042</v>
          </cell>
          <cell r="D1043" t="str">
            <v>Lắp xà</v>
          </cell>
          <cell r="E1043" t="str">
            <v>bộ</v>
          </cell>
          <cell r="H1043">
            <v>502228</v>
          </cell>
        </row>
        <row r="1044">
          <cell r="B1044" t="str">
            <v>LXHN1</v>
          </cell>
          <cell r="C1044" t="str">
            <v>D2.6054</v>
          </cell>
          <cell r="D1044" t="str">
            <v>Lắp xà cột loại 140kg/xà</v>
          </cell>
          <cell r="E1044" t="str">
            <v>bộ</v>
          </cell>
          <cell r="H1044">
            <v>568054</v>
          </cell>
        </row>
        <row r="1045">
          <cell r="B1045" t="str">
            <v>LXHN2</v>
          </cell>
          <cell r="C1045" t="str">
            <v>D2.6064</v>
          </cell>
          <cell r="D1045" t="str">
            <v>Lắp xà cột Pi loại 230kg/xà</v>
          </cell>
          <cell r="E1045" t="str">
            <v>bộ</v>
          </cell>
          <cell r="H1045">
            <v>811854</v>
          </cell>
        </row>
        <row r="1046">
          <cell r="B1046" t="str">
            <v>LXHN3</v>
          </cell>
          <cell r="C1046" t="str">
            <v>D2.6074</v>
          </cell>
          <cell r="D1046" t="str">
            <v>Lắp xà cột Pi loại 320kg/xà</v>
          </cell>
          <cell r="E1046" t="str">
            <v>bộ</v>
          </cell>
          <cell r="H1046">
            <v>1016646</v>
          </cell>
        </row>
        <row r="1047">
          <cell r="B1047" t="str">
            <v>LXDMBA</v>
          </cell>
          <cell r="C1047" t="str">
            <v>T4.9302</v>
          </cell>
          <cell r="D1047" t="str">
            <v>Lắp xà máy biến áp</v>
          </cell>
          <cell r="E1047" t="str">
            <v>tấn</v>
          </cell>
          <cell r="G1047">
            <v>33354</v>
          </cell>
          <cell r="H1047">
            <v>3027996</v>
          </cell>
        </row>
        <row r="1048">
          <cell r="B1048" t="str">
            <v>P</v>
          </cell>
          <cell r="D1048" t="str">
            <v>Lắp tiếp địa</v>
          </cell>
          <cell r="E1048">
            <v>0</v>
          </cell>
        </row>
        <row r="1049">
          <cell r="B1049" t="str">
            <v>KTD22</v>
          </cell>
          <cell r="C1049" t="str">
            <v>D2.7003</v>
          </cell>
          <cell r="D1049" t="str">
            <v>Kéo rãi và lắp dây tiếp địa</v>
          </cell>
          <cell r="E1049" t="str">
            <v>kg</v>
          </cell>
        </row>
        <row r="1050">
          <cell r="B1050" t="str">
            <v>KTD25</v>
          </cell>
          <cell r="C1050" t="str">
            <v>D2.7101</v>
          </cell>
          <cell r="D1050" t="str">
            <v>Kéo rãi và lắp dây tiếp địa</v>
          </cell>
          <cell r="E1050" t="str">
            <v>kg</v>
          </cell>
          <cell r="G1050">
            <v>32</v>
          </cell>
          <cell r="H1050">
            <v>2438</v>
          </cell>
        </row>
        <row r="1051">
          <cell r="B1051" t="str">
            <v>KTD25-t</v>
          </cell>
          <cell r="C1051" t="str">
            <v>T4.7111</v>
          </cell>
          <cell r="D1051" t="str">
            <v>Kéo rãi và lắp dây tiếp địa trong trạm</v>
          </cell>
          <cell r="E1051" t="str">
            <v>m</v>
          </cell>
          <cell r="G1051">
            <v>331.5</v>
          </cell>
          <cell r="H1051">
            <v>7674.878999999999</v>
          </cell>
          <cell r="I1051">
            <v>2309.8854999999999</v>
          </cell>
        </row>
        <row r="1052">
          <cell r="B1052" t="str">
            <v>ÑOÙNG COÏC TIEÁP ÑÒA, SÔN BAÙO HIEÄN</v>
          </cell>
        </row>
        <row r="1053">
          <cell r="B1053" t="str">
            <v>Q</v>
          </cell>
          <cell r="D1053" t="str">
            <v>Đóng cọc và hàn nối tiếp địa</v>
          </cell>
          <cell r="E1053">
            <v>0</v>
          </cell>
        </row>
        <row r="1054">
          <cell r="B1054" t="str">
            <v>DCTD1</v>
          </cell>
          <cell r="C1054" t="str">
            <v>D2.8101</v>
          </cell>
          <cell r="D1054" t="str">
            <v>Đóng cọc tiếp địa đất cấp 1</v>
          </cell>
          <cell r="E1054" t="str">
            <v>cọc</v>
          </cell>
          <cell r="G1054">
            <v>25987.5</v>
          </cell>
          <cell r="H1054">
            <v>60950</v>
          </cell>
          <cell r="I1054">
            <v>1776.8400000000001</v>
          </cell>
        </row>
        <row r="1055">
          <cell r="B1055" t="str">
            <v>DCTD2</v>
          </cell>
          <cell r="C1055" t="str">
            <v>D2.8102</v>
          </cell>
          <cell r="D1055" t="str">
            <v>Đóng cọc tiếp địa đất cấp 2</v>
          </cell>
          <cell r="E1055" t="str">
            <v>cọc</v>
          </cell>
          <cell r="G1055">
            <v>2625</v>
          </cell>
          <cell r="H1055">
            <v>54611.200000000004</v>
          </cell>
          <cell r="I1055">
            <v>1776.8350000000003</v>
          </cell>
        </row>
        <row r="1056">
          <cell r="B1056" t="str">
            <v>DCTD2-t</v>
          </cell>
          <cell r="C1056" t="str">
            <v>T4.7312</v>
          </cell>
          <cell r="D1056" t="str">
            <v>Đóng cọc tiếp địa trong trạm đất cấp 2</v>
          </cell>
          <cell r="E1056" t="str">
            <v>cọc</v>
          </cell>
          <cell r="G1056">
            <v>0</v>
          </cell>
          <cell r="H1056">
            <v>52930.200000000004</v>
          </cell>
          <cell r="I1056">
            <v>0</v>
          </cell>
        </row>
        <row r="1057">
          <cell r="B1057" t="str">
            <v>DCTD3</v>
          </cell>
          <cell r="C1057" t="str">
            <v>D2.8103</v>
          </cell>
          <cell r="D1057" t="str">
            <v>Đóng cọc tiếp địa đất cấp 3</v>
          </cell>
          <cell r="E1057" t="str">
            <v>cọc</v>
          </cell>
          <cell r="G1057">
            <v>25987.5</v>
          </cell>
          <cell r="H1057">
            <v>106784.4</v>
          </cell>
          <cell r="I1057">
            <v>1776.8400000000001</v>
          </cell>
        </row>
        <row r="1058">
          <cell r="B1058" t="str">
            <v>DCTD4</v>
          </cell>
          <cell r="C1058" t="str">
            <v>D2.8104</v>
          </cell>
          <cell r="D1058" t="str">
            <v>Đóng cọc tiếp địa đất cấp 4</v>
          </cell>
          <cell r="E1058" t="str">
            <v>cọc</v>
          </cell>
          <cell r="G1058">
            <v>25987.5</v>
          </cell>
          <cell r="H1058">
            <v>182850</v>
          </cell>
          <cell r="I1058">
            <v>1776.8400000000001</v>
          </cell>
        </row>
        <row r="1059">
          <cell r="B1059" t="str">
            <v>SÔN</v>
          </cell>
        </row>
        <row r="1060">
          <cell r="B1060" t="str">
            <v>R</v>
          </cell>
          <cell r="D1060" t="str">
            <v>Sơn báo hiệu</v>
          </cell>
          <cell r="E1060">
            <v>0</v>
          </cell>
        </row>
        <row r="1061">
          <cell r="B1061" t="str">
            <v>SON2</v>
          </cell>
          <cell r="C1061" t="str">
            <v>D2.9001</v>
          </cell>
          <cell r="D1061" t="str">
            <v>Sơn biển số và đánh số cột</v>
          </cell>
          <cell r="E1061" t="str">
            <v>m²</v>
          </cell>
        </row>
        <row r="1062">
          <cell r="B1062" t="str">
            <v>SonCBH</v>
          </cell>
          <cell r="C1062" t="str">
            <v>D2.9001</v>
          </cell>
          <cell r="D1062" t="str">
            <v>Sơn cột báo hiệu</v>
          </cell>
          <cell r="E1062" t="str">
            <v>m²</v>
          </cell>
        </row>
        <row r="1063">
          <cell r="B1063" t="str">
            <v>SonBBH</v>
          </cell>
          <cell r="C1063" t="str">
            <v>D2.9001</v>
          </cell>
          <cell r="D1063" t="str">
            <v>Sơn biển báo hiệu</v>
          </cell>
          <cell r="E1063" t="str">
            <v>m²</v>
          </cell>
        </row>
        <row r="1064">
          <cell r="B1064" t="str">
            <v>LAÉP SÖÙ ÑÖÙNG, SÖÙ HAÏ THEÁ, CHUOÃI ÑÔÕ, NEÙO, KHOAÙ ÑÔÕ, KEÏP VAØ PHUÏ KIEÄN</v>
          </cell>
        </row>
        <row r="1065">
          <cell r="B1065" t="str">
            <v>S1</v>
          </cell>
          <cell r="D1065" t="str">
            <v>Lắp đặt sứ đứng</v>
          </cell>
          <cell r="E1065">
            <v>0</v>
          </cell>
        </row>
        <row r="1066">
          <cell r="B1066" t="str">
            <v>LSDtram</v>
          </cell>
          <cell r="C1066" t="str">
            <v>T4.2201</v>
          </cell>
          <cell r="D1066" t="str">
            <v>Lắp sứ đứng 10-35kV cho trạm biến áp</v>
          </cell>
          <cell r="E1066" t="str">
            <v>sứ</v>
          </cell>
          <cell r="G1066">
            <v>2800</v>
          </cell>
          <cell r="H1066">
            <v>60869.73</v>
          </cell>
        </row>
        <row r="1067">
          <cell r="B1067" t="str">
            <v>LSD</v>
          </cell>
          <cell r="C1067" t="str">
            <v>D3.1113</v>
          </cell>
          <cell r="D1067" t="str">
            <v>Lắp sứ đứng 24kV</v>
          </cell>
          <cell r="E1067" t="str">
            <v>sứ</v>
          </cell>
          <cell r="G1067">
            <v>2850</v>
          </cell>
          <cell r="H1067">
            <v>70214.399999999994</v>
          </cell>
        </row>
        <row r="1068">
          <cell r="B1068" t="str">
            <v>LSDo</v>
          </cell>
          <cell r="C1068" t="str">
            <v>D3.2112</v>
          </cell>
          <cell r="D1068" t="str">
            <v>Lắp sứ đỡ 14kV polymer</v>
          </cell>
          <cell r="E1068" t="str">
            <v>sứ</v>
          </cell>
          <cell r="G1068">
            <v>2204</v>
          </cell>
          <cell r="H1068">
            <v>34132</v>
          </cell>
        </row>
        <row r="1069">
          <cell r="B1069" t="str">
            <v>lsd35</v>
          </cell>
          <cell r="C1069" t="str">
            <v>D3.1113</v>
          </cell>
          <cell r="D1069" t="str">
            <v>Lắp sứ đỉnh 35kV</v>
          </cell>
          <cell r="E1069" t="str">
            <v>sứ</v>
          </cell>
          <cell r="G1069">
            <v>2570</v>
          </cell>
          <cell r="H1069">
            <v>70214.399999999994</v>
          </cell>
          <cell r="I1069">
            <v>0</v>
          </cell>
        </row>
        <row r="1070">
          <cell r="B1070" t="str">
            <v>LCSD</v>
          </cell>
          <cell r="C1070" t="str">
            <v>D3.1113</v>
          </cell>
          <cell r="D1070" t="str">
            <v>Lắp chân sứ đỉnh</v>
          </cell>
          <cell r="E1070" t="str">
            <v>cái</v>
          </cell>
          <cell r="G1070">
            <v>2570</v>
          </cell>
          <cell r="H1070">
            <v>70214.399999999994</v>
          </cell>
          <cell r="I1070">
            <v>0</v>
          </cell>
        </row>
        <row r="1071">
          <cell r="B1071" t="str">
            <v>T</v>
          </cell>
          <cell r="D1071" t="str">
            <v>Lắp đặt sứ Hạ áp</v>
          </cell>
          <cell r="E1071">
            <v>0</v>
          </cell>
        </row>
        <row r="1072">
          <cell r="B1072" t="str">
            <v>LSOC</v>
          </cell>
          <cell r="C1072" t="str">
            <v>D3.1211</v>
          </cell>
          <cell r="D1072" t="str">
            <v>Lắp rack sứ + sứ ống chỉ</v>
          </cell>
          <cell r="E1072" t="str">
            <v>bộ</v>
          </cell>
          <cell r="G1072">
            <v>2000</v>
          </cell>
          <cell r="H1072">
            <v>14628</v>
          </cell>
        </row>
        <row r="1073">
          <cell r="B1073" t="str">
            <v>LR2</v>
          </cell>
          <cell r="C1073" t="str">
            <v>D3.1213</v>
          </cell>
          <cell r="D1073" t="str">
            <v>Lắp rack 2 sứ + sứ ống chỉ</v>
          </cell>
          <cell r="E1073" t="str">
            <v>bộ</v>
          </cell>
          <cell r="G1073">
            <v>1830</v>
          </cell>
          <cell r="H1073">
            <v>68264</v>
          </cell>
          <cell r="I1073">
            <v>0</v>
          </cell>
        </row>
        <row r="1074">
          <cell r="B1074" t="str">
            <v>LR3</v>
          </cell>
          <cell r="C1074" t="str">
            <v>D3.1214</v>
          </cell>
          <cell r="D1074" t="str">
            <v>Lắp rack 3 sứ + sứ ống chỉ</v>
          </cell>
          <cell r="E1074" t="str">
            <v>bộ</v>
          </cell>
          <cell r="G1074">
            <v>3250</v>
          </cell>
          <cell r="H1074">
            <v>95082</v>
          </cell>
        </row>
        <row r="1075">
          <cell r="B1075" t="str">
            <v>LR4</v>
          </cell>
          <cell r="C1075" t="str">
            <v>D3.1215</v>
          </cell>
          <cell r="D1075" t="str">
            <v>Lắp rack 4 sứ + sứ ống chỉ</v>
          </cell>
          <cell r="E1075" t="str">
            <v>bộ</v>
          </cell>
          <cell r="G1075">
            <v>2785</v>
          </cell>
          <cell r="H1075">
            <v>134090</v>
          </cell>
          <cell r="I1075">
            <v>0</v>
          </cell>
        </row>
        <row r="1076">
          <cell r="B1076" t="str">
            <v>V</v>
          </cell>
          <cell r="D1076" t="str">
            <v>Lắp đặt chuỗi đỡ dây dẫn</v>
          </cell>
          <cell r="E1076">
            <v>0</v>
          </cell>
        </row>
        <row r="1077">
          <cell r="B1077" t="str">
            <v>LCHSD</v>
          </cell>
          <cell r="C1077" t="str">
            <v>D3.1411</v>
          </cell>
          <cell r="D1077" t="str">
            <v>Lắp chuỗi sứ đỡ  ≤ 2 bát</v>
          </cell>
          <cell r="E1077" t="str">
            <v>chuỗi</v>
          </cell>
          <cell r="G1077">
            <v>1830</v>
          </cell>
          <cell r="H1077">
            <v>47637.2</v>
          </cell>
          <cell r="I1077">
            <v>0</v>
          </cell>
        </row>
        <row r="1078">
          <cell r="B1078" t="str">
            <v>LCHSD1</v>
          </cell>
          <cell r="C1078" t="str">
            <v>D3.1412</v>
          </cell>
          <cell r="D1078" t="str">
            <v>Lắp chuỗi sứ đỡ 3 bát</v>
          </cell>
          <cell r="E1078" t="str">
            <v>chuỗi</v>
          </cell>
          <cell r="G1078">
            <v>2785</v>
          </cell>
          <cell r="H1078">
            <v>105860.4</v>
          </cell>
          <cell r="I1078">
            <v>0</v>
          </cell>
        </row>
        <row r="1079">
          <cell r="B1079" t="str">
            <v>U</v>
          </cell>
          <cell r="D1079" t="str">
            <v>Lắp đặt chuỗi néo dây dẫn</v>
          </cell>
          <cell r="E1079">
            <v>0</v>
          </cell>
        </row>
        <row r="1080">
          <cell r="B1080" t="str">
            <v>LCHSNp</v>
          </cell>
          <cell r="C1080" t="str">
            <v>D3.2411</v>
          </cell>
          <cell r="D1080" t="str">
            <v>Lắp chuỗi sứ néo Polymer</v>
          </cell>
          <cell r="E1080" t="str">
            <v>chuỗi</v>
          </cell>
          <cell r="G1080">
            <v>3250</v>
          </cell>
          <cell r="H1080">
            <v>66692.051999999996</v>
          </cell>
        </row>
        <row r="1081">
          <cell r="B1081" t="str">
            <v>LCHSN</v>
          </cell>
          <cell r="C1081" t="str">
            <v>D3.1711</v>
          </cell>
          <cell r="D1081" t="str">
            <v>Lắp chuỗi sứ néo ≤ 2 bát</v>
          </cell>
          <cell r="E1081" t="str">
            <v>chuỗi</v>
          </cell>
          <cell r="G1081">
            <v>2000</v>
          </cell>
          <cell r="H1081">
            <v>50283.69</v>
          </cell>
          <cell r="I1081">
            <v>0</v>
          </cell>
        </row>
        <row r="1082">
          <cell r="B1082" t="str">
            <v>LCHSN3</v>
          </cell>
          <cell r="C1082" t="str">
            <v>D3.1712</v>
          </cell>
          <cell r="D1082" t="str">
            <v>Lắp chuỗi sứ néo 3 bát</v>
          </cell>
          <cell r="E1082" t="str">
            <v>chuỗi</v>
          </cell>
          <cell r="G1082">
            <v>2785</v>
          </cell>
          <cell r="H1082">
            <v>119093</v>
          </cell>
          <cell r="I1082">
            <v>0</v>
          </cell>
        </row>
        <row r="1083">
          <cell r="B1083" t="str">
            <v>W</v>
          </cell>
          <cell r="D1083" t="str">
            <v>Lắp đặt phụ kiện</v>
          </cell>
          <cell r="E1083">
            <v>0</v>
          </cell>
        </row>
        <row r="1084">
          <cell r="B1084" t="str">
            <v>LGFCO</v>
          </cell>
          <cell r="C1084" t="str">
            <v>D2.6011</v>
          </cell>
          <cell r="D1084" t="str">
            <v>Lắp giá đỡ FCO</v>
          </cell>
          <cell r="E1084" t="str">
            <v>bộ</v>
          </cell>
          <cell r="G1084">
            <v>0</v>
          </cell>
          <cell r="H1084">
            <v>124338</v>
          </cell>
          <cell r="I1084">
            <v>0</v>
          </cell>
        </row>
        <row r="1085">
          <cell r="B1085" t="str">
            <v>LBNH</v>
          </cell>
          <cell r="C1085" t="str">
            <v>D3.3201</v>
          </cell>
          <cell r="D1085" t="str">
            <v>Lắp biển cấm , biển số thứ tự</v>
          </cell>
          <cell r="E1085" t="str">
            <v>cái</v>
          </cell>
          <cell r="G1085">
            <v>1830</v>
          </cell>
          <cell r="H1085">
            <v>3413.2</v>
          </cell>
          <cell r="I1085">
            <v>9348.1</v>
          </cell>
        </row>
        <row r="1086">
          <cell r="B1086" t="str">
            <v>LA18DD</v>
          </cell>
          <cell r="C1086" t="str">
            <v>D3.3221</v>
          </cell>
          <cell r="D1086" t="str">
            <v>Lắp chống sét van 18kV</v>
          </cell>
          <cell r="E1086" t="str">
            <v>bộ</v>
          </cell>
        </row>
        <row r="1087">
          <cell r="B1087" t="str">
            <v>LA21DD</v>
          </cell>
          <cell r="C1087" t="str">
            <v>D3.3221</v>
          </cell>
          <cell r="D1087" t="str">
            <v>Lắp chống sét van 21kV</v>
          </cell>
          <cell r="E1087" t="str">
            <v>bộ</v>
          </cell>
        </row>
        <row r="1088">
          <cell r="B1088" t="str">
            <v>XLCD</v>
          </cell>
          <cell r="C1088" t="str">
            <v>D3.4241</v>
          </cell>
          <cell r="D1088" t="str">
            <v>Lắp Côdê</v>
          </cell>
          <cell r="E1088" t="str">
            <v>bộ</v>
          </cell>
          <cell r="G1088">
            <v>0</v>
          </cell>
          <cell r="H1088">
            <v>92627.849999999991</v>
          </cell>
          <cell r="I1088">
            <v>0</v>
          </cell>
        </row>
        <row r="1089">
          <cell r="B1089" t="str">
            <v>LDN</v>
          </cell>
          <cell r="C1089" t="str">
            <v>D3.3251</v>
          </cell>
          <cell r="D1089" t="str">
            <v>Lắp bộ dây néo</v>
          </cell>
          <cell r="E1089" t="str">
            <v>bộ</v>
          </cell>
        </row>
        <row r="1090">
          <cell r="B1090" t="str">
            <v>X1</v>
          </cell>
          <cell r="D1090" t="str">
            <v>Lắp ép nối dây</v>
          </cell>
          <cell r="E1090">
            <v>0</v>
          </cell>
        </row>
        <row r="1091">
          <cell r="B1091" t="str">
            <v>LON50</v>
          </cell>
          <cell r="C1091" t="str">
            <v>D3.4011</v>
          </cell>
          <cell r="D1091" t="str">
            <v>Tiết diện dây 50mm²</v>
          </cell>
          <cell r="E1091" t="str">
            <v>mối</v>
          </cell>
          <cell r="G1091">
            <v>0</v>
          </cell>
          <cell r="H1091">
            <v>95274.4</v>
          </cell>
          <cell r="I1091">
            <v>0</v>
          </cell>
        </row>
        <row r="1092">
          <cell r="B1092" t="str">
            <v>LON70</v>
          </cell>
          <cell r="C1092" t="str">
            <v>D3.4011</v>
          </cell>
          <cell r="D1092" t="str">
            <v>Tiết diện dây 70mm²</v>
          </cell>
          <cell r="E1092" t="str">
            <v>mối</v>
          </cell>
          <cell r="G1092">
            <v>0</v>
          </cell>
          <cell r="H1092">
            <v>95274.4</v>
          </cell>
          <cell r="I1092">
            <v>0</v>
          </cell>
        </row>
        <row r="1093">
          <cell r="B1093" t="str">
            <v>LON95</v>
          </cell>
          <cell r="C1093" t="str">
            <v>D3.4011</v>
          </cell>
          <cell r="D1093" t="str">
            <v>Tiết diện dây 95mm²</v>
          </cell>
          <cell r="E1093" t="str">
            <v>mối</v>
          </cell>
          <cell r="G1093">
            <v>0</v>
          </cell>
          <cell r="H1093">
            <v>95274.4</v>
          </cell>
          <cell r="I1093">
            <v>0</v>
          </cell>
        </row>
        <row r="1094">
          <cell r="B1094" t="str">
            <v>LON120</v>
          </cell>
          <cell r="C1094" t="str">
            <v>D3.4011</v>
          </cell>
          <cell r="D1094" t="str">
            <v>Tiết diện dây 120mm²</v>
          </cell>
          <cell r="E1094" t="str">
            <v>mối</v>
          </cell>
          <cell r="G1094">
            <v>0</v>
          </cell>
          <cell r="H1094">
            <v>95274.4</v>
          </cell>
          <cell r="I1094">
            <v>0</v>
          </cell>
        </row>
        <row r="1095">
          <cell r="B1095" t="str">
            <v>LON150</v>
          </cell>
          <cell r="C1095" t="str">
            <v>D3.4012</v>
          </cell>
          <cell r="D1095" t="str">
            <v>Tiết diện dây 150mm²</v>
          </cell>
          <cell r="E1095" t="str">
            <v>mối</v>
          </cell>
          <cell r="G1095">
            <v>0</v>
          </cell>
          <cell r="H1095">
            <v>100567.4</v>
          </cell>
          <cell r="I1095">
            <v>0</v>
          </cell>
        </row>
        <row r="1096">
          <cell r="B1096" t="str">
            <v>LON185</v>
          </cell>
          <cell r="C1096" t="str">
            <v>D3.4013</v>
          </cell>
          <cell r="D1096" t="str">
            <v>Tiết diện dây 185mm²</v>
          </cell>
          <cell r="E1096" t="str">
            <v>mối</v>
          </cell>
          <cell r="G1096">
            <v>0</v>
          </cell>
          <cell r="H1096">
            <v>113799.9</v>
          </cell>
          <cell r="I1096">
            <v>0</v>
          </cell>
        </row>
        <row r="1097">
          <cell r="B1097" t="str">
            <v>LON240</v>
          </cell>
          <cell r="C1097" t="str">
            <v>D3.4014</v>
          </cell>
          <cell r="D1097" t="str">
            <v>Tiết diện dây 240mm²</v>
          </cell>
          <cell r="E1097" t="str">
            <v>mối</v>
          </cell>
          <cell r="G1097">
            <v>0</v>
          </cell>
          <cell r="H1097">
            <v>129679</v>
          </cell>
          <cell r="I1097">
            <v>0</v>
          </cell>
        </row>
        <row r="1098">
          <cell r="B1098" t="str">
            <v>X2</v>
          </cell>
          <cell r="D1098" t="str">
            <v>Lắp đầu ép</v>
          </cell>
          <cell r="E1098">
            <v>0</v>
          </cell>
        </row>
        <row r="1099">
          <cell r="B1099" t="str">
            <v>COSE50T</v>
          </cell>
          <cell r="C1099" t="str">
            <v>D4.5002</v>
          </cell>
          <cell r="D1099" t="str">
            <v>Đầu cosse 50mm²</v>
          </cell>
          <cell r="E1099" t="str">
            <v>cái</v>
          </cell>
          <cell r="G1099">
            <v>0</v>
          </cell>
          <cell r="H1099">
            <v>8061.45</v>
          </cell>
          <cell r="I1099">
            <v>2041.1299999999999</v>
          </cell>
        </row>
        <row r="1100">
          <cell r="B1100" t="str">
            <v>COSE70T</v>
          </cell>
          <cell r="C1100" t="str">
            <v>D4.5003</v>
          </cell>
          <cell r="D1100" t="str">
            <v>Đầu cosse 70mm²</v>
          </cell>
          <cell r="E1100" t="str">
            <v>cái</v>
          </cell>
          <cell r="G1100">
            <v>0</v>
          </cell>
          <cell r="H1100">
            <v>15835</v>
          </cell>
          <cell r="I1100">
            <v>2449.35</v>
          </cell>
        </row>
        <row r="1101">
          <cell r="B1101" t="str">
            <v>COSE95T</v>
          </cell>
          <cell r="C1101" t="str">
            <v>D4.5004</v>
          </cell>
          <cell r="D1101" t="str">
            <v>Đầu cosse 95mm²</v>
          </cell>
          <cell r="E1101" t="str">
            <v>cái</v>
          </cell>
          <cell r="G1101">
            <v>0</v>
          </cell>
          <cell r="H1101">
            <v>20153.629999999997</v>
          </cell>
          <cell r="I1101">
            <v>2449.35</v>
          </cell>
        </row>
        <row r="1102">
          <cell r="B1102" t="str">
            <v>COSE120T</v>
          </cell>
          <cell r="C1102" t="str">
            <v>D4.5005</v>
          </cell>
          <cell r="D1102" t="str">
            <v>Ðầu Cosse ép + Bulông bắt dây 120mm²</v>
          </cell>
          <cell r="E1102" t="str">
            <v>cái</v>
          </cell>
          <cell r="G1102">
            <v>0</v>
          </cell>
          <cell r="H1102">
            <v>25911.81</v>
          </cell>
          <cell r="I1102">
            <v>2857.58</v>
          </cell>
        </row>
        <row r="1103">
          <cell r="B1103" t="str">
            <v>COSE150T</v>
          </cell>
          <cell r="C1103" t="str">
            <v>D4.5006</v>
          </cell>
          <cell r="D1103" t="str">
            <v>Ðầu Cosse ép + Bulông bắt dây 150mm²</v>
          </cell>
          <cell r="E1103" t="str">
            <v>cái</v>
          </cell>
          <cell r="G1103">
            <v>0</v>
          </cell>
          <cell r="H1103">
            <v>31669.99</v>
          </cell>
          <cell r="I1103">
            <v>3265.8</v>
          </cell>
        </row>
        <row r="1104">
          <cell r="B1104" t="str">
            <v>COSE185T</v>
          </cell>
          <cell r="C1104" t="str">
            <v>D4.5007</v>
          </cell>
          <cell r="D1104" t="str">
            <v>Ðầu Cosse ép + Bulông bắt dây 185mm²</v>
          </cell>
          <cell r="E1104" t="str">
            <v>cái</v>
          </cell>
          <cell r="G1104">
            <v>0</v>
          </cell>
          <cell r="H1104">
            <v>38003.990000000005</v>
          </cell>
          <cell r="I1104">
            <v>3674.03</v>
          </cell>
        </row>
        <row r="1105">
          <cell r="B1105" t="str">
            <v>COSE240T</v>
          </cell>
          <cell r="C1105" t="str">
            <v>D4.5008</v>
          </cell>
          <cell r="D1105" t="str">
            <v>Ðầu Cosse ép + Bulông bắt dây 240mm²</v>
          </cell>
          <cell r="E1105" t="str">
            <v>cái</v>
          </cell>
          <cell r="G1105">
            <v>0</v>
          </cell>
          <cell r="H1105">
            <v>47504.990000000005</v>
          </cell>
          <cell r="I1105">
            <v>4082.2599999999998</v>
          </cell>
        </row>
        <row r="1106">
          <cell r="B1106" t="str">
            <v>Y</v>
          </cell>
          <cell r="D1106" t="str">
            <v>Lắp khoá đỡ</v>
          </cell>
          <cell r="E1106">
            <v>0</v>
          </cell>
        </row>
        <row r="1107">
          <cell r="B1107" t="str">
            <v>LKD50</v>
          </cell>
          <cell r="C1107" t="str">
            <v>D3.3261</v>
          </cell>
          <cell r="D1107" t="str">
            <v>Tiết diện dây 50mm²</v>
          </cell>
          <cell r="E1107" t="str">
            <v>mối</v>
          </cell>
        </row>
        <row r="1108">
          <cell r="B1108" t="str">
            <v>LKD70</v>
          </cell>
          <cell r="C1108" t="str">
            <v>D3.3271</v>
          </cell>
          <cell r="D1108" t="str">
            <v>Tiết diện dây 70mm²</v>
          </cell>
          <cell r="E1108" t="str">
            <v>mối</v>
          </cell>
        </row>
        <row r="1109">
          <cell r="B1109" t="str">
            <v>LKD95</v>
          </cell>
          <cell r="C1109" t="str">
            <v>D3.3271</v>
          </cell>
          <cell r="D1109" t="str">
            <v>Tiết diện dây 95mm²</v>
          </cell>
          <cell r="E1109" t="str">
            <v>mối</v>
          </cell>
        </row>
        <row r="1110">
          <cell r="B1110" t="str">
            <v>LKD120</v>
          </cell>
          <cell r="C1110" t="str">
            <v>D3.3271</v>
          </cell>
          <cell r="D1110" t="str">
            <v>Tiết diện dây 120mm²</v>
          </cell>
          <cell r="E1110" t="str">
            <v>mối</v>
          </cell>
        </row>
        <row r="1111">
          <cell r="B1111" t="str">
            <v>LKD150</v>
          </cell>
          <cell r="C1111" t="str">
            <v>D3.3271</v>
          </cell>
          <cell r="D1111" t="str">
            <v>Tiết diện dây 150mm²</v>
          </cell>
          <cell r="E1111" t="str">
            <v>mối</v>
          </cell>
        </row>
        <row r="1112">
          <cell r="B1112" t="str">
            <v>LKD185</v>
          </cell>
          <cell r="C1112" t="str">
            <v>D3.3271</v>
          </cell>
          <cell r="D1112" t="str">
            <v>Tiết diện dây 185mm²</v>
          </cell>
          <cell r="E1112" t="str">
            <v>mối</v>
          </cell>
        </row>
        <row r="1113">
          <cell r="B1113" t="str">
            <v>LKD240</v>
          </cell>
          <cell r="C1113" t="str">
            <v>D3.3271</v>
          </cell>
          <cell r="D1113" t="str">
            <v>Tiết diện dây 240mm²</v>
          </cell>
          <cell r="E1113" t="str">
            <v>mối</v>
          </cell>
        </row>
        <row r="1114">
          <cell r="B1114" t="str">
            <v>Y</v>
          </cell>
          <cell r="D1114" t="str">
            <v>Lắp khoá néo</v>
          </cell>
          <cell r="E1114">
            <v>0</v>
          </cell>
        </row>
        <row r="1115">
          <cell r="B1115" t="str">
            <v>LKN50</v>
          </cell>
          <cell r="C1115" t="str">
            <v>D3.3261</v>
          </cell>
          <cell r="D1115" t="str">
            <v>Tiết diện dây 50mm²</v>
          </cell>
          <cell r="E1115" t="str">
            <v>mối</v>
          </cell>
        </row>
        <row r="1116">
          <cell r="B1116" t="str">
            <v>LKN70</v>
          </cell>
          <cell r="C1116" t="str">
            <v>D3.3271</v>
          </cell>
          <cell r="D1116" t="str">
            <v>Tiết diện dây 70mm²</v>
          </cell>
          <cell r="E1116" t="str">
            <v>mối</v>
          </cell>
        </row>
        <row r="1117">
          <cell r="B1117" t="str">
            <v>LKN95</v>
          </cell>
          <cell r="C1117" t="str">
            <v>D3.3271</v>
          </cell>
          <cell r="D1117" t="str">
            <v>Tiết diện dây 95mm²</v>
          </cell>
          <cell r="E1117" t="str">
            <v>mối</v>
          </cell>
        </row>
        <row r="1118">
          <cell r="B1118" t="str">
            <v>LKN120</v>
          </cell>
          <cell r="C1118" t="str">
            <v>D3.3271</v>
          </cell>
          <cell r="D1118" t="str">
            <v>Tiết diện dây 120mm²</v>
          </cell>
          <cell r="E1118" t="str">
            <v>mối</v>
          </cell>
        </row>
        <row r="1119">
          <cell r="B1119" t="str">
            <v>LKN150</v>
          </cell>
          <cell r="C1119" t="str">
            <v>D3.3271</v>
          </cell>
          <cell r="D1119" t="str">
            <v>Tiết diện dây 150mm²</v>
          </cell>
          <cell r="E1119" t="str">
            <v>mối</v>
          </cell>
        </row>
        <row r="1120">
          <cell r="B1120" t="str">
            <v>LKN185</v>
          </cell>
          <cell r="C1120" t="str">
            <v>D3.3271</v>
          </cell>
          <cell r="D1120" t="str">
            <v>Tiết diện dây 185mm²</v>
          </cell>
          <cell r="E1120" t="str">
            <v>mối</v>
          </cell>
        </row>
        <row r="1121">
          <cell r="B1121" t="str">
            <v>LKN240</v>
          </cell>
          <cell r="C1121" t="str">
            <v>D3.3271</v>
          </cell>
          <cell r="D1121" t="str">
            <v>Tiết diện dây 240mm²</v>
          </cell>
          <cell r="E1121" t="str">
            <v>mối</v>
          </cell>
        </row>
        <row r="1122">
          <cell r="B1122" t="str">
            <v>KEÙO DAÂY VÖÔÏT CHÖÔÙNG NGAÏI VAÄT</v>
          </cell>
        </row>
        <row r="1123">
          <cell r="B1123" t="str">
            <v>Z</v>
          </cell>
          <cell r="D1123" t="str">
            <v>Vượt đường dây thông tin, hạ áp</v>
          </cell>
          <cell r="E1123">
            <v>0</v>
          </cell>
        </row>
        <row r="1124">
          <cell r="B1124" t="str">
            <v>KDVDDTT1</v>
          </cell>
          <cell r="C1124" t="str">
            <v>D3.5011</v>
          </cell>
          <cell r="D1124" t="str">
            <v>Kéo dây vượt đường dây thông tin, hạ áp (tiết diện dây ≤ 50mm²)</v>
          </cell>
          <cell r="E1124" t="str">
            <v>vị trí</v>
          </cell>
          <cell r="G1124">
            <v>91000</v>
          </cell>
          <cell r="H1124">
            <v>1103682.1000000001</v>
          </cell>
          <cell r="I1124">
            <v>0</v>
          </cell>
        </row>
        <row r="1125">
          <cell r="B1125" t="str">
            <v>KDVDDTT2</v>
          </cell>
          <cell r="C1125" t="str">
            <v>D3.5012</v>
          </cell>
          <cell r="D1125" t="str">
            <v>Kéo dây vượt đường dây thông tin, hạ áp (tiết diện dây ≤ 95mm²)</v>
          </cell>
          <cell r="E1125" t="str">
            <v>vị trí</v>
          </cell>
          <cell r="G1125">
            <v>126000</v>
          </cell>
          <cell r="H1125">
            <v>1280358.5</v>
          </cell>
          <cell r="I1125">
            <v>0</v>
          </cell>
        </row>
        <row r="1126">
          <cell r="B1126" t="str">
            <v>KDVDDTT3</v>
          </cell>
          <cell r="C1126" t="str">
            <v>D3.5013</v>
          </cell>
          <cell r="D1126" t="str">
            <v>Kéo dây vượt đường dây thông tin, hạ áp (tiết diện dây ≤ 150mm²)</v>
          </cell>
          <cell r="E1126" t="str">
            <v>vị trí</v>
          </cell>
          <cell r="G1126">
            <v>162000</v>
          </cell>
          <cell r="H1126">
            <v>1799481.8</v>
          </cell>
          <cell r="I1126">
            <v>0</v>
          </cell>
        </row>
        <row r="1127">
          <cell r="B1127" t="str">
            <v>KDVDDTT4</v>
          </cell>
          <cell r="C1127" t="str">
            <v>D3.5014</v>
          </cell>
          <cell r="D1127" t="str">
            <v>Kéo dây vượt đường dây thông tin, hạ áp (tiết diện dây ≤ 95mm²)</v>
          </cell>
          <cell r="E1127" t="str">
            <v>vị trí</v>
          </cell>
          <cell r="G1127">
            <v>195000</v>
          </cell>
          <cell r="H1127">
            <v>2021963.1</v>
          </cell>
          <cell r="I1127">
            <v>0</v>
          </cell>
        </row>
        <row r="1128">
          <cell r="B1128" t="str">
            <v>Z</v>
          </cell>
          <cell r="D1128" t="str">
            <v>Vượt đường dây ≤35kV</v>
          </cell>
          <cell r="E1128">
            <v>0</v>
          </cell>
        </row>
        <row r="1129">
          <cell r="B1129" t="str">
            <v>KDVDD351</v>
          </cell>
          <cell r="C1129" t="str">
            <v>D3.5021</v>
          </cell>
          <cell r="D1129" t="str">
            <v>Kéo dây vượt đường dây ≤ 35kV (tiết diện dây ≤ 50mm²)</v>
          </cell>
          <cell r="E1129" t="str">
            <v>vị trí</v>
          </cell>
          <cell r="G1129">
            <v>144000</v>
          </cell>
          <cell r="H1129">
            <v>1487571.6</v>
          </cell>
          <cell r="I1129">
            <v>0</v>
          </cell>
        </row>
        <row r="1130">
          <cell r="B1130" t="str">
            <v>KDVDD352</v>
          </cell>
          <cell r="C1130" t="str">
            <v>D3.5022</v>
          </cell>
          <cell r="D1130" t="str">
            <v>Kéo dây vượt đường dây ≤ 35kV (tiết diện dây ≤ 95mm²)</v>
          </cell>
          <cell r="E1130" t="str">
            <v>vị trí</v>
          </cell>
          <cell r="G1130">
            <v>180000</v>
          </cell>
          <cell r="H1130">
            <v>1712234.2</v>
          </cell>
          <cell r="I1130">
            <v>0</v>
          </cell>
        </row>
        <row r="1131">
          <cell r="B1131" t="str">
            <v>KDVDD353</v>
          </cell>
          <cell r="C1131" t="str">
            <v>D3.5023</v>
          </cell>
          <cell r="D1131" t="str">
            <v>Kéo dây vượt đường dây ≤ 35kV (tiết diện dây ≤ 150mm²)</v>
          </cell>
          <cell r="E1131" t="str">
            <v>vị trí</v>
          </cell>
          <cell r="G1131">
            <v>212000</v>
          </cell>
          <cell r="H1131">
            <v>2096123.6</v>
          </cell>
          <cell r="I1131">
            <v>0</v>
          </cell>
        </row>
        <row r="1132">
          <cell r="B1132" t="str">
            <v>KDVDD354</v>
          </cell>
          <cell r="C1132" t="str">
            <v>D3.5024</v>
          </cell>
          <cell r="D1132" t="str">
            <v>Kéo dây vượt đường dây ≤ 35kV (tiết diện dây ≤ 240mm²)</v>
          </cell>
          <cell r="E1132" t="str">
            <v>vị trí</v>
          </cell>
          <cell r="G1132">
            <v>270000</v>
          </cell>
          <cell r="H1132">
            <v>2344779.2999999998</v>
          </cell>
          <cell r="I1132">
            <v>0</v>
          </cell>
        </row>
        <row r="1133">
          <cell r="B1133" t="str">
            <v>Z</v>
          </cell>
          <cell r="D1133" t="str">
            <v>Vượt đường dây ≤110kV</v>
          </cell>
          <cell r="E1133">
            <v>0</v>
          </cell>
        </row>
        <row r="1134">
          <cell r="B1134" t="str">
            <v>KDVDD1101</v>
          </cell>
          <cell r="C1134" t="str">
            <v>D3.5033</v>
          </cell>
          <cell r="D1134" t="str">
            <v>Kéo dây vượt đường dây ≤ 110kV (tiết diện dây ≤ 150mm²)</v>
          </cell>
          <cell r="E1134" t="str">
            <v>vị trí</v>
          </cell>
          <cell r="G1134">
            <v>267000</v>
          </cell>
          <cell r="H1134">
            <v>4473620.7</v>
          </cell>
          <cell r="I1134">
            <v>0</v>
          </cell>
        </row>
        <row r="1135">
          <cell r="B1135" t="str">
            <v>KDVDD1102</v>
          </cell>
          <cell r="C1135" t="str">
            <v>D3.5034</v>
          </cell>
          <cell r="D1135" t="str">
            <v>Kéo dây vượt đường dây ≤ 110kV (tiết diện dây ≤ 240mm²)</v>
          </cell>
          <cell r="E1135" t="str">
            <v>vị trí</v>
          </cell>
          <cell r="G1135">
            <v>324000</v>
          </cell>
          <cell r="H1135">
            <v>5027643</v>
          </cell>
          <cell r="I1135">
            <v>0</v>
          </cell>
        </row>
        <row r="1136">
          <cell r="B1136" t="str">
            <v>Z</v>
          </cell>
          <cell r="D1136" t="str">
            <v>Vượt đường ôto ≤5m, đường sắt, nhà dân cao &gt;7m</v>
          </cell>
          <cell r="E1136">
            <v>0</v>
          </cell>
        </row>
        <row r="1137">
          <cell r="B1137" t="str">
            <v>KDVDDOS1</v>
          </cell>
          <cell r="C1137" t="str">
            <v>D3.5061</v>
          </cell>
          <cell r="D1137" t="str">
            <v>Kéo dây vượt đường ôtô ≤ 5m, đường sắt (tiết diện dây ≤ 50mm²)</v>
          </cell>
          <cell r="E1137" t="str">
            <v>vị trí</v>
          </cell>
          <cell r="G1137">
            <v>180000</v>
          </cell>
          <cell r="H1137">
            <v>1771126.3</v>
          </cell>
          <cell r="I1137">
            <v>0</v>
          </cell>
        </row>
        <row r="1138">
          <cell r="B1138" t="str">
            <v>KDVDDOS2</v>
          </cell>
          <cell r="C1138" t="str">
            <v>D3.5062</v>
          </cell>
          <cell r="D1138" t="str">
            <v>Kéo dây vượt đường ôtô ≤ 5m, đường sắt (tiết diện dây ≤ 95mm²)</v>
          </cell>
          <cell r="E1138" t="str">
            <v>vị trí</v>
          </cell>
          <cell r="G1138">
            <v>247800</v>
          </cell>
          <cell r="H1138">
            <v>2240082.1</v>
          </cell>
          <cell r="I1138">
            <v>0</v>
          </cell>
        </row>
        <row r="1139">
          <cell r="B1139" t="str">
            <v>KDVDDOS3</v>
          </cell>
          <cell r="C1139" t="str">
            <v>D3.5063</v>
          </cell>
          <cell r="D1139" t="str">
            <v>Kéo dây vượt đường ôtô ≤ 5m, đường sắt (tiết diện dây ≤ 150mm²)</v>
          </cell>
          <cell r="E1139" t="str">
            <v>vị trí</v>
          </cell>
          <cell r="G1139">
            <v>315000</v>
          </cell>
          <cell r="H1139">
            <v>2739574.6</v>
          </cell>
          <cell r="I1139">
            <v>0</v>
          </cell>
        </row>
        <row r="1140">
          <cell r="B1140" t="str">
            <v>KDVDDOS4</v>
          </cell>
          <cell r="C1140" t="str">
            <v>D3.5064</v>
          </cell>
          <cell r="D1140" t="str">
            <v>Kéo dây vượt đường ôtô ≤ 5m, đường sắt (tiết diện dây ≤ 240mm²)</v>
          </cell>
          <cell r="E1140" t="str">
            <v>vị trí</v>
          </cell>
          <cell r="G1140">
            <v>394000</v>
          </cell>
          <cell r="H1140">
            <v>3077659.1</v>
          </cell>
          <cell r="I1140">
            <v>0</v>
          </cell>
        </row>
        <row r="1141">
          <cell r="B1141" t="str">
            <v>Z</v>
          </cell>
          <cell r="D1141" t="str">
            <v>Vượt đường giao thông ≤10m</v>
          </cell>
          <cell r="E1141">
            <v>0</v>
          </cell>
        </row>
        <row r="1142">
          <cell r="B1142" t="str">
            <v>KDVDDGT1</v>
          </cell>
          <cell r="C1142" t="str">
            <v>D3.5061</v>
          </cell>
          <cell r="D1142" t="str">
            <v>Kéo dây vượt đường giao thông ≤ 10m (tiết diện dây ≤ 50mm²)</v>
          </cell>
          <cell r="E1142" t="str">
            <v>vị trí</v>
          </cell>
          <cell r="G1142">
            <v>180000</v>
          </cell>
          <cell r="H1142">
            <v>1771126.3</v>
          </cell>
          <cell r="I1142">
            <v>0</v>
          </cell>
        </row>
        <row r="1143">
          <cell r="B1143" t="str">
            <v>KDVDDGT2</v>
          </cell>
          <cell r="C1143" t="str">
            <v>D3.5062</v>
          </cell>
          <cell r="D1143" t="str">
            <v>Kéo dây vượt đường giao thông ≤ 10m (tiết diện dây ≤ 95mm²)</v>
          </cell>
          <cell r="E1143" t="str">
            <v>vị trí</v>
          </cell>
          <cell r="G1143">
            <v>247800</v>
          </cell>
          <cell r="H1143">
            <v>2240082.1</v>
          </cell>
          <cell r="I1143">
            <v>0</v>
          </cell>
        </row>
        <row r="1144">
          <cell r="B1144" t="str">
            <v>KDVDDGT3</v>
          </cell>
          <cell r="C1144" t="str">
            <v>D3.5063</v>
          </cell>
          <cell r="D1144" t="str">
            <v>Kéo dây vượt đường giao thông ≤ 10m (tiết diện dây ≤ 150mm²)</v>
          </cell>
          <cell r="E1144" t="str">
            <v>vị trí</v>
          </cell>
          <cell r="G1144">
            <v>315000</v>
          </cell>
          <cell r="H1144">
            <v>2739574.6</v>
          </cell>
          <cell r="I1144">
            <v>0</v>
          </cell>
        </row>
        <row r="1145">
          <cell r="B1145" t="str">
            <v>KDVDDGT4</v>
          </cell>
          <cell r="C1145" t="str">
            <v>D3.5064</v>
          </cell>
          <cell r="D1145" t="str">
            <v>Kéo dây vượt đường giao thông ≤ 10m (tiết diện dây ≤ 240mm²)</v>
          </cell>
          <cell r="E1145" t="str">
            <v>vị trí</v>
          </cell>
          <cell r="G1145">
            <v>394000</v>
          </cell>
          <cell r="H1145">
            <v>3077659.1</v>
          </cell>
          <cell r="I1145">
            <v>0</v>
          </cell>
        </row>
        <row r="1146">
          <cell r="B1146" t="str">
            <v>Z</v>
          </cell>
          <cell r="D1146" t="str">
            <v>Vượt đường giao thông ≥ 10m</v>
          </cell>
          <cell r="E1146">
            <v>0</v>
          </cell>
        </row>
        <row r="1147">
          <cell r="B1147" t="str">
            <v>KDVDDS1</v>
          </cell>
          <cell r="C1147" t="str">
            <v>D3.5071</v>
          </cell>
          <cell r="D1147" t="str">
            <v>Kéo dây vượt đường giao thông ≥ 10m (tiết diện dây ≤ 50mm²)</v>
          </cell>
          <cell r="E1147" t="str">
            <v>vị trí</v>
          </cell>
          <cell r="G1147">
            <v>210000</v>
          </cell>
          <cell r="H1147">
            <v>2028506.7</v>
          </cell>
          <cell r="I1147">
            <v>0</v>
          </cell>
        </row>
        <row r="1148">
          <cell r="B1148" t="str">
            <v>KDVDDS2</v>
          </cell>
          <cell r="C1148" t="str">
            <v>D3.5072</v>
          </cell>
          <cell r="D1148" t="str">
            <v>Kéo dây vượt đường giao thông ≥ 10m (tiết diện dây ≤ 95mm²)</v>
          </cell>
          <cell r="E1148" t="str">
            <v>vị trí</v>
          </cell>
          <cell r="G1148">
            <v>299800</v>
          </cell>
          <cell r="H1148">
            <v>2682863.7000000002</v>
          </cell>
          <cell r="I1148">
            <v>0</v>
          </cell>
        </row>
        <row r="1149">
          <cell r="B1149" t="str">
            <v>KDVDDS3</v>
          </cell>
          <cell r="C1149" t="str">
            <v>D3.5073</v>
          </cell>
          <cell r="D1149" t="str">
            <v>Kéo dây vượt đường giao thông ≥ 10m (tiết diện dây ≤ 150mm²)</v>
          </cell>
          <cell r="E1149" t="str">
            <v>vị trí</v>
          </cell>
          <cell r="G1149">
            <v>394000</v>
          </cell>
          <cell r="H1149">
            <v>3282691</v>
          </cell>
          <cell r="I1149">
            <v>0</v>
          </cell>
        </row>
        <row r="1150">
          <cell r="B1150" t="str">
            <v>KDVDDS4</v>
          </cell>
          <cell r="C1150" t="str">
            <v>D3.5074</v>
          </cell>
          <cell r="D1150" t="str">
            <v>Kéo dây vượt đường giao thông ≥ 10m (tiết diện dây ≤ 240mm²)</v>
          </cell>
          <cell r="E1150" t="str">
            <v>vị trí</v>
          </cell>
          <cell r="G1150">
            <v>458000</v>
          </cell>
          <cell r="H1150">
            <v>3688392.3</v>
          </cell>
          <cell r="I1150">
            <v>0</v>
          </cell>
        </row>
        <row r="1151">
          <cell r="B1151" t="str">
            <v>Z1</v>
          </cell>
          <cell r="D1151" t="str">
            <v>Kéo rãi căng dây qua vị trí bẻ góc</v>
          </cell>
          <cell r="E1151">
            <v>0</v>
          </cell>
        </row>
        <row r="1152">
          <cell r="B1152" t="str">
            <v>KDQG1</v>
          </cell>
          <cell r="C1152" t="str">
            <v>D3.5081</v>
          </cell>
          <cell r="D1152" t="str">
            <v>Kéo dây qua vị trí bẻ góc dây ≤ 50mm²</v>
          </cell>
          <cell r="E1152" t="str">
            <v>vị trí</v>
          </cell>
          <cell r="G1152">
            <v>0</v>
          </cell>
          <cell r="H1152">
            <v>436238</v>
          </cell>
          <cell r="I1152">
            <v>0</v>
          </cell>
        </row>
        <row r="1153">
          <cell r="B1153" t="str">
            <v>KDQG2</v>
          </cell>
          <cell r="C1153" t="str">
            <v>D3.5082</v>
          </cell>
          <cell r="D1153" t="str">
            <v>Kéo dây qua vị trí bẻ góc dây ≤ 95mm²</v>
          </cell>
          <cell r="E1153" t="str">
            <v>vị trí</v>
          </cell>
          <cell r="G1153">
            <v>0</v>
          </cell>
          <cell r="H1153">
            <v>872476</v>
          </cell>
          <cell r="I1153">
            <v>0</v>
          </cell>
        </row>
        <row r="1154">
          <cell r="B1154" t="str">
            <v>KDQG3</v>
          </cell>
          <cell r="C1154" t="str">
            <v>D3.5083</v>
          </cell>
          <cell r="D1154" t="str">
            <v>Kéo dây qua vị trí bẻ góc dây ≤ 150mm²</v>
          </cell>
          <cell r="E1154" t="str">
            <v>vị trí</v>
          </cell>
          <cell r="G1154">
            <v>0</v>
          </cell>
          <cell r="H1154">
            <v>1103682.1000000001</v>
          </cell>
          <cell r="I1154">
            <v>0</v>
          </cell>
        </row>
        <row r="1155">
          <cell r="B1155" t="str">
            <v>KDQG4</v>
          </cell>
          <cell r="C1155" t="str">
            <v>D3.5084</v>
          </cell>
          <cell r="D1155" t="str">
            <v>Kéo dây qua vị trí bẻ góc dây ≤ 240mm²</v>
          </cell>
          <cell r="E1155" t="str">
            <v>vị trí</v>
          </cell>
          <cell r="G1155">
            <v>0</v>
          </cell>
          <cell r="H1155">
            <v>1140762.3999999999</v>
          </cell>
          <cell r="I1155">
            <v>0</v>
          </cell>
        </row>
        <row r="1156">
          <cell r="B1156" t="str">
            <v>Z2</v>
          </cell>
          <cell r="D1156" t="str">
            <v>Kéo dây vượt sông</v>
          </cell>
          <cell r="E1156">
            <v>0</v>
          </cell>
        </row>
        <row r="1157">
          <cell r="B1157" t="str">
            <v>KDQS1</v>
          </cell>
          <cell r="C1157" t="str">
            <v>TT</v>
          </cell>
          <cell r="D1157" t="str">
            <v>Kéo dây vượt sông bề rộng ≤ 300, dây ≤ 95mm²</v>
          </cell>
          <cell r="E1157" t="str">
            <v>vị trí</v>
          </cell>
          <cell r="H1157">
            <v>3000000</v>
          </cell>
        </row>
        <row r="1158">
          <cell r="B1158" t="str">
            <v>KDQS2</v>
          </cell>
          <cell r="C1158" t="str">
            <v>TT</v>
          </cell>
          <cell r="D1158" t="str">
            <v>Kéo dây vượt sông bề rộng ≤ 300, dây ≤ 150mm²</v>
          </cell>
          <cell r="E1158" t="str">
            <v>vị trí</v>
          </cell>
          <cell r="H1158">
            <v>3500000</v>
          </cell>
        </row>
        <row r="1159">
          <cell r="B1159" t="str">
            <v>KDQS3</v>
          </cell>
          <cell r="C1159" t="str">
            <v>TT</v>
          </cell>
          <cell r="D1159" t="str">
            <v>Kéo dây vượt sông bề rộng ≤ 300, dây ≤ 240mm²</v>
          </cell>
          <cell r="E1159" t="str">
            <v>vị trí</v>
          </cell>
          <cell r="H1159">
            <v>4000000</v>
          </cell>
        </row>
        <row r="1160">
          <cell r="B1160" t="str">
            <v>RAÛI CAÊNG DAÂY LAÁY ÑOÄ VOÕNG</v>
          </cell>
        </row>
        <row r="1161">
          <cell r="B1161" t="str">
            <v>Z33</v>
          </cell>
          <cell r="D1161" t="str">
            <v>Dây đồng trần :</v>
          </cell>
          <cell r="E1161">
            <v>0</v>
          </cell>
        </row>
        <row r="1162">
          <cell r="B1162" t="str">
            <v>KDM22</v>
          </cell>
          <cell r="C1162" t="str">
            <v>D3.6241</v>
          </cell>
          <cell r="D1162" t="str">
            <v>Kéo dây đồng trần 22mm²</v>
          </cell>
          <cell r="E1162" t="str">
            <v>km</v>
          </cell>
          <cell r="G1162">
            <v>39400</v>
          </cell>
          <cell r="H1162">
            <v>2763926.4</v>
          </cell>
          <cell r="I1162">
            <v>137619.4</v>
          </cell>
        </row>
        <row r="1163">
          <cell r="B1163" t="str">
            <v>KDM25</v>
          </cell>
          <cell r="C1163" t="str">
            <v>D3.6241</v>
          </cell>
          <cell r="D1163" t="str">
            <v>Kéo dây đồng trần 25mm²</v>
          </cell>
          <cell r="E1163" t="str">
            <v>km</v>
          </cell>
          <cell r="G1163">
            <v>39400</v>
          </cell>
          <cell r="H1163">
            <v>2763926.4</v>
          </cell>
          <cell r="I1163">
            <v>137619.4</v>
          </cell>
        </row>
        <row r="1164">
          <cell r="B1164" t="str">
            <v>KDM35</v>
          </cell>
          <cell r="C1164" t="str">
            <v>D3.6241</v>
          </cell>
          <cell r="D1164" t="str">
            <v>Kéo dây đồng trần 35mm²</v>
          </cell>
          <cell r="E1164" t="str">
            <v>km</v>
          </cell>
          <cell r="G1164">
            <v>39400</v>
          </cell>
          <cell r="H1164">
            <v>2763926.4</v>
          </cell>
          <cell r="I1164">
            <v>137619.4</v>
          </cell>
        </row>
        <row r="1165">
          <cell r="B1165" t="str">
            <v>KDM48</v>
          </cell>
          <cell r="C1165" t="str">
            <v>D3.6241</v>
          </cell>
          <cell r="D1165" t="str">
            <v>Kéo dây đồng trần 48mm²</v>
          </cell>
          <cell r="E1165" t="str">
            <v>km</v>
          </cell>
          <cell r="G1165">
            <v>39400</v>
          </cell>
          <cell r="H1165">
            <v>2763926.4</v>
          </cell>
          <cell r="I1165">
            <v>137619.4</v>
          </cell>
        </row>
        <row r="1166">
          <cell r="B1166" t="str">
            <v>KDM50</v>
          </cell>
          <cell r="C1166" t="str">
            <v>D3.6241</v>
          </cell>
          <cell r="D1166" t="str">
            <v>Kéo dây đồng trần 50mm²</v>
          </cell>
          <cell r="E1166" t="str">
            <v>km</v>
          </cell>
          <cell r="G1166">
            <v>39400</v>
          </cell>
          <cell r="H1166">
            <v>2763926.4</v>
          </cell>
          <cell r="I1166">
            <v>137619.4</v>
          </cell>
        </row>
        <row r="1167">
          <cell r="B1167" t="str">
            <v>KDM70</v>
          </cell>
          <cell r="C1167" t="str">
            <v>D3.6241</v>
          </cell>
          <cell r="D1167" t="str">
            <v>Kéo dây đồng trần 70mm²</v>
          </cell>
          <cell r="E1167" t="str">
            <v>km</v>
          </cell>
          <cell r="G1167">
            <v>39400</v>
          </cell>
          <cell r="H1167">
            <v>2763926.4</v>
          </cell>
          <cell r="I1167">
            <v>137619.4</v>
          </cell>
        </row>
        <row r="1168">
          <cell r="B1168" t="str">
            <v>KDM95</v>
          </cell>
          <cell r="C1168" t="str">
            <v>D3.6242</v>
          </cell>
          <cell r="D1168" t="str">
            <v>Kéo dây đồng trần 95mm²</v>
          </cell>
          <cell r="E1168" t="str">
            <v>km</v>
          </cell>
          <cell r="G1168">
            <v>55000</v>
          </cell>
          <cell r="H1168">
            <v>3158361.7</v>
          </cell>
          <cell r="I1168">
            <v>185808</v>
          </cell>
        </row>
        <row r="1169">
          <cell r="B1169" t="str">
            <v>Z35</v>
          </cell>
          <cell r="D1169" t="str">
            <v>Dây đồng bọc</v>
          </cell>
          <cell r="E1169">
            <v>0</v>
          </cell>
        </row>
        <row r="1170">
          <cell r="B1170" t="str">
            <v>KDM35B</v>
          </cell>
          <cell r="C1170" t="str">
            <v>D3.6241</v>
          </cell>
          <cell r="D1170" t="str">
            <v>Kéo dây đồng bọc 35mm²</v>
          </cell>
          <cell r="E1170" t="str">
            <v>mét</v>
          </cell>
          <cell r="G1170">
            <v>39.4</v>
          </cell>
          <cell r="H1170">
            <v>2763.9263999999998</v>
          </cell>
          <cell r="I1170">
            <v>137.61939999999998</v>
          </cell>
        </row>
        <row r="1171">
          <cell r="B1171" t="str">
            <v>KDM50B</v>
          </cell>
          <cell r="C1171" t="str">
            <v>D3.6241</v>
          </cell>
          <cell r="D1171" t="str">
            <v>Kéo dây đồng bọc 50mm²</v>
          </cell>
          <cell r="E1171" t="str">
            <v>mét</v>
          </cell>
          <cell r="G1171">
            <v>39.4</v>
          </cell>
          <cell r="H1171">
            <v>2763.9263999999998</v>
          </cell>
          <cell r="I1171">
            <v>137.61939999999998</v>
          </cell>
        </row>
        <row r="1172">
          <cell r="B1172" t="str">
            <v>KDM70B</v>
          </cell>
          <cell r="C1172" t="str">
            <v>D3.6241</v>
          </cell>
          <cell r="D1172" t="str">
            <v>Kéo dây đồng bọc 70mm²</v>
          </cell>
          <cell r="E1172" t="str">
            <v>mét</v>
          </cell>
          <cell r="G1172">
            <v>39.4</v>
          </cell>
          <cell r="H1172">
            <v>2763.9263999999998</v>
          </cell>
          <cell r="I1172">
            <v>137.61939999999998</v>
          </cell>
        </row>
        <row r="1173">
          <cell r="B1173" t="str">
            <v>KDM95B</v>
          </cell>
          <cell r="C1173" t="str">
            <v>D3.6242</v>
          </cell>
          <cell r="D1173" t="str">
            <v>Kéo dây đồng bọc 95mm²</v>
          </cell>
          <cell r="E1173" t="str">
            <v>mét</v>
          </cell>
          <cell r="G1173">
            <v>55</v>
          </cell>
          <cell r="H1173">
            <v>3158.3617000000004</v>
          </cell>
          <cell r="I1173">
            <v>185.80799999999999</v>
          </cell>
        </row>
        <row r="1174">
          <cell r="B1174" t="str">
            <v>KDM120B</v>
          </cell>
          <cell r="C1174" t="str">
            <v>D3.6243</v>
          </cell>
          <cell r="D1174" t="str">
            <v>Kéo dây đồng bọc 120mm²</v>
          </cell>
          <cell r="E1174" t="str">
            <v>mét</v>
          </cell>
          <cell r="G1174">
            <v>55</v>
          </cell>
          <cell r="H1174">
            <v>3552.7971000000002</v>
          </cell>
          <cell r="I1174">
            <v>185.80799999999999</v>
          </cell>
        </row>
        <row r="1175">
          <cell r="B1175" t="str">
            <v>KDM150B</v>
          </cell>
          <cell r="C1175" t="str">
            <v>D3.6244</v>
          </cell>
          <cell r="D1175" t="str">
            <v>Kéo dây đồng bọc 150mm²</v>
          </cell>
          <cell r="E1175" t="str">
            <v>mét</v>
          </cell>
          <cell r="G1175">
            <v>62</v>
          </cell>
          <cell r="H1175">
            <v>4027.8469</v>
          </cell>
          <cell r="I1175">
            <v>241.88759999999999</v>
          </cell>
        </row>
        <row r="1176">
          <cell r="B1176" t="str">
            <v>KDM185B</v>
          </cell>
          <cell r="C1176" t="str">
            <v>D3.6245</v>
          </cell>
          <cell r="D1176" t="str">
            <v>Kéo dây đồng bọc 185mm²</v>
          </cell>
          <cell r="E1176" t="str">
            <v>mét</v>
          </cell>
          <cell r="G1176">
            <v>37.200000000000003</v>
          </cell>
          <cell r="H1176">
            <v>4577.7530999999999</v>
          </cell>
          <cell r="I1176">
            <v>326.6087</v>
          </cell>
        </row>
        <row r="1177">
          <cell r="B1177" t="str">
            <v>KDM240B</v>
          </cell>
          <cell r="C1177" t="str">
            <v>D3.6245</v>
          </cell>
          <cell r="D1177" t="str">
            <v>Kéo dây đồng bọc 240mm²</v>
          </cell>
          <cell r="E1177" t="str">
            <v>mét</v>
          </cell>
          <cell r="G1177">
            <v>37.200000000000003</v>
          </cell>
          <cell r="H1177">
            <v>4577.7530999999999</v>
          </cell>
          <cell r="I1177">
            <v>326.6087</v>
          </cell>
        </row>
        <row r="1178">
          <cell r="B1178" t="str">
            <v>Z109</v>
          </cell>
          <cell r="D1178" t="str">
            <v>Cáp ngầm</v>
          </cell>
        </row>
        <row r="1179">
          <cell r="B1179" t="str">
            <v>KCU/XLPE185</v>
          </cell>
          <cell r="C1179" t="str">
            <v>D4.2109</v>
          </cell>
          <cell r="D1179" t="str">
            <v xml:space="preserve"> Kéo rải cáp ngầm 3 pha trong ống bảo vệ - CXV(CRV)/Sehh-DSTA-3x185mm²-24kV</v>
          </cell>
          <cell r="E1179" t="str">
            <v>mét</v>
          </cell>
          <cell r="G1179">
            <v>458</v>
          </cell>
          <cell r="H1179">
            <v>28176.106</v>
          </cell>
          <cell r="I1179">
            <v>0</v>
          </cell>
          <cell r="J1179" t="str">
            <v>ĐM285 / 100</v>
          </cell>
        </row>
        <row r="1180">
          <cell r="B1180" t="str">
            <v>KCU/XLPE70</v>
          </cell>
          <cell r="C1180" t="str">
            <v>D4.2106</v>
          </cell>
          <cell r="D1180" t="str">
            <v xml:space="preserve"> Kéo rải cáp ngầm 3 pha trong ống bảo vệ - CXV(CRV)/Sehh-DSTA-3x70mm²-24kV</v>
          </cell>
          <cell r="E1180" t="str">
            <v>mét</v>
          </cell>
          <cell r="G1180">
            <v>415</v>
          </cell>
          <cell r="H1180">
            <v>13685.537</v>
          </cell>
          <cell r="I1180">
            <v>0</v>
          </cell>
          <cell r="J1180" t="str">
            <v>ĐM285 / 100</v>
          </cell>
        </row>
        <row r="1181">
          <cell r="B1181" t="str">
            <v>KCU/XLPE120</v>
          </cell>
          <cell r="C1181" t="str">
            <v>D4.2108</v>
          </cell>
          <cell r="D1181" t="str">
            <v xml:space="preserve"> Kéo rải cáp ngầm 3 pha trong ống bảo vệ - CXV(CRV)/Sehh-DSTA-3x120mm²-24kV</v>
          </cell>
          <cell r="E1181" t="str">
            <v>mét</v>
          </cell>
          <cell r="G1181">
            <v>458</v>
          </cell>
          <cell r="H1181">
            <v>22588.240000000002</v>
          </cell>
          <cell r="I1181">
            <v>0</v>
          </cell>
          <cell r="J1181" t="str">
            <v>ĐM285 / 100</v>
          </cell>
        </row>
        <row r="1182">
          <cell r="B1182" t="str">
            <v>KCU/XLPE240</v>
          </cell>
          <cell r="C1182" t="str">
            <v>D4.2110</v>
          </cell>
          <cell r="D1182" t="str">
            <v xml:space="preserve"> Kéo rải cáp ngầm 3 pha trong ống bảo vệ - CXV(CRV)/Sehh-DSTA-3x240mm²-24kV</v>
          </cell>
          <cell r="E1182" t="str">
            <v>mét</v>
          </cell>
          <cell r="G1182">
            <v>544</v>
          </cell>
          <cell r="H1182">
            <v>31585.652000000002</v>
          </cell>
          <cell r="I1182">
            <v>0</v>
          </cell>
          <cell r="J1182" t="str">
            <v>ĐM285 / 100</v>
          </cell>
        </row>
        <row r="1183">
          <cell r="B1183" t="str">
            <v>KCU/XLPE240-1</v>
          </cell>
          <cell r="C1183" t="str">
            <v>D4.2110</v>
          </cell>
          <cell r="D1183" t="str">
            <v xml:space="preserve"> Kéo rải cáp ngầm 1 pha trong ống bảo vệ - CXV(CRV)/Sehh-DATA-240mm²-24kV</v>
          </cell>
          <cell r="E1183" t="str">
            <v>mét</v>
          </cell>
          <cell r="G1183">
            <v>544</v>
          </cell>
          <cell r="H1183">
            <v>35304.442999999999</v>
          </cell>
          <cell r="I1183">
            <v>0</v>
          </cell>
          <cell r="J1183" t="str">
            <v>ĐM285 / 100</v>
          </cell>
        </row>
        <row r="1184">
          <cell r="B1184" t="str">
            <v>KCU/XLPE300</v>
          </cell>
          <cell r="C1184" t="str">
            <v>D4.2111</v>
          </cell>
          <cell r="D1184" t="str">
            <v xml:space="preserve"> Kéo rải cáp ngầm 3 pha trong ống bảo vệ  - CXV(CRV)/Sehh-DSTA-3x300mm²-24kV  </v>
          </cell>
          <cell r="E1184" t="str">
            <v>mét</v>
          </cell>
          <cell r="G1184">
            <v>559</v>
          </cell>
          <cell r="H1184">
            <v>41032.934000000001</v>
          </cell>
          <cell r="I1184">
            <v>0</v>
          </cell>
          <cell r="J1184" t="str">
            <v>"</v>
          </cell>
        </row>
        <row r="1185">
          <cell r="B1185" t="str">
            <v>z100</v>
          </cell>
          <cell r="D1185" t="str">
            <v>Dây nhôm lõi thép bọc</v>
          </cell>
        </row>
        <row r="1186">
          <cell r="B1186" t="str">
            <v>KXLPE50CT</v>
          </cell>
          <cell r="C1186" t="str">
            <v>D3.6211</v>
          </cell>
          <cell r="D1186" t="str">
            <v>Kéo rải căng dây lấy độ võng dây nhôm lõi thép chống thấm cách điện XLPE ACXH- 24KV-50mm²</v>
          </cell>
          <cell r="E1186" t="str">
            <v>km</v>
          </cell>
          <cell r="G1186">
            <v>40497.600000000006</v>
          </cell>
          <cell r="H1186">
            <v>2764790.1270000003</v>
          </cell>
          <cell r="I1186">
            <v>143610.99500000002</v>
          </cell>
          <cell r="J1186" t="str">
            <v>ĐM285 / 1000</v>
          </cell>
        </row>
        <row r="1187">
          <cell r="B1187" t="str">
            <v>KXLPE50CT(tc)</v>
          </cell>
          <cell r="C1187" t="str">
            <v>D3.6114</v>
          </cell>
          <cell r="D1187" t="str">
            <v>Kéo rải căng dây lấp độ võng dây nhôm lõi thép chống thấm cách điện  ACXH/WB-24KV-50mm²(Thủ công)</v>
          </cell>
          <cell r="E1187" t="str">
            <v>km</v>
          </cell>
          <cell r="G1187">
            <v>0</v>
          </cell>
          <cell r="H1187">
            <v>4252941.5999999996</v>
          </cell>
          <cell r="J1187" t="str">
            <v>ĐM285 / 1000</v>
          </cell>
        </row>
        <row r="1188">
          <cell r="B1188" t="str">
            <v>KXLPE70CT</v>
          </cell>
          <cell r="C1188" t="str">
            <v>D3.6211</v>
          </cell>
          <cell r="D1188" t="str">
            <v>Kéo rải căng dây lấp độ võng dây nhôm lõi thép chống thấm cách điện XLPE ACX/WB- 24KV-70mm²</v>
          </cell>
          <cell r="E1188" t="str">
            <v>km</v>
          </cell>
          <cell r="G1188">
            <v>40497.600000000006</v>
          </cell>
          <cell r="H1188">
            <v>2764790.1270000003</v>
          </cell>
          <cell r="I1188">
            <v>143610.99500000002</v>
          </cell>
          <cell r="J1188" t="str">
            <v>"</v>
          </cell>
        </row>
        <row r="1189">
          <cell r="B1189" t="str">
            <v>KXLPE95CT</v>
          </cell>
          <cell r="C1189" t="str">
            <v>D3.6212</v>
          </cell>
          <cell r="D1189" t="str">
            <v>Kéo rải căng dây lấy độ võng dây nhôm lõi thép chống thấm cách điện XLPE ACXH- 24KV-95mm²</v>
          </cell>
          <cell r="E1189" t="str">
            <v>km</v>
          </cell>
          <cell r="G1189">
            <v>55108.9</v>
          </cell>
          <cell r="H1189">
            <v>3157498.003</v>
          </cell>
          <cell r="I1189">
            <v>194259.23</v>
          </cell>
          <cell r="J1189" t="str">
            <v>"</v>
          </cell>
        </row>
        <row r="1190">
          <cell r="B1190" t="str">
            <v>KXLPE120CT</v>
          </cell>
          <cell r="C1190" t="str">
            <v>D3.6213</v>
          </cell>
          <cell r="D1190" t="str">
            <v>Kéo rải căng dây lấy độ võng dây nhôm lõi thép chống thấm cách điện XLPE ACXH- 24KV-120mm²</v>
          </cell>
          <cell r="E1190" t="str">
            <v>km</v>
          </cell>
          <cell r="G1190">
            <v>55108.9</v>
          </cell>
          <cell r="H1190">
            <v>3556539.8770000008</v>
          </cell>
          <cell r="I1190">
            <v>194259.23</v>
          </cell>
          <cell r="J1190" t="str">
            <v>"</v>
          </cell>
        </row>
        <row r="1191">
          <cell r="B1191" t="str">
            <v>KXLPE150CT</v>
          </cell>
          <cell r="C1191" t="str">
            <v>D3.6214</v>
          </cell>
          <cell r="D1191" t="str">
            <v>Kéo rải căng dây lấy độ võng dây nhôm lõi thép chống thấm cách điện XLPE ACX/WB- 24KV-150mm²</v>
          </cell>
          <cell r="E1191" t="str">
            <v>km</v>
          </cell>
          <cell r="G1191">
            <v>62000</v>
          </cell>
          <cell r="H1191">
            <v>3662202.5</v>
          </cell>
          <cell r="I1191">
            <v>230219.3</v>
          </cell>
          <cell r="J1191" t="str">
            <v>"</v>
          </cell>
        </row>
        <row r="1192">
          <cell r="B1192" t="str">
            <v>KXLPE185CT</v>
          </cell>
          <cell r="C1192" t="str">
            <v>D3.6215</v>
          </cell>
          <cell r="D1192" t="str">
            <v>Kéo rải căng dây lấy độ võng dây nhôm lõi thép chống thấm cách điện XLPE ACXH- 24KV-185mm²</v>
          </cell>
          <cell r="E1192" t="str">
            <v>km</v>
          </cell>
          <cell r="G1192">
            <v>37200</v>
          </cell>
          <cell r="H1192">
            <v>4166043.2</v>
          </cell>
          <cell r="I1192">
            <v>311055.90000000002</v>
          </cell>
          <cell r="J1192" t="str">
            <v>"</v>
          </cell>
        </row>
        <row r="1193">
          <cell r="B1193" t="str">
            <v>KXLPE240CT</v>
          </cell>
          <cell r="C1193" t="str">
            <v>D3.6251</v>
          </cell>
          <cell r="D1193" t="str">
            <v>Kéo rải căng dây lấy độ võng dây nhôm lõi thép chống thấm cách điện XLPE ACX/WB- 24KV-240mm²</v>
          </cell>
          <cell r="E1193" t="str">
            <v>km</v>
          </cell>
          <cell r="G1193">
            <v>48800</v>
          </cell>
          <cell r="H1193">
            <v>4954913.9000000004</v>
          </cell>
          <cell r="I1193">
            <v>401117.9</v>
          </cell>
          <cell r="J1193" t="str">
            <v>"</v>
          </cell>
        </row>
        <row r="1194">
          <cell r="B1194" t="str">
            <v>z103</v>
          </cell>
          <cell r="D1194" t="str">
            <v>Dây nhôm lõi thép (cho khu vực nhiễm mặn)</v>
          </cell>
        </row>
        <row r="1195">
          <cell r="B1195" t="str">
            <v>KAC.A50</v>
          </cell>
          <cell r="C1195" t="str">
            <v>D3.6211</v>
          </cell>
          <cell r="D1195" t="str">
            <v>Kéo rải căng dây lấy độ võng dây dẫn nhôm lõi thép trần AC.A-50/8</v>
          </cell>
          <cell r="E1195" t="str">
            <v>km</v>
          </cell>
          <cell r="G1195">
            <v>39400</v>
          </cell>
          <cell r="H1195">
            <v>2513445.6</v>
          </cell>
          <cell r="I1195">
            <v>130555.5</v>
          </cell>
          <cell r="J1195" t="str">
            <v>ĐM285/KLR/1000</v>
          </cell>
        </row>
        <row r="1196">
          <cell r="B1196" t="str">
            <v>KAC.A70</v>
          </cell>
          <cell r="C1196" t="str">
            <v>D3.6211</v>
          </cell>
          <cell r="D1196" t="str">
            <v>Kéo rải căng dây lấy độ võng dây dẫn nhôm lõi thép trần AC.A-70/11</v>
          </cell>
          <cell r="E1196" t="str">
            <v>km</v>
          </cell>
          <cell r="G1196">
            <v>39400</v>
          </cell>
          <cell r="H1196">
            <v>2513445.6</v>
          </cell>
          <cell r="I1196">
            <v>130555.5</v>
          </cell>
          <cell r="J1196" t="str">
            <v>"</v>
          </cell>
        </row>
        <row r="1197">
          <cell r="B1197" t="str">
            <v>KAC.A95</v>
          </cell>
          <cell r="C1197" t="str">
            <v>D3.6212</v>
          </cell>
          <cell r="D1197" t="str">
            <v>Kéo rải căng dây lấy độ võng dây dẫn nhôm lõi thép trần AC.A-95/16</v>
          </cell>
          <cell r="E1197" t="str">
            <v>km</v>
          </cell>
          <cell r="G1197">
            <v>55000</v>
          </cell>
          <cell r="H1197">
            <v>2870452.7</v>
          </cell>
          <cell r="I1197">
            <v>176599.3</v>
          </cell>
          <cell r="J1197" t="str">
            <v>"</v>
          </cell>
        </row>
        <row r="1198">
          <cell r="B1198" t="str">
            <v>KAC.A120</v>
          </cell>
          <cell r="C1198" t="str">
            <v>D3.6213</v>
          </cell>
          <cell r="D1198" t="str">
            <v>Kéo rải căng dây lấy độ võng dây dẫn nhôm lõi thép trần AC.A-120/27</v>
          </cell>
          <cell r="E1198" t="str">
            <v>km</v>
          </cell>
          <cell r="G1198">
            <v>55000</v>
          </cell>
          <cell r="H1198">
            <v>3233218.1</v>
          </cell>
          <cell r="I1198">
            <v>176599.3</v>
          </cell>
          <cell r="J1198" t="str">
            <v>"</v>
          </cell>
        </row>
        <row r="1199">
          <cell r="B1199" t="str">
            <v>KACKP35</v>
          </cell>
          <cell r="C1199" t="str">
            <v>D3.6211</v>
          </cell>
          <cell r="D1199" t="str">
            <v>Kéo rải căng dây lấy độ võng dây dẫn nhôm lõi thép trần ACKP-35/6,2</v>
          </cell>
          <cell r="E1199" t="str">
            <v>km</v>
          </cell>
          <cell r="G1199">
            <v>39400</v>
          </cell>
          <cell r="H1199">
            <v>2513445.6</v>
          </cell>
          <cell r="I1199">
            <v>130555.5</v>
          </cell>
          <cell r="J1199" t="str">
            <v>ĐM285/KLR/1000</v>
          </cell>
        </row>
        <row r="1200">
          <cell r="B1200" t="str">
            <v>KACKP50</v>
          </cell>
          <cell r="C1200" t="str">
            <v>D3.6211</v>
          </cell>
          <cell r="D1200" t="str">
            <v>Kéo rải căng dây lấy độ võng dây dẫn nhôm lõi thép trần ACKP-50/8</v>
          </cell>
          <cell r="E1200" t="str">
            <v>km</v>
          </cell>
          <cell r="G1200">
            <v>39400</v>
          </cell>
          <cell r="H1200">
            <v>2513445.6</v>
          </cell>
          <cell r="I1200">
            <v>130555.5</v>
          </cell>
          <cell r="J1200" t="str">
            <v>ĐM285/KLR/1000</v>
          </cell>
        </row>
        <row r="1201">
          <cell r="B1201" t="str">
            <v>KAsXV70</v>
          </cell>
          <cell r="C1201" t="str">
            <v>D3.6221</v>
          </cell>
          <cell r="D1201" t="str">
            <v>Kéo rải căng dây lấy độ võng dây dẫn nhôm lõi thép bọc AsV70/11</v>
          </cell>
          <cell r="E1201" t="str">
            <v>km</v>
          </cell>
          <cell r="G1201">
            <v>39400</v>
          </cell>
          <cell r="H1201">
            <v>2386765.6</v>
          </cell>
          <cell r="I1201">
            <v>119831.5</v>
          </cell>
          <cell r="J1201" t="str">
            <v>"</v>
          </cell>
        </row>
        <row r="1202">
          <cell r="B1202" t="str">
            <v>KAsXV95</v>
          </cell>
          <cell r="C1202" t="str">
            <v>D3.6222</v>
          </cell>
          <cell r="D1202" t="str">
            <v>Kéo rải căng dây lấy độ võng dây dẫn nhôm lõi thép bọc AsV95/16</v>
          </cell>
          <cell r="E1202" t="str">
            <v>km</v>
          </cell>
          <cell r="G1202">
            <v>55000</v>
          </cell>
          <cell r="H1202">
            <v>2726498.2</v>
          </cell>
          <cell r="I1202">
            <v>162727.4</v>
          </cell>
          <cell r="J1202" t="str">
            <v>"</v>
          </cell>
        </row>
        <row r="1203">
          <cell r="B1203" t="str">
            <v>KACKP70</v>
          </cell>
          <cell r="C1203" t="str">
            <v>D3.6211</v>
          </cell>
          <cell r="D1203" t="str">
            <v>Kéo rải căng dây lấy độ võng dây dẫn nhôm lõi thép trần ACKP-70/11</v>
          </cell>
          <cell r="E1203" t="str">
            <v>km</v>
          </cell>
          <cell r="G1203">
            <v>39400</v>
          </cell>
          <cell r="H1203">
            <v>2513445.6</v>
          </cell>
          <cell r="I1203">
            <v>130555.5</v>
          </cell>
          <cell r="J1203" t="str">
            <v>"</v>
          </cell>
        </row>
        <row r="1204">
          <cell r="B1204" t="str">
            <v>KACKP95</v>
          </cell>
          <cell r="C1204" t="str">
            <v>D3.6212</v>
          </cell>
          <cell r="D1204" t="str">
            <v>Kéo rải căng dây lấy độ võng dây dẫn nhôm lõi thép trần ACKP-95/16</v>
          </cell>
          <cell r="E1204" t="str">
            <v>km</v>
          </cell>
          <cell r="G1204">
            <v>55000</v>
          </cell>
          <cell r="H1204">
            <v>2870452.7</v>
          </cell>
          <cell r="I1204">
            <v>176599.3</v>
          </cell>
          <cell r="J1204" t="str">
            <v>"</v>
          </cell>
        </row>
        <row r="1205">
          <cell r="B1205" t="str">
            <v>KACKP120</v>
          </cell>
          <cell r="C1205" t="str">
            <v>D3.6213</v>
          </cell>
          <cell r="D1205" t="str">
            <v>Kéo rải căng dây lấy độ võng dây dẫn nhôm lõi thép trần ACKP-120/27</v>
          </cell>
          <cell r="E1205" t="str">
            <v>km</v>
          </cell>
          <cell r="G1205">
            <v>55000</v>
          </cell>
          <cell r="H1205">
            <v>3233218.1</v>
          </cell>
          <cell r="I1205">
            <v>176599.3</v>
          </cell>
          <cell r="J1205" t="str">
            <v>"</v>
          </cell>
        </row>
        <row r="1206">
          <cell r="B1206" t="str">
            <v>KACKP150</v>
          </cell>
          <cell r="C1206" t="str">
            <v>D3.6214</v>
          </cell>
          <cell r="D1206" t="str">
            <v>Kéo rải căng dây lấy độ võng dây dẫn nhôm lõi thép trần ACKP-150</v>
          </cell>
          <cell r="E1206" t="str">
            <v>km</v>
          </cell>
          <cell r="G1206">
            <v>62000</v>
          </cell>
          <cell r="H1206">
            <v>3662202.5</v>
          </cell>
          <cell r="I1206">
            <v>230219.3</v>
          </cell>
          <cell r="J1206" t="str">
            <v>"</v>
          </cell>
        </row>
        <row r="1207">
          <cell r="B1207" t="str">
            <v>KAC.A150</v>
          </cell>
          <cell r="C1207" t="str">
            <v>D3.6214</v>
          </cell>
          <cell r="D1207" t="str">
            <v>Kéo rải căng dây lấy độ võng dây dẫn nhôm lõi thép trần AC.A-150/24</v>
          </cell>
          <cell r="E1207" t="str">
            <v>km</v>
          </cell>
          <cell r="G1207">
            <v>62000</v>
          </cell>
          <cell r="H1207">
            <v>3662202.5</v>
          </cell>
          <cell r="I1207">
            <v>230219.3</v>
          </cell>
          <cell r="J1207" t="str">
            <v>"</v>
          </cell>
        </row>
        <row r="1208">
          <cell r="B1208" t="str">
            <v>KAC.A185</v>
          </cell>
          <cell r="C1208" t="str">
            <v>D3.6215</v>
          </cell>
          <cell r="D1208" t="str">
            <v>Kéo rải căng dây lấy độ võng dây dẫn nhôm lõi thép trần AC.A-185/24</v>
          </cell>
          <cell r="E1208" t="str">
            <v>km</v>
          </cell>
          <cell r="G1208">
            <v>37200</v>
          </cell>
          <cell r="H1208">
            <v>4166043.2</v>
          </cell>
          <cell r="I1208">
            <v>311055.90000000002</v>
          </cell>
          <cell r="J1208" t="str">
            <v>"</v>
          </cell>
        </row>
        <row r="1209">
          <cell r="B1209" t="str">
            <v>KACKP185</v>
          </cell>
          <cell r="C1209" t="str">
            <v>D3.6215</v>
          </cell>
          <cell r="D1209" t="str">
            <v>Kéo rải căng dây lấy độ võng dây dẫn nhôm lõi thép trần ACKP-185/24</v>
          </cell>
          <cell r="E1209" t="str">
            <v>km</v>
          </cell>
          <cell r="G1209">
            <v>37200</v>
          </cell>
          <cell r="H1209">
            <v>4166043.2</v>
          </cell>
          <cell r="I1209">
            <v>311055.90000000002</v>
          </cell>
          <cell r="J1209" t="str">
            <v>"</v>
          </cell>
        </row>
        <row r="1210">
          <cell r="B1210" t="str">
            <v>KACKP240</v>
          </cell>
          <cell r="C1210" t="str">
            <v>D3.6251</v>
          </cell>
          <cell r="D1210" t="str">
            <v>Kéo rải căng dây lấy độ võng dây dẫn nhôm lõi thép trần ACKP-240/32</v>
          </cell>
          <cell r="E1210" t="str">
            <v>km</v>
          </cell>
          <cell r="G1210">
            <v>48800</v>
          </cell>
          <cell r="H1210">
            <v>4954913.9000000004</v>
          </cell>
          <cell r="I1210">
            <v>401117.9</v>
          </cell>
          <cell r="J1210" t="str">
            <v>"</v>
          </cell>
        </row>
        <row r="1211">
          <cell r="B1211" t="str">
            <v>KAC.A240</v>
          </cell>
          <cell r="C1211" t="str">
            <v>D3.6251</v>
          </cell>
          <cell r="D1211" t="str">
            <v>Kéo rải căng dây lấy độ võng dây dẫn nhôm lõi thép trần AC.A-240/32</v>
          </cell>
          <cell r="E1211" t="str">
            <v>km</v>
          </cell>
          <cell r="G1211">
            <v>48800</v>
          </cell>
          <cell r="H1211">
            <v>4954913.9000000004</v>
          </cell>
          <cell r="I1211">
            <v>401117.9</v>
          </cell>
          <cell r="J1211" t="str">
            <v>"</v>
          </cell>
        </row>
        <row r="1212">
          <cell r="B1212" t="str">
            <v>Z35</v>
          </cell>
          <cell r="D1212" t="str">
            <v>Dây nhôm lõi thép</v>
          </cell>
          <cell r="E1212">
            <v>0</v>
          </cell>
        </row>
        <row r="1213">
          <cell r="B1213" t="str">
            <v>KAC35</v>
          </cell>
          <cell r="C1213" t="str">
            <v>D3.6211</v>
          </cell>
          <cell r="D1213" t="str">
            <v>Kéo rải căng dây lấy độ võng dây dẫn nhôm lõi thép trần AC-35/6,2</v>
          </cell>
          <cell r="E1213" t="str">
            <v>km</v>
          </cell>
          <cell r="G1213">
            <v>39400</v>
          </cell>
          <cell r="H1213">
            <v>2513445.6</v>
          </cell>
          <cell r="I1213">
            <v>130555.5</v>
          </cell>
          <cell r="J1213" t="str">
            <v>ĐM285/KLR/1000</v>
          </cell>
        </row>
        <row r="1214">
          <cell r="B1214" t="str">
            <v>KAC50</v>
          </cell>
          <cell r="C1214" t="str">
            <v>D3.6211</v>
          </cell>
          <cell r="D1214" t="str">
            <v>Kéo rải căng dây lấy độ võng dây dẫn nhôm lõi thép trần AC-50/8</v>
          </cell>
          <cell r="E1214" t="str">
            <v>km</v>
          </cell>
          <cell r="G1214">
            <v>36816</v>
          </cell>
          <cell r="H1214">
            <v>2513445.5700000003</v>
          </cell>
          <cell r="I1214">
            <v>130555.45000000001</v>
          </cell>
          <cell r="J1214" t="str">
            <v>ĐM285/KLR/1000</v>
          </cell>
        </row>
        <row r="1215">
          <cell r="B1215" t="str">
            <v>KAC50(TC)</v>
          </cell>
          <cell r="C1215" t="str">
            <v>D3.6114</v>
          </cell>
          <cell r="D1215" t="str">
            <v>Kéo rải căng dây lấy độ võng dây dẫn nhôm lõi thép trần AC-50/8 (Thủ công)</v>
          </cell>
          <cell r="E1215" t="str">
            <v>km</v>
          </cell>
          <cell r="G1215">
            <v>0</v>
          </cell>
          <cell r="H1215">
            <v>4252941.5999999996</v>
          </cell>
          <cell r="J1215" t="str">
            <v>ĐM285/KLR/1000</v>
          </cell>
        </row>
        <row r="1216">
          <cell r="B1216" t="str">
            <v>KAC70</v>
          </cell>
          <cell r="C1216" t="str">
            <v>D3.6211</v>
          </cell>
          <cell r="D1216" t="str">
            <v>Kéo rải căng dây lấy độ võng dây dẫn nhôm lõi thép trần AC-70/11</v>
          </cell>
          <cell r="E1216" t="str">
            <v>km</v>
          </cell>
          <cell r="G1216">
            <v>39400</v>
          </cell>
          <cell r="H1216">
            <v>2513445.6</v>
          </cell>
          <cell r="I1216">
            <v>130555.5</v>
          </cell>
          <cell r="J1216" t="str">
            <v>"</v>
          </cell>
        </row>
        <row r="1217">
          <cell r="B1217" t="str">
            <v>KAC95</v>
          </cell>
          <cell r="C1217" t="str">
            <v>D3.6212</v>
          </cell>
          <cell r="D1217" t="str">
            <v>Kéo rải căng dây lấy độ võng dây dẫn nhôm lõi thép trần AC-95/16</v>
          </cell>
          <cell r="E1217" t="str">
            <v>km</v>
          </cell>
          <cell r="G1217">
            <v>50099</v>
          </cell>
          <cell r="H1217">
            <v>2870452.73</v>
          </cell>
          <cell r="I1217">
            <v>176599.3</v>
          </cell>
          <cell r="J1217" t="str">
            <v>"</v>
          </cell>
        </row>
        <row r="1218">
          <cell r="B1218" t="str">
            <v>KAC95(TC)</v>
          </cell>
          <cell r="C1218" t="str">
            <v>D3.6116</v>
          </cell>
          <cell r="D1218" t="str">
            <v>Kéo rải căng dây lấy độ võng dây dẫn nhôm lõi thép trần AC-95/16  (Thủ công)</v>
          </cell>
          <cell r="E1218" t="str">
            <v>km</v>
          </cell>
          <cell r="G1218">
            <v>0</v>
          </cell>
          <cell r="H1218">
            <v>7738395.2000000002</v>
          </cell>
          <cell r="I1218">
            <v>0</v>
          </cell>
          <cell r="J1218" t="str">
            <v>"</v>
          </cell>
        </row>
        <row r="1219">
          <cell r="B1219" t="str">
            <v>KAC120</v>
          </cell>
          <cell r="C1219" t="str">
            <v>D3.6213</v>
          </cell>
          <cell r="D1219" t="str">
            <v>Kéo rải căng dây lấy độ võng dây dẫn nhôm lõi thép trần AC-120/19</v>
          </cell>
          <cell r="E1219" t="str">
            <v>km</v>
          </cell>
          <cell r="G1219">
            <v>55000</v>
          </cell>
          <cell r="H1219">
            <v>3233218.1</v>
          </cell>
          <cell r="I1219">
            <v>176599.3</v>
          </cell>
          <cell r="J1219" t="str">
            <v>"</v>
          </cell>
        </row>
        <row r="1220">
          <cell r="B1220" t="str">
            <v>KAC120/27</v>
          </cell>
          <cell r="C1220" t="str">
            <v>D3.6213</v>
          </cell>
          <cell r="D1220" t="str">
            <v>Kéo rải căng dây lấy độ võng dây dẫn nhôm lõi thép trần AC-120/27</v>
          </cell>
          <cell r="E1220" t="str">
            <v>km</v>
          </cell>
          <cell r="G1220">
            <v>55000</v>
          </cell>
          <cell r="H1220">
            <v>3233218.1</v>
          </cell>
          <cell r="I1220">
            <v>176599.3</v>
          </cell>
          <cell r="J1220" t="str">
            <v>"</v>
          </cell>
        </row>
        <row r="1221">
          <cell r="B1221" t="str">
            <v>KAC150</v>
          </cell>
          <cell r="C1221" t="str">
            <v>D3.6214</v>
          </cell>
          <cell r="D1221" t="str">
            <v>Kéo rải căng dây lấy độ võng dây dẫn nhôm lõi thép trần AC-150/19</v>
          </cell>
          <cell r="E1221" t="str">
            <v>km</v>
          </cell>
          <cell r="G1221">
            <v>62000</v>
          </cell>
          <cell r="H1221">
            <v>3662202.5</v>
          </cell>
          <cell r="I1221">
            <v>230219.3</v>
          </cell>
          <cell r="J1221" t="str">
            <v>"</v>
          </cell>
        </row>
        <row r="1222">
          <cell r="B1222" t="str">
            <v>KAC185</v>
          </cell>
          <cell r="C1222" t="str">
            <v>D3.6215</v>
          </cell>
          <cell r="D1222" t="str">
            <v>Kéo rải căng dây lấy độ võng dây dẫn nhôm lõi thép trần AC-185/24</v>
          </cell>
          <cell r="E1222" t="str">
            <v>km</v>
          </cell>
          <cell r="G1222">
            <v>37200</v>
          </cell>
          <cell r="H1222">
            <v>4166043.2</v>
          </cell>
          <cell r="I1222">
            <v>311055.90000000002</v>
          </cell>
          <cell r="J1222" t="str">
            <v>"</v>
          </cell>
        </row>
        <row r="1223">
          <cell r="B1223" t="str">
            <v>KAC240</v>
          </cell>
          <cell r="C1223" t="str">
            <v>D3.6251</v>
          </cell>
          <cell r="D1223" t="str">
            <v>Kéo rải căng dây lấy độ võng dây dẫn nhôm lõi thép trần AC-240/32</v>
          </cell>
          <cell r="E1223" t="str">
            <v>km</v>
          </cell>
          <cell r="G1223">
            <v>48800</v>
          </cell>
          <cell r="H1223">
            <v>4954913.9000000004</v>
          </cell>
          <cell r="I1223">
            <v>401117.9</v>
          </cell>
          <cell r="J1223" t="str">
            <v>"</v>
          </cell>
        </row>
        <row r="1224">
          <cell r="B1224" t="str">
            <v>z101</v>
          </cell>
          <cell r="D1224" t="str">
            <v>Dây nhôm bọc hạ thế</v>
          </cell>
        </row>
        <row r="1225">
          <cell r="B1225" t="str">
            <v>kav35</v>
          </cell>
          <cell r="C1225" t="str">
            <v>D3.6221</v>
          </cell>
          <cell r="D1225" t="str">
            <v>Kéo rải căng dây lấy độ võng dây dẫn nhôm bọc AV35</v>
          </cell>
          <cell r="E1225" t="str">
            <v>km</v>
          </cell>
          <cell r="G1225">
            <v>39400</v>
          </cell>
          <cell r="H1225">
            <v>2386765.6</v>
          </cell>
          <cell r="I1225">
            <v>119831.5</v>
          </cell>
          <cell r="J1225" t="str">
            <v>ĐM285 / 1000</v>
          </cell>
        </row>
        <row r="1226">
          <cell r="B1226" t="str">
            <v>kav50</v>
          </cell>
          <cell r="C1226" t="str">
            <v>D3.6221</v>
          </cell>
          <cell r="D1226" t="str">
            <v>Kéo rải căng dây lấy độ võng dây dẫn nhôm bọc AV50</v>
          </cell>
          <cell r="E1226" t="str">
            <v>km</v>
          </cell>
          <cell r="G1226">
            <v>39400</v>
          </cell>
          <cell r="H1226">
            <v>2386765.6</v>
          </cell>
          <cell r="I1226">
            <v>119831.5</v>
          </cell>
          <cell r="J1226" t="str">
            <v>"</v>
          </cell>
        </row>
        <row r="1227">
          <cell r="B1227" t="str">
            <v>kav70</v>
          </cell>
          <cell r="C1227" t="str">
            <v>D3.6221</v>
          </cell>
          <cell r="D1227" t="str">
            <v>Kéo rải căng dây lấy độ võng dây dẫn nhôm bọc AV70</v>
          </cell>
          <cell r="E1227" t="str">
            <v>km</v>
          </cell>
          <cell r="G1227">
            <v>39400</v>
          </cell>
          <cell r="H1227">
            <v>2386765.6</v>
          </cell>
          <cell r="I1227">
            <v>119831.5</v>
          </cell>
          <cell r="J1227" t="str">
            <v>"</v>
          </cell>
        </row>
        <row r="1228">
          <cell r="B1228" t="str">
            <v>kav95</v>
          </cell>
          <cell r="C1228" t="str">
            <v>D3.6222</v>
          </cell>
          <cell r="D1228" t="str">
            <v>Kéo rải căng dây lấy độ võng dây dẫn nhôm bọc AV95</v>
          </cell>
          <cell r="E1228" t="str">
            <v>km</v>
          </cell>
          <cell r="G1228">
            <v>55000</v>
          </cell>
          <cell r="H1228">
            <v>2726498.2</v>
          </cell>
          <cell r="I1228">
            <v>162727.4</v>
          </cell>
          <cell r="J1228" t="str">
            <v>"</v>
          </cell>
        </row>
        <row r="1229">
          <cell r="B1229" t="str">
            <v>kav120</v>
          </cell>
          <cell r="C1229" t="str">
            <v>D3.6223</v>
          </cell>
          <cell r="D1229" t="str">
            <v>Kéo rải căng dây lấy độ võng dây dẫn nhôm bọc AV120</v>
          </cell>
          <cell r="E1229" t="str">
            <v>km</v>
          </cell>
          <cell r="G1229">
            <v>55000</v>
          </cell>
          <cell r="H1229">
            <v>3069109.9</v>
          </cell>
          <cell r="I1229">
            <v>162727.4</v>
          </cell>
          <cell r="J1229" t="str">
            <v>"</v>
          </cell>
        </row>
        <row r="1230">
          <cell r="B1230" t="str">
            <v>kav150</v>
          </cell>
          <cell r="C1230" t="str">
            <v>D3.6224</v>
          </cell>
          <cell r="D1230" t="str">
            <v>Kéo rải căng dây lấy độ võng dây dẫn nhôm bọc AV150</v>
          </cell>
          <cell r="E1230" t="str">
            <v>km</v>
          </cell>
          <cell r="G1230">
            <v>62000</v>
          </cell>
          <cell r="H1230">
            <v>3480819.8</v>
          </cell>
          <cell r="I1230">
            <v>208771.3</v>
          </cell>
          <cell r="J1230" t="str">
            <v>"</v>
          </cell>
        </row>
        <row r="1231">
          <cell r="B1231" t="str">
            <v>kav185</v>
          </cell>
          <cell r="C1231" t="str">
            <v>D3.6225</v>
          </cell>
          <cell r="D1231" t="str">
            <v>Kéo rải căng dây lấy độ võng dây dẫn nhôm bọc AV185</v>
          </cell>
          <cell r="E1231" t="str">
            <v>km</v>
          </cell>
          <cell r="G1231">
            <v>37200</v>
          </cell>
          <cell r="H1231">
            <v>3955869.7</v>
          </cell>
          <cell r="I1231">
            <v>282511.40000000002</v>
          </cell>
          <cell r="J1231" t="str">
            <v>"</v>
          </cell>
        </row>
        <row r="1232">
          <cell r="B1232" t="str">
            <v>kav240</v>
          </cell>
          <cell r="C1232" t="str">
            <v>D3.6261</v>
          </cell>
          <cell r="D1232" t="str">
            <v>Kéo rải căng dây lấy độ võng dây dẫn nhôm bọc AV240</v>
          </cell>
          <cell r="E1232" t="str">
            <v>km</v>
          </cell>
          <cell r="G1232">
            <v>48800</v>
          </cell>
          <cell r="H1232">
            <v>5887739.0999999996</v>
          </cell>
          <cell r="I1232">
            <v>364997.2</v>
          </cell>
          <cell r="J1232" t="str">
            <v>"</v>
          </cell>
        </row>
        <row r="1233">
          <cell r="B1233" t="str">
            <v>z101</v>
          </cell>
          <cell r="D1233" t="str">
            <v>Dây cáp ABC</v>
          </cell>
        </row>
        <row r="1234">
          <cell r="B1234" t="str">
            <v>kabc2x35</v>
          </cell>
          <cell r="C1234" t="str">
            <v>D3.6303</v>
          </cell>
          <cell r="D1234" t="str">
            <v>Kéo rải căng dây lấy độ võng cáp hạ thế 2x35mm²</v>
          </cell>
          <cell r="E1234" t="str">
            <v>km</v>
          </cell>
          <cell r="G1234">
            <v>13900</v>
          </cell>
          <cell r="H1234">
            <v>5216271.2</v>
          </cell>
          <cell r="I1234">
            <v>0</v>
          </cell>
          <cell r="J1234" t="str">
            <v>"</v>
          </cell>
        </row>
        <row r="1235">
          <cell r="B1235" t="str">
            <v>kabc2x50</v>
          </cell>
          <cell r="C1235" t="str">
            <v>D3.6304</v>
          </cell>
          <cell r="D1235" t="str">
            <v>Kéo rải căng dây lấy độ võng cáp hạ thế 2x50mm²</v>
          </cell>
          <cell r="E1235" t="str">
            <v>km</v>
          </cell>
          <cell r="G1235">
            <v>15275</v>
          </cell>
          <cell r="H1235">
            <v>6311926.4000000004</v>
          </cell>
          <cell r="I1235">
            <v>0</v>
          </cell>
          <cell r="J1235" t="str">
            <v>"</v>
          </cell>
        </row>
        <row r="1236">
          <cell r="B1236" t="str">
            <v>kabc2x70</v>
          </cell>
          <cell r="C1236" t="str">
            <v>D3.6305</v>
          </cell>
          <cell r="D1236" t="str">
            <v>Kéo rải căng dây lấy độ võng cáp hạ thế 2x70mm²</v>
          </cell>
          <cell r="E1236" t="str">
            <v>km</v>
          </cell>
          <cell r="G1236">
            <v>16025</v>
          </cell>
          <cell r="H1236">
            <v>7449925.7000000002</v>
          </cell>
          <cell r="I1236">
            <v>0</v>
          </cell>
          <cell r="J1236" t="str">
            <v>"</v>
          </cell>
        </row>
        <row r="1237">
          <cell r="B1237" t="str">
            <v>kabc2x95</v>
          </cell>
          <cell r="C1237" t="str">
            <v>D3.6306</v>
          </cell>
          <cell r="D1237" t="str">
            <v>Kéo rải căng dây lấy độ võng cáp hạ thế 2x95mm²</v>
          </cell>
          <cell r="E1237" t="str">
            <v>km</v>
          </cell>
          <cell r="G1237">
            <v>17400</v>
          </cell>
          <cell r="H1237">
            <v>10331975</v>
          </cell>
          <cell r="I1237">
            <v>0</v>
          </cell>
          <cell r="J1237" t="str">
            <v>"</v>
          </cell>
        </row>
        <row r="1238">
          <cell r="B1238" t="str">
            <v>kabc2x120</v>
          </cell>
          <cell r="C1238" t="str">
            <v>D3.6307</v>
          </cell>
          <cell r="D1238" t="str">
            <v>Kéo rải căng dây lấy độ võng cáp hạ thế 2x120mm²</v>
          </cell>
          <cell r="E1238" t="str">
            <v>km</v>
          </cell>
          <cell r="G1238">
            <v>17400</v>
          </cell>
          <cell r="H1238">
            <v>13640112.5</v>
          </cell>
          <cell r="I1238">
            <v>0</v>
          </cell>
          <cell r="J1238" t="str">
            <v>"</v>
          </cell>
        </row>
        <row r="1239">
          <cell r="B1239" t="str">
            <v>kabc2x150</v>
          </cell>
          <cell r="C1239" t="str">
            <v>D3.6308</v>
          </cell>
          <cell r="D1239" t="str">
            <v>Kéo rải căng dây lấy độ võng cáp hạ thế 2x150mm²</v>
          </cell>
          <cell r="E1239" t="str">
            <v>km</v>
          </cell>
          <cell r="G1239">
            <v>17400</v>
          </cell>
          <cell r="H1239">
            <v>16368664.4</v>
          </cell>
          <cell r="I1239">
            <v>0</v>
          </cell>
          <cell r="J1239" t="str">
            <v>"</v>
          </cell>
        </row>
        <row r="1240">
          <cell r="B1240" t="str">
            <v>kabc3x35</v>
          </cell>
          <cell r="C1240" t="str">
            <v>D3.6303</v>
          </cell>
          <cell r="D1240" t="str">
            <v>Kéo rải căng dây lấy độ võng cáp hạ thế 3x35mm²</v>
          </cell>
          <cell r="E1240" t="str">
            <v>km</v>
          </cell>
          <cell r="G1240">
            <v>13900</v>
          </cell>
          <cell r="H1240">
            <v>5216271.2</v>
          </cell>
          <cell r="I1240">
            <v>0</v>
          </cell>
          <cell r="J1240" t="str">
            <v>"</v>
          </cell>
        </row>
        <row r="1241">
          <cell r="B1241" t="str">
            <v>kabc3x50</v>
          </cell>
          <cell r="C1241" t="str">
            <v>D3.6304</v>
          </cell>
          <cell r="D1241" t="str">
            <v>Kéo rải căng dây lấy độ võng cáp hạ thế 3x50mm²</v>
          </cell>
          <cell r="E1241" t="str">
            <v>km</v>
          </cell>
          <cell r="G1241">
            <v>15275</v>
          </cell>
          <cell r="H1241">
            <v>6311926.4000000004</v>
          </cell>
          <cell r="I1241">
            <v>0</v>
          </cell>
          <cell r="J1241" t="str">
            <v>"</v>
          </cell>
        </row>
        <row r="1242">
          <cell r="B1242" t="str">
            <v>kabc3x70</v>
          </cell>
          <cell r="C1242" t="str">
            <v>D3.6305</v>
          </cell>
          <cell r="D1242" t="str">
            <v>Kéo rải căng dây lấy độ võng cáp hạ thế 3x70mm²</v>
          </cell>
          <cell r="E1242" t="str">
            <v>km</v>
          </cell>
          <cell r="G1242">
            <v>16025</v>
          </cell>
          <cell r="H1242">
            <v>7449925.7000000002</v>
          </cell>
          <cell r="J1242" t="str">
            <v>"</v>
          </cell>
        </row>
        <row r="1243">
          <cell r="B1243" t="str">
            <v>kabc3x95</v>
          </cell>
          <cell r="C1243" t="str">
            <v>D3.6306</v>
          </cell>
          <cell r="D1243" t="str">
            <v>Kéo rải căng dây lấy độ võng cáp hạ thế 3x95mm²</v>
          </cell>
          <cell r="E1243" t="str">
            <v>km</v>
          </cell>
          <cell r="G1243">
            <v>17400</v>
          </cell>
          <cell r="H1243">
            <v>10331975</v>
          </cell>
          <cell r="I1243">
            <v>0</v>
          </cell>
          <cell r="J1243" t="str">
            <v>"</v>
          </cell>
        </row>
        <row r="1244">
          <cell r="B1244" t="str">
            <v>kabc3x120</v>
          </cell>
          <cell r="C1244" t="str">
            <v>D3.6307</v>
          </cell>
          <cell r="D1244" t="str">
            <v>Kéo rải căng dây lấy độ võng cáp hạ thế 3x120mm²</v>
          </cell>
          <cell r="E1244" t="str">
            <v>km</v>
          </cell>
          <cell r="G1244">
            <v>17400</v>
          </cell>
          <cell r="H1244">
            <v>13640112.5</v>
          </cell>
          <cell r="I1244">
            <v>0</v>
          </cell>
          <cell r="J1244" t="str">
            <v>"</v>
          </cell>
        </row>
        <row r="1245">
          <cell r="B1245" t="str">
            <v>kabc3x150</v>
          </cell>
          <cell r="C1245" t="str">
            <v>D3.6308</v>
          </cell>
          <cell r="D1245" t="str">
            <v>Kéo rải căng dây lấy độ võng cáp hạ thế 3x150mm²</v>
          </cell>
          <cell r="E1245" t="str">
            <v>km</v>
          </cell>
          <cell r="G1245">
            <v>17400</v>
          </cell>
          <cell r="H1245">
            <v>16368664.4</v>
          </cell>
          <cell r="I1245">
            <v>0</v>
          </cell>
          <cell r="J1245" t="str">
            <v>"</v>
          </cell>
        </row>
        <row r="1246">
          <cell r="B1246" t="str">
            <v>kabc4x35</v>
          </cell>
          <cell r="C1246" t="str">
            <v>D3.6303</v>
          </cell>
          <cell r="D1246" t="str">
            <v>Kéo rải căng dây lấy độ võng cáp hạ thế 4x35mm²</v>
          </cell>
          <cell r="E1246" t="str">
            <v>km</v>
          </cell>
          <cell r="G1246">
            <v>13900</v>
          </cell>
          <cell r="H1246">
            <v>5216271.2</v>
          </cell>
          <cell r="I1246">
            <v>0</v>
          </cell>
          <cell r="J1246" t="str">
            <v>"</v>
          </cell>
        </row>
        <row r="1247">
          <cell r="B1247" t="str">
            <v>kabc4x50</v>
          </cell>
          <cell r="C1247" t="str">
            <v>D3.6304</v>
          </cell>
          <cell r="D1247" t="str">
            <v>Kéo rải căng dây lấy độ võng cáp hạ thế 4x50mm²</v>
          </cell>
          <cell r="E1247" t="str">
            <v>km</v>
          </cell>
          <cell r="G1247">
            <v>15275</v>
          </cell>
          <cell r="H1247">
            <v>6311926.4000000004</v>
          </cell>
          <cell r="J1247" t="str">
            <v>"</v>
          </cell>
        </row>
        <row r="1248">
          <cell r="B1248" t="str">
            <v>kabc4x70</v>
          </cell>
          <cell r="C1248" t="str">
            <v>D3.6305</v>
          </cell>
          <cell r="D1248" t="str">
            <v>Kéo rải căng dây lấy độ võng cáp hạ thế 4x70mm²</v>
          </cell>
          <cell r="E1248" t="str">
            <v>km</v>
          </cell>
          <cell r="G1248">
            <v>16025</v>
          </cell>
          <cell r="H1248">
            <v>7449925.7000000002</v>
          </cell>
          <cell r="I1248">
            <v>0</v>
          </cell>
          <cell r="J1248" t="str">
            <v>"</v>
          </cell>
        </row>
        <row r="1249">
          <cell r="B1249" t="str">
            <v>kabc4x95</v>
          </cell>
          <cell r="C1249" t="str">
            <v>D3.6306</v>
          </cell>
          <cell r="D1249" t="str">
            <v>Kéo rải căng dây lấy độ võng cáp hạ thế 4x95mm²</v>
          </cell>
          <cell r="E1249" t="str">
            <v>km</v>
          </cell>
          <cell r="G1249">
            <v>17400</v>
          </cell>
          <cell r="H1249">
            <v>10331975</v>
          </cell>
          <cell r="I1249">
            <v>0</v>
          </cell>
          <cell r="J1249" t="str">
            <v>"</v>
          </cell>
        </row>
        <row r="1250">
          <cell r="B1250" t="str">
            <v>kabc4x120</v>
          </cell>
          <cell r="C1250" t="str">
            <v>D3.6307</v>
          </cell>
          <cell r="D1250" t="str">
            <v>Kéo rải căng dây lấy độ võng cáp hạ thế 4x120mm²</v>
          </cell>
          <cell r="E1250" t="str">
            <v>km</v>
          </cell>
          <cell r="G1250">
            <v>31049.5</v>
          </cell>
          <cell r="H1250">
            <v>13640112.539999999</v>
          </cell>
          <cell r="I1250">
            <v>0</v>
          </cell>
          <cell r="J1250" t="str">
            <v>"</v>
          </cell>
        </row>
        <row r="1251">
          <cell r="B1251" t="str">
            <v>kabc4x150</v>
          </cell>
          <cell r="C1251" t="str">
            <v>D3.6308</v>
          </cell>
          <cell r="D1251" t="str">
            <v>Kéo rải căng dây lấy độ võng cáp hạ thế 4x150mm²</v>
          </cell>
          <cell r="E1251" t="str">
            <v>km</v>
          </cell>
          <cell r="G1251">
            <v>17400</v>
          </cell>
          <cell r="H1251">
            <v>16368664.4</v>
          </cell>
          <cell r="J1251" t="str">
            <v>"</v>
          </cell>
        </row>
        <row r="1252">
          <cell r="B1252" t="str">
            <v>LAÉP CAÙP NGAÀM VAØ OÁNG BAÛO VEÄ</v>
          </cell>
        </row>
        <row r="1253">
          <cell r="B1253" t="str">
            <v>Z36</v>
          </cell>
          <cell r="D1253" t="str">
            <v>Lắp cáp ngầm</v>
          </cell>
          <cell r="E1253">
            <v>0</v>
          </cell>
        </row>
        <row r="1254">
          <cell r="B1254" t="str">
            <v>KCN1kg</v>
          </cell>
          <cell r="C1254" t="str">
            <v>07.3101</v>
          </cell>
          <cell r="D1254" t="str">
            <v>Lắp cáp ngầm loại ≤ 1kg</v>
          </cell>
          <cell r="E1254" t="str">
            <v>mét</v>
          </cell>
          <cell r="H1254">
            <v>530.19000000000005</v>
          </cell>
        </row>
        <row r="1255">
          <cell r="B1255" t="str">
            <v>KCN2kg</v>
          </cell>
          <cell r="C1255" t="str">
            <v>07.3102</v>
          </cell>
          <cell r="D1255" t="str">
            <v>Lắp cáp ngầm loại ≤ 2kg</v>
          </cell>
          <cell r="E1255" t="str">
            <v>mét</v>
          </cell>
          <cell r="H1255">
            <v>615.29</v>
          </cell>
        </row>
        <row r="1256">
          <cell r="B1256" t="str">
            <v>KCN3kg</v>
          </cell>
          <cell r="C1256" t="str">
            <v>07.3103</v>
          </cell>
          <cell r="D1256" t="str">
            <v>Lắp cáp ngầm loại ≤ 3kg</v>
          </cell>
          <cell r="E1256" t="str">
            <v>mét</v>
          </cell>
          <cell r="H1256">
            <v>818.2</v>
          </cell>
        </row>
        <row r="1257">
          <cell r="B1257" t="str">
            <v>KCN4kg</v>
          </cell>
          <cell r="C1257" t="str">
            <v>07.3104</v>
          </cell>
          <cell r="D1257" t="str">
            <v>Lắp cáp ngầm loại ≤ 4.5kg</v>
          </cell>
          <cell r="E1257" t="str">
            <v>mét</v>
          </cell>
          <cell r="H1257">
            <v>1063.6600000000001</v>
          </cell>
        </row>
        <row r="1258">
          <cell r="B1258" t="str">
            <v>KCN6kg</v>
          </cell>
          <cell r="C1258" t="str">
            <v>07.3105</v>
          </cell>
          <cell r="D1258" t="str">
            <v>Lắp cáp ngầm loại ≤ 6kg</v>
          </cell>
          <cell r="E1258" t="str">
            <v>mét</v>
          </cell>
          <cell r="H1258">
            <v>1351.67</v>
          </cell>
        </row>
        <row r="1259">
          <cell r="B1259" t="str">
            <v>KCN7kg</v>
          </cell>
          <cell r="C1259" t="str">
            <v>07.3106</v>
          </cell>
          <cell r="D1259" t="str">
            <v>Lắp cáp ngầm loại ≤ 7.5kg</v>
          </cell>
          <cell r="E1259" t="str">
            <v>mét</v>
          </cell>
          <cell r="H1259">
            <v>1718.22</v>
          </cell>
        </row>
        <row r="1260">
          <cell r="B1260" t="str">
            <v>Z37</v>
          </cell>
          <cell r="D1260" t="str">
            <v>Lắp ống nhựa bảo vệ cáp</v>
          </cell>
          <cell r="E1260">
            <v>0</v>
          </cell>
        </row>
        <row r="1261">
          <cell r="B1261" t="str">
            <v>LON1</v>
          </cell>
          <cell r="C1261" t="str">
            <v>07.2401</v>
          </cell>
          <cell r="D1261" t="str">
            <v>Đường kính ≤ 32</v>
          </cell>
          <cell r="E1261" t="str">
            <v>mét</v>
          </cell>
          <cell r="H1261">
            <v>1434.37</v>
          </cell>
        </row>
        <row r="1262">
          <cell r="B1262" t="str">
            <v>LON2</v>
          </cell>
          <cell r="C1262" t="str">
            <v>07.2402</v>
          </cell>
          <cell r="D1262" t="str">
            <v>Đường kính ≤ 40</v>
          </cell>
          <cell r="E1262" t="str">
            <v>mét</v>
          </cell>
          <cell r="H1262">
            <v>1774.26</v>
          </cell>
        </row>
        <row r="1263">
          <cell r="B1263" t="str">
            <v>LON3</v>
          </cell>
          <cell r="C1263" t="str">
            <v>07.2403</v>
          </cell>
          <cell r="D1263" t="str">
            <v>Đường kính ≤ 50</v>
          </cell>
          <cell r="E1263" t="str">
            <v>mét</v>
          </cell>
          <cell r="H1263">
            <v>2213.92</v>
          </cell>
        </row>
        <row r="1264">
          <cell r="B1264" t="str">
            <v>LON4</v>
          </cell>
          <cell r="C1264" t="str">
            <v>07.2404</v>
          </cell>
          <cell r="D1264" t="str">
            <v>Đường kính ≤ 65</v>
          </cell>
          <cell r="E1264" t="str">
            <v>mét</v>
          </cell>
          <cell r="H1264">
            <v>2401.0100000000002</v>
          </cell>
        </row>
        <row r="1265">
          <cell r="B1265" t="str">
            <v>LON5</v>
          </cell>
          <cell r="C1265" t="str">
            <v>07.2405</v>
          </cell>
          <cell r="D1265" t="str">
            <v>Đường kính ≤ 89</v>
          </cell>
          <cell r="E1265" t="str">
            <v>mét</v>
          </cell>
          <cell r="H1265">
            <v>2806.38</v>
          </cell>
        </row>
        <row r="1266">
          <cell r="B1266" t="str">
            <v>LON6</v>
          </cell>
          <cell r="C1266" t="str">
            <v>07.2406</v>
          </cell>
          <cell r="D1266" t="str">
            <v>Đường kính ≤ 100</v>
          </cell>
          <cell r="E1266" t="str">
            <v>mét</v>
          </cell>
          <cell r="H1266">
            <v>3461.2</v>
          </cell>
        </row>
        <row r="1267">
          <cell r="B1267" t="str">
            <v>LON7</v>
          </cell>
          <cell r="C1267" t="str">
            <v>07.2407</v>
          </cell>
          <cell r="D1267" t="str">
            <v>Đường kính &gt; 100</v>
          </cell>
          <cell r="E1267" t="str">
            <v>mét</v>
          </cell>
          <cell r="H1267">
            <v>3523.57</v>
          </cell>
        </row>
        <row r="1268">
          <cell r="B1268" t="str">
            <v>Z37</v>
          </cell>
          <cell r="D1268" t="str">
            <v>Lắp ống thép bảo vệ cáp</v>
          </cell>
          <cell r="E1268">
            <v>0</v>
          </cell>
        </row>
        <row r="1269">
          <cell r="B1269" t="str">
            <v>lstk114</v>
          </cell>
          <cell r="C1269" t="str">
            <v>07.2204</v>
          </cell>
          <cell r="D1269" t="str">
            <v>Ống sắt tráng kẽm Ø 114</v>
          </cell>
          <cell r="E1269" t="str">
            <v>mét</v>
          </cell>
          <cell r="G1269">
            <v>3510.15</v>
          </cell>
          <cell r="H1269">
            <v>13249.23</v>
          </cell>
        </row>
        <row r="1270">
          <cell r="B1270" t="str">
            <v>lstk90</v>
          </cell>
          <cell r="C1270" t="str">
            <v>07.2204</v>
          </cell>
          <cell r="D1270" t="str">
            <v>Ống sắt tráng kẽm Ø 90</v>
          </cell>
          <cell r="E1270" t="str">
            <v>mét</v>
          </cell>
          <cell r="G1270">
            <v>3510.15</v>
          </cell>
          <cell r="H1270">
            <v>13249.23</v>
          </cell>
        </row>
        <row r="1271">
          <cell r="B1271" t="str">
            <v>longthep21</v>
          </cell>
          <cell r="C1271" t="str">
            <v>07.2201</v>
          </cell>
          <cell r="D1271" t="str">
            <v>Ống sắt tráng kẽm Ø 21</v>
          </cell>
          <cell r="E1271" t="str">
            <v>mét</v>
          </cell>
          <cell r="G1271">
            <v>2026.5</v>
          </cell>
          <cell r="H1271">
            <v>8419.14</v>
          </cell>
        </row>
        <row r="1272">
          <cell r="B1272" t="str">
            <v>longthep16</v>
          </cell>
          <cell r="C1272" t="str">
            <v>07.2201</v>
          </cell>
          <cell r="D1272" t="str">
            <v>Ống sắt tráng kẽm Ø 16</v>
          </cell>
          <cell r="E1272" t="str">
            <v>mét</v>
          </cell>
          <cell r="G1272">
            <v>2026.5</v>
          </cell>
          <cell r="H1272">
            <v>8419.14</v>
          </cell>
        </row>
        <row r="1273">
          <cell r="B1273" t="str">
            <v>Z39</v>
          </cell>
          <cell r="D1273" t="str">
            <v>Nhân công khác</v>
          </cell>
          <cell r="E1273">
            <v>0</v>
          </cell>
        </row>
        <row r="1274">
          <cell r="B1274" t="str">
            <v>LCbh9</v>
          </cell>
          <cell r="C1274" t="str">
            <v>NB.1110</v>
          </cell>
          <cell r="D1274" t="str">
            <v>Gia công và lắp dựng cột báo hiệu cao 9m</v>
          </cell>
          <cell r="E1274" t="str">
            <v>tấn</v>
          </cell>
          <cell r="H1274">
            <v>302330.04155999998</v>
          </cell>
          <cell r="I1274">
            <v>472562.61</v>
          </cell>
        </row>
        <row r="1275">
          <cell r="B1275" t="str">
            <v>LBbh</v>
          </cell>
          <cell r="C1275" t="str">
            <v>NB.1710</v>
          </cell>
          <cell r="D1275" t="str">
            <v>Gia công và lắp dựng bảng báo hiệu</v>
          </cell>
          <cell r="E1275" t="str">
            <v>tấn</v>
          </cell>
          <cell r="H1275">
            <v>406014.64937999996</v>
          </cell>
          <cell r="I1275">
            <v>560380.56000000006</v>
          </cell>
        </row>
        <row r="1276">
          <cell r="B1276" t="str">
            <v>ONG13</v>
          </cell>
          <cell r="C1276" t="str">
            <v>F1.013</v>
          </cell>
          <cell r="D1276" t="str">
            <v>Ống nhựa trắng ĐK 13 + phụ kiện</v>
          </cell>
          <cell r="E1276" t="str">
            <v>mét</v>
          </cell>
          <cell r="H1276">
            <v>310</v>
          </cell>
        </row>
        <row r="1277">
          <cell r="B1277" t="str">
            <v>DAYA</v>
          </cell>
          <cell r="C1277" t="str">
            <v>TT</v>
          </cell>
          <cell r="D1277" t="str">
            <v>Dây nhôm buộc (cỡ dây 13,3mm²)</v>
          </cell>
          <cell r="E1277" t="str">
            <v>mét</v>
          </cell>
          <cell r="H1277">
            <v>1050</v>
          </cell>
        </row>
        <row r="1278">
          <cell r="B1278" t="str">
            <v>DAYACM</v>
          </cell>
          <cell r="C1278" t="str">
            <v>TT</v>
          </cell>
          <cell r="D1278" t="str">
            <v>Dây nhôm buộc (cỡ dây 13,3mm²)</v>
          </cell>
          <cell r="E1278" t="str">
            <v>mét</v>
          </cell>
          <cell r="H1278">
            <v>1050</v>
          </cell>
        </row>
        <row r="1279">
          <cell r="B1279" t="str">
            <v>DBS.COM</v>
          </cell>
          <cell r="D1279" t="str">
            <v>Dây composite buộc sứ (cỡ thích hợp)</v>
          </cell>
          <cell r="E1279" t="str">
            <v>mét</v>
          </cell>
          <cell r="F1279">
            <v>120000</v>
          </cell>
        </row>
        <row r="1280">
          <cell r="B1280" t="str">
            <v>BỐC LÊN</v>
          </cell>
        </row>
        <row r="1281">
          <cell r="B1281" t="str">
            <v>BOCTHEP-T</v>
          </cell>
          <cell r="C1281" t="str">
            <v>D1.3011</v>
          </cell>
          <cell r="D1281" t="str">
            <v>Bốc lên thép thanh cột</v>
          </cell>
          <cell r="E1281" t="str">
            <v>tấn</v>
          </cell>
          <cell r="G1281">
            <v>0</v>
          </cell>
          <cell r="H1281">
            <v>112461.8</v>
          </cell>
          <cell r="I1281">
            <v>0</v>
          </cell>
        </row>
        <row r="1282">
          <cell r="B1282" t="str">
            <v>BOCCK-T</v>
          </cell>
          <cell r="C1282" t="str">
            <v>D1.3021</v>
          </cell>
          <cell r="D1282" t="str">
            <v>Bốc lên cấu kiện thép các loại</v>
          </cell>
          <cell r="E1282" t="str">
            <v>tấn</v>
          </cell>
          <cell r="G1282">
            <v>0</v>
          </cell>
          <cell r="H1282">
            <v>120640.8</v>
          </cell>
          <cell r="I1282">
            <v>0</v>
          </cell>
        </row>
        <row r="1283">
          <cell r="B1283" t="str">
            <v>BOCPK</v>
          </cell>
          <cell r="C1283" t="str">
            <v>D1.3031</v>
          </cell>
          <cell r="D1283" t="str">
            <v>Bốc lên cấu kiện các loại</v>
          </cell>
          <cell r="E1283" t="str">
            <v>tấn</v>
          </cell>
          <cell r="G1283">
            <v>0</v>
          </cell>
          <cell r="H1283">
            <v>122685.6</v>
          </cell>
          <cell r="I1283">
            <v>0</v>
          </cell>
        </row>
        <row r="1284">
          <cell r="B1284" t="str">
            <v>BOCDD</v>
          </cell>
          <cell r="C1284" t="str">
            <v>D1.3041</v>
          </cell>
          <cell r="D1284" t="str">
            <v>Bốc lên dây dẫn điện các loại</v>
          </cell>
          <cell r="E1284" t="str">
            <v>tấn</v>
          </cell>
          <cell r="G1284">
            <v>0</v>
          </cell>
          <cell r="H1284">
            <v>128819.9</v>
          </cell>
          <cell r="I1284">
            <v>0</v>
          </cell>
        </row>
        <row r="1285">
          <cell r="B1285" t="str">
            <v>BOCS</v>
          </cell>
          <cell r="C1285" t="str">
            <v>D1.3051</v>
          </cell>
          <cell r="D1285" t="str">
            <v>Bốc lên sứ các loại</v>
          </cell>
          <cell r="E1285" t="str">
            <v>tấn</v>
          </cell>
          <cell r="G1285">
            <v>0</v>
          </cell>
          <cell r="H1285">
            <v>153357</v>
          </cell>
          <cell r="I1285">
            <v>0</v>
          </cell>
        </row>
        <row r="1286">
          <cell r="B1286" t="str">
            <v>BOCCK-BT</v>
          </cell>
          <cell r="C1286" t="str">
            <v>D1.3061</v>
          </cell>
          <cell r="D1286" t="str">
            <v>Bốc lên cấu kiện bê tông các loại</v>
          </cell>
          <cell r="E1286" t="str">
            <v>tấn</v>
          </cell>
          <cell r="G1286">
            <v>0</v>
          </cell>
          <cell r="H1286">
            <v>120640.8</v>
          </cell>
          <cell r="I1286">
            <v>0</v>
          </cell>
        </row>
        <row r="1287">
          <cell r="B1287" t="str">
            <v>BỐC XUỐNG</v>
          </cell>
        </row>
        <row r="1288">
          <cell r="B1288" t="str">
            <v>BXTHEP-T</v>
          </cell>
          <cell r="C1288" t="str">
            <v>D1.3022</v>
          </cell>
          <cell r="D1288" t="str">
            <v>Bốc xuống thép thanh cột</v>
          </cell>
          <cell r="E1288" t="str">
            <v>tấn</v>
          </cell>
          <cell r="G1288">
            <v>0</v>
          </cell>
          <cell r="H1288">
            <v>94059</v>
          </cell>
          <cell r="I1288">
            <v>0</v>
          </cell>
        </row>
        <row r="1289">
          <cell r="B1289" t="str">
            <v>BXCK-T</v>
          </cell>
          <cell r="C1289" t="str">
            <v>D1.3022</v>
          </cell>
          <cell r="D1289" t="str">
            <v>Bốc xuống cấu kiện thép các loại</v>
          </cell>
          <cell r="E1289" t="str">
            <v>tấn</v>
          </cell>
          <cell r="G1289">
            <v>0</v>
          </cell>
          <cell r="H1289">
            <v>94059</v>
          </cell>
          <cell r="I1289">
            <v>0</v>
          </cell>
        </row>
        <row r="1290">
          <cell r="B1290" t="str">
            <v>BXPK</v>
          </cell>
          <cell r="C1290" t="str">
            <v>D1.3032</v>
          </cell>
          <cell r="D1290" t="str">
            <v>Bốc xuống cấu kiện các loại</v>
          </cell>
          <cell r="E1290" t="str">
            <v>tấn</v>
          </cell>
          <cell r="G1290">
            <v>0</v>
          </cell>
          <cell r="H1290">
            <v>96103.7</v>
          </cell>
          <cell r="I1290">
            <v>0</v>
          </cell>
        </row>
        <row r="1291">
          <cell r="B1291" t="str">
            <v>BXDD</v>
          </cell>
          <cell r="C1291" t="str">
            <v>D1.3042</v>
          </cell>
          <cell r="D1291" t="str">
            <v>Bốc xuống dây dẫn điện các loại</v>
          </cell>
          <cell r="E1291" t="str">
            <v>tấn</v>
          </cell>
          <cell r="G1291">
            <v>0</v>
          </cell>
          <cell r="H1291">
            <v>120640.8</v>
          </cell>
          <cell r="I1291">
            <v>0</v>
          </cell>
        </row>
        <row r="1292">
          <cell r="B1292" t="str">
            <v>BXS</v>
          </cell>
          <cell r="C1292" t="str">
            <v>D1.3052</v>
          </cell>
          <cell r="D1292" t="str">
            <v>Bốc xuống sứ các loại</v>
          </cell>
          <cell r="E1292" t="str">
            <v>tấn</v>
          </cell>
          <cell r="G1292">
            <v>0</v>
          </cell>
          <cell r="H1292">
            <v>159491.29999999999</v>
          </cell>
          <cell r="I1292">
            <v>0</v>
          </cell>
        </row>
        <row r="1293">
          <cell r="B1293" t="str">
            <v>BXCK-BT</v>
          </cell>
          <cell r="C1293" t="str">
            <v>D1.3062</v>
          </cell>
          <cell r="D1293" t="str">
            <v>Bốc xuống cấu kiện bê tông các loại</v>
          </cell>
          <cell r="E1293" t="str">
            <v>tấn</v>
          </cell>
          <cell r="G1293">
            <v>0</v>
          </cell>
          <cell r="H1293">
            <v>94059</v>
          </cell>
          <cell r="I1293">
            <v>0</v>
          </cell>
        </row>
        <row r="1294">
          <cell r="B1294" t="str">
            <v>BÓC DỠ</v>
          </cell>
        </row>
        <row r="1295">
          <cell r="B1295" t="str">
            <v>BDBL</v>
          </cell>
          <cell r="C1295" t="str">
            <v>D1.1031</v>
          </cell>
          <cell r="D1295" t="str">
            <v>Bốc dỡ Bu lông, tiếp địa, cốt thép, dây néo</v>
          </cell>
          <cell r="E1295" t="str">
            <v>tấn</v>
          </cell>
          <cell r="G1295">
            <v>0</v>
          </cell>
          <cell r="H1295">
            <v>83835.199999999997</v>
          </cell>
          <cell r="I1295">
            <v>0</v>
          </cell>
        </row>
        <row r="1296">
          <cell r="B1296" t="str">
            <v>BDTHEP-T</v>
          </cell>
          <cell r="C1296" t="str">
            <v>D1.1041</v>
          </cell>
          <cell r="D1296" t="str">
            <v>Bốc dỡ cột thép chưa lắp vận chuyển từng thanh</v>
          </cell>
          <cell r="E1296" t="str">
            <v>tấn</v>
          </cell>
          <cell r="G1296">
            <v>0</v>
          </cell>
          <cell r="H1296">
            <v>77700.899999999994</v>
          </cell>
          <cell r="I1296">
            <v>0</v>
          </cell>
        </row>
        <row r="1297">
          <cell r="B1297" t="str">
            <v>BDTHEP-D</v>
          </cell>
          <cell r="C1297" t="str">
            <v>D1.1051</v>
          </cell>
          <cell r="D1297" t="str">
            <v>Bốc dỡ cột thép chưa lắp vận chuyển từng đoạn</v>
          </cell>
          <cell r="E1297" t="str">
            <v>tấn</v>
          </cell>
          <cell r="G1297">
            <v>0</v>
          </cell>
          <cell r="H1297">
            <v>92014.2</v>
          </cell>
          <cell r="I1297">
            <v>0</v>
          </cell>
        </row>
        <row r="1298">
          <cell r="B1298" t="str">
            <v>BDPK</v>
          </cell>
          <cell r="C1298" t="str">
            <v>D1.1061</v>
          </cell>
          <cell r="D1298" t="str">
            <v xml:space="preserve">Bốc dỡ phụ kiện các loại </v>
          </cell>
          <cell r="E1298" t="str">
            <v>tấn</v>
          </cell>
          <cell r="G1298">
            <v>0</v>
          </cell>
          <cell r="H1298">
            <v>85879.9</v>
          </cell>
          <cell r="I1298">
            <v>0</v>
          </cell>
        </row>
        <row r="1299">
          <cell r="B1299" t="str">
            <v>BDCD</v>
          </cell>
          <cell r="C1299" t="str">
            <v>D1.1071</v>
          </cell>
          <cell r="D1299" t="str">
            <v>Bốc dỡ cách điện các loại</v>
          </cell>
          <cell r="E1299" t="str">
            <v>tấn</v>
          </cell>
          <cell r="G1299">
            <v>0</v>
          </cell>
          <cell r="H1299">
            <v>169715.1</v>
          </cell>
          <cell r="I1299">
            <v>0</v>
          </cell>
        </row>
        <row r="1300">
          <cell r="B1300" t="str">
            <v>BDDD</v>
          </cell>
          <cell r="C1300" t="str">
            <v>D1.1081</v>
          </cell>
          <cell r="D1300" t="str">
            <v>Bốc dỡ dây dẫn điện, dây cáp các loại</v>
          </cell>
          <cell r="E1300" t="str">
            <v>tấn</v>
          </cell>
          <cell r="G1300">
            <v>0</v>
          </cell>
          <cell r="H1300">
            <v>98148.5</v>
          </cell>
          <cell r="I1300">
            <v>0</v>
          </cell>
        </row>
        <row r="1301">
          <cell r="B1301" t="str">
            <v>BDBTDS</v>
          </cell>
          <cell r="C1301" t="str">
            <v>D1.1091</v>
          </cell>
          <cell r="D1301" t="str">
            <v>Bốc dỡ cấu kiện bê tông đúc sẳn</v>
          </cell>
          <cell r="E1301" t="str">
            <v>tấn</v>
          </cell>
          <cell r="G1301">
            <v>0</v>
          </cell>
          <cell r="H1301">
            <v>83835.199999999997</v>
          </cell>
          <cell r="I1301">
            <v>0</v>
          </cell>
        </row>
        <row r="1302">
          <cell r="B1302" t="str">
            <v>BDCOTBT</v>
          </cell>
          <cell r="C1302" t="str">
            <v>D1.1101</v>
          </cell>
          <cell r="D1302" t="str">
            <v>Bốc dỡ cột bê tông</v>
          </cell>
          <cell r="E1302" t="str">
            <v>tấn</v>
          </cell>
          <cell r="G1302">
            <v>0</v>
          </cell>
          <cell r="H1302">
            <v>102238</v>
          </cell>
          <cell r="I1302">
            <v>0</v>
          </cell>
        </row>
        <row r="1303">
          <cell r="B1303" t="str">
            <v>BDBTU</v>
          </cell>
          <cell r="C1303" t="str">
            <v>D1.1111</v>
          </cell>
          <cell r="D1303" t="str">
            <v>Bốc dỡ bitum</v>
          </cell>
          <cell r="E1303" t="str">
            <v>tấn</v>
          </cell>
          <cell r="G1303">
            <v>0</v>
          </cell>
          <cell r="H1303">
            <v>110417</v>
          </cell>
          <cell r="I1303">
            <v>0</v>
          </cell>
        </row>
        <row r="1304">
          <cell r="B1304" t="str">
            <v>VẬN CHUYỂN</v>
          </cell>
        </row>
        <row r="1305">
          <cell r="B1305" t="str">
            <v>VCBL1</v>
          </cell>
          <cell r="C1305" t="str">
            <v>D1.1032</v>
          </cell>
          <cell r="D1305" t="str">
            <v>V/c phụ kiện (Bu lông, tiếp địa, cốt thép, dây néo) vào vị trí cự ly ≤ 100m</v>
          </cell>
          <cell r="E1305" t="str">
            <v>tấn</v>
          </cell>
          <cell r="G1305">
            <v>0</v>
          </cell>
          <cell r="H1305">
            <v>1531525.2</v>
          </cell>
          <cell r="I1305">
            <v>0</v>
          </cell>
        </row>
        <row r="1306">
          <cell r="B1306" t="str">
            <v>VCBL2</v>
          </cell>
          <cell r="C1306" t="str">
            <v>D1.1033</v>
          </cell>
          <cell r="D1306" t="str">
            <v>V/c phụ kiện (Bu lông, tiếp địa, cốt thép, dây néo) vào vị trí cự ly ≤ 300m</v>
          </cell>
          <cell r="E1306" t="str">
            <v>tấn</v>
          </cell>
          <cell r="G1306">
            <v>0</v>
          </cell>
          <cell r="H1306">
            <v>1437466.3</v>
          </cell>
          <cell r="I1306">
            <v>0</v>
          </cell>
        </row>
        <row r="1307">
          <cell r="B1307" t="str">
            <v>VCBL3</v>
          </cell>
          <cell r="C1307" t="str">
            <v>D1.1034</v>
          </cell>
          <cell r="D1307" t="str">
            <v>V/c phụ kiện (Bu lông, tiếp địa, cốt thép, dây néo) vào vị trí cự ly ≤ 500m</v>
          </cell>
          <cell r="E1307" t="str">
            <v>tấn</v>
          </cell>
          <cell r="G1307">
            <v>0</v>
          </cell>
          <cell r="H1307">
            <v>1419063.4</v>
          </cell>
          <cell r="I1307">
            <v>0</v>
          </cell>
        </row>
        <row r="1308">
          <cell r="B1308" t="str">
            <v>VCBL4</v>
          </cell>
          <cell r="C1308" t="str">
            <v>D1.1035</v>
          </cell>
          <cell r="D1308" t="str">
            <v>V/c phụ kiện (Bu lông, tiếp địa, cốt thép, dây néo) vào vị trí cự ly &gt;500m</v>
          </cell>
          <cell r="E1308" t="str">
            <v>tấn</v>
          </cell>
          <cell r="G1308">
            <v>0</v>
          </cell>
          <cell r="H1308">
            <v>1302512.1000000001</v>
          </cell>
          <cell r="I1308">
            <v>0</v>
          </cell>
        </row>
        <row r="1309">
          <cell r="B1309" t="str">
            <v>VCTHEP-T1</v>
          </cell>
          <cell r="C1309" t="str">
            <v>D1.1042</v>
          </cell>
          <cell r="D1309" t="str">
            <v>V/c cột thép chưa lắp từng thanh vào vị trí (cự ly ≤ 100m)</v>
          </cell>
          <cell r="E1309" t="str">
            <v>tấn</v>
          </cell>
          <cell r="G1309">
            <v>0</v>
          </cell>
          <cell r="H1309">
            <v>1392481.6</v>
          </cell>
          <cell r="I1309">
            <v>0</v>
          </cell>
        </row>
        <row r="1310">
          <cell r="B1310" t="str">
            <v>VCTHEP-T2</v>
          </cell>
          <cell r="C1310" t="str">
            <v>D1.1043</v>
          </cell>
          <cell r="D1310" t="str">
            <v>V/c cột thép chưa lắp từng thanh vào vị trí (cự ly ≤ 300m)</v>
          </cell>
          <cell r="E1310" t="str">
            <v>tấn</v>
          </cell>
          <cell r="G1310">
            <v>0</v>
          </cell>
          <cell r="H1310">
            <v>1306601.6000000001</v>
          </cell>
          <cell r="I1310">
            <v>0</v>
          </cell>
        </row>
        <row r="1311">
          <cell r="B1311" t="str">
            <v>VCTHEP-T3</v>
          </cell>
          <cell r="C1311" t="str">
            <v>D1.1044</v>
          </cell>
          <cell r="D1311" t="str">
            <v>V/c cột thép chưa lắp từng thanh vào vị trí (cự ly ≤ 500m)</v>
          </cell>
          <cell r="E1311" t="str">
            <v>tấn</v>
          </cell>
          <cell r="G1311">
            <v>0</v>
          </cell>
          <cell r="H1311">
            <v>1290243.6000000001</v>
          </cell>
          <cell r="I1311">
            <v>0</v>
          </cell>
        </row>
        <row r="1312">
          <cell r="B1312" t="str">
            <v>VCTHEP-T4</v>
          </cell>
          <cell r="C1312" t="str">
            <v>D1.1045</v>
          </cell>
          <cell r="D1312" t="str">
            <v>V/c cột thép chưa lắp từng thanh vào vị trí (cự ly &gt; 500m)</v>
          </cell>
          <cell r="E1312" t="str">
            <v>tấn</v>
          </cell>
          <cell r="G1312">
            <v>0</v>
          </cell>
          <cell r="H1312">
            <v>1277975</v>
          </cell>
          <cell r="I1312">
            <v>0</v>
          </cell>
        </row>
        <row r="1313">
          <cell r="B1313" t="str">
            <v>VCTHEP-D1</v>
          </cell>
          <cell r="C1313" t="str">
            <v>D1.1052</v>
          </cell>
          <cell r="D1313" t="str">
            <v>V/c cột thép chưa lắp từng đoạn vào vị trí (cự ly ≤ 100m)</v>
          </cell>
          <cell r="E1313" t="str">
            <v>tấn</v>
          </cell>
          <cell r="G1313">
            <v>0</v>
          </cell>
          <cell r="H1313">
            <v>1670568.9</v>
          </cell>
          <cell r="I1313">
            <v>0</v>
          </cell>
        </row>
        <row r="1314">
          <cell r="B1314" t="str">
            <v>VCTHEP-D2</v>
          </cell>
          <cell r="C1314" t="str">
            <v>D1.1053</v>
          </cell>
          <cell r="D1314" t="str">
            <v>V/c cột thép chưa lắp từng đoạn vào vị trí (cự ly ≤ 300m)</v>
          </cell>
          <cell r="E1314" t="str">
            <v>tấn</v>
          </cell>
          <cell r="G1314">
            <v>0</v>
          </cell>
          <cell r="H1314">
            <v>1568330.9</v>
          </cell>
          <cell r="I1314">
            <v>0</v>
          </cell>
        </row>
        <row r="1315">
          <cell r="B1315" t="str">
            <v>VCTHEP-D3</v>
          </cell>
          <cell r="C1315" t="str">
            <v>D1.1054</v>
          </cell>
          <cell r="D1315" t="str">
            <v>V/c cột thép chưa lắp từng đoạn vào vị trí (cự ly ≤ 500m)</v>
          </cell>
          <cell r="E1315" t="str">
            <v>tấn</v>
          </cell>
          <cell r="G1315">
            <v>0</v>
          </cell>
          <cell r="H1315">
            <v>1547883.3</v>
          </cell>
          <cell r="I1315">
            <v>0</v>
          </cell>
        </row>
        <row r="1316">
          <cell r="B1316" t="str">
            <v>VCTHEP-D4</v>
          </cell>
          <cell r="C1316" t="str">
            <v>D1.1055</v>
          </cell>
          <cell r="D1316" t="str">
            <v>V/c cột thép chưa lắp từng đoạn vào vị trí (cự ly &gt; 500m)</v>
          </cell>
          <cell r="E1316" t="str">
            <v>tấn</v>
          </cell>
          <cell r="G1316">
            <v>0</v>
          </cell>
          <cell r="H1316">
            <v>1533570</v>
          </cell>
          <cell r="I1316">
            <v>0</v>
          </cell>
        </row>
        <row r="1317">
          <cell r="B1317" t="str">
            <v>VCPK1</v>
          </cell>
          <cell r="C1317" t="str">
            <v>D1.1062</v>
          </cell>
          <cell r="D1317" t="str">
            <v>V/c phụ kiện các loại vào vị trí cự ly ≤ 100m</v>
          </cell>
          <cell r="E1317" t="str">
            <v>tấn</v>
          </cell>
          <cell r="G1317">
            <v>0</v>
          </cell>
          <cell r="H1317">
            <v>1378168.2</v>
          </cell>
          <cell r="I1317">
            <v>0</v>
          </cell>
        </row>
        <row r="1318">
          <cell r="B1318" t="str">
            <v>VCPK2</v>
          </cell>
          <cell r="C1318" t="str">
            <v>D1.1063</v>
          </cell>
          <cell r="D1318" t="str">
            <v>V/c phụ kiện các loại vào vị trí cự ly ≤ 300m</v>
          </cell>
          <cell r="E1318" t="str">
            <v>tấn</v>
          </cell>
          <cell r="G1318">
            <v>0</v>
          </cell>
          <cell r="H1318">
            <v>1294333.1000000001</v>
          </cell>
          <cell r="I1318">
            <v>0</v>
          </cell>
        </row>
        <row r="1319">
          <cell r="B1319" t="str">
            <v>VCPK3</v>
          </cell>
          <cell r="C1319" t="str">
            <v>D1.1064</v>
          </cell>
          <cell r="D1319" t="str">
            <v>V/c phụ kiện các loại vào vị trí cự ly ≤ 500m</v>
          </cell>
          <cell r="E1319" t="str">
            <v>tấn</v>
          </cell>
          <cell r="G1319">
            <v>0</v>
          </cell>
          <cell r="H1319">
            <v>1277975</v>
          </cell>
          <cell r="I1319">
            <v>0</v>
          </cell>
        </row>
        <row r="1320">
          <cell r="B1320" t="str">
            <v>VCPK4</v>
          </cell>
          <cell r="C1320" t="str">
            <v>D1.1065</v>
          </cell>
          <cell r="D1320" t="str">
            <v>V/c phụ kiện các loại vào vị trí cự ly &gt;500m</v>
          </cell>
          <cell r="E1320" t="str">
            <v>tấn</v>
          </cell>
          <cell r="G1320">
            <v>0</v>
          </cell>
          <cell r="H1320">
            <v>1263661.7</v>
          </cell>
          <cell r="I1320">
            <v>0</v>
          </cell>
        </row>
        <row r="1321">
          <cell r="B1321" t="str">
            <v>VCCD1</v>
          </cell>
          <cell r="C1321" t="str">
            <v>D1.1072</v>
          </cell>
          <cell r="D1321" t="str">
            <v>V/c cách điện các loại vào vị trí cự ly ≤ 100m</v>
          </cell>
          <cell r="E1321" t="str">
            <v>tấn</v>
          </cell>
          <cell r="G1321">
            <v>0</v>
          </cell>
          <cell r="H1321">
            <v>1809612.6</v>
          </cell>
          <cell r="I1321">
            <v>0</v>
          </cell>
        </row>
        <row r="1322">
          <cell r="B1322" t="str">
            <v>VCCD2</v>
          </cell>
          <cell r="C1322" t="str">
            <v>D1.1073</v>
          </cell>
          <cell r="D1322" t="str">
            <v>V/c cách điện các loại vào vị trí cự ly ≤ 300m</v>
          </cell>
          <cell r="E1322" t="str">
            <v>tấn</v>
          </cell>
          <cell r="G1322">
            <v>0</v>
          </cell>
          <cell r="H1322">
            <v>1699195.6</v>
          </cell>
          <cell r="I1322">
            <v>0</v>
          </cell>
        </row>
        <row r="1323">
          <cell r="B1323" t="str">
            <v>VCCD3</v>
          </cell>
          <cell r="C1323" t="str">
            <v>D1.1074</v>
          </cell>
          <cell r="D1323" t="str">
            <v>V/c cách điện các loại vào vị trí cự ly ≤ 500m</v>
          </cell>
          <cell r="E1323" t="str">
            <v>tấn</v>
          </cell>
          <cell r="G1323">
            <v>0</v>
          </cell>
          <cell r="H1323">
            <v>1676703.2</v>
          </cell>
          <cell r="I1323">
            <v>0</v>
          </cell>
        </row>
        <row r="1324">
          <cell r="B1324" t="str">
            <v>VCCD4</v>
          </cell>
          <cell r="C1324" t="str">
            <v>D1.1075</v>
          </cell>
          <cell r="D1324" t="str">
            <v>V/c cách điện các loại vào vị trí cự ly &gt;500m</v>
          </cell>
          <cell r="E1324" t="str">
            <v>tấn</v>
          </cell>
          <cell r="G1324">
            <v>0</v>
          </cell>
          <cell r="H1324">
            <v>1660345.1</v>
          </cell>
          <cell r="I1324">
            <v>0</v>
          </cell>
        </row>
        <row r="1325">
          <cell r="B1325" t="str">
            <v>VCDD1</v>
          </cell>
          <cell r="C1325" t="str">
            <v>D1.1082</v>
          </cell>
          <cell r="D1325" t="str">
            <v>V/c dây dẫn điện, dây cáp các loại vào vị trí cự ly ≤ 100m</v>
          </cell>
          <cell r="E1325" t="str">
            <v>tấn</v>
          </cell>
          <cell r="G1325">
            <v>0</v>
          </cell>
          <cell r="H1325">
            <v>1392481.6</v>
          </cell>
          <cell r="I1325">
            <v>0</v>
          </cell>
        </row>
        <row r="1326">
          <cell r="B1326" t="str">
            <v>VCDD2</v>
          </cell>
          <cell r="C1326" t="str">
            <v>D1.1083</v>
          </cell>
          <cell r="D1326" t="str">
            <v>V/c dây dẫn điện, dây cáp các loại vào vị trí cự ly ≤ 300m</v>
          </cell>
          <cell r="E1326" t="str">
            <v>tấn</v>
          </cell>
          <cell r="G1326">
            <v>0</v>
          </cell>
          <cell r="H1326">
            <v>1304556.8999999999</v>
          </cell>
          <cell r="I1326">
            <v>0</v>
          </cell>
        </row>
        <row r="1327">
          <cell r="B1327" t="str">
            <v>VCDD3</v>
          </cell>
          <cell r="C1327" t="str">
            <v>D1.1084</v>
          </cell>
          <cell r="D1327" t="str">
            <v>V/c dây dẫn điện, dây cáp các loại vào vị trí cự ly ≤ 500m</v>
          </cell>
          <cell r="E1327" t="str">
            <v>tấn</v>
          </cell>
          <cell r="G1327">
            <v>0</v>
          </cell>
          <cell r="H1327">
            <v>1290243.6000000001</v>
          </cell>
          <cell r="I1327">
            <v>0</v>
          </cell>
        </row>
        <row r="1328">
          <cell r="B1328" t="str">
            <v>VCDD4</v>
          </cell>
          <cell r="C1328" t="str">
            <v>D1.1085</v>
          </cell>
          <cell r="D1328" t="str">
            <v>V/c dây dẫn điện, dây cáp các loại vào vị trí cự ly &gt;500m</v>
          </cell>
          <cell r="E1328" t="str">
            <v>tấn</v>
          </cell>
          <cell r="G1328">
            <v>0</v>
          </cell>
          <cell r="H1328">
            <v>1277975</v>
          </cell>
          <cell r="I1328">
            <v>0</v>
          </cell>
        </row>
        <row r="1329">
          <cell r="B1329" t="str">
            <v>VCBTDS1</v>
          </cell>
          <cell r="C1329" t="str">
            <v>D1.1092</v>
          </cell>
          <cell r="D1329" t="str">
            <v>V/c cấu kiện bê tông đúc sẳn vào vị trí (cự ly ≤ 100m)</v>
          </cell>
          <cell r="E1329" t="str">
            <v>tấn</v>
          </cell>
          <cell r="G1329">
            <v>0</v>
          </cell>
          <cell r="H1329">
            <v>1253437.8999999999</v>
          </cell>
          <cell r="I1329">
            <v>0</v>
          </cell>
        </row>
        <row r="1330">
          <cell r="B1330" t="str">
            <v>VCBTDS2</v>
          </cell>
          <cell r="C1330" t="str">
            <v>D1.1093</v>
          </cell>
          <cell r="D1330" t="str">
            <v>V/c cấu kiện bê tông đúc sẳn vào vị trí (cự ly ≤ 300m)</v>
          </cell>
          <cell r="E1330" t="str">
            <v>tấn</v>
          </cell>
          <cell r="G1330">
            <v>0</v>
          </cell>
          <cell r="H1330">
            <v>1175737</v>
          </cell>
          <cell r="I1330">
            <v>0</v>
          </cell>
        </row>
        <row r="1331">
          <cell r="B1331" t="str">
            <v>VCBTDS3</v>
          </cell>
          <cell r="C1331" t="str">
            <v>D1.1094</v>
          </cell>
          <cell r="D1331" t="str">
            <v>V/c cấu kiện bê tông đúc sẳn vào vị trí (cự ly ≤ 500m)</v>
          </cell>
          <cell r="E1331" t="str">
            <v>tấn</v>
          </cell>
          <cell r="G1331">
            <v>0</v>
          </cell>
          <cell r="H1331">
            <v>1161423.7</v>
          </cell>
          <cell r="I1331">
            <v>0</v>
          </cell>
        </row>
        <row r="1332">
          <cell r="B1332" t="str">
            <v>VCBTDS4</v>
          </cell>
          <cell r="C1332" t="str">
            <v>D1.1095</v>
          </cell>
          <cell r="D1332" t="str">
            <v>V/c cấu kiện bê tông đúc sẳn vào vị trí (cự ly &gt; 500m)</v>
          </cell>
          <cell r="E1332" t="str">
            <v>tấn</v>
          </cell>
          <cell r="G1332">
            <v>0</v>
          </cell>
          <cell r="H1332">
            <v>1149155.1000000001</v>
          </cell>
          <cell r="I1332">
            <v>0</v>
          </cell>
        </row>
        <row r="1333">
          <cell r="B1333" t="str">
            <v>VCCOTBT1</v>
          </cell>
          <cell r="C1333" t="str">
            <v>D1.1102</v>
          </cell>
          <cell r="D1333" t="str">
            <v>V/c cột bê tông vào vị trí (cự ly ≤ 100m)</v>
          </cell>
          <cell r="E1333" t="str">
            <v>tấn</v>
          </cell>
          <cell r="G1333">
            <v>0</v>
          </cell>
          <cell r="H1333">
            <v>1948656.3</v>
          </cell>
          <cell r="I1333">
            <v>0</v>
          </cell>
        </row>
        <row r="1334">
          <cell r="B1334" t="str">
            <v>VCCOTBT2</v>
          </cell>
          <cell r="C1334" t="str">
            <v>D1.1103</v>
          </cell>
          <cell r="D1334" t="str">
            <v>V/c cột bê tông vào vị trí (cự ly ≤ 300m)</v>
          </cell>
          <cell r="E1334" t="str">
            <v>tấn</v>
          </cell>
          <cell r="G1334">
            <v>0</v>
          </cell>
          <cell r="H1334">
            <v>1830060.2</v>
          </cell>
          <cell r="I1334">
            <v>0</v>
          </cell>
        </row>
        <row r="1335">
          <cell r="B1335" t="str">
            <v>VCCOTBT3</v>
          </cell>
          <cell r="C1335" t="str">
            <v>D1.1104</v>
          </cell>
          <cell r="D1335" t="str">
            <v>V/c cột bê tông vào vị trí (cự ly ≤ 500m)</v>
          </cell>
          <cell r="E1335" t="str">
            <v>tấn</v>
          </cell>
          <cell r="G1335">
            <v>0</v>
          </cell>
          <cell r="H1335">
            <v>1805523.1</v>
          </cell>
          <cell r="I1335">
            <v>0</v>
          </cell>
        </row>
        <row r="1336">
          <cell r="B1336" t="str">
            <v>VCCOTBT4</v>
          </cell>
          <cell r="C1336" t="str">
            <v>D1.1105</v>
          </cell>
          <cell r="D1336" t="str">
            <v>V/c cột bê tông vào vị trí (cự ly &gt; 500m)</v>
          </cell>
          <cell r="E1336" t="str">
            <v>tấn</v>
          </cell>
          <cell r="G1336">
            <v>0</v>
          </cell>
          <cell r="H1336">
            <v>1789165</v>
          </cell>
          <cell r="I1336">
            <v>0</v>
          </cell>
        </row>
        <row r="1337">
          <cell r="B1337" t="str">
            <v>VCBTU1</v>
          </cell>
          <cell r="C1337" t="str">
            <v>D1.1112</v>
          </cell>
          <cell r="D1337" t="str">
            <v>V/c bitum vào vị trí (cự ly ≤ 100m)</v>
          </cell>
          <cell r="E1337" t="str">
            <v>tấn</v>
          </cell>
          <cell r="G1337">
            <v>0</v>
          </cell>
          <cell r="H1337">
            <v>871067.8</v>
          </cell>
          <cell r="I1337">
            <v>0</v>
          </cell>
        </row>
        <row r="1338">
          <cell r="B1338" t="str">
            <v>VCBTU2</v>
          </cell>
          <cell r="C1338" t="str">
            <v>D1.1113</v>
          </cell>
          <cell r="D1338" t="str">
            <v>V/c bitum vào vị trí (cự ly ≤ 300m)</v>
          </cell>
          <cell r="E1338" t="str">
            <v>tấn</v>
          </cell>
          <cell r="G1338">
            <v>0</v>
          </cell>
          <cell r="H1338">
            <v>789277.4</v>
          </cell>
          <cell r="I1338">
            <v>0</v>
          </cell>
        </row>
        <row r="1339">
          <cell r="B1339" t="str">
            <v>VCBTU3</v>
          </cell>
          <cell r="C1339" t="str">
            <v>D1.1114</v>
          </cell>
          <cell r="D1339" t="str">
            <v>V/c bitum vào vị trí (cự ly ≤ 500m)</v>
          </cell>
          <cell r="E1339" t="str">
            <v>tấn</v>
          </cell>
          <cell r="G1339">
            <v>0</v>
          </cell>
          <cell r="H1339">
            <v>772919.3</v>
          </cell>
          <cell r="I1339">
            <v>0</v>
          </cell>
        </row>
        <row r="1340">
          <cell r="B1340" t="str">
            <v>VCBTU4</v>
          </cell>
          <cell r="C1340" t="str">
            <v>D1.1115</v>
          </cell>
          <cell r="D1340" t="str">
            <v>V/c bitum vào vị trí (cự ly &gt; 500m)</v>
          </cell>
          <cell r="E1340" t="str">
            <v>tấn</v>
          </cell>
          <cell r="G1340">
            <v>0</v>
          </cell>
          <cell r="H1340">
            <v>762695.5</v>
          </cell>
          <cell r="I1340">
            <v>0</v>
          </cell>
        </row>
        <row r="1341">
          <cell r="B1341" t="str">
            <v>KHONG</v>
          </cell>
        </row>
        <row r="1342">
          <cell r="B1342" t="str">
            <v>BẢNG KÊ ĐƠN GIÁ VT VÀ NHÂN CÔNG PHẦN TRẠM BIẾN ÁP
( 286/NLDK/QĐ-BCN)</v>
          </cell>
        </row>
        <row r="1343">
          <cell r="B1343" t="str">
            <v>KHONG</v>
          </cell>
        </row>
        <row r="1344">
          <cell r="B1344" t="str">
            <v>MÃ</v>
          </cell>
          <cell r="C1344" t="str">
            <v>MHĐG</v>
          </cell>
          <cell r="D1344" t="str">
            <v>CÔNG VIỆC</v>
          </cell>
          <cell r="E1344" t="str">
            <v>ĐƠN VỊ</v>
          </cell>
          <cell r="G1344" t="str">
            <v>VL</v>
          </cell>
          <cell r="H1344" t="str">
            <v>NC</v>
          </cell>
          <cell r="I1344" t="str">
            <v>MTC</v>
          </cell>
          <cell r="J1344" t="str">
            <v>GHI CHÚ</v>
          </cell>
        </row>
        <row r="1345">
          <cell r="B1345" t="str">
            <v>1*</v>
          </cell>
          <cell r="C1345">
            <v>2</v>
          </cell>
          <cell r="D1345">
            <v>3</v>
          </cell>
          <cell r="E1345">
            <v>4</v>
          </cell>
          <cell r="G1345">
            <v>6</v>
          </cell>
          <cell r="H1345">
            <v>7</v>
          </cell>
          <cell r="I1345">
            <v>8</v>
          </cell>
          <cell r="J1345">
            <v>9</v>
          </cell>
        </row>
        <row r="1346">
          <cell r="B1346" t="str">
            <v>MAÙY BIEÁN AÙP</v>
          </cell>
        </row>
        <row r="1347">
          <cell r="B1347" t="str">
            <v>12700/220</v>
          </cell>
        </row>
        <row r="1348">
          <cell r="B1348" t="str">
            <v>TR01</v>
          </cell>
          <cell r="C1348" t="str">
            <v>T1.1431</v>
          </cell>
          <cell r="D1348" t="str">
            <v>Máy biến áp 1P loại 12,7/0,22kV- 1kVA</v>
          </cell>
          <cell r="E1348" t="str">
            <v>máy</v>
          </cell>
          <cell r="F1348">
            <v>13000000</v>
          </cell>
          <cell r="G1348">
            <v>972468</v>
          </cell>
          <cell r="H1348">
            <v>656432.5</v>
          </cell>
          <cell r="I1348">
            <v>470972.8</v>
          </cell>
          <cell r="J1348" t="str">
            <v>ĐM286</v>
          </cell>
        </row>
        <row r="1349">
          <cell r="B1349" t="str">
            <v>TR101</v>
          </cell>
          <cell r="C1349" t="str">
            <v>T1.1431</v>
          </cell>
          <cell r="D1349" t="str">
            <v>Máy biến áp 1P loại 12,7/0,22kV- 10kVA</v>
          </cell>
          <cell r="E1349" t="str">
            <v>máy</v>
          </cell>
          <cell r="F1349">
            <v>0</v>
          </cell>
          <cell r="G1349">
            <v>972468</v>
          </cell>
          <cell r="H1349">
            <v>656432.5</v>
          </cell>
          <cell r="I1349">
            <v>470972.8</v>
          </cell>
          <cell r="J1349" t="str">
            <v>ĐM286</v>
          </cell>
        </row>
        <row r="1350">
          <cell r="B1350" t="str">
            <v>TR151</v>
          </cell>
          <cell r="C1350" t="str">
            <v>T1.1431</v>
          </cell>
          <cell r="D1350" t="str">
            <v>Máy biến áp 1P loại 12,7/0,22kV- 15kVA</v>
          </cell>
          <cell r="E1350" t="str">
            <v>máy</v>
          </cell>
          <cell r="F1350">
            <v>0</v>
          </cell>
          <cell r="G1350">
            <v>972468</v>
          </cell>
          <cell r="H1350">
            <v>656432.5</v>
          </cell>
          <cell r="I1350">
            <v>470972.8</v>
          </cell>
          <cell r="J1350" t="str">
            <v>ĐM286</v>
          </cell>
        </row>
        <row r="1351">
          <cell r="B1351" t="str">
            <v>TR251</v>
          </cell>
          <cell r="C1351" t="str">
            <v>T1.1431</v>
          </cell>
          <cell r="D1351" t="str">
            <v>Máy biến áp 1P loại 12,7/0,22kV- 255kVA (Amorphous)</v>
          </cell>
          <cell r="E1351" t="str">
            <v>máy</v>
          </cell>
          <cell r="F1351">
            <v>40299000</v>
          </cell>
          <cell r="G1351">
            <v>972468</v>
          </cell>
          <cell r="H1351">
            <v>656432.5</v>
          </cell>
          <cell r="I1351">
            <v>470972.8</v>
          </cell>
          <cell r="J1351" t="str">
            <v>"</v>
          </cell>
        </row>
        <row r="1352">
          <cell r="B1352" t="str">
            <v>TR371</v>
          </cell>
          <cell r="C1352" t="str">
            <v>T1.1432</v>
          </cell>
          <cell r="D1352" t="str">
            <v>Máy biến áp 1P loại 12,7/0,22kV- 37,5kVA (Amorphous)</v>
          </cell>
          <cell r="E1352" t="str">
            <v>máy</v>
          </cell>
          <cell r="F1352">
            <v>49810000</v>
          </cell>
          <cell r="G1352">
            <v>980577</v>
          </cell>
          <cell r="H1352">
            <v>757200.7</v>
          </cell>
          <cell r="I1352">
            <v>470972.8</v>
          </cell>
          <cell r="J1352" t="str">
            <v>"</v>
          </cell>
        </row>
        <row r="1353">
          <cell r="B1353" t="str">
            <v>TR501A</v>
          </cell>
          <cell r="C1353" t="str">
            <v>T1.1432</v>
          </cell>
          <cell r="D1353" t="str">
            <v>Máy biến áp 1P loại 12,7/0,22kV- 50kVA (Amorphous)</v>
          </cell>
          <cell r="E1353" t="str">
            <v>máy</v>
          </cell>
          <cell r="F1353">
            <v>56300000</v>
          </cell>
          <cell r="G1353">
            <v>980577</v>
          </cell>
          <cell r="H1353">
            <v>757200.7</v>
          </cell>
          <cell r="I1353">
            <v>470972.8</v>
          </cell>
          <cell r="J1353" t="str">
            <v>"</v>
          </cell>
        </row>
        <row r="1354">
          <cell r="B1354" t="str">
            <v>TR751A</v>
          </cell>
          <cell r="C1354" t="str">
            <v>T1.1433</v>
          </cell>
          <cell r="D1354" t="str">
            <v>Máy biến áp 1P loại 12,7/0,22kV- 75kVA (Amorphous)</v>
          </cell>
          <cell r="E1354" t="str">
            <v>máy</v>
          </cell>
          <cell r="F1354">
            <v>74500000</v>
          </cell>
          <cell r="G1354">
            <v>994653</v>
          </cell>
          <cell r="H1354">
            <v>1007681.5</v>
          </cell>
          <cell r="I1354">
            <v>470972.8</v>
          </cell>
          <cell r="J1354" t="str">
            <v>"</v>
          </cell>
        </row>
        <row r="1355">
          <cell r="B1355" t="str">
            <v>TR501</v>
          </cell>
          <cell r="C1355" t="str">
            <v>T1.1432</v>
          </cell>
          <cell r="D1355" t="str">
            <v>Máy biến áp 1P loại 12,7/0,22kV- 50kVA (Amorphous)</v>
          </cell>
          <cell r="E1355" t="str">
            <v>máy</v>
          </cell>
          <cell r="F1355">
            <v>56300000</v>
          </cell>
          <cell r="G1355">
            <v>980577</v>
          </cell>
          <cell r="H1355">
            <v>757200.7</v>
          </cell>
          <cell r="I1355">
            <v>470972.8</v>
          </cell>
          <cell r="J1355" t="str">
            <v>"</v>
          </cell>
        </row>
        <row r="1356">
          <cell r="B1356" t="str">
            <v>TR751</v>
          </cell>
          <cell r="C1356" t="str">
            <v>T1.1433</v>
          </cell>
          <cell r="D1356" t="str">
            <v>Máy biến áp 1P loại 12,7/0,22kV- 75kVA (Amorphous)</v>
          </cell>
          <cell r="E1356" t="str">
            <v>máy</v>
          </cell>
          <cell r="F1356">
            <v>74500000</v>
          </cell>
          <cell r="G1356">
            <v>994653</v>
          </cell>
          <cell r="H1356">
            <v>1007681.5</v>
          </cell>
          <cell r="I1356">
            <v>470972.8</v>
          </cell>
          <cell r="J1356" t="str">
            <v>"</v>
          </cell>
        </row>
        <row r="1357">
          <cell r="B1357" t="str">
            <v>8600-12700/220</v>
          </cell>
        </row>
        <row r="1358">
          <cell r="B1358" t="str">
            <v>TR15</v>
          </cell>
          <cell r="C1358" t="str">
            <v>T1.1431</v>
          </cell>
          <cell r="D1358" t="str">
            <v>Máy biến áp 1P loại 8,6(12,7)/0,22kV - 15kVA</v>
          </cell>
          <cell r="E1358" t="str">
            <v>máy</v>
          </cell>
          <cell r="F1358">
            <v>0</v>
          </cell>
          <cell r="G1358">
            <v>953400</v>
          </cell>
          <cell r="H1358">
            <v>587284.69999999995</v>
          </cell>
          <cell r="I1358">
            <v>438658</v>
          </cell>
          <cell r="J1358" t="str">
            <v>ĐM286</v>
          </cell>
        </row>
        <row r="1359">
          <cell r="B1359" t="str">
            <v>TR25</v>
          </cell>
          <cell r="C1359" t="str">
            <v>T1.1431</v>
          </cell>
          <cell r="D1359" t="str">
            <v>Máy biến áp 1P loại 8,6(12,7)/0,22kV- 25kVA</v>
          </cell>
          <cell r="E1359" t="str">
            <v>máy</v>
          </cell>
          <cell r="F1359">
            <v>0</v>
          </cell>
          <cell r="G1359">
            <v>953400</v>
          </cell>
          <cell r="H1359">
            <v>587284.69999999995</v>
          </cell>
          <cell r="I1359">
            <v>438658</v>
          </cell>
          <cell r="J1359" t="str">
            <v>"</v>
          </cell>
        </row>
        <row r="1360">
          <cell r="B1360" t="str">
            <v>TR37</v>
          </cell>
          <cell r="C1360" t="str">
            <v>T1.1432</v>
          </cell>
          <cell r="D1360" t="str">
            <v>Máy biến áp 1P loại 8,6(12,7)/0,22kV-37,5kVA</v>
          </cell>
          <cell r="E1360" t="str">
            <v>máy</v>
          </cell>
          <cell r="F1360">
            <v>0</v>
          </cell>
          <cell r="G1360">
            <v>961350</v>
          </cell>
          <cell r="H1360">
            <v>677438</v>
          </cell>
          <cell r="I1360">
            <v>438658</v>
          </cell>
          <cell r="J1360" t="str">
            <v>"</v>
          </cell>
        </row>
        <row r="1361">
          <cell r="B1361" t="str">
            <v>TR50</v>
          </cell>
          <cell r="C1361" t="str">
            <v>T1.1432</v>
          </cell>
          <cell r="D1361" t="str">
            <v>Máy biến áp 1P loại 8,6(12,7)/0,22kV- 50kVA</v>
          </cell>
          <cell r="E1361" t="str">
            <v>máy</v>
          </cell>
          <cell r="F1361">
            <v>0</v>
          </cell>
          <cell r="G1361">
            <v>961350</v>
          </cell>
          <cell r="H1361">
            <v>677438</v>
          </cell>
          <cell r="I1361">
            <v>438658</v>
          </cell>
          <cell r="J1361" t="str">
            <v>"</v>
          </cell>
        </row>
        <row r="1362">
          <cell r="B1362" t="str">
            <v>TR75</v>
          </cell>
          <cell r="C1362" t="str">
            <v>T1.1433</v>
          </cell>
          <cell r="D1362" t="str">
            <v>Máy biến áp 1P loại 8,6(12,7)/0,22kV- 75kVA</v>
          </cell>
          <cell r="E1362" t="str">
            <v>máy</v>
          </cell>
          <cell r="F1362">
            <v>0</v>
          </cell>
          <cell r="G1362">
            <v>975150</v>
          </cell>
          <cell r="H1362">
            <v>901533.5</v>
          </cell>
          <cell r="I1362">
            <v>438658</v>
          </cell>
          <cell r="J1362" t="str">
            <v>"</v>
          </cell>
        </row>
        <row r="1363">
          <cell r="B1363" t="str">
            <v>15000/400</v>
          </cell>
        </row>
        <row r="1364">
          <cell r="B1364" t="str">
            <v>TR1001</v>
          </cell>
          <cell r="C1364" t="str">
            <v>T1.1421</v>
          </cell>
          <cell r="D1364" t="str">
            <v>Máy biến áp 3P loại 15/0,4kV- 100kVA</v>
          </cell>
          <cell r="E1364" t="str">
            <v>máy</v>
          </cell>
          <cell r="G1364">
            <v>972468</v>
          </cell>
          <cell r="H1364">
            <v>806145.2</v>
          </cell>
          <cell r="I1364">
            <v>470972.8</v>
          </cell>
          <cell r="J1364" t="str">
            <v>ĐM286</v>
          </cell>
        </row>
        <row r="1365">
          <cell r="B1365" t="str">
            <v>TR1601</v>
          </cell>
          <cell r="C1365" t="str">
            <v>T1.1424</v>
          </cell>
          <cell r="D1365" t="str">
            <v>Máy biến áp 3P loại 22/0,4kV Amorphous- 160kVA  (Amorphous)</v>
          </cell>
          <cell r="E1365" t="str">
            <v>máy</v>
          </cell>
          <cell r="F1365">
            <v>136900000</v>
          </cell>
          <cell r="G1365">
            <v>2976737.094</v>
          </cell>
          <cell r="H1365">
            <v>1309985.95</v>
          </cell>
          <cell r="I1365">
            <v>425969.96</v>
          </cell>
          <cell r="J1365" t="str">
            <v>"</v>
          </cell>
        </row>
        <row r="1366">
          <cell r="B1366" t="str">
            <v>TR2501</v>
          </cell>
          <cell r="C1366" t="str">
            <v>T1.1425</v>
          </cell>
          <cell r="D1366" t="str">
            <v>Máy biến áp 3P loại 22/0,4kV Amorphous- 250kVA  (Amorphous)</v>
          </cell>
          <cell r="E1366" t="str">
            <v>máy</v>
          </cell>
          <cell r="F1366">
            <v>194150000</v>
          </cell>
          <cell r="G1366">
            <v>2976737.094</v>
          </cell>
          <cell r="H1366">
            <v>1531675.8800000001</v>
          </cell>
          <cell r="I1366">
            <v>540654.18000000005</v>
          </cell>
          <cell r="J1366" t="str">
            <v>"</v>
          </cell>
        </row>
        <row r="1367">
          <cell r="B1367" t="str">
            <v>TR3201</v>
          </cell>
          <cell r="C1367" t="str">
            <v>T1.1425</v>
          </cell>
          <cell r="D1367" t="str">
            <v xml:space="preserve">Máy biến áp 3P loại 22/0,4kV Amorphous- 320kVA </v>
          </cell>
          <cell r="E1367" t="str">
            <v>máy</v>
          </cell>
          <cell r="F1367">
            <v>267800000</v>
          </cell>
          <cell r="G1367">
            <v>994653</v>
          </cell>
          <cell r="H1367">
            <v>1531675.9</v>
          </cell>
          <cell r="I1367">
            <v>597773.19999999995</v>
          </cell>
          <cell r="J1367" t="str">
            <v>"</v>
          </cell>
        </row>
        <row r="1368">
          <cell r="B1368" t="str">
            <v>TR4001</v>
          </cell>
          <cell r="C1368" t="str">
            <v>T1.1426</v>
          </cell>
          <cell r="D1368" t="str">
            <v xml:space="preserve">Máy biến áp 3P loại 22/0,4kV Amorphous- 400kVA </v>
          </cell>
          <cell r="E1368" t="str">
            <v>máy</v>
          </cell>
          <cell r="F1368">
            <v>313100000</v>
          </cell>
          <cell r="G1368">
            <v>994653</v>
          </cell>
          <cell r="H1368">
            <v>1813826.7</v>
          </cell>
          <cell r="I1368">
            <v>597773.19999999995</v>
          </cell>
          <cell r="J1368" t="str">
            <v>"</v>
          </cell>
        </row>
        <row r="1369">
          <cell r="B1369" t="str">
            <v>TR5601</v>
          </cell>
          <cell r="C1369" t="str">
            <v>T1.1426</v>
          </cell>
          <cell r="D1369" t="str">
            <v>Máy biến áp 3P loại 15/0,4kV- 560kVA</v>
          </cell>
          <cell r="E1369" t="str">
            <v>máy</v>
          </cell>
          <cell r="G1369">
            <v>994653</v>
          </cell>
          <cell r="H1369">
            <v>1813826.7</v>
          </cell>
          <cell r="I1369">
            <v>597773.19999999995</v>
          </cell>
          <cell r="J1369" t="str">
            <v>"</v>
          </cell>
        </row>
        <row r="1370">
          <cell r="B1370" t="str">
            <v>TR6301</v>
          </cell>
          <cell r="C1370" t="str">
            <v>T1.1427</v>
          </cell>
          <cell r="D1370" t="str">
            <v>Máy biến áp 3P loại 15/0,4kV- 630kVA</v>
          </cell>
          <cell r="E1370" t="str">
            <v>máy</v>
          </cell>
          <cell r="G1370">
            <v>994653</v>
          </cell>
          <cell r="H1370">
            <v>1957781.2</v>
          </cell>
          <cell r="I1370">
            <v>652116.19999999995</v>
          </cell>
          <cell r="J1370" t="str">
            <v>"</v>
          </cell>
        </row>
        <row r="1371">
          <cell r="B1371" t="str">
            <v>TR10001</v>
          </cell>
          <cell r="C1371" t="str">
            <v>T1.1428</v>
          </cell>
          <cell r="D1371" t="str">
            <v>Máy biến áp 3P loại 15/0,4kV- 1000kVA</v>
          </cell>
          <cell r="E1371" t="str">
            <v>máy</v>
          </cell>
          <cell r="G1371">
            <v>994653</v>
          </cell>
          <cell r="H1371">
            <v>2116131.2000000002</v>
          </cell>
          <cell r="I1371">
            <v>706459.3</v>
          </cell>
          <cell r="J1371" t="str">
            <v>"</v>
          </cell>
        </row>
        <row r="1372">
          <cell r="B1372" t="str">
            <v>TR20001</v>
          </cell>
          <cell r="C1372" t="str">
            <v>T1.1428</v>
          </cell>
          <cell r="D1372" t="str">
            <v>Máy biến áp 3P loại 15/0,4kV- 2000kVA</v>
          </cell>
          <cell r="E1372" t="str">
            <v>máy</v>
          </cell>
          <cell r="G1372">
            <v>994653</v>
          </cell>
          <cell r="H1372">
            <v>2116131.2000000002</v>
          </cell>
          <cell r="I1372">
            <v>706459.3</v>
          </cell>
          <cell r="J1372" t="str">
            <v>"</v>
          </cell>
        </row>
        <row r="1373">
          <cell r="B1373" t="str">
            <v>22000/400</v>
          </cell>
        </row>
        <row r="1374">
          <cell r="B1374" t="str">
            <v>TR1002</v>
          </cell>
          <cell r="C1374" t="str">
            <v>T1.1413</v>
          </cell>
          <cell r="D1374" t="str">
            <v>Máy biến áp 3P loại 22/0,4kV- 100kVA</v>
          </cell>
          <cell r="E1374" t="str">
            <v>máy</v>
          </cell>
          <cell r="G1374">
            <v>1033357.5</v>
          </cell>
          <cell r="H1374">
            <v>1220734.2</v>
          </cell>
          <cell r="I1374">
            <v>470972.8</v>
          </cell>
          <cell r="J1374" t="str">
            <v>ĐM286</v>
          </cell>
        </row>
        <row r="1375">
          <cell r="B1375" t="str">
            <v>TR1602</v>
          </cell>
          <cell r="C1375" t="str">
            <v>T1.1414</v>
          </cell>
          <cell r="D1375" t="str">
            <v>Máy biến áp 3P loại 22/0,4kV- 160kVA (Amorphous)</v>
          </cell>
          <cell r="E1375" t="str">
            <v>máy</v>
          </cell>
          <cell r="G1375">
            <v>1033357.5</v>
          </cell>
          <cell r="H1375">
            <v>1430907.7</v>
          </cell>
          <cell r="I1375">
            <v>470972.8</v>
          </cell>
          <cell r="J1375" t="str">
            <v>"</v>
          </cell>
        </row>
        <row r="1376">
          <cell r="B1376" t="str">
            <v>TR1802</v>
          </cell>
          <cell r="C1376" t="str">
            <v>T1.1414</v>
          </cell>
          <cell r="D1376" t="str">
            <v>Máy biến áp 3P loại 22/0,4kV- 180kVA (Amorphous)</v>
          </cell>
          <cell r="E1376" t="str">
            <v>máy</v>
          </cell>
          <cell r="G1376">
            <v>1033357.5</v>
          </cell>
          <cell r="H1376">
            <v>1430907.7</v>
          </cell>
          <cell r="I1376">
            <v>470972.8</v>
          </cell>
          <cell r="J1376" t="str">
            <v>"</v>
          </cell>
        </row>
        <row r="1377">
          <cell r="B1377" t="str">
            <v>TR2502</v>
          </cell>
          <cell r="C1377" t="str">
            <v>T1.1415</v>
          </cell>
          <cell r="D1377" t="str">
            <v>Máy biến áp 3P loại 22/0,4kV- 250kVA (Amorphous)</v>
          </cell>
          <cell r="E1377" t="str">
            <v>máy</v>
          </cell>
          <cell r="G1377">
            <v>1033357.5</v>
          </cell>
          <cell r="H1377">
            <v>1672751.3</v>
          </cell>
          <cell r="I1377">
            <v>597773.19999999995</v>
          </cell>
          <cell r="J1377" t="str">
            <v>"</v>
          </cell>
        </row>
        <row r="1378">
          <cell r="B1378" t="str">
            <v>TR3202</v>
          </cell>
          <cell r="C1378" t="str">
            <v>T1.1415</v>
          </cell>
          <cell r="D1378" t="str">
            <v>Máy biến áp 3P loại 22/0,4kV- 320kVA</v>
          </cell>
          <cell r="E1378" t="str">
            <v>máy</v>
          </cell>
          <cell r="G1378">
            <v>1033357.5</v>
          </cell>
          <cell r="H1378">
            <v>1672751.3</v>
          </cell>
          <cell r="I1378">
            <v>597773.19999999995</v>
          </cell>
          <cell r="J1378" t="str">
            <v>"</v>
          </cell>
        </row>
        <row r="1379">
          <cell r="B1379" t="str">
            <v>TR4002</v>
          </cell>
          <cell r="C1379" t="str">
            <v>T1.1416</v>
          </cell>
          <cell r="D1379" t="str">
            <v>Máy biến áp 3P loại 22/0,4kV- 400kVA</v>
          </cell>
          <cell r="E1379" t="str">
            <v>máy</v>
          </cell>
          <cell r="F1379">
            <v>0</v>
          </cell>
          <cell r="G1379">
            <v>1033357.5</v>
          </cell>
          <cell r="H1379">
            <v>1995209.4</v>
          </cell>
          <cell r="I1379">
            <v>597773.19999999995</v>
          </cell>
          <cell r="J1379" t="str">
            <v>"</v>
          </cell>
        </row>
        <row r="1380">
          <cell r="B1380" t="str">
            <v>TR5602</v>
          </cell>
          <cell r="C1380" t="str">
            <v>T1.1416</v>
          </cell>
          <cell r="D1380" t="str">
            <v>Máy biến áp 3P loại 22/0,4kV- 560kVA</v>
          </cell>
          <cell r="E1380" t="str">
            <v>máy</v>
          </cell>
          <cell r="F1380">
            <v>0</v>
          </cell>
          <cell r="G1380">
            <v>1033357.5</v>
          </cell>
          <cell r="H1380">
            <v>1995209.4</v>
          </cell>
          <cell r="I1380">
            <v>597773.19999999995</v>
          </cell>
          <cell r="J1380" t="str">
            <v>"</v>
          </cell>
        </row>
        <row r="1381">
          <cell r="B1381" t="str">
            <v>TR6302</v>
          </cell>
          <cell r="C1381" t="str">
            <v>T1.1417</v>
          </cell>
          <cell r="D1381" t="str">
            <v>Máy biến áp 3P loại 22/0,4kV- 630kVA</v>
          </cell>
          <cell r="E1381" t="str">
            <v>máy</v>
          </cell>
          <cell r="F1381">
            <v>0</v>
          </cell>
          <cell r="G1381">
            <v>1033357.5</v>
          </cell>
          <cell r="H1381">
            <v>2159317.5</v>
          </cell>
          <cell r="I1381">
            <v>652116.19999999995</v>
          </cell>
          <cell r="J1381" t="str">
            <v>"</v>
          </cell>
        </row>
        <row r="1382">
          <cell r="B1382" t="str">
            <v>TR10002</v>
          </cell>
          <cell r="C1382" t="str">
            <v>T1.1418</v>
          </cell>
          <cell r="D1382" t="str">
            <v>Máy biến áp 3P loại 22/0,4kV- 1000kVA</v>
          </cell>
          <cell r="E1382" t="str">
            <v>máy</v>
          </cell>
          <cell r="F1382">
            <v>0</v>
          </cell>
          <cell r="G1382">
            <v>5758357.5</v>
          </cell>
          <cell r="H1382">
            <v>2317667.5</v>
          </cell>
          <cell r="I1382">
            <v>706459.3</v>
          </cell>
          <cell r="J1382" t="str">
            <v>"</v>
          </cell>
        </row>
        <row r="1383">
          <cell r="B1383" t="str">
            <v>TR20002</v>
          </cell>
          <cell r="C1383" t="str">
            <v>T1.1418</v>
          </cell>
          <cell r="D1383" t="str">
            <v>Máy biến áp 3P loại 22/0,4kV- 2000kVA</v>
          </cell>
          <cell r="E1383" t="str">
            <v>máy</v>
          </cell>
          <cell r="F1383">
            <v>0</v>
          </cell>
          <cell r="G1383">
            <v>5758357.5</v>
          </cell>
          <cell r="H1383">
            <v>2317667.5</v>
          </cell>
          <cell r="I1383">
            <v>706459.3</v>
          </cell>
          <cell r="J1383" t="str">
            <v>"</v>
          </cell>
        </row>
        <row r="1384">
          <cell r="B1384" t="str">
            <v>15000-22000/400</v>
          </cell>
        </row>
        <row r="1385">
          <cell r="B1385" t="str">
            <v>TR100</v>
          </cell>
          <cell r="C1385" t="str">
            <v>T1.1413</v>
          </cell>
          <cell r="D1385" t="str">
            <v>Máy biến áp 3P loại 15(22)/0,4kV- 100kVA</v>
          </cell>
          <cell r="E1385" t="str">
            <v>máy</v>
          </cell>
          <cell r="F1385">
            <v>125000000</v>
          </cell>
          <cell r="G1385">
            <v>1033357.5</v>
          </cell>
          <cell r="H1385">
            <v>1220734.2</v>
          </cell>
          <cell r="I1385">
            <v>470972.8</v>
          </cell>
          <cell r="J1385" t="str">
            <v>ĐM286</v>
          </cell>
        </row>
        <row r="1386">
          <cell r="B1386" t="str">
            <v>TR160</v>
          </cell>
          <cell r="C1386" t="str">
            <v>T1.1414</v>
          </cell>
          <cell r="D1386" t="str">
            <v>Máy biến áp 3P loại 15(22)/0,4kV- 160kVA</v>
          </cell>
          <cell r="E1386" t="str">
            <v>máy</v>
          </cell>
          <cell r="G1386">
            <v>1033357.5</v>
          </cell>
          <cell r="H1386">
            <v>1430907.7</v>
          </cell>
          <cell r="I1386">
            <v>470972.8</v>
          </cell>
          <cell r="J1386" t="str">
            <v>"</v>
          </cell>
        </row>
        <row r="1387">
          <cell r="B1387" t="str">
            <v>TR250</v>
          </cell>
          <cell r="C1387" t="str">
            <v>T1.1415</v>
          </cell>
          <cell r="D1387" t="str">
            <v>Máy biến áp 3P loại 15(22)/0,4kV- 250kVA</v>
          </cell>
          <cell r="E1387" t="str">
            <v>máy</v>
          </cell>
          <cell r="G1387">
            <v>1033357.5</v>
          </cell>
          <cell r="H1387">
            <v>1672751.3</v>
          </cell>
          <cell r="I1387">
            <v>597773.19999999995</v>
          </cell>
          <cell r="J1387" t="str">
            <v>"</v>
          </cell>
        </row>
        <row r="1388">
          <cell r="B1388" t="str">
            <v>TR320</v>
          </cell>
          <cell r="C1388" t="str">
            <v>T1.1415</v>
          </cell>
          <cell r="D1388" t="str">
            <v>Máy biến áp 3P loại 15(22)/0,4kV- 320kVA</v>
          </cell>
          <cell r="E1388" t="str">
            <v>máy</v>
          </cell>
          <cell r="G1388">
            <v>1033357.5</v>
          </cell>
          <cell r="H1388">
            <v>1672751.3</v>
          </cell>
          <cell r="I1388">
            <v>597773.19999999995</v>
          </cell>
          <cell r="J1388" t="str">
            <v>"</v>
          </cell>
        </row>
        <row r="1389">
          <cell r="B1389" t="str">
            <v>TR400</v>
          </cell>
          <cell r="C1389" t="str">
            <v>T1.1416</v>
          </cell>
          <cell r="D1389" t="str">
            <v>Máy biến áp 3P loại 15(22)/0,4kV- 400kVA</v>
          </cell>
          <cell r="E1389" t="str">
            <v>máy</v>
          </cell>
          <cell r="G1389">
            <v>1033357.5</v>
          </cell>
          <cell r="H1389">
            <v>1995209.4</v>
          </cell>
          <cell r="I1389">
            <v>597773.19999999995</v>
          </cell>
          <cell r="J1389" t="str">
            <v>"</v>
          </cell>
        </row>
        <row r="1390">
          <cell r="B1390" t="str">
            <v>TR560</v>
          </cell>
          <cell r="C1390" t="str">
            <v>T1.1416</v>
          </cell>
          <cell r="D1390" t="str">
            <v>Máy biến áp 3P loại 15(22)/0,4kV- 560kVA</v>
          </cell>
          <cell r="E1390" t="str">
            <v>máy</v>
          </cell>
          <cell r="G1390">
            <v>1033357.5</v>
          </cell>
          <cell r="H1390">
            <v>1995209.4</v>
          </cell>
          <cell r="I1390">
            <v>597773.19999999995</v>
          </cell>
          <cell r="J1390" t="str">
            <v>"</v>
          </cell>
        </row>
        <row r="1391">
          <cell r="B1391" t="str">
            <v>TR630</v>
          </cell>
          <cell r="C1391" t="str">
            <v>T1.1417</v>
          </cell>
          <cell r="D1391" t="str">
            <v>Máy biến áp 3P loại 15(22)/0,4kV- 630kVA</v>
          </cell>
          <cell r="E1391" t="str">
            <v>máy</v>
          </cell>
          <cell r="F1391">
            <v>0</v>
          </cell>
          <cell r="G1391">
            <v>1033357.5</v>
          </cell>
          <cell r="H1391">
            <v>2159317.5</v>
          </cell>
          <cell r="I1391">
            <v>652116.19999999995</v>
          </cell>
          <cell r="J1391" t="str">
            <v>"</v>
          </cell>
        </row>
        <row r="1392">
          <cell r="B1392" t="str">
            <v>TR1000</v>
          </cell>
          <cell r="C1392" t="str">
            <v>T1.1418</v>
          </cell>
          <cell r="D1392" t="str">
            <v>Máy biến áp 3P loại 15(22)/0,4kV- 1000kVA</v>
          </cell>
          <cell r="E1392" t="str">
            <v>máy</v>
          </cell>
          <cell r="F1392">
            <v>0</v>
          </cell>
          <cell r="G1392">
            <v>5758357.5</v>
          </cell>
          <cell r="H1392">
            <v>2317667.5</v>
          </cell>
          <cell r="I1392">
            <v>706459.3</v>
          </cell>
          <cell r="J1392" t="str">
            <v>"</v>
          </cell>
        </row>
        <row r="1393">
          <cell r="B1393" t="str">
            <v>TR2000</v>
          </cell>
          <cell r="C1393" t="str">
            <v>T1.1418</v>
          </cell>
          <cell r="D1393" t="str">
            <v>Máy biến áp 3P loại 15(22)/0,4kV- 2000kVA</v>
          </cell>
          <cell r="E1393" t="str">
            <v>máy</v>
          </cell>
          <cell r="F1393">
            <v>0</v>
          </cell>
          <cell r="G1393">
            <v>5758357.5</v>
          </cell>
          <cell r="H1393">
            <v>2317667.5</v>
          </cell>
          <cell r="I1393">
            <v>706459.3</v>
          </cell>
          <cell r="J1393" t="str">
            <v>"</v>
          </cell>
        </row>
        <row r="1394">
          <cell r="B1394" t="str">
            <v>MAÙY BIEÁN ÑIEÄN AÙP</v>
          </cell>
        </row>
        <row r="1395">
          <cell r="B1395" t="str">
            <v>TU7212</v>
          </cell>
          <cell r="C1395" t="str">
            <v>T2.1104</v>
          </cell>
          <cell r="D1395" t="str">
            <v>TU 7200/120V 1PO.D</v>
          </cell>
          <cell r="E1395" t="str">
            <v>bộ</v>
          </cell>
          <cell r="F1395">
            <v>5166534</v>
          </cell>
          <cell r="G1395">
            <v>16483.333333333332</v>
          </cell>
          <cell r="H1395">
            <v>236774</v>
          </cell>
          <cell r="I1395">
            <v>112476.40000000001</v>
          </cell>
          <cell r="J1395" t="str">
            <v>ĐM286</v>
          </cell>
        </row>
        <row r="1396">
          <cell r="B1396" t="str">
            <v>TU12612</v>
          </cell>
          <cell r="C1396" t="str">
            <v>T2.1104</v>
          </cell>
          <cell r="D1396" t="str">
            <v>TU 8400-12600/120V 1P O.D</v>
          </cell>
          <cell r="E1396" t="str">
            <v>bộ</v>
          </cell>
          <cell r="F1396">
            <v>4644000</v>
          </cell>
          <cell r="G1396">
            <v>16483.333333333332</v>
          </cell>
          <cell r="H1396">
            <v>236774</v>
          </cell>
          <cell r="I1396">
            <v>112476.40000000001</v>
          </cell>
          <cell r="J1396" t="str">
            <v>"</v>
          </cell>
        </row>
        <row r="1397">
          <cell r="B1397" t="str">
            <v>TU8412</v>
          </cell>
          <cell r="C1397" t="str">
            <v>T2.1104</v>
          </cell>
          <cell r="D1397" t="str">
            <v>TU 8400/120V 1P O.D</v>
          </cell>
          <cell r="E1397" t="str">
            <v>bộ</v>
          </cell>
          <cell r="F1397">
            <v>4350000</v>
          </cell>
          <cell r="G1397">
            <v>16483.333333333332</v>
          </cell>
          <cell r="H1397">
            <v>236774</v>
          </cell>
          <cell r="I1397">
            <v>112476.40000000001</v>
          </cell>
          <cell r="J1397" t="str">
            <v>"</v>
          </cell>
        </row>
        <row r="1398">
          <cell r="B1398" t="str">
            <v>TU14412</v>
          </cell>
          <cell r="C1398" t="str">
            <v>T2.1104</v>
          </cell>
          <cell r="D1398" t="str">
            <v>Biến điện áp (PT) cấp nguồn tủ ĐK LBS/REC 12,7/0,22kV-1000VA: 1 bộ/vị trí</v>
          </cell>
          <cell r="E1398" t="str">
            <v>bộ</v>
          </cell>
          <cell r="F1398">
            <v>19980600</v>
          </cell>
          <cell r="G1398">
            <v>66716.895000000004</v>
          </cell>
          <cell r="H1398">
            <v>793953</v>
          </cell>
          <cell r="I1398">
            <v>327669.2</v>
          </cell>
          <cell r="J1398" t="str">
            <v>"</v>
          </cell>
        </row>
        <row r="1399">
          <cell r="B1399" t="str">
            <v>MAÙY BIEÁN DOØNG ÑIEÄN HAÏ THEÁ</v>
          </cell>
        </row>
        <row r="1400">
          <cell r="B1400" t="str">
            <v>TI505</v>
          </cell>
          <cell r="C1400" t="str">
            <v>T2.1205</v>
          </cell>
          <cell r="D1400" t="str">
            <v>TI HT 50/5A O.D</v>
          </cell>
          <cell r="E1400" t="str">
            <v>cái</v>
          </cell>
          <cell r="G1400">
            <v>9450</v>
          </cell>
          <cell r="H1400">
            <v>211720.80000000002</v>
          </cell>
          <cell r="I1400">
            <v>120762.26666666666</v>
          </cell>
          <cell r="J1400" t="str">
            <v>0,35xLNC(4/7)</v>
          </cell>
        </row>
        <row r="1401">
          <cell r="B1401" t="str">
            <v>TI755</v>
          </cell>
          <cell r="C1401" t="str">
            <v>T2.1205</v>
          </cell>
          <cell r="D1401" t="str">
            <v>TI HT 75/5A O.D</v>
          </cell>
          <cell r="E1401" t="str">
            <v>cái</v>
          </cell>
          <cell r="F1401">
            <v>362570</v>
          </cell>
          <cell r="G1401">
            <v>9450</v>
          </cell>
          <cell r="H1401">
            <v>211720.80000000002</v>
          </cell>
          <cell r="I1401">
            <v>120762.26666666666</v>
          </cell>
          <cell r="J1401" t="str">
            <v>0,35xLNC(4/7)</v>
          </cell>
        </row>
        <row r="1402">
          <cell r="B1402" t="str">
            <v>TI1005</v>
          </cell>
          <cell r="C1402" t="str">
            <v>T2.1205</v>
          </cell>
          <cell r="D1402" t="str">
            <v>TI HT 100/5A</v>
          </cell>
          <cell r="E1402" t="str">
            <v>cái</v>
          </cell>
          <cell r="F1402">
            <v>347361</v>
          </cell>
          <cell r="G1402">
            <v>9450</v>
          </cell>
          <cell r="H1402">
            <v>211720.80000000002</v>
          </cell>
          <cell r="I1402">
            <v>120762.26666666666</v>
          </cell>
          <cell r="J1402" t="str">
            <v>0,65xLNC(4/7)</v>
          </cell>
        </row>
        <row r="1403">
          <cell r="B1403" t="str">
            <v>TI1255</v>
          </cell>
          <cell r="C1403" t="str">
            <v>T2.1205</v>
          </cell>
          <cell r="D1403" t="str">
            <v>TI HT 125/5A O.D</v>
          </cell>
          <cell r="E1403" t="str">
            <v>cái</v>
          </cell>
          <cell r="F1403">
            <v>347361</v>
          </cell>
          <cell r="G1403">
            <v>9450</v>
          </cell>
          <cell r="H1403">
            <v>211720.80000000002</v>
          </cell>
          <cell r="I1403">
            <v>120762.26666666666</v>
          </cell>
          <cell r="J1403" t="str">
            <v>0,65xLNC(4/7)</v>
          </cell>
        </row>
        <row r="1404">
          <cell r="B1404" t="str">
            <v>TI1505</v>
          </cell>
          <cell r="C1404" t="str">
            <v>T2.1205</v>
          </cell>
          <cell r="D1404" t="str">
            <v>TI HT 150/5A</v>
          </cell>
          <cell r="E1404" t="str">
            <v>cái</v>
          </cell>
          <cell r="F1404">
            <v>318878</v>
          </cell>
          <cell r="G1404">
            <v>9450</v>
          </cell>
          <cell r="H1404">
            <v>211720.80000000002</v>
          </cell>
          <cell r="I1404">
            <v>120762.26666666666</v>
          </cell>
          <cell r="J1404" t="str">
            <v>1,2xLNC(4/7)</v>
          </cell>
        </row>
        <row r="1405">
          <cell r="B1405" t="str">
            <v>TI2005</v>
          </cell>
          <cell r="C1405" t="str">
            <v>T2.1205</v>
          </cell>
          <cell r="D1405" t="str">
            <v>TI HT 200/5A</v>
          </cell>
          <cell r="E1405" t="str">
            <v>cái</v>
          </cell>
          <cell r="F1405">
            <v>322932</v>
          </cell>
          <cell r="G1405">
            <v>9450</v>
          </cell>
          <cell r="H1405">
            <v>211720.80000000002</v>
          </cell>
          <cell r="I1405">
            <v>120762.26666666666</v>
          </cell>
          <cell r="J1405" t="str">
            <v>__"__</v>
          </cell>
        </row>
        <row r="1406">
          <cell r="B1406" t="str">
            <v>TI2505</v>
          </cell>
          <cell r="C1406" t="str">
            <v>T2.1205</v>
          </cell>
          <cell r="D1406" t="str">
            <v>TI HT 250/5A</v>
          </cell>
          <cell r="E1406" t="str">
            <v>cái</v>
          </cell>
          <cell r="F1406">
            <v>303484</v>
          </cell>
          <cell r="G1406">
            <v>9450</v>
          </cell>
          <cell r="H1406">
            <v>211720.80000000002</v>
          </cell>
          <cell r="I1406">
            <v>120762.26666666666</v>
          </cell>
        </row>
        <row r="1407">
          <cell r="B1407" t="str">
            <v>TI3005</v>
          </cell>
          <cell r="C1407" t="str">
            <v>T2.1205</v>
          </cell>
          <cell r="D1407" t="str">
            <v>TI HT 300/5A</v>
          </cell>
          <cell r="E1407" t="str">
            <v>cái</v>
          </cell>
          <cell r="F1407">
            <v>314914</v>
          </cell>
          <cell r="G1407">
            <v>9450</v>
          </cell>
          <cell r="H1407">
            <v>211720.80000000002</v>
          </cell>
          <cell r="I1407">
            <v>120762.26666666666</v>
          </cell>
        </row>
        <row r="1408">
          <cell r="B1408" t="str">
            <v>TI4005</v>
          </cell>
          <cell r="C1408" t="str">
            <v>T2.1205</v>
          </cell>
          <cell r="D1408" t="str">
            <v>TI HT 400/5A</v>
          </cell>
          <cell r="E1408" t="str">
            <v>cái</v>
          </cell>
          <cell r="F1408">
            <v>341350</v>
          </cell>
          <cell r="G1408">
            <v>9450</v>
          </cell>
          <cell r="H1408">
            <v>211720.80000000002</v>
          </cell>
          <cell r="I1408">
            <v>120762.26666666666</v>
          </cell>
        </row>
        <row r="1409">
          <cell r="B1409" t="str">
            <v>TI4505</v>
          </cell>
          <cell r="C1409" t="str">
            <v>T2.1205</v>
          </cell>
          <cell r="D1409" t="str">
            <v>TI HT 450/5A</v>
          </cell>
          <cell r="E1409" t="str">
            <v>cái</v>
          </cell>
          <cell r="F1409">
            <v>0</v>
          </cell>
          <cell r="G1409">
            <v>9450</v>
          </cell>
          <cell r="H1409">
            <v>211720.80000000002</v>
          </cell>
          <cell r="I1409">
            <v>120762.26666666666</v>
          </cell>
        </row>
        <row r="1410">
          <cell r="B1410" t="str">
            <v>TI5005</v>
          </cell>
          <cell r="C1410" t="str">
            <v>T2.1205</v>
          </cell>
          <cell r="D1410" t="str">
            <v>TI HT 500/5A</v>
          </cell>
          <cell r="E1410" t="str">
            <v>cái</v>
          </cell>
          <cell r="F1410">
            <v>367445</v>
          </cell>
          <cell r="G1410">
            <v>9450</v>
          </cell>
          <cell r="H1410">
            <v>211720.80000000002</v>
          </cell>
          <cell r="I1410">
            <v>120762.26666666666</v>
          </cell>
        </row>
        <row r="1411">
          <cell r="B1411" t="str">
            <v>TI6005</v>
          </cell>
          <cell r="C1411" t="str">
            <v>T2.1205</v>
          </cell>
          <cell r="D1411" t="str">
            <v>TI HT 600/5A</v>
          </cell>
          <cell r="E1411" t="str">
            <v>cái</v>
          </cell>
          <cell r="F1411">
            <v>372444</v>
          </cell>
          <cell r="G1411">
            <v>9450</v>
          </cell>
          <cell r="H1411">
            <v>211720.80000000002</v>
          </cell>
          <cell r="I1411">
            <v>120762.26666666666</v>
          </cell>
        </row>
        <row r="1412">
          <cell r="B1412" t="str">
            <v>TI8005</v>
          </cell>
          <cell r="C1412" t="str">
            <v>T2.1205</v>
          </cell>
          <cell r="D1412" t="str">
            <v>TI HT 800/5A</v>
          </cell>
          <cell r="E1412" t="str">
            <v>cái</v>
          </cell>
          <cell r="F1412">
            <v>419473</v>
          </cell>
          <cell r="G1412">
            <v>9450</v>
          </cell>
          <cell r="H1412">
            <v>211720.80000000002</v>
          </cell>
          <cell r="I1412">
            <v>120762.26666666666</v>
          </cell>
        </row>
        <row r="1413">
          <cell r="B1413" t="str">
            <v>TI10005</v>
          </cell>
          <cell r="C1413" t="str">
            <v>T2.1205</v>
          </cell>
          <cell r="D1413" t="str">
            <v>TI HT 1000/5A O.D</v>
          </cell>
          <cell r="E1413" t="str">
            <v>cái</v>
          </cell>
          <cell r="F1413">
            <v>544280</v>
          </cell>
          <cell r="G1413">
            <v>9450</v>
          </cell>
          <cell r="H1413">
            <v>211720.80000000002</v>
          </cell>
          <cell r="I1413">
            <v>120762.26666666666</v>
          </cell>
        </row>
        <row r="1414">
          <cell r="B1414" t="str">
            <v>MAÙY BIEÁN DOØNG ÑIEÄN TRUNG THEÁ</v>
          </cell>
        </row>
        <row r="1415">
          <cell r="B1415" t="str">
            <v>TI24105</v>
          </cell>
          <cell r="C1415" t="str">
            <v>T2.1204</v>
          </cell>
          <cell r="D1415" t="str">
            <v>TI 24KV 10/5A O.D</v>
          </cell>
          <cell r="E1415" t="str">
            <v>bộ</v>
          </cell>
          <cell r="F1415">
            <v>2900000</v>
          </cell>
          <cell r="G1415">
            <v>51922.5</v>
          </cell>
          <cell r="H1415">
            <v>793953</v>
          </cell>
          <cell r="I1415">
            <v>362286.8</v>
          </cell>
          <cell r="J1415" t="str">
            <v>ĐM286</v>
          </cell>
        </row>
        <row r="1416">
          <cell r="B1416" t="str">
            <v>TI24155</v>
          </cell>
          <cell r="C1416" t="str">
            <v>T2.1204</v>
          </cell>
          <cell r="D1416" t="str">
            <v>TI 24KV 15/5A O.D</v>
          </cell>
          <cell r="E1416" t="str">
            <v>bộ</v>
          </cell>
          <cell r="F1416">
            <v>2900000</v>
          </cell>
          <cell r="G1416">
            <v>51922.5</v>
          </cell>
          <cell r="H1416">
            <v>793953</v>
          </cell>
          <cell r="I1416">
            <v>362286.8</v>
          </cell>
          <cell r="J1416" t="str">
            <v>"</v>
          </cell>
        </row>
        <row r="1417">
          <cell r="B1417" t="str">
            <v>TI24205</v>
          </cell>
          <cell r="C1417" t="str">
            <v>T2.1204</v>
          </cell>
          <cell r="D1417" t="str">
            <v>TI 24KV 20/5A O.D</v>
          </cell>
          <cell r="E1417" t="str">
            <v>bộ</v>
          </cell>
          <cell r="F1417">
            <v>2900000</v>
          </cell>
          <cell r="G1417">
            <v>51922.5</v>
          </cell>
          <cell r="H1417">
            <v>793953</v>
          </cell>
          <cell r="I1417">
            <v>362286.8</v>
          </cell>
          <cell r="J1417" t="str">
            <v>"</v>
          </cell>
        </row>
        <row r="1418">
          <cell r="B1418" t="str">
            <v>TI24255</v>
          </cell>
          <cell r="C1418" t="str">
            <v>T2.1204</v>
          </cell>
          <cell r="D1418" t="str">
            <v>TI 24KV 25/5A O.D</v>
          </cell>
          <cell r="E1418" t="str">
            <v>bộ</v>
          </cell>
          <cell r="F1418">
            <v>2900000</v>
          </cell>
          <cell r="G1418">
            <v>51922.5</v>
          </cell>
          <cell r="H1418">
            <v>793953</v>
          </cell>
          <cell r="I1418">
            <v>362286.8</v>
          </cell>
          <cell r="J1418" t="str">
            <v>"</v>
          </cell>
        </row>
        <row r="1419">
          <cell r="B1419" t="str">
            <v>TI24305</v>
          </cell>
          <cell r="C1419" t="str">
            <v>T2.1204</v>
          </cell>
          <cell r="D1419" t="str">
            <v>TI 24KV 30/5A O.D</v>
          </cell>
          <cell r="E1419" t="str">
            <v>bộ</v>
          </cell>
          <cell r="F1419">
            <v>2900000</v>
          </cell>
          <cell r="G1419">
            <v>51922.5</v>
          </cell>
          <cell r="H1419">
            <v>793953</v>
          </cell>
          <cell r="I1419">
            <v>362286.8</v>
          </cell>
          <cell r="J1419" t="str">
            <v>"</v>
          </cell>
        </row>
        <row r="1420">
          <cell r="B1420" t="str">
            <v>TI24405</v>
          </cell>
          <cell r="C1420" t="str">
            <v>T2.1204</v>
          </cell>
          <cell r="D1420" t="str">
            <v>TI 24KV 40/5A O.D</v>
          </cell>
          <cell r="E1420" t="str">
            <v>bộ</v>
          </cell>
          <cell r="F1420">
            <v>2900000</v>
          </cell>
          <cell r="G1420">
            <v>51922.5</v>
          </cell>
          <cell r="H1420">
            <v>793953</v>
          </cell>
          <cell r="I1420">
            <v>362286.8</v>
          </cell>
          <cell r="J1420" t="str">
            <v>"</v>
          </cell>
        </row>
        <row r="1421">
          <cell r="B1421" t="str">
            <v>TI24505</v>
          </cell>
          <cell r="C1421" t="str">
            <v>T2.1204</v>
          </cell>
          <cell r="D1421" t="str">
            <v>TI 24KV 50/5A O.D</v>
          </cell>
          <cell r="E1421" t="str">
            <v>bộ</v>
          </cell>
          <cell r="F1421">
            <v>2900000</v>
          </cell>
          <cell r="G1421">
            <v>51922.5</v>
          </cell>
          <cell r="H1421">
            <v>793953</v>
          </cell>
          <cell r="I1421">
            <v>362286.8</v>
          </cell>
          <cell r="J1421" t="str">
            <v>"</v>
          </cell>
        </row>
        <row r="1422">
          <cell r="B1422" t="str">
            <v>TI24605</v>
          </cell>
          <cell r="C1422" t="str">
            <v>T2.1204</v>
          </cell>
          <cell r="D1422" t="str">
            <v>TI 24KV 60/5A O.D</v>
          </cell>
          <cell r="E1422" t="str">
            <v>bộ</v>
          </cell>
          <cell r="F1422">
            <v>2900000</v>
          </cell>
          <cell r="G1422">
            <v>51922.5</v>
          </cell>
          <cell r="H1422">
            <v>793953</v>
          </cell>
          <cell r="I1422">
            <v>362286.8</v>
          </cell>
          <cell r="J1422" t="str">
            <v>"</v>
          </cell>
        </row>
        <row r="1423">
          <cell r="B1423" t="str">
            <v>TI24755</v>
          </cell>
          <cell r="C1423" t="str">
            <v>T2.1204</v>
          </cell>
          <cell r="D1423" t="str">
            <v>TI 24KV 75/5A O.D</v>
          </cell>
          <cell r="E1423" t="str">
            <v>bộ</v>
          </cell>
          <cell r="F1423">
            <v>2900000</v>
          </cell>
          <cell r="G1423">
            <v>51922.5</v>
          </cell>
          <cell r="H1423">
            <v>793953</v>
          </cell>
          <cell r="I1423">
            <v>362286.8</v>
          </cell>
          <cell r="J1423" t="str">
            <v>"</v>
          </cell>
        </row>
        <row r="1424">
          <cell r="B1424" t="str">
            <v>TI241005</v>
          </cell>
          <cell r="C1424" t="str">
            <v>T2.1204</v>
          </cell>
          <cell r="D1424" t="str">
            <v>TI 24KV 100/5A O.D</v>
          </cell>
          <cell r="E1424" t="str">
            <v>bộ</v>
          </cell>
          <cell r="F1424">
            <v>2900000</v>
          </cell>
          <cell r="G1424">
            <v>51922.5</v>
          </cell>
          <cell r="H1424">
            <v>793953</v>
          </cell>
          <cell r="I1424">
            <v>362286.8</v>
          </cell>
          <cell r="J1424" t="str">
            <v>"</v>
          </cell>
        </row>
        <row r="1425">
          <cell r="B1425" t="str">
            <v>TI241505</v>
          </cell>
          <cell r="C1425" t="str">
            <v>T2.1204</v>
          </cell>
          <cell r="D1425" t="str">
            <v>TI 24KV 150/5A O.D</v>
          </cell>
          <cell r="E1425" t="str">
            <v>bộ</v>
          </cell>
          <cell r="F1425">
            <v>2900000</v>
          </cell>
          <cell r="G1425">
            <v>51922.5</v>
          </cell>
          <cell r="H1425">
            <v>793953</v>
          </cell>
          <cell r="I1425">
            <v>362286.8</v>
          </cell>
          <cell r="J1425" t="str">
            <v>"</v>
          </cell>
        </row>
        <row r="1426">
          <cell r="B1426" t="str">
            <v>TI242005</v>
          </cell>
          <cell r="C1426" t="str">
            <v>T2.1204</v>
          </cell>
          <cell r="D1426" t="str">
            <v>TI 24KV 200/5A O.D</v>
          </cell>
          <cell r="E1426" t="str">
            <v>bộ</v>
          </cell>
          <cell r="F1426">
            <v>2900000</v>
          </cell>
          <cell r="G1426">
            <v>51922.5</v>
          </cell>
          <cell r="H1426">
            <v>793953</v>
          </cell>
          <cell r="I1426">
            <v>362286.8</v>
          </cell>
          <cell r="J1426" t="str">
            <v>"</v>
          </cell>
        </row>
        <row r="1427">
          <cell r="B1427" t="str">
            <v>TI242505</v>
          </cell>
          <cell r="C1427" t="str">
            <v>T2.1204</v>
          </cell>
          <cell r="D1427" t="str">
            <v>TI 24KV 250/5A O.D</v>
          </cell>
          <cell r="E1427" t="str">
            <v>bộ</v>
          </cell>
          <cell r="F1427">
            <v>2900000</v>
          </cell>
          <cell r="G1427">
            <v>51922.5</v>
          </cell>
          <cell r="H1427">
            <v>793953</v>
          </cell>
          <cell r="I1427">
            <v>362286.8</v>
          </cell>
          <cell r="J1427" t="str">
            <v>"</v>
          </cell>
        </row>
        <row r="1428">
          <cell r="B1428" t="str">
            <v>TI243005</v>
          </cell>
          <cell r="C1428" t="str">
            <v>T2.1204</v>
          </cell>
          <cell r="D1428" t="str">
            <v>TI 24KV 300/5A O.D</v>
          </cell>
          <cell r="E1428" t="str">
            <v>bộ</v>
          </cell>
          <cell r="F1428">
            <v>2900000</v>
          </cell>
          <cell r="G1428">
            <v>51922.5</v>
          </cell>
          <cell r="H1428">
            <v>793953</v>
          </cell>
          <cell r="I1428">
            <v>362286.8</v>
          </cell>
          <cell r="J1428" t="str">
            <v>"</v>
          </cell>
        </row>
        <row r="1429">
          <cell r="B1429" t="str">
            <v>TI244005</v>
          </cell>
          <cell r="C1429" t="str">
            <v>T2.1204</v>
          </cell>
          <cell r="D1429" t="str">
            <v>TI 24KV 400/5A O.D</v>
          </cell>
          <cell r="E1429" t="str">
            <v>bộ</v>
          </cell>
          <cell r="F1429">
            <v>2900000</v>
          </cell>
          <cell r="G1429">
            <v>51922.5</v>
          </cell>
          <cell r="H1429">
            <v>793953</v>
          </cell>
          <cell r="I1429">
            <v>362286.8</v>
          </cell>
          <cell r="J1429" t="str">
            <v>"</v>
          </cell>
        </row>
        <row r="1430">
          <cell r="B1430" t="str">
            <v>TI245005</v>
          </cell>
          <cell r="C1430" t="str">
            <v>T2.1204</v>
          </cell>
          <cell r="D1430" t="str">
            <v>TI 24KV 500/5A O.D</v>
          </cell>
          <cell r="E1430" t="str">
            <v>bộ</v>
          </cell>
          <cell r="F1430">
            <v>2900000</v>
          </cell>
          <cell r="G1430">
            <v>51922.5</v>
          </cell>
          <cell r="H1430">
            <v>793953</v>
          </cell>
          <cell r="I1430">
            <v>362286.8</v>
          </cell>
          <cell r="J1430" t="str">
            <v>"</v>
          </cell>
        </row>
        <row r="1431">
          <cell r="B1431" t="str">
            <v>TI246005</v>
          </cell>
          <cell r="C1431" t="str">
            <v>T2.1204</v>
          </cell>
          <cell r="D1431" t="str">
            <v>TI 24KV 600/5A O.D</v>
          </cell>
          <cell r="E1431" t="str">
            <v>bộ</v>
          </cell>
          <cell r="F1431">
            <v>2900000</v>
          </cell>
          <cell r="G1431">
            <v>51922.5</v>
          </cell>
          <cell r="H1431">
            <v>793953</v>
          </cell>
          <cell r="I1431">
            <v>362286.8</v>
          </cell>
          <cell r="J1431" t="str">
            <v>"</v>
          </cell>
        </row>
        <row r="1432">
          <cell r="B1432" t="str">
            <v>TI248005</v>
          </cell>
          <cell r="C1432" t="str">
            <v>T2.1204</v>
          </cell>
          <cell r="D1432" t="str">
            <v>TI 24KV 800/5A O.D</v>
          </cell>
          <cell r="E1432" t="str">
            <v>bộ</v>
          </cell>
          <cell r="F1432">
            <v>2900000</v>
          </cell>
          <cell r="G1432">
            <v>51922.5</v>
          </cell>
          <cell r="H1432">
            <v>793953</v>
          </cell>
          <cell r="I1432">
            <v>362286.8</v>
          </cell>
          <cell r="J1432" t="str">
            <v>"</v>
          </cell>
        </row>
        <row r="1433">
          <cell r="B1433" t="str">
            <v>TI2412005</v>
          </cell>
          <cell r="C1433" t="str">
            <v>T2.1204</v>
          </cell>
          <cell r="D1433" t="str">
            <v>TI 24KV 1200/5A O.D</v>
          </cell>
          <cell r="E1433" t="str">
            <v>bộ</v>
          </cell>
          <cell r="F1433">
            <v>5960719</v>
          </cell>
          <cell r="G1433">
            <v>51922.5</v>
          </cell>
          <cell r="H1433">
            <v>793953</v>
          </cell>
          <cell r="I1433">
            <v>362286.8</v>
          </cell>
          <cell r="J1433" t="str">
            <v>"</v>
          </cell>
        </row>
        <row r="1434">
          <cell r="B1434" t="str">
            <v>TI2420005</v>
          </cell>
          <cell r="C1434" t="str">
            <v>T2.1204</v>
          </cell>
          <cell r="D1434" t="str">
            <v>TI 24KV 2000/5A O.D</v>
          </cell>
          <cell r="E1434" t="str">
            <v>bộ</v>
          </cell>
          <cell r="F1434">
            <v>5960719</v>
          </cell>
          <cell r="G1434">
            <v>51922.5</v>
          </cell>
          <cell r="H1434">
            <v>793953</v>
          </cell>
          <cell r="I1434">
            <v>362286.8</v>
          </cell>
          <cell r="J1434" t="str">
            <v>"</v>
          </cell>
        </row>
        <row r="1435">
          <cell r="B1435" t="str">
            <v>TI24400-800/5</v>
          </cell>
          <cell r="C1435" t="str">
            <v>T2.1204</v>
          </cell>
          <cell r="D1435" t="str">
            <v>TI 24KV 400-800/5-5A O.D</v>
          </cell>
          <cell r="E1435" t="str">
            <v>bộ</v>
          </cell>
          <cell r="F1435">
            <v>3100000</v>
          </cell>
          <cell r="G1435">
            <v>51922.5</v>
          </cell>
          <cell r="H1435">
            <v>793953</v>
          </cell>
          <cell r="I1435">
            <v>362286.8</v>
          </cell>
          <cell r="J1435" t="str">
            <v>"</v>
          </cell>
        </row>
        <row r="1436">
          <cell r="B1436" t="str">
            <v>TI24300-600/5</v>
          </cell>
          <cell r="C1436" t="str">
            <v>T2.1204</v>
          </cell>
          <cell r="D1436" t="str">
            <v>TI 24KV 300-600/5-5A I.D</v>
          </cell>
          <cell r="E1436" t="str">
            <v>bộ</v>
          </cell>
          <cell r="F1436">
            <v>2850000</v>
          </cell>
          <cell r="G1436">
            <v>51922.5</v>
          </cell>
          <cell r="H1436">
            <v>793953</v>
          </cell>
          <cell r="I1436">
            <v>362286.8</v>
          </cell>
          <cell r="J1436" t="str">
            <v>"</v>
          </cell>
        </row>
        <row r="1437">
          <cell r="B1437" t="str">
            <v>TI24400-800/1</v>
          </cell>
          <cell r="C1437" t="str">
            <v>T2.1204</v>
          </cell>
          <cell r="D1437" t="str">
            <v>TI 24KV 400-800/1-1A O.D</v>
          </cell>
          <cell r="E1437" t="str">
            <v>bộ</v>
          </cell>
          <cell r="F1437">
            <v>4541660</v>
          </cell>
          <cell r="G1437">
            <v>51922.5</v>
          </cell>
          <cell r="H1437">
            <v>793953</v>
          </cell>
          <cell r="I1437">
            <v>362286.8</v>
          </cell>
          <cell r="J1437" t="str">
            <v>"</v>
          </cell>
        </row>
        <row r="1438">
          <cell r="B1438" t="str">
            <v>TI24600-1200/1</v>
          </cell>
          <cell r="C1438" t="str">
            <v>T2.1204</v>
          </cell>
          <cell r="D1438" t="str">
            <v>TI 24KV 600-1200/5A I.D</v>
          </cell>
          <cell r="E1438" t="str">
            <v>bộ</v>
          </cell>
          <cell r="F1438">
            <v>2310000</v>
          </cell>
          <cell r="G1438">
            <v>51922.5</v>
          </cell>
          <cell r="H1438">
            <v>793953</v>
          </cell>
          <cell r="I1438">
            <v>362286.8</v>
          </cell>
          <cell r="J1438" t="str">
            <v>"</v>
          </cell>
        </row>
        <row r="1439">
          <cell r="B1439" t="str">
            <v>DAO CAÙCH LY TRUNG THEÁ</v>
          </cell>
        </row>
        <row r="1440">
          <cell r="B1440" t="str">
            <v>DS3PO</v>
          </cell>
          <cell r="C1440" t="str">
            <v>T2.3213</v>
          </cell>
          <cell r="D1440" t="str">
            <v>DS 24KV 630A 3P O.D</v>
          </cell>
          <cell r="E1440" t="str">
            <v>bộ</v>
          </cell>
          <cell r="F1440">
            <v>17398200</v>
          </cell>
          <cell r="G1440">
            <v>85840</v>
          </cell>
          <cell r="H1440">
            <v>1312865</v>
          </cell>
          <cell r="I1440">
            <v>447786.5</v>
          </cell>
          <cell r="J1440" t="str">
            <v>ĐM286</v>
          </cell>
        </row>
        <row r="1441">
          <cell r="B1441" t="str">
            <v>DS3PIB</v>
          </cell>
          <cell r="C1441" t="str">
            <v>T2.3213</v>
          </cell>
          <cell r="D1441" t="str">
            <v>DS 24KV 630A 3P I.D (có bệ chì)</v>
          </cell>
          <cell r="E1441" t="str">
            <v>bộ</v>
          </cell>
          <cell r="F1441">
            <v>0</v>
          </cell>
          <cell r="G1441">
            <v>85840</v>
          </cell>
          <cell r="H1441">
            <v>1174569.3999999999</v>
          </cell>
          <cell r="I1441">
            <v>447786.5</v>
          </cell>
          <cell r="J1441" t="str">
            <v>"</v>
          </cell>
        </row>
        <row r="1442">
          <cell r="B1442" t="str">
            <v>DS3PI</v>
          </cell>
          <cell r="C1442" t="str">
            <v>T2.3213</v>
          </cell>
          <cell r="D1442" t="str">
            <v>DS 24KV 630A 3P I.D ( không bệ chì)</v>
          </cell>
          <cell r="E1442" t="str">
            <v>bộ</v>
          </cell>
          <cell r="F1442">
            <v>0</v>
          </cell>
          <cell r="G1442">
            <v>85840</v>
          </cell>
          <cell r="H1442">
            <v>1174569.3999999999</v>
          </cell>
          <cell r="I1442">
            <v>447786.5</v>
          </cell>
          <cell r="J1442" t="str">
            <v>"</v>
          </cell>
        </row>
        <row r="1443">
          <cell r="B1443" t="str">
            <v>DS1PO</v>
          </cell>
          <cell r="C1443" t="str">
            <v>T2.3135</v>
          </cell>
          <cell r="D1443" t="str">
            <v>Dao cách ly (DS) 1 pha 24kV - 630A, cách điện polymer (dòng rò
25mm/kV)</v>
          </cell>
          <cell r="E1443" t="str">
            <v>bộ</v>
          </cell>
          <cell r="F1443">
            <v>2618000</v>
          </cell>
          <cell r="G1443">
            <v>30650</v>
          </cell>
          <cell r="H1443">
            <v>1479852.3</v>
          </cell>
          <cell r="I1443">
            <v>223893.3</v>
          </cell>
          <cell r="J1443" t="str">
            <v>"</v>
          </cell>
        </row>
        <row r="1444">
          <cell r="B1444" t="str">
            <v>LBSO</v>
          </cell>
          <cell r="C1444" t="str">
            <v>T2.2204</v>
          </cell>
          <cell r="D1444" t="str">
            <v>LBS 24kV -630A- 16kA (kèm tủ điều khiển và phụ kiện)</v>
          </cell>
          <cell r="E1444" t="str">
            <v>bộ</v>
          </cell>
          <cell r="F1444">
            <v>113500000</v>
          </cell>
          <cell r="G1444">
            <v>220282.80000000002</v>
          </cell>
          <cell r="H1444">
            <v>2881969.09</v>
          </cell>
          <cell r="I1444">
            <v>327669.2</v>
          </cell>
          <cell r="J1444" t="str">
            <v>"</v>
          </cell>
        </row>
        <row r="1445">
          <cell r="B1445" t="str">
            <v>RMU4N</v>
          </cell>
          <cell r="C1445" t="str">
            <v>T2.3331</v>
          </cell>
          <cell r="D1445" t="str">
            <v xml:space="preserve">Tủ 4 ngăn 24kV 20kA/s gồm 2 ngăn CDPT 630A + 2 ngăn máy cắt </v>
          </cell>
          <cell r="E1445" t="str">
            <v>bộ</v>
          </cell>
          <cell r="F1445">
            <v>470000000</v>
          </cell>
          <cell r="G1445">
            <v>85200</v>
          </cell>
          <cell r="H1445">
            <v>3127033.3</v>
          </cell>
          <cell r="I1445">
            <v>0</v>
          </cell>
          <cell r="J1445" t="str">
            <v>"</v>
          </cell>
        </row>
        <row r="1446">
          <cell r="B1446" t="str">
            <v>RMU5N</v>
          </cell>
          <cell r="C1446" t="str">
            <v>T2.3331</v>
          </cell>
          <cell r="D1446" t="str">
            <v xml:space="preserve">Tủ 5 ngăn 24kV 20kA/s </v>
          </cell>
          <cell r="E1446" t="str">
            <v>bộ</v>
          </cell>
          <cell r="F1446">
            <v>564000000</v>
          </cell>
          <cell r="G1446">
            <v>85200</v>
          </cell>
          <cell r="H1446">
            <v>3127033.3</v>
          </cell>
          <cell r="I1446">
            <v>0</v>
          </cell>
          <cell r="J1446" t="str">
            <v>"</v>
          </cell>
        </row>
        <row r="1447">
          <cell r="B1447" t="str">
            <v>LBSI</v>
          </cell>
          <cell r="C1447" t="str">
            <v>T2.2204</v>
          </cell>
          <cell r="D1447" t="str">
            <v>LBS 24KV 630A ID</v>
          </cell>
          <cell r="E1447" t="str">
            <v>bộ</v>
          </cell>
          <cell r="F1447">
            <v>0</v>
          </cell>
          <cell r="G1447">
            <v>164800</v>
          </cell>
          <cell r="H1447">
            <v>2062708.64</v>
          </cell>
          <cell r="I1447">
            <v>362286.8</v>
          </cell>
          <cell r="J1447" t="str">
            <v>"</v>
          </cell>
        </row>
        <row r="1448">
          <cell r="B1448" t="str">
            <v>LTD</v>
          </cell>
          <cell r="C1448" t="str">
            <v>T2.3114</v>
          </cell>
          <cell r="D1448" t="str">
            <v>LTD 24kV-600A</v>
          </cell>
          <cell r="E1448" t="str">
            <v>bộ</v>
          </cell>
          <cell r="F1448">
            <v>0</v>
          </cell>
          <cell r="G1448">
            <v>30650</v>
          </cell>
          <cell r="H1448">
            <v>587284.69999999995</v>
          </cell>
          <cell r="I1448">
            <v>223893.3</v>
          </cell>
          <cell r="J1448" t="str">
            <v>"</v>
          </cell>
        </row>
        <row r="1449">
          <cell r="B1449" t="str">
            <v>ROUTER</v>
          </cell>
          <cell r="C1449" t="str">
            <v>T5.6205</v>
          </cell>
          <cell r="D1449" t="str">
            <v>ROUTER 3G/4G</v>
          </cell>
          <cell r="E1449" t="str">
            <v>bộ</v>
          </cell>
          <cell r="F1449">
            <v>26000000</v>
          </cell>
          <cell r="G1449">
            <v>1530</v>
          </cell>
          <cell r="H1449">
            <v>235941.07</v>
          </cell>
          <cell r="I1449">
            <v>72.899999999999991</v>
          </cell>
          <cell r="J1449" t="str">
            <v>"</v>
          </cell>
        </row>
        <row r="1450">
          <cell r="B1450" t="str">
            <v>CAÀU DAO HAÏ THEÁ</v>
          </cell>
        </row>
        <row r="1451">
          <cell r="B1451" t="str">
            <v>CDAO15</v>
          </cell>
          <cell r="C1451" t="str">
            <v>T2.3401</v>
          </cell>
          <cell r="D1451" t="str">
            <v>Cầu dao 2P 15A - 600V</v>
          </cell>
          <cell r="E1451" t="str">
            <v>bộ</v>
          </cell>
          <cell r="F1451">
            <v>25000</v>
          </cell>
          <cell r="G1451">
            <v>1500</v>
          </cell>
          <cell r="H1451">
            <v>132325.5</v>
          </cell>
          <cell r="I1451">
            <v>0</v>
          </cell>
          <cell r="J1451" t="str">
            <v>ĐM286 x 0,95</v>
          </cell>
        </row>
        <row r="1452">
          <cell r="B1452" t="str">
            <v>CDAO20</v>
          </cell>
          <cell r="C1452" t="str">
            <v>T2.3401</v>
          </cell>
          <cell r="D1452" t="str">
            <v>Cầu dao 2P 20A - 600V</v>
          </cell>
          <cell r="E1452" t="str">
            <v>bộ</v>
          </cell>
          <cell r="F1452">
            <v>16000</v>
          </cell>
          <cell r="G1452">
            <v>1500</v>
          </cell>
          <cell r="H1452">
            <v>132325.5</v>
          </cell>
          <cell r="I1452">
            <v>0</v>
          </cell>
          <cell r="J1452" t="str">
            <v>"</v>
          </cell>
        </row>
        <row r="1453">
          <cell r="B1453" t="str">
            <v>CDAO30</v>
          </cell>
          <cell r="C1453" t="str">
            <v>T2.3401</v>
          </cell>
          <cell r="D1453" t="str">
            <v>Cầu dao 2P 30A - 600V</v>
          </cell>
          <cell r="E1453" t="str">
            <v>bộ</v>
          </cell>
          <cell r="F1453">
            <v>19000</v>
          </cell>
          <cell r="G1453">
            <v>1500</v>
          </cell>
          <cell r="H1453">
            <v>132325.5</v>
          </cell>
          <cell r="I1453">
            <v>0</v>
          </cell>
          <cell r="J1453" t="str">
            <v>"</v>
          </cell>
        </row>
        <row r="1454">
          <cell r="B1454" t="str">
            <v>CDAO60</v>
          </cell>
          <cell r="C1454" t="str">
            <v>T2.3401</v>
          </cell>
          <cell r="D1454" t="str">
            <v>Cầu dao 2P 60A - 600V</v>
          </cell>
          <cell r="E1454" t="str">
            <v>bộ</v>
          </cell>
          <cell r="F1454">
            <v>33600</v>
          </cell>
          <cell r="G1454">
            <v>1500</v>
          </cell>
          <cell r="H1454">
            <v>132325.5</v>
          </cell>
          <cell r="I1454">
            <v>0</v>
          </cell>
          <cell r="J1454" t="str">
            <v>"</v>
          </cell>
        </row>
        <row r="1455">
          <cell r="B1455" t="str">
            <v>CDAO100</v>
          </cell>
          <cell r="C1455" t="str">
            <v>T2.3401</v>
          </cell>
          <cell r="D1455" t="str">
            <v>Cầu dao 3P 100A - 600V</v>
          </cell>
          <cell r="E1455" t="str">
            <v>bộ</v>
          </cell>
          <cell r="F1455">
            <v>118182</v>
          </cell>
          <cell r="G1455">
            <v>1500</v>
          </cell>
          <cell r="H1455">
            <v>132325.5</v>
          </cell>
          <cell r="I1455">
            <v>0</v>
          </cell>
          <cell r="J1455" t="str">
            <v>ĐM286</v>
          </cell>
        </row>
        <row r="1456">
          <cell r="B1456" t="str">
            <v>CDAO150</v>
          </cell>
          <cell r="C1456" t="str">
            <v>T2.3402</v>
          </cell>
          <cell r="D1456" t="str">
            <v>Cầu dao 3P 150A - 600V</v>
          </cell>
          <cell r="E1456" t="str">
            <v>bộ</v>
          </cell>
          <cell r="F1456">
            <v>618182</v>
          </cell>
          <cell r="G1456">
            <v>1500</v>
          </cell>
          <cell r="H1456">
            <v>185255.7</v>
          </cell>
          <cell r="I1456">
            <v>0</v>
          </cell>
          <cell r="J1456" t="str">
            <v>"</v>
          </cell>
        </row>
        <row r="1457">
          <cell r="B1457" t="str">
            <v>CDAO200</v>
          </cell>
          <cell r="C1457" t="str">
            <v>T2.3402</v>
          </cell>
          <cell r="D1457" t="str">
            <v>Cầu dao 3P 200A - 600V</v>
          </cell>
          <cell r="E1457" t="str">
            <v>bộ</v>
          </cell>
          <cell r="F1457">
            <v>618182</v>
          </cell>
          <cell r="G1457">
            <v>1500</v>
          </cell>
          <cell r="H1457">
            <v>185255.7</v>
          </cell>
          <cell r="I1457">
            <v>0</v>
          </cell>
          <cell r="J1457" t="str">
            <v>"</v>
          </cell>
        </row>
        <row r="1458">
          <cell r="B1458" t="str">
            <v>CDAO250</v>
          </cell>
          <cell r="C1458" t="str">
            <v>T2.3403</v>
          </cell>
          <cell r="D1458" t="str">
            <v>Cầu dao 3P 250A - 600V</v>
          </cell>
          <cell r="E1458" t="str">
            <v>bộ</v>
          </cell>
          <cell r="F1458">
            <v>618182</v>
          </cell>
          <cell r="G1458">
            <v>3000</v>
          </cell>
          <cell r="H1458">
            <v>264651</v>
          </cell>
          <cell r="I1458">
            <v>0</v>
          </cell>
          <cell r="J1458" t="str">
            <v>"</v>
          </cell>
        </row>
        <row r="1459">
          <cell r="B1459" t="str">
            <v>CDAO300</v>
          </cell>
          <cell r="C1459" t="str">
            <v>T2.3403</v>
          </cell>
          <cell r="D1459" t="str">
            <v>Cầu dao 3P 300A - 600V</v>
          </cell>
          <cell r="E1459" t="str">
            <v>bộ</v>
          </cell>
          <cell r="F1459">
            <v>985000</v>
          </cell>
          <cell r="G1459">
            <v>3000</v>
          </cell>
          <cell r="H1459">
            <v>264651</v>
          </cell>
          <cell r="I1459">
            <v>0</v>
          </cell>
          <cell r="J1459" t="str">
            <v>"</v>
          </cell>
        </row>
        <row r="1460">
          <cell r="B1460" t="str">
            <v>CDAO400</v>
          </cell>
          <cell r="C1460" t="str">
            <v>T2.3403</v>
          </cell>
          <cell r="D1460" t="str">
            <v>Cầu dao 3P 400A - 600V</v>
          </cell>
          <cell r="E1460" t="str">
            <v>bộ</v>
          </cell>
          <cell r="F1460">
            <v>985000</v>
          </cell>
          <cell r="G1460">
            <v>3000</v>
          </cell>
          <cell r="H1460">
            <v>264651</v>
          </cell>
          <cell r="I1460">
            <v>0</v>
          </cell>
          <cell r="J1460" t="str">
            <v>"</v>
          </cell>
        </row>
        <row r="1461">
          <cell r="B1461" t="str">
            <v>CDAO600</v>
          </cell>
          <cell r="C1461" t="str">
            <v>T2.3404</v>
          </cell>
          <cell r="D1461" t="str">
            <v>Cầu dao 3P 600A - 600V</v>
          </cell>
          <cell r="E1461" t="str">
            <v>bộ</v>
          </cell>
          <cell r="F1461">
            <v>1860000</v>
          </cell>
          <cell r="G1461">
            <v>3000</v>
          </cell>
          <cell r="H1461">
            <v>317581.2</v>
          </cell>
          <cell r="I1461">
            <v>0</v>
          </cell>
          <cell r="J1461" t="str">
            <v>"</v>
          </cell>
        </row>
        <row r="1462">
          <cell r="B1462" t="str">
            <v>CDAO800</v>
          </cell>
          <cell r="C1462" t="str">
            <v>T2.3404</v>
          </cell>
          <cell r="D1462" t="str">
            <v>Cầu dao 3P 800A - 600V</v>
          </cell>
          <cell r="E1462" t="str">
            <v>bộ</v>
          </cell>
          <cell r="F1462">
            <v>2400000</v>
          </cell>
          <cell r="G1462">
            <v>3000</v>
          </cell>
          <cell r="H1462">
            <v>317581.2</v>
          </cell>
          <cell r="I1462">
            <v>0</v>
          </cell>
          <cell r="J1462" t="str">
            <v>"</v>
          </cell>
        </row>
        <row r="1463">
          <cell r="B1463" t="str">
            <v>RECLOSER</v>
          </cell>
        </row>
        <row r="1464">
          <cell r="B1464" t="str">
            <v>REC</v>
          </cell>
          <cell r="C1464" t="str">
            <v>T2.2204</v>
          </cell>
          <cell r="D1464" t="str">
            <v>Recloser 24kV -630A- 16kA (kèm tủ điều khiển và phụ kiện)</v>
          </cell>
          <cell r="E1464" t="str">
            <v>bộ</v>
          </cell>
          <cell r="F1464">
            <v>205500000</v>
          </cell>
          <cell r="G1464">
            <v>220282.80000000002</v>
          </cell>
          <cell r="H1464">
            <v>2881969.09</v>
          </cell>
          <cell r="I1464">
            <v>327669.2</v>
          </cell>
          <cell r="J1464" t="str">
            <v>ĐM286</v>
          </cell>
        </row>
        <row r="1465">
          <cell r="B1465" t="str">
            <v>CAÀU CHÌ TÖÏ RÔI</v>
          </cell>
        </row>
        <row r="1466">
          <cell r="B1466" t="str">
            <v>FCO100</v>
          </cell>
          <cell r="C1466" t="str">
            <v>T2.3505</v>
          </cell>
          <cell r="D1466" t="str">
            <v>FCO 22kV-100A-Polyme kèm phụ kiện (dòng rò &gt;= 25mm/kV)</v>
          </cell>
          <cell r="E1466" t="str">
            <v>bộ</v>
          </cell>
          <cell r="F1466">
            <v>1283500</v>
          </cell>
          <cell r="G1466">
            <v>1550</v>
          </cell>
          <cell r="H1466">
            <v>349339.32000000007</v>
          </cell>
        </row>
        <row r="1467">
          <cell r="B1467" t="str">
            <v>FCO100-NM</v>
          </cell>
          <cell r="C1467" t="str">
            <v>T2.3505</v>
          </cell>
          <cell r="D1467" t="str">
            <v>FCO 15/27kV-100A chống nhiễm mặn  (kể cả Bass, kể cả nắp chụp)</v>
          </cell>
          <cell r="E1467" t="str">
            <v>bộ</v>
          </cell>
          <cell r="F1467">
            <v>0</v>
          </cell>
          <cell r="G1467">
            <v>1500</v>
          </cell>
          <cell r="H1467">
            <v>317581.2</v>
          </cell>
          <cell r="I1467">
            <v>0</v>
          </cell>
          <cell r="J1467" t="str">
            <v>(DM286) / 3</v>
          </cell>
        </row>
        <row r="1468">
          <cell r="B1468" t="str">
            <v>FCO200</v>
          </cell>
          <cell r="C1468" t="str">
            <v>T2.3505</v>
          </cell>
          <cell r="D1468" t="str">
            <v>FCO 15/27KV-200A (kể cả Bass)</v>
          </cell>
          <cell r="E1468" t="str">
            <v>bộ</v>
          </cell>
          <cell r="F1468">
            <v>1509310</v>
          </cell>
          <cell r="G1468">
            <v>1500</v>
          </cell>
          <cell r="H1468">
            <v>317581.2</v>
          </cell>
          <cell r="I1468">
            <v>0</v>
          </cell>
          <cell r="J1468" t="str">
            <v>"</v>
          </cell>
        </row>
        <row r="1469">
          <cell r="B1469" t="str">
            <v>LBFCO100</v>
          </cell>
          <cell r="C1469" t="str">
            <v>T2.3505</v>
          </cell>
          <cell r="D1469" t="str">
            <v>LBFCO 15/27KV-100A  (Gốm kèm phụ kiện)</v>
          </cell>
          <cell r="E1469" t="str">
            <v>bộ</v>
          </cell>
          <cell r="F1469">
            <v>1600000</v>
          </cell>
          <cell r="G1469">
            <v>1500</v>
          </cell>
          <cell r="H1469">
            <v>317581.2</v>
          </cell>
          <cell r="I1469">
            <v>0</v>
          </cell>
          <cell r="J1469" t="str">
            <v>"</v>
          </cell>
        </row>
        <row r="1470">
          <cell r="B1470" t="str">
            <v>LBFCO100-NM</v>
          </cell>
          <cell r="C1470" t="str">
            <v>T2.3505</v>
          </cell>
          <cell r="D1470" t="str">
            <v>LBFCO 15/27KV-100A chống nhiễm mặn (kể cả Bass)</v>
          </cell>
          <cell r="E1470" t="str">
            <v>bộ</v>
          </cell>
          <cell r="F1470">
            <v>1600000</v>
          </cell>
          <cell r="G1470">
            <v>1500</v>
          </cell>
          <cell r="H1470">
            <v>317581.2</v>
          </cell>
          <cell r="I1470">
            <v>0</v>
          </cell>
          <cell r="J1470" t="str">
            <v>"</v>
          </cell>
        </row>
        <row r="1471">
          <cell r="B1471" t="str">
            <v>LBFCO200</v>
          </cell>
          <cell r="C1471" t="str">
            <v>T2.3505</v>
          </cell>
          <cell r="D1471" t="str">
            <v>LBFCO 22kV-200A-polyme kèm phụ kiện (dòng rò &gt;=25mm/kV)</v>
          </cell>
          <cell r="E1471" t="str">
            <v>bộ</v>
          </cell>
          <cell r="F1471">
            <v>1540200</v>
          </cell>
          <cell r="G1471">
            <v>1500</v>
          </cell>
          <cell r="H1471">
            <v>317581.2</v>
          </cell>
          <cell r="I1471">
            <v>0</v>
          </cell>
          <cell r="J1471" t="str">
            <v>"</v>
          </cell>
        </row>
        <row r="1472">
          <cell r="B1472" t="str">
            <v>LBFCO200-NM</v>
          </cell>
          <cell r="C1472" t="str">
            <v>T2.3505</v>
          </cell>
          <cell r="D1472" t="str">
            <v>LBFCO 15/27kV-200A chống nhiễm mặn (kể cả Bass, kể cả nắp chụp)</v>
          </cell>
          <cell r="E1472" t="str">
            <v>bộ</v>
          </cell>
          <cell r="F1472">
            <v>0</v>
          </cell>
          <cell r="G1472">
            <v>1500</v>
          </cell>
          <cell r="H1472">
            <v>317581.2</v>
          </cell>
          <cell r="I1472">
            <v>0</v>
          </cell>
          <cell r="J1472" t="str">
            <v>"</v>
          </cell>
        </row>
        <row r="1473">
          <cell r="B1473" t="str">
            <v>CHOÁNG SEÙT</v>
          </cell>
        </row>
        <row r="1474">
          <cell r="B1474" t="str">
            <v>LA12</v>
          </cell>
          <cell r="C1474" t="str">
            <v>T2.5004</v>
          </cell>
          <cell r="D1474" t="str">
            <v>Chống sét van  12kV - 10kA</v>
          </cell>
          <cell r="E1474" t="str">
            <v>bộ</v>
          </cell>
          <cell r="F1474">
            <v>0</v>
          </cell>
          <cell r="G1474">
            <v>17000</v>
          </cell>
          <cell r="H1474">
            <v>71032.2</v>
          </cell>
          <cell r="I1474">
            <v>0</v>
          </cell>
          <cell r="J1474" t="str">
            <v>ĐM286</v>
          </cell>
        </row>
        <row r="1475">
          <cell r="B1475" t="str">
            <v>LA18</v>
          </cell>
          <cell r="C1475" t="str">
            <v>T2.5004</v>
          </cell>
          <cell r="D1475" t="str">
            <v xml:space="preserve">Chống sét van LA 18kV - 10kA </v>
          </cell>
          <cell r="E1475" t="str">
            <v>bộ</v>
          </cell>
          <cell r="F1475">
            <v>1110000</v>
          </cell>
          <cell r="G1475">
            <v>12326.895</v>
          </cell>
          <cell r="H1475">
            <v>655011.22500000009</v>
          </cell>
          <cell r="J1475" t="str">
            <v>"</v>
          </cell>
        </row>
        <row r="1476">
          <cell r="B1476" t="str">
            <v>LA21</v>
          </cell>
          <cell r="C1476" t="str">
            <v>T2.5004</v>
          </cell>
          <cell r="D1476" t="str">
            <v>Chống sét van  21kV - 10kA</v>
          </cell>
          <cell r="E1476" t="str">
            <v>bộ</v>
          </cell>
          <cell r="F1476">
            <v>0</v>
          </cell>
          <cell r="G1476">
            <v>17000</v>
          </cell>
          <cell r="H1476">
            <v>71032.2</v>
          </cell>
          <cell r="I1476">
            <v>0</v>
          </cell>
          <cell r="J1476" t="str">
            <v>"</v>
          </cell>
        </row>
        <row r="1477">
          <cell r="B1477" t="str">
            <v>LA36</v>
          </cell>
          <cell r="C1477" t="str">
            <v>T2.5004</v>
          </cell>
          <cell r="D1477" t="str">
            <v>Chống sét van  36kV - 10kA</v>
          </cell>
          <cell r="E1477" t="str">
            <v>bộ</v>
          </cell>
          <cell r="F1477">
            <v>0</v>
          </cell>
          <cell r="G1477">
            <v>17000</v>
          </cell>
          <cell r="H1477">
            <v>71032.2</v>
          </cell>
          <cell r="I1477">
            <v>0</v>
          </cell>
          <cell r="J1477" t="str">
            <v>"</v>
          </cell>
        </row>
        <row r="1478">
          <cell r="B1478" t="str">
            <v>AÙPTOMAT</v>
          </cell>
        </row>
        <row r="1479">
          <cell r="B1479" t="str">
            <v>ATM1/6</v>
          </cell>
          <cell r="C1479" t="str">
            <v>T2.8401</v>
          </cell>
          <cell r="D1479" t="str">
            <v>MCB 1 cực 600V -6A</v>
          </cell>
          <cell r="E1479" t="str">
            <v>cái</v>
          </cell>
          <cell r="F1479">
            <v>56545</v>
          </cell>
          <cell r="G1479">
            <v>81800</v>
          </cell>
          <cell r="H1479">
            <v>190548.72</v>
          </cell>
          <cell r="I1479">
            <v>0</v>
          </cell>
          <cell r="J1479" t="str">
            <v>0,19xLNC(4/7)</v>
          </cell>
        </row>
        <row r="1480">
          <cell r="B1480" t="str">
            <v>ATM1/10</v>
          </cell>
          <cell r="C1480" t="str">
            <v>T2.8401</v>
          </cell>
          <cell r="D1480" t="str">
            <v>MCB 1 cực 600V -10A</v>
          </cell>
          <cell r="E1480" t="str">
            <v>cái</v>
          </cell>
          <cell r="F1480">
            <v>56545</v>
          </cell>
          <cell r="G1480">
            <v>81800</v>
          </cell>
          <cell r="H1480">
            <v>190548.72</v>
          </cell>
          <cell r="I1480">
            <v>0</v>
          </cell>
          <cell r="J1480" t="str">
            <v>"</v>
          </cell>
        </row>
        <row r="1481">
          <cell r="B1481" t="str">
            <v>ATM1/16</v>
          </cell>
          <cell r="C1481" t="str">
            <v>T2.8401</v>
          </cell>
          <cell r="D1481" t="str">
            <v>MCB 1 cực 600V -16A</v>
          </cell>
          <cell r="E1481" t="str">
            <v>cái</v>
          </cell>
          <cell r="F1481">
            <v>56545</v>
          </cell>
          <cell r="G1481">
            <v>81800</v>
          </cell>
          <cell r="H1481">
            <v>190548.72</v>
          </cell>
          <cell r="I1481">
            <v>0</v>
          </cell>
          <cell r="J1481" t="str">
            <v>0,25xLNC(4/7)</v>
          </cell>
        </row>
        <row r="1482">
          <cell r="B1482" t="str">
            <v>ATM1/20</v>
          </cell>
          <cell r="C1482" t="str">
            <v>T2.8401</v>
          </cell>
          <cell r="D1482" t="str">
            <v>MCB 1 cực 600V -20A</v>
          </cell>
          <cell r="E1482" t="str">
            <v>cái</v>
          </cell>
          <cell r="F1482">
            <v>56545</v>
          </cell>
          <cell r="G1482">
            <v>81800</v>
          </cell>
          <cell r="H1482">
            <v>190548.72</v>
          </cell>
          <cell r="I1482">
            <v>0</v>
          </cell>
          <cell r="J1482" t="str">
            <v>"</v>
          </cell>
        </row>
        <row r="1483">
          <cell r="B1483" t="str">
            <v>ATM1/25</v>
          </cell>
          <cell r="C1483" t="str">
            <v>T2.8401</v>
          </cell>
          <cell r="D1483" t="str">
            <v>MCB 1 cực 600V -25A</v>
          </cell>
          <cell r="E1483" t="str">
            <v>cái</v>
          </cell>
          <cell r="F1483">
            <v>56545</v>
          </cell>
          <cell r="G1483">
            <v>81800</v>
          </cell>
          <cell r="H1483">
            <v>190548.72</v>
          </cell>
          <cell r="I1483">
            <v>0</v>
          </cell>
          <cell r="J1483" t="str">
            <v>"</v>
          </cell>
        </row>
        <row r="1484">
          <cell r="B1484" t="str">
            <v>ATM1/32</v>
          </cell>
          <cell r="C1484" t="str">
            <v>T2.8401</v>
          </cell>
          <cell r="D1484" t="str">
            <v>MCB 1 cực 600V -32A</v>
          </cell>
          <cell r="E1484" t="str">
            <v>cái</v>
          </cell>
          <cell r="F1484">
            <v>56545</v>
          </cell>
          <cell r="G1484">
            <v>81800</v>
          </cell>
          <cell r="H1484">
            <v>190548.72</v>
          </cell>
          <cell r="I1484">
            <v>0</v>
          </cell>
          <cell r="J1484" t="str">
            <v>"</v>
          </cell>
        </row>
        <row r="1485">
          <cell r="B1485" t="str">
            <v>ATM1/40</v>
          </cell>
          <cell r="C1485" t="str">
            <v>T2.8401</v>
          </cell>
          <cell r="D1485" t="str">
            <v>MCB 1 cực 600V -40A</v>
          </cell>
          <cell r="E1485" t="str">
            <v>cái</v>
          </cell>
          <cell r="F1485">
            <v>56545</v>
          </cell>
          <cell r="G1485">
            <v>81800</v>
          </cell>
          <cell r="H1485">
            <v>190548.72</v>
          </cell>
          <cell r="I1485">
            <v>0</v>
          </cell>
          <cell r="J1485" t="str">
            <v>"</v>
          </cell>
        </row>
        <row r="1486">
          <cell r="B1486" t="str">
            <v>ATM1/50</v>
          </cell>
          <cell r="C1486" t="str">
            <v>T2.8401</v>
          </cell>
          <cell r="D1486" t="str">
            <v>MCB 1 cực 600V -50A</v>
          </cell>
          <cell r="E1486" t="str">
            <v>cái</v>
          </cell>
          <cell r="F1486">
            <v>129273</v>
          </cell>
          <cell r="G1486">
            <v>81800</v>
          </cell>
          <cell r="H1486">
            <v>190548.72</v>
          </cell>
          <cell r="I1486">
            <v>0</v>
          </cell>
          <cell r="J1486" t="str">
            <v>"</v>
          </cell>
        </row>
        <row r="1487">
          <cell r="B1487" t="str">
            <v>ATM1/63</v>
          </cell>
          <cell r="C1487" t="str">
            <v>T2.8402</v>
          </cell>
          <cell r="D1487" t="str">
            <v>MCB 1 cực 600V -66A</v>
          </cell>
          <cell r="E1487" t="str">
            <v>cái</v>
          </cell>
          <cell r="F1487">
            <v>129273</v>
          </cell>
          <cell r="G1487">
            <v>81800</v>
          </cell>
          <cell r="H1487">
            <v>275237.03999999998</v>
          </cell>
          <cell r="I1487">
            <v>0</v>
          </cell>
          <cell r="J1487" t="str">
            <v>0,38xLNC(4/7)</v>
          </cell>
        </row>
        <row r="1488">
          <cell r="B1488" t="str">
            <v>ATM2/16</v>
          </cell>
          <cell r="C1488" t="str">
            <v>T2.8401</v>
          </cell>
          <cell r="D1488" t="str">
            <v>MCB 2 cực 400V -16A</v>
          </cell>
          <cell r="E1488" t="str">
            <v>cái</v>
          </cell>
          <cell r="F1488">
            <v>167091</v>
          </cell>
          <cell r="G1488">
            <v>81800</v>
          </cell>
          <cell r="H1488">
            <v>190548.72</v>
          </cell>
          <cell r="I1488">
            <v>0</v>
          </cell>
          <cell r="J1488" t="str">
            <v>0,25xLNC(4/7)</v>
          </cell>
        </row>
        <row r="1489">
          <cell r="B1489" t="str">
            <v>ATM2/20</v>
          </cell>
          <cell r="C1489" t="str">
            <v>T2.8401</v>
          </cell>
          <cell r="D1489" t="str">
            <v>MCB 2 cực 400V -20A</v>
          </cell>
          <cell r="E1489" t="str">
            <v>cái</v>
          </cell>
          <cell r="F1489">
            <v>167091</v>
          </cell>
          <cell r="G1489">
            <v>81800</v>
          </cell>
          <cell r="H1489">
            <v>190548.72</v>
          </cell>
          <cell r="I1489">
            <v>0</v>
          </cell>
          <cell r="J1489" t="str">
            <v>"</v>
          </cell>
        </row>
        <row r="1490">
          <cell r="B1490" t="str">
            <v>ATM2/25</v>
          </cell>
          <cell r="C1490" t="str">
            <v>T2.8401</v>
          </cell>
          <cell r="D1490" t="str">
            <v>MCB 2 cực 400V -25A</v>
          </cell>
          <cell r="E1490" t="str">
            <v>cái</v>
          </cell>
          <cell r="F1490">
            <v>167091</v>
          </cell>
          <cell r="G1490">
            <v>81800</v>
          </cell>
          <cell r="H1490">
            <v>190548.72</v>
          </cell>
          <cell r="I1490">
            <v>0</v>
          </cell>
          <cell r="J1490" t="str">
            <v>"</v>
          </cell>
        </row>
        <row r="1491">
          <cell r="B1491" t="str">
            <v>ATM2/32</v>
          </cell>
          <cell r="C1491" t="str">
            <v>T2.8401</v>
          </cell>
          <cell r="D1491" t="str">
            <v>MCB 2 cực 400V -32A</v>
          </cell>
          <cell r="E1491" t="str">
            <v>cái</v>
          </cell>
          <cell r="F1491">
            <v>167091</v>
          </cell>
          <cell r="G1491">
            <v>81800</v>
          </cell>
          <cell r="H1491">
            <v>190548.72</v>
          </cell>
          <cell r="I1491">
            <v>0</v>
          </cell>
          <cell r="J1491" t="str">
            <v>"</v>
          </cell>
        </row>
        <row r="1492">
          <cell r="B1492" t="str">
            <v>ATM2/45</v>
          </cell>
          <cell r="C1492" t="str">
            <v>T2.8401</v>
          </cell>
          <cell r="D1492" t="str">
            <v>MCCB 2 cực-600V-45A</v>
          </cell>
          <cell r="E1492" t="str">
            <v>cái</v>
          </cell>
          <cell r="F1492">
            <v>882000</v>
          </cell>
          <cell r="G1492">
            <v>81800</v>
          </cell>
          <cell r="H1492">
            <v>190548.72</v>
          </cell>
          <cell r="I1492">
            <v>0</v>
          </cell>
          <cell r="J1492" t="str">
            <v>"</v>
          </cell>
        </row>
        <row r="1493">
          <cell r="B1493" t="str">
            <v>ATM2/50</v>
          </cell>
          <cell r="C1493" t="str">
            <v>T2.8401</v>
          </cell>
          <cell r="D1493" t="str">
            <v>MCCB 2 cực-600V-50A</v>
          </cell>
          <cell r="E1493" t="str">
            <v>cái</v>
          </cell>
          <cell r="F1493">
            <v>236500</v>
          </cell>
          <cell r="G1493">
            <v>81800</v>
          </cell>
          <cell r="H1493">
            <v>190548.72</v>
          </cell>
          <cell r="I1493">
            <v>0</v>
          </cell>
          <cell r="J1493" t="str">
            <v>"</v>
          </cell>
        </row>
        <row r="1494">
          <cell r="B1494" t="str">
            <v>ATM2/65</v>
          </cell>
          <cell r="C1494" t="str">
            <v>T2.8402</v>
          </cell>
          <cell r="D1494" t="str">
            <v>MCCB 2 cực-460V-63A</v>
          </cell>
          <cell r="E1494" t="str">
            <v>cái</v>
          </cell>
          <cell r="F1494">
            <v>966000</v>
          </cell>
          <cell r="G1494">
            <v>81800</v>
          </cell>
          <cell r="H1494">
            <v>275237.03999999998</v>
          </cell>
          <cell r="I1494">
            <v>0</v>
          </cell>
          <cell r="J1494" t="str">
            <v>"</v>
          </cell>
        </row>
        <row r="1495">
          <cell r="B1495" t="str">
            <v>ATM2/75</v>
          </cell>
          <cell r="C1495" t="str">
            <v>T2.8402</v>
          </cell>
          <cell r="D1495" t="str">
            <v>MCCB 2 cực-600V-75A</v>
          </cell>
          <cell r="E1495" t="str">
            <v>cái</v>
          </cell>
          <cell r="F1495">
            <v>966000</v>
          </cell>
          <cell r="G1495">
            <v>81800</v>
          </cell>
          <cell r="H1495">
            <v>275237.03999999998</v>
          </cell>
          <cell r="I1495">
            <v>0</v>
          </cell>
          <cell r="J1495" t="str">
            <v>"</v>
          </cell>
        </row>
        <row r="1496">
          <cell r="B1496" t="str">
            <v>ATM2/80</v>
          </cell>
          <cell r="C1496" t="str">
            <v>T2.8402</v>
          </cell>
          <cell r="D1496" t="str">
            <v>MCCB 2 cực-690V-80A</v>
          </cell>
          <cell r="E1496" t="str">
            <v>cái</v>
          </cell>
          <cell r="F1496">
            <v>0</v>
          </cell>
          <cell r="G1496">
            <v>81800</v>
          </cell>
          <cell r="H1496">
            <v>275237.03999999998</v>
          </cell>
          <cell r="I1496">
            <v>0</v>
          </cell>
          <cell r="J1496" t="str">
            <v>"</v>
          </cell>
        </row>
        <row r="1497">
          <cell r="B1497" t="str">
            <v>ATM2/100</v>
          </cell>
          <cell r="C1497" t="str">
            <v>T2.8402</v>
          </cell>
          <cell r="D1497" t="str">
            <v>MCCB 2 cực-600V-100A</v>
          </cell>
          <cell r="E1497" t="str">
            <v>cái</v>
          </cell>
          <cell r="F1497">
            <v>2044000</v>
          </cell>
          <cell r="G1497">
            <v>81800</v>
          </cell>
          <cell r="H1497">
            <v>275237.03999999998</v>
          </cell>
          <cell r="I1497">
            <v>0</v>
          </cell>
          <cell r="J1497" t="str">
            <v>"</v>
          </cell>
        </row>
        <row r="1498">
          <cell r="B1498" t="str">
            <v>ATM2/125</v>
          </cell>
          <cell r="C1498" t="str">
            <v>T2.8403</v>
          </cell>
          <cell r="D1498" t="str">
            <v>MCCB 2 cực-690V-125A-36kA</v>
          </cell>
          <cell r="E1498" t="str">
            <v>cái</v>
          </cell>
          <cell r="F1498">
            <v>2044000</v>
          </cell>
          <cell r="G1498">
            <v>81800</v>
          </cell>
          <cell r="H1498">
            <v>402269.52</v>
          </cell>
          <cell r="I1498">
            <v>0</v>
          </cell>
          <cell r="J1498" t="str">
            <v>"</v>
          </cell>
        </row>
        <row r="1499">
          <cell r="B1499" t="str">
            <v>ATM2/150</v>
          </cell>
          <cell r="C1499" t="str">
            <v>T2.8403</v>
          </cell>
          <cell r="D1499" t="str">
            <v>MCCB 2 cực-600V-150A</v>
          </cell>
          <cell r="E1499" t="str">
            <v>cái</v>
          </cell>
          <cell r="F1499">
            <v>627000</v>
          </cell>
          <cell r="G1499">
            <v>81800</v>
          </cell>
          <cell r="H1499">
            <v>402269.52</v>
          </cell>
          <cell r="I1499">
            <v>0</v>
          </cell>
          <cell r="J1499" t="str">
            <v>"</v>
          </cell>
        </row>
        <row r="1500">
          <cell r="B1500" t="str">
            <v>ATM2/200</v>
          </cell>
          <cell r="C1500" t="str">
            <v>T2.8403</v>
          </cell>
          <cell r="D1500" t="str">
            <v>MCCB 2 cực-600V-200A</v>
          </cell>
          <cell r="E1500" t="str">
            <v>cái</v>
          </cell>
          <cell r="F1500">
            <v>627000</v>
          </cell>
          <cell r="G1500">
            <v>81800</v>
          </cell>
          <cell r="H1500">
            <v>402269.52</v>
          </cell>
          <cell r="I1500">
            <v>0</v>
          </cell>
          <cell r="J1500" t="str">
            <v>"</v>
          </cell>
        </row>
        <row r="1501">
          <cell r="B1501" t="str">
            <v>ATM2/250</v>
          </cell>
          <cell r="C1501" t="str">
            <v>T2.8403</v>
          </cell>
          <cell r="D1501" t="str">
            <v>MCCB 2 cực-600V-250A</v>
          </cell>
          <cell r="E1501" t="str">
            <v>cái</v>
          </cell>
          <cell r="F1501">
            <v>627000</v>
          </cell>
          <cell r="G1501">
            <v>81800</v>
          </cell>
          <cell r="H1501">
            <v>402269.52</v>
          </cell>
          <cell r="I1501">
            <v>0</v>
          </cell>
          <cell r="J1501" t="str">
            <v>"</v>
          </cell>
        </row>
        <row r="1502">
          <cell r="B1502" t="str">
            <v>ATM5</v>
          </cell>
          <cell r="C1502" t="str">
            <v>T2.8401</v>
          </cell>
          <cell r="D1502" t="str">
            <v>MCB 3 cực 600V -5A</v>
          </cell>
          <cell r="E1502" t="str">
            <v>cái</v>
          </cell>
          <cell r="F1502">
            <v>630000</v>
          </cell>
          <cell r="G1502">
            <v>81800</v>
          </cell>
          <cell r="H1502">
            <v>238185.9</v>
          </cell>
          <cell r="I1502">
            <v>0</v>
          </cell>
          <cell r="J1502" t="str">
            <v>ĐM285</v>
          </cell>
        </row>
        <row r="1503">
          <cell r="B1503" t="str">
            <v>ATM10</v>
          </cell>
          <cell r="C1503" t="str">
            <v>T2.8401</v>
          </cell>
          <cell r="D1503" t="str">
            <v>MCB 3 cực 600V -10A</v>
          </cell>
          <cell r="E1503" t="str">
            <v>cái</v>
          </cell>
          <cell r="F1503">
            <v>630000</v>
          </cell>
          <cell r="G1503">
            <v>81800</v>
          </cell>
          <cell r="H1503">
            <v>238185.9</v>
          </cell>
          <cell r="I1503">
            <v>0</v>
          </cell>
          <cell r="J1503" t="str">
            <v>"</v>
          </cell>
        </row>
        <row r="1504">
          <cell r="B1504" t="str">
            <v>ATM15</v>
          </cell>
          <cell r="C1504" t="str">
            <v>T2.8401</v>
          </cell>
          <cell r="D1504" t="str">
            <v>MCB 3 cực 600V -15A</v>
          </cell>
          <cell r="E1504" t="str">
            <v>cái</v>
          </cell>
          <cell r="F1504">
            <v>790000</v>
          </cell>
          <cell r="G1504">
            <v>81800</v>
          </cell>
          <cell r="H1504">
            <v>238185.9</v>
          </cell>
          <cell r="I1504">
            <v>0</v>
          </cell>
          <cell r="J1504" t="str">
            <v>"</v>
          </cell>
        </row>
        <row r="1505">
          <cell r="B1505" t="str">
            <v>ATM20</v>
          </cell>
          <cell r="C1505" t="str">
            <v>T2.8401</v>
          </cell>
          <cell r="D1505" t="str">
            <v>MCB 3 cực 600V -20A</v>
          </cell>
          <cell r="E1505" t="str">
            <v>cái</v>
          </cell>
          <cell r="F1505">
            <v>790000</v>
          </cell>
          <cell r="G1505">
            <v>81800</v>
          </cell>
          <cell r="H1505">
            <v>238185.9</v>
          </cell>
          <cell r="I1505">
            <v>0</v>
          </cell>
          <cell r="J1505" t="str">
            <v>"</v>
          </cell>
        </row>
        <row r="1506">
          <cell r="B1506" t="str">
            <v>ATM30</v>
          </cell>
          <cell r="C1506" t="str">
            <v>T2.8401</v>
          </cell>
          <cell r="D1506" t="str">
            <v>MCB 3 cực 600V -30A</v>
          </cell>
          <cell r="E1506" t="str">
            <v>cái</v>
          </cell>
          <cell r="F1506">
            <v>790000</v>
          </cell>
          <cell r="G1506">
            <v>81800</v>
          </cell>
          <cell r="H1506">
            <v>238185.9</v>
          </cell>
          <cell r="I1506">
            <v>0</v>
          </cell>
          <cell r="J1506" t="str">
            <v>"</v>
          </cell>
        </row>
        <row r="1507">
          <cell r="B1507" t="str">
            <v>ATM40</v>
          </cell>
          <cell r="C1507" t="str">
            <v>T2.8401</v>
          </cell>
          <cell r="D1507" t="str">
            <v>MCB 3 cực 600V -40A</v>
          </cell>
          <cell r="E1507" t="str">
            <v>cái</v>
          </cell>
          <cell r="F1507">
            <v>790000</v>
          </cell>
          <cell r="G1507">
            <v>81800</v>
          </cell>
          <cell r="H1507">
            <v>238185.9</v>
          </cell>
          <cell r="I1507">
            <v>0</v>
          </cell>
          <cell r="J1507" t="str">
            <v>"</v>
          </cell>
        </row>
        <row r="1508">
          <cell r="B1508" t="str">
            <v>ATM50</v>
          </cell>
          <cell r="C1508" t="str">
            <v>T2.8401</v>
          </cell>
          <cell r="D1508" t="str">
            <v>MCB 3 cực 600V -50A</v>
          </cell>
          <cell r="E1508" t="str">
            <v>cái</v>
          </cell>
          <cell r="F1508">
            <v>790000</v>
          </cell>
          <cell r="G1508">
            <v>81800</v>
          </cell>
          <cell r="H1508">
            <v>238185.9</v>
          </cell>
          <cell r="I1508">
            <v>0</v>
          </cell>
          <cell r="J1508" t="str">
            <v>"</v>
          </cell>
        </row>
        <row r="1509">
          <cell r="B1509" t="str">
            <v>ATM60</v>
          </cell>
          <cell r="C1509" t="str">
            <v>T2.8402</v>
          </cell>
          <cell r="D1509" t="str">
            <v>MCB 3 cực 600V -60A</v>
          </cell>
          <cell r="E1509" t="str">
            <v>cái</v>
          </cell>
          <cell r="F1509">
            <v>790000</v>
          </cell>
          <cell r="G1509">
            <v>81800</v>
          </cell>
          <cell r="H1509">
            <v>344046.3</v>
          </cell>
          <cell r="I1509">
            <v>0</v>
          </cell>
          <cell r="J1509" t="str">
            <v>"</v>
          </cell>
        </row>
        <row r="1510">
          <cell r="B1510" t="str">
            <v>ATM75</v>
          </cell>
          <cell r="C1510" t="str">
            <v>T2.8402</v>
          </cell>
          <cell r="D1510" t="str">
            <v>MCCB 3 cực 600V-75A</v>
          </cell>
          <cell r="E1510" t="str">
            <v>cái</v>
          </cell>
          <cell r="F1510">
            <v>790000</v>
          </cell>
          <cell r="G1510">
            <v>81800</v>
          </cell>
          <cell r="H1510">
            <v>344046.3</v>
          </cell>
          <cell r="I1510">
            <v>0</v>
          </cell>
          <cell r="J1510" t="str">
            <v>"</v>
          </cell>
        </row>
        <row r="1511">
          <cell r="B1511" t="str">
            <v>ATM100</v>
          </cell>
          <cell r="C1511" t="str">
            <v>T2.8402</v>
          </cell>
          <cell r="D1511" t="str">
            <v>MCCB 3 cực 600V-100A</v>
          </cell>
          <cell r="E1511" t="str">
            <v>cái</v>
          </cell>
          <cell r="F1511">
            <v>790000</v>
          </cell>
          <cell r="G1511">
            <v>81800</v>
          </cell>
          <cell r="H1511">
            <v>344046.3</v>
          </cell>
          <cell r="I1511">
            <v>0</v>
          </cell>
          <cell r="J1511" t="str">
            <v>"</v>
          </cell>
        </row>
        <row r="1512">
          <cell r="B1512" t="str">
            <v>ATM125</v>
          </cell>
          <cell r="C1512" t="str">
            <v>T2.8403</v>
          </cell>
          <cell r="D1512" t="str">
            <v>MCCB 3 cực 600V -125A</v>
          </cell>
          <cell r="E1512" t="str">
            <v>cái</v>
          </cell>
          <cell r="F1512">
            <v>2522100</v>
          </cell>
          <cell r="G1512">
            <v>81800</v>
          </cell>
          <cell r="H1512">
            <v>502836.9</v>
          </cell>
          <cell r="J1512" t="str">
            <v>"</v>
          </cell>
        </row>
        <row r="1513">
          <cell r="B1513" t="str">
            <v>ATM150</v>
          </cell>
          <cell r="C1513" t="str">
            <v>T2.8403</v>
          </cell>
          <cell r="D1513" t="str">
            <v>MCCB 3 cực 600V -150A</v>
          </cell>
          <cell r="E1513" t="str">
            <v>cái</v>
          </cell>
          <cell r="F1513">
            <v>1500000</v>
          </cell>
          <cell r="G1513">
            <v>81800</v>
          </cell>
          <cell r="H1513">
            <v>502836.9</v>
          </cell>
          <cell r="I1513">
            <v>0</v>
          </cell>
          <cell r="J1513" t="str">
            <v>"</v>
          </cell>
        </row>
        <row r="1514">
          <cell r="B1514" t="str">
            <v>ATM160</v>
          </cell>
          <cell r="C1514" t="str">
            <v>T2.8403</v>
          </cell>
          <cell r="D1514" t="str">
            <v>MCCB 3 cực 600V -160A</v>
          </cell>
          <cell r="E1514" t="str">
            <v>cái</v>
          </cell>
          <cell r="F1514">
            <v>2439140</v>
          </cell>
          <cell r="G1514">
            <v>81800</v>
          </cell>
          <cell r="H1514">
            <v>502836.9</v>
          </cell>
          <cell r="J1514" t="str">
            <v>"</v>
          </cell>
        </row>
        <row r="1515">
          <cell r="B1515" t="str">
            <v>ATM175</v>
          </cell>
          <cell r="C1515" t="str">
            <v>T2.8403</v>
          </cell>
          <cell r="D1515" t="str">
            <v>MCCB 3 cực 600V -175A</v>
          </cell>
          <cell r="E1515" t="str">
            <v>cái</v>
          </cell>
          <cell r="F1515">
            <v>1500000</v>
          </cell>
          <cell r="G1515">
            <v>81800</v>
          </cell>
          <cell r="H1515">
            <v>502836.9</v>
          </cell>
          <cell r="I1515">
            <v>0</v>
          </cell>
          <cell r="J1515" t="str">
            <v>"</v>
          </cell>
        </row>
        <row r="1516">
          <cell r="B1516" t="str">
            <v>ATM200</v>
          </cell>
          <cell r="C1516" t="str">
            <v>T2.8403</v>
          </cell>
          <cell r="D1516" t="str">
            <v>MCCB 3 cực 600V -200A</v>
          </cell>
          <cell r="E1516" t="str">
            <v>cái</v>
          </cell>
          <cell r="F1516">
            <v>2866100</v>
          </cell>
          <cell r="G1516">
            <v>81800</v>
          </cell>
          <cell r="H1516">
            <v>502836.9</v>
          </cell>
          <cell r="J1516" t="str">
            <v>"</v>
          </cell>
        </row>
        <row r="1517">
          <cell r="B1517" t="str">
            <v>ATM225</v>
          </cell>
          <cell r="C1517" t="str">
            <v>T2.8404</v>
          </cell>
          <cell r="D1517" t="str">
            <v>MCCB 3 cực 600V -225A</v>
          </cell>
          <cell r="E1517" t="str">
            <v>cái</v>
          </cell>
          <cell r="F1517">
            <v>1500000</v>
          </cell>
          <cell r="G1517">
            <v>81800</v>
          </cell>
          <cell r="H1517">
            <v>661627.5</v>
          </cell>
          <cell r="I1517">
            <v>0</v>
          </cell>
          <cell r="J1517" t="str">
            <v>"</v>
          </cell>
        </row>
        <row r="1518">
          <cell r="B1518" t="str">
            <v>ATM250</v>
          </cell>
          <cell r="C1518" t="str">
            <v>T2.8404</v>
          </cell>
          <cell r="D1518" t="str">
            <v>MCCB 3 cực 600V -250A</v>
          </cell>
          <cell r="E1518" t="str">
            <v>cái</v>
          </cell>
          <cell r="F1518">
            <v>2904300</v>
          </cell>
          <cell r="G1518">
            <v>81800</v>
          </cell>
          <cell r="H1518">
            <v>661627.5</v>
          </cell>
          <cell r="J1518" t="str">
            <v>"</v>
          </cell>
        </row>
        <row r="1519">
          <cell r="B1519" t="str">
            <v>ATM300</v>
          </cell>
          <cell r="C1519" t="str">
            <v>T2.8404</v>
          </cell>
          <cell r="D1519" t="str">
            <v>MCCB 3 cực 600V -300A</v>
          </cell>
          <cell r="E1519" t="str">
            <v>cái</v>
          </cell>
          <cell r="F1519">
            <v>3750000</v>
          </cell>
          <cell r="G1519">
            <v>81800</v>
          </cell>
          <cell r="H1519">
            <v>661627.5</v>
          </cell>
          <cell r="I1519">
            <v>0</v>
          </cell>
          <cell r="J1519" t="str">
            <v>"</v>
          </cell>
        </row>
        <row r="1520">
          <cell r="B1520" t="str">
            <v>ATM350</v>
          </cell>
          <cell r="C1520" t="str">
            <v>T2.8406</v>
          </cell>
          <cell r="D1520" t="str">
            <v>MCCB 3 cực 600V -350A</v>
          </cell>
          <cell r="E1520" t="str">
            <v>cái</v>
          </cell>
          <cell r="F1520">
            <v>3750000</v>
          </cell>
          <cell r="G1520">
            <v>92820</v>
          </cell>
          <cell r="H1520">
            <v>947096</v>
          </cell>
          <cell r="I1520">
            <v>0</v>
          </cell>
          <cell r="J1520" t="str">
            <v>"</v>
          </cell>
        </row>
        <row r="1521">
          <cell r="B1521" t="str">
            <v>ATM400</v>
          </cell>
          <cell r="C1521" t="str">
            <v>T2.8406</v>
          </cell>
          <cell r="D1521" t="str">
            <v>MCCB 3 cực 600V -400A</v>
          </cell>
          <cell r="E1521" t="str">
            <v>cái</v>
          </cell>
          <cell r="F1521">
            <v>10721300</v>
          </cell>
          <cell r="G1521">
            <v>92820</v>
          </cell>
          <cell r="H1521">
            <v>947096</v>
          </cell>
          <cell r="I1521">
            <v>0</v>
          </cell>
          <cell r="J1521" t="str">
            <v>"</v>
          </cell>
        </row>
        <row r="1522">
          <cell r="B1522" t="str">
            <v>ATM600</v>
          </cell>
          <cell r="C1522" t="str">
            <v>T2.8406</v>
          </cell>
          <cell r="D1522" t="str">
            <v>MCCB 3 cực 600V -600A</v>
          </cell>
          <cell r="E1522" t="str">
            <v>cái</v>
          </cell>
          <cell r="F1522">
            <v>7800000</v>
          </cell>
          <cell r="G1522">
            <v>92820</v>
          </cell>
          <cell r="H1522">
            <v>947096</v>
          </cell>
          <cell r="I1522">
            <v>0</v>
          </cell>
          <cell r="J1522" t="str">
            <v>"</v>
          </cell>
        </row>
        <row r="1523">
          <cell r="B1523" t="str">
            <v>ATM630</v>
          </cell>
          <cell r="C1523" t="str">
            <v>T2.8406</v>
          </cell>
          <cell r="D1523" t="str">
            <v>MCCB 3 cực 600V -630A</v>
          </cell>
          <cell r="E1523" t="str">
            <v>cái</v>
          </cell>
          <cell r="F1523">
            <v>11007900</v>
          </cell>
          <cell r="G1523">
            <v>92000</v>
          </cell>
          <cell r="H1523">
            <v>1058604</v>
          </cell>
          <cell r="I1523">
            <v>0</v>
          </cell>
          <cell r="J1523" t="str">
            <v>"</v>
          </cell>
        </row>
        <row r="1524">
          <cell r="B1524" t="str">
            <v>ATM800</v>
          </cell>
          <cell r="C1524" t="str">
            <v>T2.8407</v>
          </cell>
          <cell r="D1524" t="str">
            <v>MCCB 3 cực 600V-800A</v>
          </cell>
          <cell r="E1524" t="str">
            <v>cái</v>
          </cell>
          <cell r="F1524">
            <v>8800000</v>
          </cell>
          <cell r="G1524">
            <v>119000</v>
          </cell>
          <cell r="H1524">
            <v>1323255</v>
          </cell>
          <cell r="I1524">
            <v>0</v>
          </cell>
          <cell r="J1524" t="str">
            <v>"</v>
          </cell>
        </row>
        <row r="1525">
          <cell r="B1525" t="str">
            <v>ATM1000</v>
          </cell>
          <cell r="C1525" t="str">
            <v>T2.8407</v>
          </cell>
          <cell r="D1525" t="str">
            <v>MCCB 3 cực 600V-1000A</v>
          </cell>
          <cell r="E1525" t="str">
            <v>cái</v>
          </cell>
          <cell r="F1525">
            <v>21500000</v>
          </cell>
          <cell r="G1525">
            <v>119000</v>
          </cell>
          <cell r="H1525">
            <v>1323255</v>
          </cell>
          <cell r="I1525">
            <v>0</v>
          </cell>
          <cell r="J1525" t="str">
            <v>"</v>
          </cell>
        </row>
        <row r="1526">
          <cell r="B1526" t="str">
            <v>ATM1200</v>
          </cell>
          <cell r="C1526" t="str">
            <v>T2.8407</v>
          </cell>
          <cell r="D1526" t="str">
            <v>MCCB 3 cực 600V-1200A</v>
          </cell>
          <cell r="E1526" t="str">
            <v>cái</v>
          </cell>
          <cell r="F1526">
            <v>23800000</v>
          </cell>
          <cell r="G1526">
            <v>119000</v>
          </cell>
          <cell r="H1526">
            <v>1323255</v>
          </cell>
          <cell r="I1526">
            <v>0</v>
          </cell>
          <cell r="J1526" t="str">
            <v>"</v>
          </cell>
        </row>
        <row r="1527">
          <cell r="B1527" t="str">
            <v>TUÏ BUØ TRUNG THẾ</v>
          </cell>
        </row>
        <row r="1528">
          <cell r="B1528" t="str">
            <v>TUB20</v>
          </cell>
          <cell r="C1528" t="str">
            <v>T2.8504c</v>
          </cell>
          <cell r="D1528" t="str">
            <v>Tụ bù - 20kVAr (22kV) (trong tủ)</v>
          </cell>
          <cell r="E1528" t="str">
            <v>bộ</v>
          </cell>
          <cell r="F1528">
            <v>2846675</v>
          </cell>
          <cell r="J1528" t="str">
            <v>ĐM286</v>
          </cell>
        </row>
        <row r="1529">
          <cell r="B1529" t="str">
            <v>TUB40</v>
          </cell>
          <cell r="C1529" t="str">
            <v>T2.8504c</v>
          </cell>
          <cell r="D1529" t="str">
            <v>Tụ bù - 40kVAr(22kV) (trong tủ)</v>
          </cell>
          <cell r="E1529" t="str">
            <v>bộ</v>
          </cell>
          <cell r="F1529">
            <v>4442490</v>
          </cell>
          <cell r="J1529" t="str">
            <v>"</v>
          </cell>
        </row>
        <row r="1530">
          <cell r="B1530" t="str">
            <v>TUB60</v>
          </cell>
          <cell r="C1530" t="str">
            <v>T2.8504c</v>
          </cell>
          <cell r="D1530" t="str">
            <v>Tụ bù - 60kVAr(22kV) (trong tủ)</v>
          </cell>
          <cell r="E1530" t="str">
            <v>bộ</v>
          </cell>
          <cell r="F1530">
            <v>5837460</v>
          </cell>
          <cell r="J1530" t="str">
            <v>"</v>
          </cell>
        </row>
        <row r="1531">
          <cell r="B1531" t="str">
            <v>TUB90</v>
          </cell>
          <cell r="C1531" t="str">
            <v>T2.8504c</v>
          </cell>
          <cell r="D1531" t="str">
            <v>Tụ bù - 90kVAr(22kV) (trong tủ)</v>
          </cell>
          <cell r="E1531" t="str">
            <v>bộ</v>
          </cell>
          <cell r="F1531">
            <v>9102480</v>
          </cell>
          <cell r="J1531" t="str">
            <v>"</v>
          </cell>
        </row>
        <row r="1532">
          <cell r="B1532" t="str">
            <v>TUB120</v>
          </cell>
          <cell r="C1532" t="str">
            <v>T2.8504c</v>
          </cell>
          <cell r="D1532" t="str">
            <v>Tụ bù - 120kVAr(22kV) (trong tủ)</v>
          </cell>
          <cell r="E1532" t="str">
            <v>bộ</v>
          </cell>
          <cell r="F1532">
            <v>10765502</v>
          </cell>
          <cell r="J1532" t="str">
            <v>"</v>
          </cell>
        </row>
        <row r="1533">
          <cell r="B1533" t="str">
            <v>TUB180</v>
          </cell>
          <cell r="C1533" t="str">
            <v>T2.8504c</v>
          </cell>
          <cell r="D1533" t="str">
            <v>Tụ bù - 180kVAr(22kV) (trong tủ)</v>
          </cell>
          <cell r="E1533" t="str">
            <v>bộ</v>
          </cell>
          <cell r="F1533">
            <v>13438194</v>
          </cell>
          <cell r="J1533" t="str">
            <v>"</v>
          </cell>
        </row>
        <row r="1534">
          <cell r="B1534" t="str">
            <v>TUÏ BUØ  HẠ THẾ TRÊN CỘT</v>
          </cell>
        </row>
        <row r="1535">
          <cell r="B1535" t="str">
            <v>TUB20TH-COT</v>
          </cell>
          <cell r="C1535" t="str">
            <v>T2.8505b</v>
          </cell>
          <cell r="D1535" t="str">
            <v>Tụ bù - 20kVAr (0,4kV) (trên cột)</v>
          </cell>
          <cell r="E1535" t="str">
            <v>bộ</v>
          </cell>
          <cell r="F1535">
            <v>2846675</v>
          </cell>
          <cell r="J1535" t="str">
            <v>ĐM286</v>
          </cell>
        </row>
        <row r="1536">
          <cell r="B1536" t="str">
            <v>TUB40TH-COT</v>
          </cell>
          <cell r="C1536" t="str">
            <v>T2.8505b</v>
          </cell>
          <cell r="D1536" t="str">
            <v>Tụ bù - 40kVAr(0,4kV) (trên cột)</v>
          </cell>
          <cell r="E1536" t="str">
            <v>bộ</v>
          </cell>
          <cell r="F1536">
            <v>4442490</v>
          </cell>
          <cell r="J1536" t="str">
            <v>"</v>
          </cell>
        </row>
        <row r="1537">
          <cell r="B1537" t="str">
            <v>TUB60TH-COT</v>
          </cell>
          <cell r="C1537" t="str">
            <v>T2.8505b</v>
          </cell>
          <cell r="D1537" t="str">
            <v>Tụ bù - 60kVAr(0,4kV) (trên cột)</v>
          </cell>
          <cell r="E1537" t="str">
            <v>bộ</v>
          </cell>
          <cell r="F1537">
            <v>5837460</v>
          </cell>
          <cell r="J1537" t="str">
            <v>"</v>
          </cell>
        </row>
        <row r="1538">
          <cell r="B1538" t="str">
            <v>TUB90TH-COT</v>
          </cell>
          <cell r="C1538" t="str">
            <v>T2.8505b</v>
          </cell>
          <cell r="D1538" t="str">
            <v>Tụ bù - 90kVAr(0,4kV) (trên cột)</v>
          </cell>
          <cell r="E1538" t="str">
            <v>bộ</v>
          </cell>
          <cell r="F1538">
            <v>9102480</v>
          </cell>
          <cell r="J1538" t="str">
            <v>"</v>
          </cell>
        </row>
        <row r="1539">
          <cell r="B1539" t="str">
            <v>TUB120TH-COT</v>
          </cell>
          <cell r="C1539" t="str">
            <v>T2.8505b</v>
          </cell>
          <cell r="D1539" t="str">
            <v>Tụ bù - 120kVAr(0,4kV) (trên cột)</v>
          </cell>
          <cell r="E1539" t="str">
            <v>bộ</v>
          </cell>
          <cell r="F1539">
            <v>10765502</v>
          </cell>
          <cell r="J1539" t="str">
            <v>"</v>
          </cell>
        </row>
        <row r="1540">
          <cell r="B1540" t="str">
            <v>TUB180TH-COT</v>
          </cell>
          <cell r="C1540" t="str">
            <v>T2.8505b</v>
          </cell>
          <cell r="D1540" t="str">
            <v>Tụ bù - 180kVAr(0,4kV) (trên cột)</v>
          </cell>
          <cell r="E1540" t="str">
            <v>bộ</v>
          </cell>
          <cell r="F1540">
            <v>13438194</v>
          </cell>
          <cell r="J1540" t="str">
            <v>"</v>
          </cell>
        </row>
        <row r="1541">
          <cell r="B1541" t="str">
            <v>TUÏ BUØ  HẠ THẾ TRONG TỦ</v>
          </cell>
        </row>
        <row r="1542">
          <cell r="B1542" t="str">
            <v>TUB20TH</v>
          </cell>
          <cell r="C1542" t="str">
            <v>T2.8505c</v>
          </cell>
          <cell r="D1542" t="str">
            <v>Tụ bù - 20kVAr (0,4kV) (trong tủ)</v>
          </cell>
          <cell r="E1542" t="str">
            <v>bộ</v>
          </cell>
          <cell r="F1542">
            <v>2846675</v>
          </cell>
          <cell r="J1542" t="str">
            <v>ĐM286</v>
          </cell>
        </row>
        <row r="1543">
          <cell r="B1543" t="str">
            <v>TUB40TH</v>
          </cell>
          <cell r="C1543" t="str">
            <v>T2.8505c</v>
          </cell>
          <cell r="D1543" t="str">
            <v>Tụ bù - 40kVAr(0,4kV) (trong tủ)</v>
          </cell>
          <cell r="E1543" t="str">
            <v>bộ</v>
          </cell>
          <cell r="F1543">
            <v>4442490</v>
          </cell>
          <cell r="J1543" t="str">
            <v>"</v>
          </cell>
        </row>
        <row r="1544">
          <cell r="B1544" t="str">
            <v>TUB60TH</v>
          </cell>
          <cell r="C1544" t="str">
            <v>T2.8505c</v>
          </cell>
          <cell r="D1544" t="str">
            <v>Tụ bù - 60kVAr(0,4kV) (trong tủ)</v>
          </cell>
          <cell r="E1544" t="str">
            <v>bộ</v>
          </cell>
          <cell r="F1544">
            <v>5837460</v>
          </cell>
          <cell r="J1544" t="str">
            <v>"</v>
          </cell>
        </row>
        <row r="1545">
          <cell r="B1545" t="str">
            <v>TUB90TH</v>
          </cell>
          <cell r="C1545" t="str">
            <v>T2.8505c</v>
          </cell>
          <cell r="D1545" t="str">
            <v>Tụ bù - 90kVAr(0,4kV) (trong tủ)</v>
          </cell>
          <cell r="E1545" t="str">
            <v>bộ</v>
          </cell>
          <cell r="F1545">
            <v>9102480</v>
          </cell>
          <cell r="J1545" t="str">
            <v>"</v>
          </cell>
        </row>
        <row r="1546">
          <cell r="B1546" t="str">
            <v>TUB120TH</v>
          </cell>
          <cell r="C1546" t="str">
            <v>T2.8505c</v>
          </cell>
          <cell r="D1546" t="str">
            <v>Tụ bù - 120kVAr(0,4kV) (trong tủ)</v>
          </cell>
          <cell r="E1546" t="str">
            <v>bộ</v>
          </cell>
          <cell r="F1546">
            <v>10765502</v>
          </cell>
          <cell r="J1546" t="str">
            <v>"</v>
          </cell>
        </row>
        <row r="1547">
          <cell r="B1547" t="str">
            <v>TUB180TH</v>
          </cell>
          <cell r="C1547" t="str">
            <v>T2.8505c</v>
          </cell>
          <cell r="D1547" t="str">
            <v>Tụ bù - 180kVAr(0,4kV) (trong tủ)</v>
          </cell>
          <cell r="E1547" t="str">
            <v>bộ</v>
          </cell>
          <cell r="F1547">
            <v>13438194</v>
          </cell>
          <cell r="J1547" t="str">
            <v>"</v>
          </cell>
        </row>
        <row r="1548">
          <cell r="B1548" t="str">
            <v>ÑAÀU COSSE</v>
          </cell>
        </row>
        <row r="1549">
          <cell r="B1549" t="str">
            <v>COS2,5</v>
          </cell>
          <cell r="C1549" t="str">
            <v>T4.3006</v>
          </cell>
          <cell r="D1549" t="str">
            <v>Đầu cosse Cu 2,5mm²</v>
          </cell>
          <cell r="E1549" t="str">
            <v>cái</v>
          </cell>
          <cell r="F1549">
            <v>0</v>
          </cell>
          <cell r="J1549" t="str">
            <v>ĐM286</v>
          </cell>
        </row>
        <row r="1550">
          <cell r="B1550" t="str">
            <v>COS4</v>
          </cell>
          <cell r="C1550" t="str">
            <v>D4.5001</v>
          </cell>
          <cell r="D1550" t="str">
            <v>Đầu cosse Cu 4mm²</v>
          </cell>
          <cell r="E1550" t="str">
            <v>cái</v>
          </cell>
          <cell r="F1550">
            <v>0</v>
          </cell>
          <cell r="G1550">
            <v>0</v>
          </cell>
          <cell r="H1550">
            <v>4606.54</v>
          </cell>
          <cell r="I1550">
            <v>1632.9</v>
          </cell>
          <cell r="J1550" t="str">
            <v>ĐM286</v>
          </cell>
        </row>
        <row r="1551">
          <cell r="B1551" t="str">
            <v>COS6</v>
          </cell>
          <cell r="C1551" t="str">
            <v>D4.5001</v>
          </cell>
          <cell r="D1551" t="str">
            <v>Đầu cosse Cu 6mm²</v>
          </cell>
          <cell r="E1551" t="str">
            <v>cái</v>
          </cell>
          <cell r="F1551">
            <v>0</v>
          </cell>
          <cell r="G1551">
            <v>0</v>
          </cell>
          <cell r="H1551">
            <v>4606.54</v>
          </cell>
          <cell r="I1551">
            <v>1632.9</v>
          </cell>
          <cell r="J1551" t="str">
            <v>ĐM286</v>
          </cell>
        </row>
        <row r="1552">
          <cell r="B1552" t="str">
            <v>COS11</v>
          </cell>
          <cell r="C1552" t="str">
            <v>D4.5001</v>
          </cell>
          <cell r="D1552" t="str">
            <v>Đầu cosse Cu 11mm²</v>
          </cell>
          <cell r="E1552" t="str">
            <v>cái</v>
          </cell>
          <cell r="F1552">
            <v>0</v>
          </cell>
          <cell r="G1552">
            <v>0</v>
          </cell>
          <cell r="H1552">
            <v>4606.54</v>
          </cell>
          <cell r="I1552">
            <v>1632.9</v>
          </cell>
          <cell r="J1552" t="str">
            <v>"</v>
          </cell>
        </row>
        <row r="1553">
          <cell r="B1553" t="str">
            <v>COS10</v>
          </cell>
          <cell r="C1553" t="str">
            <v>D4.5001</v>
          </cell>
          <cell r="D1553" t="str">
            <v>Đầu cosse Cu 10mm²</v>
          </cell>
          <cell r="E1553" t="str">
            <v>cái</v>
          </cell>
          <cell r="F1553">
            <v>12900</v>
          </cell>
          <cell r="H1553">
            <v>4606.54</v>
          </cell>
          <cell r="I1553">
            <v>1632.9</v>
          </cell>
          <cell r="J1553" t="str">
            <v>"</v>
          </cell>
        </row>
        <row r="1554">
          <cell r="B1554" t="str">
            <v>COS16</v>
          </cell>
          <cell r="C1554" t="str">
            <v>D4.5001</v>
          </cell>
          <cell r="D1554" t="str">
            <v>Đầu cosse Cu 16mm²</v>
          </cell>
          <cell r="E1554" t="str">
            <v>cái</v>
          </cell>
          <cell r="F1554">
            <v>13400</v>
          </cell>
          <cell r="G1554">
            <v>0</v>
          </cell>
          <cell r="H1554">
            <v>4606.54</v>
          </cell>
          <cell r="I1554">
            <v>1632.9</v>
          </cell>
          <cell r="J1554" t="str">
            <v>"</v>
          </cell>
        </row>
        <row r="1555">
          <cell r="B1555" t="str">
            <v>COS22</v>
          </cell>
          <cell r="C1555" t="str">
            <v>D4.5001</v>
          </cell>
          <cell r="D1555" t="str">
            <v>Đầu cosse Cu 22mm²</v>
          </cell>
          <cell r="E1555" t="str">
            <v>cái</v>
          </cell>
          <cell r="F1555">
            <v>13400</v>
          </cell>
          <cell r="G1555">
            <v>0</v>
          </cell>
          <cell r="H1555">
            <v>4606.54</v>
          </cell>
          <cell r="I1555">
            <v>1632.9</v>
          </cell>
          <cell r="J1555" t="str">
            <v>"</v>
          </cell>
        </row>
        <row r="1556">
          <cell r="B1556" t="str">
            <v>COS25</v>
          </cell>
          <cell r="C1556" t="str">
            <v>D4.5001</v>
          </cell>
          <cell r="D1556" t="str">
            <v>Đầu cosse Cu 25mm²</v>
          </cell>
          <cell r="E1556" t="str">
            <v>cái</v>
          </cell>
          <cell r="F1556">
            <v>14600</v>
          </cell>
          <cell r="H1556">
            <v>4606.5439999999999</v>
          </cell>
          <cell r="I1556">
            <v>1632.9</v>
          </cell>
          <cell r="J1556" t="str">
            <v>"</v>
          </cell>
        </row>
        <row r="1557">
          <cell r="B1557" t="str">
            <v>COS25T</v>
          </cell>
          <cell r="C1557" t="str">
            <v>T4.3006</v>
          </cell>
          <cell r="D1557" t="str">
            <v>Đầu cosse Cu 25mm²</v>
          </cell>
          <cell r="E1557" t="str">
            <v>cái</v>
          </cell>
          <cell r="F1557">
            <v>14600</v>
          </cell>
          <cell r="J1557" t="str">
            <v>"</v>
          </cell>
        </row>
        <row r="1558">
          <cell r="B1558" t="str">
            <v>COS25B</v>
          </cell>
          <cell r="C1558" t="str">
            <v>D4.5001</v>
          </cell>
          <cell r="D1558" t="str">
            <v>Đầu coss ép Cu 25mm² + boulon Φ12x25 + Long đền Φ14</v>
          </cell>
          <cell r="E1558" t="str">
            <v>bộ</v>
          </cell>
          <cell r="G1558">
            <v>0</v>
          </cell>
          <cell r="H1558">
            <v>4606.54</v>
          </cell>
          <cell r="I1558">
            <v>1632.9</v>
          </cell>
          <cell r="J1558" t="str">
            <v>"</v>
          </cell>
        </row>
        <row r="1559">
          <cell r="B1559" t="str">
            <v>COS10B</v>
          </cell>
          <cell r="C1559" t="str">
            <v>D4.5001</v>
          </cell>
          <cell r="D1559" t="str">
            <v>Đầu coss ép Cu 25mm² + boulon Φ10x15 + Long đền Φ14</v>
          </cell>
          <cell r="E1559" t="str">
            <v>bộ</v>
          </cell>
          <cell r="F1559">
            <v>0</v>
          </cell>
          <cell r="G1559">
            <v>0</v>
          </cell>
          <cell r="H1559">
            <v>4606.54</v>
          </cell>
          <cell r="I1559">
            <v>1632.9</v>
          </cell>
          <cell r="J1559" t="str">
            <v>"</v>
          </cell>
        </row>
        <row r="1560">
          <cell r="B1560" t="str">
            <v>COS35</v>
          </cell>
          <cell r="C1560" t="str">
            <v>D4.5002</v>
          </cell>
          <cell r="D1560" t="str">
            <v>Đầu cosse Cu 35mm²</v>
          </cell>
          <cell r="E1560" t="str">
            <v>cái</v>
          </cell>
          <cell r="F1560">
            <v>19400</v>
          </cell>
          <cell r="G1560">
            <v>0</v>
          </cell>
          <cell r="H1560">
            <v>8061.4520000000002</v>
          </cell>
          <cell r="I1560">
            <v>2041.125</v>
          </cell>
          <cell r="J1560" t="str">
            <v>"</v>
          </cell>
        </row>
        <row r="1561">
          <cell r="B1561" t="str">
            <v>COS50</v>
          </cell>
          <cell r="C1561" t="str">
            <v>D4.5002</v>
          </cell>
          <cell r="D1561" t="str">
            <v>Đầu cosse Cu 50mm²</v>
          </cell>
          <cell r="E1561" t="str">
            <v>cái</v>
          </cell>
          <cell r="F1561">
            <v>29600</v>
          </cell>
          <cell r="H1561">
            <v>8061.4520000000002</v>
          </cell>
          <cell r="I1561">
            <v>2041.125</v>
          </cell>
          <cell r="J1561" t="str">
            <v>"</v>
          </cell>
        </row>
        <row r="1562">
          <cell r="B1562" t="str">
            <v>COS50AL</v>
          </cell>
          <cell r="C1562" t="str">
            <v>D4.5002</v>
          </cell>
          <cell r="D1562" t="str">
            <v>Đầu cosse Cu - AL 50mm²</v>
          </cell>
          <cell r="E1562" t="str">
            <v>cái</v>
          </cell>
          <cell r="F1562">
            <v>29600</v>
          </cell>
          <cell r="G1562">
            <v>0</v>
          </cell>
          <cell r="H1562">
            <v>8061.45</v>
          </cell>
          <cell r="I1562">
            <v>2041.1299999999999</v>
          </cell>
          <cell r="J1562" t="str">
            <v>"</v>
          </cell>
        </row>
        <row r="1563">
          <cell r="B1563" t="str">
            <v>COS50ALT</v>
          </cell>
          <cell r="C1563" t="str">
            <v>T4.3006</v>
          </cell>
          <cell r="D1563" t="str">
            <v>Đầu cosse Cu - AL 50mm²</v>
          </cell>
          <cell r="E1563" t="str">
            <v>cái</v>
          </cell>
          <cell r="F1563">
            <v>29600</v>
          </cell>
          <cell r="J1563" t="str">
            <v>"</v>
          </cell>
        </row>
        <row r="1564">
          <cell r="B1564" t="str">
            <v>COS70</v>
          </cell>
          <cell r="C1564" t="str">
            <v>D4.5003</v>
          </cell>
          <cell r="D1564" t="str">
            <v>Đầu cosse Cu 70mm²</v>
          </cell>
          <cell r="E1564" t="str">
            <v>cái</v>
          </cell>
          <cell r="F1564">
            <v>41700</v>
          </cell>
          <cell r="H1564">
            <v>15834.995000000001</v>
          </cell>
          <cell r="I1564">
            <v>2449.35</v>
          </cell>
          <cell r="J1564" t="str">
            <v>"</v>
          </cell>
        </row>
        <row r="1565">
          <cell r="B1565" t="str">
            <v>COS70AL</v>
          </cell>
          <cell r="C1565" t="str">
            <v>D4.5003</v>
          </cell>
          <cell r="D1565" t="str">
            <v>Đầu cosse Cu - Al 70mm²</v>
          </cell>
          <cell r="E1565" t="str">
            <v>cái</v>
          </cell>
          <cell r="F1565">
            <v>41700</v>
          </cell>
          <cell r="H1565">
            <v>15834.995000000001</v>
          </cell>
          <cell r="I1565">
            <v>2449.35</v>
          </cell>
          <cell r="J1565" t="str">
            <v>"</v>
          </cell>
        </row>
        <row r="1566">
          <cell r="B1566" t="str">
            <v>COS95</v>
          </cell>
          <cell r="C1566" t="str">
            <v>D4.5004</v>
          </cell>
          <cell r="D1566" t="str">
            <v>Đầu cosse Cu 95mm²</v>
          </cell>
          <cell r="E1566" t="str">
            <v>cái</v>
          </cell>
          <cell r="F1566">
            <v>60200</v>
          </cell>
          <cell r="G1566">
            <v>0</v>
          </cell>
          <cell r="H1566">
            <v>20153.629999999997</v>
          </cell>
          <cell r="I1566">
            <v>2449.35</v>
          </cell>
          <cell r="J1566" t="str">
            <v>"</v>
          </cell>
        </row>
        <row r="1567">
          <cell r="B1567" t="str">
            <v>COS95T</v>
          </cell>
          <cell r="C1567" t="str">
            <v>T4.3006</v>
          </cell>
          <cell r="D1567" t="str">
            <v>Đầu cosse Cu 95mm²</v>
          </cell>
          <cell r="E1567" t="str">
            <v>cái</v>
          </cell>
          <cell r="F1567">
            <v>60200</v>
          </cell>
          <cell r="G1567">
            <v>40</v>
          </cell>
          <cell r="H1567">
            <v>13022.57</v>
          </cell>
          <cell r="I1567">
            <v>0</v>
          </cell>
          <cell r="J1567" t="str">
            <v>"</v>
          </cell>
        </row>
        <row r="1568">
          <cell r="B1568" t="str">
            <v>COS120</v>
          </cell>
          <cell r="C1568" t="str">
            <v>D4.5005</v>
          </cell>
          <cell r="D1568" t="str">
            <v>Đầu cosse Cu 120mm²</v>
          </cell>
          <cell r="E1568" t="str">
            <v>cái</v>
          </cell>
          <cell r="F1568">
            <v>80500</v>
          </cell>
          <cell r="H1568">
            <v>25911.81</v>
          </cell>
          <cell r="I1568">
            <v>2857.5749999999998</v>
          </cell>
          <cell r="J1568" t="str">
            <v>"</v>
          </cell>
        </row>
        <row r="1569">
          <cell r="B1569" t="str">
            <v>COS120T</v>
          </cell>
          <cell r="C1569" t="str">
            <v>T4.3006</v>
          </cell>
          <cell r="D1569" t="str">
            <v>Đầu cosse Cu 120mm²</v>
          </cell>
          <cell r="E1569" t="str">
            <v>cái</v>
          </cell>
          <cell r="F1569">
            <v>80500</v>
          </cell>
          <cell r="J1569" t="str">
            <v>"</v>
          </cell>
        </row>
        <row r="1570">
          <cell r="B1570" t="str">
            <v>COS95AL</v>
          </cell>
          <cell r="C1570" t="str">
            <v>D4.5004</v>
          </cell>
          <cell r="D1570" t="str">
            <v>Đầu cosse Cu - AL 95mm²</v>
          </cell>
          <cell r="E1570" t="str">
            <v>cái</v>
          </cell>
          <cell r="F1570">
            <v>60200</v>
          </cell>
          <cell r="G1570">
            <v>0</v>
          </cell>
          <cell r="H1570">
            <v>20153.629999999997</v>
          </cell>
          <cell r="I1570">
            <v>2449.35</v>
          </cell>
          <cell r="J1570" t="str">
            <v>"</v>
          </cell>
        </row>
        <row r="1571">
          <cell r="B1571" t="str">
            <v>COS120AL</v>
          </cell>
          <cell r="C1571" t="str">
            <v>D4.5005</v>
          </cell>
          <cell r="D1571" t="str">
            <v>Đầu cosse Cu - AL 120mm²</v>
          </cell>
          <cell r="E1571" t="str">
            <v>cái</v>
          </cell>
          <cell r="F1571">
            <v>80500</v>
          </cell>
          <cell r="G1571">
            <v>0</v>
          </cell>
          <cell r="H1571">
            <v>25911.81</v>
          </cell>
          <cell r="I1571">
            <v>2857.5749999999998</v>
          </cell>
          <cell r="J1571" t="str">
            <v>"</v>
          </cell>
        </row>
        <row r="1572">
          <cell r="B1572" t="str">
            <v>COS185AL</v>
          </cell>
          <cell r="C1572" t="str">
            <v>D4.5005</v>
          </cell>
          <cell r="D1572" t="str">
            <v>Cosse ép đồng - nhôm cỡ dây 185 mm2</v>
          </cell>
          <cell r="E1572" t="str">
            <v>cái</v>
          </cell>
          <cell r="F1572">
            <v>0</v>
          </cell>
          <cell r="G1572">
            <v>0</v>
          </cell>
          <cell r="H1572">
            <v>25911.81</v>
          </cell>
          <cell r="I1572">
            <v>2857.58</v>
          </cell>
          <cell r="J1572" t="str">
            <v>"</v>
          </cell>
        </row>
        <row r="1573">
          <cell r="B1573" t="str">
            <v>COS150</v>
          </cell>
          <cell r="C1573" t="str">
            <v>D4.5006</v>
          </cell>
          <cell r="D1573" t="str">
            <v>Đầu cosse Cu 150mm²</v>
          </cell>
          <cell r="E1573" t="str">
            <v>cái</v>
          </cell>
          <cell r="F1573">
            <v>116600</v>
          </cell>
          <cell r="G1573">
            <v>0</v>
          </cell>
          <cell r="H1573">
            <v>31669.99</v>
          </cell>
          <cell r="I1573">
            <v>3265.8</v>
          </cell>
          <cell r="J1573" t="str">
            <v>"</v>
          </cell>
        </row>
        <row r="1574">
          <cell r="B1574" t="str">
            <v>COS185</v>
          </cell>
          <cell r="C1574" t="str">
            <v>D4.5007</v>
          </cell>
          <cell r="D1574" t="str">
            <v>Đầu cosse Cu 185mm²</v>
          </cell>
          <cell r="E1574" t="str">
            <v>cái</v>
          </cell>
          <cell r="F1574">
            <v>144700</v>
          </cell>
          <cell r="G1574">
            <v>0</v>
          </cell>
          <cell r="H1574">
            <v>38003.990000000005</v>
          </cell>
          <cell r="I1574">
            <v>3674.03</v>
          </cell>
          <cell r="J1574" t="str">
            <v>"</v>
          </cell>
        </row>
        <row r="1575">
          <cell r="B1575" t="str">
            <v>COS240</v>
          </cell>
          <cell r="C1575" t="str">
            <v>D4.5008</v>
          </cell>
          <cell r="D1575" t="str">
            <v>Đầu cosse Cu 240mm²</v>
          </cell>
          <cell r="E1575" t="str">
            <v>cái</v>
          </cell>
          <cell r="F1575">
            <v>204100</v>
          </cell>
          <cell r="H1575">
            <v>47504.985000000001</v>
          </cell>
          <cell r="I1575">
            <v>4082.25</v>
          </cell>
          <cell r="J1575" t="str">
            <v>"</v>
          </cell>
        </row>
        <row r="1576">
          <cell r="B1576" t="str">
            <v>COS240T</v>
          </cell>
          <cell r="C1576" t="str">
            <v>T4.3006</v>
          </cell>
          <cell r="D1576" t="str">
            <v>Đầu cosse Cu 240mm²</v>
          </cell>
          <cell r="E1576" t="str">
            <v>cái</v>
          </cell>
          <cell r="F1576">
            <v>204100</v>
          </cell>
          <cell r="G1576">
            <v>40</v>
          </cell>
          <cell r="H1576">
            <v>13022.57</v>
          </cell>
          <cell r="I1576">
            <v>0</v>
          </cell>
          <cell r="J1576" t="str">
            <v>"</v>
          </cell>
        </row>
        <row r="1577">
          <cell r="B1577" t="str">
            <v>COS300</v>
          </cell>
          <cell r="C1577" t="str">
            <v>D4.5009</v>
          </cell>
          <cell r="D1577" t="str">
            <v>Đầu cosse Cu 300mm²</v>
          </cell>
          <cell r="E1577" t="str">
            <v>cái</v>
          </cell>
          <cell r="F1577">
            <v>305300</v>
          </cell>
          <cell r="G1577">
            <v>0</v>
          </cell>
          <cell r="H1577">
            <v>56430.159999999996</v>
          </cell>
          <cell r="I1577">
            <v>5715.16</v>
          </cell>
          <cell r="J1577" t="str">
            <v>"</v>
          </cell>
        </row>
        <row r="1578">
          <cell r="B1578" t="str">
            <v>CAÙP ÑOÀNG BOÏC TRUNG THEÁ - Cu/XLPE/12,7/22(24)KV</v>
          </cell>
        </row>
        <row r="1579">
          <cell r="B1579" t="str">
            <v>XLPE25-DZ</v>
          </cell>
          <cell r="C1579" t="str">
            <v>D3.6142</v>
          </cell>
          <cell r="D1579" t="str">
            <v>Cáp đồng bọc Cu/XLPE/12,7/22(24)KV-25mm²</v>
          </cell>
          <cell r="E1579" t="str">
            <v>mét</v>
          </cell>
          <cell r="F1579">
            <v>92457</v>
          </cell>
          <cell r="G1579">
            <v>232.6</v>
          </cell>
          <cell r="H1579">
            <v>3829.5</v>
          </cell>
          <cell r="I1579">
            <v>0</v>
          </cell>
          <cell r="J1579" t="str">
            <v>ĐM286</v>
          </cell>
        </row>
        <row r="1580">
          <cell r="B1580" t="str">
            <v>XLPE35DD</v>
          </cell>
          <cell r="C1580" t="str">
            <v>D3.6143</v>
          </cell>
          <cell r="D1580" t="str">
            <v>Cáp đồng bọc Cu/XLPE/12,7/22(24)KV-35mm²</v>
          </cell>
          <cell r="E1580" t="str">
            <v>mét</v>
          </cell>
          <cell r="F1580">
            <v>87100</v>
          </cell>
          <cell r="G1580">
            <v>234.35</v>
          </cell>
          <cell r="H1580">
            <v>4197.3649000000005</v>
          </cell>
          <cell r="I1580">
            <v>0</v>
          </cell>
          <cell r="J1580" t="str">
            <v>"</v>
          </cell>
        </row>
        <row r="1581">
          <cell r="B1581" t="str">
            <v>XLPE50-DZ</v>
          </cell>
          <cell r="C1581" t="str">
            <v>T4.4101</v>
          </cell>
          <cell r="D1581" t="str">
            <v>Cáp đồng bọc Cu/XLPE/12,7/22(24)KV-50mm²</v>
          </cell>
          <cell r="E1581" t="str">
            <v>mét</v>
          </cell>
          <cell r="F1581">
            <v>176850</v>
          </cell>
          <cell r="G1581">
            <v>3025</v>
          </cell>
          <cell r="H1581">
            <v>13232.550000000001</v>
          </cell>
          <cell r="J1581" t="str">
            <v>"</v>
          </cell>
        </row>
        <row r="1582">
          <cell r="B1582" t="str">
            <v>XLPE70-DZ</v>
          </cell>
          <cell r="C1582" t="str">
            <v>T4.4101</v>
          </cell>
          <cell r="D1582" t="str">
            <v>Cáp đồng bọc Cu/XLPE/12,7/22(24)KV-70mm²</v>
          </cell>
          <cell r="E1582" t="str">
            <v>mét</v>
          </cell>
          <cell r="F1582">
            <v>245470</v>
          </cell>
          <cell r="G1582">
            <v>3025</v>
          </cell>
          <cell r="H1582">
            <v>13232.550000000001</v>
          </cell>
          <cell r="J1582" t="str">
            <v>"</v>
          </cell>
        </row>
        <row r="1583">
          <cell r="B1583" t="str">
            <v>XLPE95-DZ</v>
          </cell>
          <cell r="C1583" t="str">
            <v>D3.6146</v>
          </cell>
          <cell r="D1583" t="str">
            <v>Cáp đồng bọc Cu/XLPE/12,7/22(24)KV-95mm²</v>
          </cell>
          <cell r="E1583" t="str">
            <v>mét</v>
          </cell>
          <cell r="F1583">
            <v>287960</v>
          </cell>
          <cell r="G1583">
            <v>234.35</v>
          </cell>
          <cell r="H1583">
            <v>10067.324000000001</v>
          </cell>
          <cell r="I1583">
            <v>0</v>
          </cell>
          <cell r="J1583" t="str">
            <v>"</v>
          </cell>
        </row>
        <row r="1584">
          <cell r="B1584" t="str">
            <v>XLPE120-DZ</v>
          </cell>
          <cell r="C1584" t="str">
            <v>T4.4102</v>
          </cell>
          <cell r="D1584" t="str">
            <v>Cáp đồng bọc Cu/XLPE/12,7/22(24)KV-120mm²</v>
          </cell>
          <cell r="E1584" t="str">
            <v>mét</v>
          </cell>
          <cell r="F1584">
            <v>405720</v>
          </cell>
          <cell r="G1584">
            <v>3025</v>
          </cell>
          <cell r="H1584">
            <v>26465.100000000002</v>
          </cell>
          <cell r="J1584" t="str">
            <v>"</v>
          </cell>
        </row>
        <row r="1585">
          <cell r="B1585" t="str">
            <v>XLPE150-DZ</v>
          </cell>
          <cell r="C1585" t="str">
            <v>D3.6172</v>
          </cell>
          <cell r="D1585" t="str">
            <v>Cáp đồng bọc Cu/XLPE/12,7/22(24)KV-150mm²</v>
          </cell>
          <cell r="E1585" t="str">
            <v>mét</v>
          </cell>
          <cell r="F1585">
            <v>303300</v>
          </cell>
          <cell r="G1585">
            <v>332.7</v>
          </cell>
          <cell r="H1585">
            <v>14873.3789</v>
          </cell>
          <cell r="I1585">
            <v>0</v>
          </cell>
          <cell r="J1585" t="str">
            <v>"</v>
          </cell>
        </row>
        <row r="1586">
          <cell r="B1586" t="str">
            <v>XLPE185-DZ</v>
          </cell>
          <cell r="C1586" t="str">
            <v>D3.6173</v>
          </cell>
          <cell r="D1586" t="str">
            <v>Cáp đồng bọc Cu/XLPE/12,7/22(24)KV-185mm²</v>
          </cell>
          <cell r="E1586" t="str">
            <v>mét</v>
          </cell>
          <cell r="F1586">
            <v>524714</v>
          </cell>
          <cell r="G1586">
            <v>332.7</v>
          </cell>
          <cell r="H1586">
            <v>17556.6908</v>
          </cell>
          <cell r="I1586">
            <v>0</v>
          </cell>
          <cell r="J1586" t="str">
            <v>"</v>
          </cell>
        </row>
        <row r="1587">
          <cell r="B1587" t="str">
            <v>XLPE240-DZ</v>
          </cell>
          <cell r="C1587" t="str">
            <v>D3.6174</v>
          </cell>
          <cell r="D1587" t="str">
            <v>Cáp đồng bọc Cu/XLPE/12,7/22(24)KV-240mm²</v>
          </cell>
          <cell r="E1587" t="str">
            <v>mét</v>
          </cell>
          <cell r="F1587">
            <v>684517</v>
          </cell>
          <cell r="G1587">
            <v>332.7</v>
          </cell>
          <cell r="H1587">
            <v>19310.0566</v>
          </cell>
          <cell r="I1587">
            <v>0</v>
          </cell>
          <cell r="J1587" t="str">
            <v>"</v>
          </cell>
        </row>
        <row r="1588">
          <cell r="B1588" t="str">
            <v>XLPE25</v>
          </cell>
          <cell r="C1588" t="str">
            <v>T4.4101</v>
          </cell>
          <cell r="D1588" t="str">
            <v>Cáp đồng bọc Cu/XLPE/12,7/22(24)KV-25mm²</v>
          </cell>
          <cell r="E1588" t="str">
            <v>mét</v>
          </cell>
          <cell r="F1588">
            <v>104460</v>
          </cell>
          <cell r="G1588">
            <v>3025</v>
          </cell>
          <cell r="H1588">
            <v>13232.550000000001</v>
          </cell>
          <cell r="J1588" t="str">
            <v>ĐM286</v>
          </cell>
        </row>
        <row r="1589">
          <cell r="B1589" t="str">
            <v>XLPE35</v>
          </cell>
          <cell r="C1589" t="str">
            <v>T4.4201</v>
          </cell>
          <cell r="D1589" t="str">
            <v>Cáp đồng bọc Cu/XLPE/12,7/22(24)KV-35mm²</v>
          </cell>
          <cell r="E1589" t="str">
            <v>mét</v>
          </cell>
          <cell r="F1589">
            <v>117440</v>
          </cell>
          <cell r="J1589" t="str">
            <v>"</v>
          </cell>
        </row>
        <row r="1590">
          <cell r="B1590" t="str">
            <v>XLPE50</v>
          </cell>
          <cell r="C1590" t="str">
            <v>T4.4201</v>
          </cell>
          <cell r="D1590" t="str">
            <v>Cáp đồng bọc Cu/XLPE/12,7/22(24)KV-50mm²</v>
          </cell>
          <cell r="E1590" t="str">
            <v>mét</v>
          </cell>
          <cell r="F1590">
            <v>156530</v>
          </cell>
          <cell r="J1590" t="str">
            <v>"</v>
          </cell>
        </row>
        <row r="1591">
          <cell r="B1591" t="str">
            <v>XLPE70</v>
          </cell>
          <cell r="C1591" t="str">
            <v>T4.4201</v>
          </cell>
          <cell r="D1591" t="str">
            <v>Cáp đồng bọc Cu/XLPE/12,7/22(24)KV-70mm²</v>
          </cell>
          <cell r="E1591" t="str">
            <v>mét</v>
          </cell>
          <cell r="F1591">
            <v>213510</v>
          </cell>
          <cell r="J1591" t="str">
            <v>"</v>
          </cell>
        </row>
        <row r="1592">
          <cell r="B1592" t="str">
            <v>XLPE95</v>
          </cell>
          <cell r="C1592" t="str">
            <v>T4.4201</v>
          </cell>
          <cell r="D1592" t="str">
            <v>Cáp đồng bọc Cu/XLPE/12,7/22(24)KV-95mm²</v>
          </cell>
          <cell r="E1592" t="str">
            <v>mét</v>
          </cell>
          <cell r="F1592">
            <v>287960</v>
          </cell>
          <cell r="J1592" t="str">
            <v>"</v>
          </cell>
        </row>
        <row r="1593">
          <cell r="B1593" t="str">
            <v>XLPE120</v>
          </cell>
          <cell r="C1593" t="str">
            <v>T4.4202</v>
          </cell>
          <cell r="D1593" t="str">
            <v>Cáp đồng bọc Cu/XLPE/12,7/22(24)KV-120mm²</v>
          </cell>
          <cell r="E1593" t="str">
            <v>mét</v>
          </cell>
          <cell r="F1593">
            <v>361490</v>
          </cell>
          <cell r="J1593" t="str">
            <v>"</v>
          </cell>
        </row>
        <row r="1594">
          <cell r="B1594" t="str">
            <v>XLPE150</v>
          </cell>
          <cell r="C1594" t="str">
            <v>T4.4202</v>
          </cell>
          <cell r="D1594" t="str">
            <v>Cáp đồng bọc Cu/XLPE/12,7/22(24)KV-150mm²</v>
          </cell>
          <cell r="E1594" t="str">
            <v>mét</v>
          </cell>
          <cell r="F1594">
            <v>455000</v>
          </cell>
          <cell r="J1594" t="str">
            <v>"</v>
          </cell>
        </row>
        <row r="1595">
          <cell r="B1595" t="str">
            <v>XLPE185</v>
          </cell>
          <cell r="C1595" t="str">
            <v>T4.4203</v>
          </cell>
          <cell r="D1595" t="str">
            <v>Cáp đồng bọc Cu/XLPE/12,7/22(24)KV-185mm²</v>
          </cell>
          <cell r="E1595" t="str">
            <v>mét</v>
          </cell>
          <cell r="F1595">
            <v>524714</v>
          </cell>
          <cell r="J1595" t="str">
            <v>"</v>
          </cell>
        </row>
        <row r="1596">
          <cell r="B1596" t="str">
            <v>XLPE240</v>
          </cell>
          <cell r="C1596" t="str">
            <v>T4.4203</v>
          </cell>
          <cell r="D1596" t="str">
            <v>Cáp đồng bọc Cu/XLPE/12,7/22(24)KV-240mm²</v>
          </cell>
          <cell r="E1596" t="str">
            <v>mét</v>
          </cell>
          <cell r="F1596">
            <v>684517</v>
          </cell>
          <cell r="J1596" t="str">
            <v>"</v>
          </cell>
        </row>
        <row r="1597">
          <cell r="B1597" t="str">
            <v>CAÙP ÑOÀNG BOÏC HAÏ THEÁ - CVV-600V</v>
          </cell>
        </row>
        <row r="1598">
          <cell r="B1598" t="str">
            <v>CVV2x1,25</v>
          </cell>
          <cell r="C1598" t="str">
            <v>T4.4201</v>
          </cell>
          <cell r="D1598" t="str">
            <v xml:space="preserve">Cáp CVV2x1,25mm²  </v>
          </cell>
          <cell r="E1598" t="str">
            <v>mét</v>
          </cell>
          <cell r="F1598">
            <v>0</v>
          </cell>
          <cell r="J1598" t="str">
            <v>ĐM286</v>
          </cell>
        </row>
        <row r="1599">
          <cell r="B1599" t="str">
            <v>CVV2x1,5</v>
          </cell>
          <cell r="C1599" t="str">
            <v>T4.4201</v>
          </cell>
          <cell r="D1599" t="str">
            <v xml:space="preserve">Cáp CVV2x1,5mm²  </v>
          </cell>
          <cell r="E1599" t="str">
            <v>mét</v>
          </cell>
          <cell r="F1599">
            <v>0</v>
          </cell>
          <cell r="J1599" t="str">
            <v>"</v>
          </cell>
        </row>
        <row r="1600">
          <cell r="B1600" t="str">
            <v>CVV2x2,0</v>
          </cell>
          <cell r="C1600" t="str">
            <v>T4.4201</v>
          </cell>
          <cell r="D1600" t="str">
            <v xml:space="preserve">Cáp CVV2x2,0mm²  </v>
          </cell>
          <cell r="E1600" t="str">
            <v>mét</v>
          </cell>
          <cell r="F1600">
            <v>0</v>
          </cell>
          <cell r="J1600" t="str">
            <v>"</v>
          </cell>
        </row>
        <row r="1601">
          <cell r="B1601" t="str">
            <v>CVV2x2,5</v>
          </cell>
          <cell r="C1601" t="str">
            <v>T4.4201</v>
          </cell>
          <cell r="D1601" t="str">
            <v xml:space="preserve">Cáp CVV2x2,5mm²  </v>
          </cell>
          <cell r="E1601" t="str">
            <v>mét</v>
          </cell>
          <cell r="F1601">
            <v>0</v>
          </cell>
          <cell r="J1601" t="str">
            <v>"</v>
          </cell>
        </row>
        <row r="1602">
          <cell r="B1602" t="str">
            <v>CVV2x3,0</v>
          </cell>
          <cell r="C1602" t="str">
            <v>T4.4201</v>
          </cell>
          <cell r="D1602" t="str">
            <v xml:space="preserve">Cáp CVV2x3,0mm²  </v>
          </cell>
          <cell r="E1602" t="str">
            <v>mét</v>
          </cell>
          <cell r="F1602">
            <v>0</v>
          </cell>
          <cell r="J1602" t="str">
            <v>"</v>
          </cell>
        </row>
        <row r="1603">
          <cell r="B1603" t="str">
            <v>CVV2x4</v>
          </cell>
          <cell r="C1603" t="str">
            <v>T4.4101</v>
          </cell>
          <cell r="D1603" t="str">
            <v xml:space="preserve">Cáp điều khiển CVV-Sa-2x4,0mm²  </v>
          </cell>
          <cell r="E1603" t="str">
            <v>mét</v>
          </cell>
          <cell r="F1603">
            <v>36510</v>
          </cell>
          <cell r="G1603">
            <v>2090</v>
          </cell>
          <cell r="H1603">
            <v>13232.6</v>
          </cell>
          <cell r="J1603" t="str">
            <v>"</v>
          </cell>
        </row>
        <row r="1604">
          <cell r="B1604" t="str">
            <v>CVV2x6</v>
          </cell>
          <cell r="C1604" t="str">
            <v>T4.4201</v>
          </cell>
          <cell r="D1604" t="str">
            <v xml:space="preserve">Cáp điện kế CVV 2x6mm²  </v>
          </cell>
          <cell r="E1604" t="str">
            <v>mét</v>
          </cell>
          <cell r="F1604">
            <v>53200</v>
          </cell>
          <cell r="J1604" t="str">
            <v>"</v>
          </cell>
        </row>
        <row r="1605">
          <cell r="B1605" t="str">
            <v>CVV2x10</v>
          </cell>
          <cell r="C1605" t="str">
            <v>T4.4201</v>
          </cell>
          <cell r="D1605" t="str">
            <v xml:space="preserve">Cáp điện kế CVV 2x11mm²  </v>
          </cell>
          <cell r="E1605" t="str">
            <v>mét</v>
          </cell>
          <cell r="F1605">
            <v>76700</v>
          </cell>
          <cell r="J1605" t="str">
            <v>"</v>
          </cell>
        </row>
        <row r="1606">
          <cell r="B1606" t="str">
            <v>CVV2x11</v>
          </cell>
          <cell r="C1606" t="str">
            <v>T4.4201</v>
          </cell>
          <cell r="D1606" t="str">
            <v xml:space="preserve">Cáp CVV2x11mm²  </v>
          </cell>
          <cell r="E1606" t="str">
            <v>mét</v>
          </cell>
          <cell r="F1606">
            <v>76700</v>
          </cell>
          <cell r="J1606" t="str">
            <v>"</v>
          </cell>
        </row>
        <row r="1607">
          <cell r="B1607" t="str">
            <v>CVV2x3,5</v>
          </cell>
          <cell r="C1607" t="str">
            <v>T4.4201</v>
          </cell>
          <cell r="D1607" t="str">
            <v xml:space="preserve">Cáp CVV2x3,5mm²  </v>
          </cell>
          <cell r="E1607" t="str">
            <v>mét</v>
          </cell>
          <cell r="F1607">
            <v>0</v>
          </cell>
          <cell r="J1607" t="str">
            <v>"</v>
          </cell>
        </row>
        <row r="1608">
          <cell r="B1608" t="str">
            <v>CVV3x1,25</v>
          </cell>
          <cell r="C1608" t="str">
            <v>T4.4201</v>
          </cell>
          <cell r="D1608" t="str">
            <v xml:space="preserve">Cáp CVV3x1,25mm²  </v>
          </cell>
          <cell r="E1608" t="str">
            <v>mét</v>
          </cell>
          <cell r="F1608">
            <v>0</v>
          </cell>
          <cell r="J1608" t="str">
            <v>"</v>
          </cell>
        </row>
        <row r="1609">
          <cell r="B1609" t="str">
            <v>CVV3x1,5</v>
          </cell>
          <cell r="C1609" t="str">
            <v>T4.4201</v>
          </cell>
          <cell r="D1609" t="str">
            <v xml:space="preserve">Cáp CVV3x1,5mm²  </v>
          </cell>
          <cell r="E1609" t="str">
            <v>mét</v>
          </cell>
          <cell r="F1609">
            <v>0</v>
          </cell>
          <cell r="J1609" t="str">
            <v>"</v>
          </cell>
        </row>
        <row r="1610">
          <cell r="B1610" t="str">
            <v>CVV3x2,0</v>
          </cell>
          <cell r="C1610" t="str">
            <v>T4.4201</v>
          </cell>
          <cell r="D1610" t="str">
            <v xml:space="preserve">Cáp CVV3x2,0mm²  </v>
          </cell>
          <cell r="E1610" t="str">
            <v>mét</v>
          </cell>
          <cell r="F1610">
            <v>0</v>
          </cell>
          <cell r="J1610" t="str">
            <v>"</v>
          </cell>
        </row>
        <row r="1611">
          <cell r="B1611" t="str">
            <v>CVV3x2,5</v>
          </cell>
          <cell r="C1611" t="str">
            <v>T4.4201</v>
          </cell>
          <cell r="D1611" t="str">
            <v xml:space="preserve">Cáp CVV3x2,5mm²  </v>
          </cell>
          <cell r="E1611" t="str">
            <v>mét</v>
          </cell>
          <cell r="F1611">
            <v>0</v>
          </cell>
          <cell r="J1611" t="str">
            <v>"</v>
          </cell>
        </row>
        <row r="1612">
          <cell r="B1612" t="str">
            <v>CVV3x3,0</v>
          </cell>
          <cell r="C1612" t="str">
            <v>T4.4201</v>
          </cell>
          <cell r="D1612" t="str">
            <v xml:space="preserve">Cáp CVV3x3,0mm²  </v>
          </cell>
          <cell r="E1612" t="str">
            <v>mét</v>
          </cell>
          <cell r="F1612">
            <v>0</v>
          </cell>
          <cell r="J1612" t="str">
            <v>"</v>
          </cell>
        </row>
        <row r="1613">
          <cell r="B1613" t="str">
            <v>CVV3x3,5</v>
          </cell>
          <cell r="C1613" t="str">
            <v>T4.4201</v>
          </cell>
          <cell r="D1613" t="str">
            <v xml:space="preserve">Cáp CVV3x3,5mm²  </v>
          </cell>
          <cell r="E1613" t="str">
            <v>mét</v>
          </cell>
          <cell r="F1613">
            <v>0</v>
          </cell>
          <cell r="J1613" t="str">
            <v>"</v>
          </cell>
        </row>
        <row r="1614">
          <cell r="B1614" t="str">
            <v>CVV4x1,25</v>
          </cell>
          <cell r="C1614" t="str">
            <v>T4.4201</v>
          </cell>
          <cell r="D1614" t="str">
            <v xml:space="preserve">Cáp CVV4x1,25mm²  </v>
          </cell>
          <cell r="E1614" t="str">
            <v>mét</v>
          </cell>
          <cell r="F1614">
            <v>0</v>
          </cell>
          <cell r="J1614" t="str">
            <v>"</v>
          </cell>
        </row>
        <row r="1615">
          <cell r="B1615" t="str">
            <v>CVV4x1,5</v>
          </cell>
          <cell r="C1615" t="str">
            <v>T4.4201</v>
          </cell>
          <cell r="D1615" t="str">
            <v xml:space="preserve">Cáp CVV4x1,5mm²  </v>
          </cell>
          <cell r="E1615" t="str">
            <v>mét</v>
          </cell>
          <cell r="F1615">
            <v>0</v>
          </cell>
          <cell r="J1615" t="str">
            <v>"</v>
          </cell>
        </row>
        <row r="1616">
          <cell r="B1616" t="str">
            <v>CVV4x2,0</v>
          </cell>
          <cell r="C1616" t="str">
            <v>T4.4201</v>
          </cell>
          <cell r="D1616" t="str">
            <v xml:space="preserve">Cáp CVV4x2,0mm²  </v>
          </cell>
          <cell r="E1616" t="str">
            <v>mét</v>
          </cell>
          <cell r="F1616">
            <v>0</v>
          </cell>
          <cell r="J1616" t="str">
            <v>"</v>
          </cell>
        </row>
        <row r="1617">
          <cell r="B1617" t="str">
            <v>CVV4x2,5</v>
          </cell>
          <cell r="C1617" t="str">
            <v>T4.4201</v>
          </cell>
          <cell r="D1617" t="str">
            <v xml:space="preserve">Cáp CVV4x2,5mm²  </v>
          </cell>
          <cell r="E1617" t="str">
            <v>mét</v>
          </cell>
          <cell r="F1617">
            <v>0</v>
          </cell>
          <cell r="J1617" t="str">
            <v>"</v>
          </cell>
        </row>
        <row r="1618">
          <cell r="B1618" t="str">
            <v>CVV4x3,0</v>
          </cell>
          <cell r="C1618" t="str">
            <v>T4.4201</v>
          </cell>
          <cell r="D1618" t="str">
            <v xml:space="preserve">Cáp CVV4x3,0mm²  </v>
          </cell>
          <cell r="E1618" t="str">
            <v>mét</v>
          </cell>
          <cell r="F1618">
            <v>0</v>
          </cell>
          <cell r="J1618" t="str">
            <v>"</v>
          </cell>
        </row>
        <row r="1619">
          <cell r="B1619" t="str">
            <v>CVV4x3,5</v>
          </cell>
          <cell r="C1619" t="str">
            <v>T4.4201</v>
          </cell>
          <cell r="D1619" t="str">
            <v xml:space="preserve">Cáp CVV4x3,5mm²  </v>
          </cell>
          <cell r="E1619" t="str">
            <v>mét</v>
          </cell>
          <cell r="F1619">
            <v>0</v>
          </cell>
          <cell r="J1619" t="str">
            <v>"</v>
          </cell>
        </row>
        <row r="1620">
          <cell r="B1620" t="str">
            <v>CVV4x4</v>
          </cell>
          <cell r="C1620" t="str">
            <v>T4.4101</v>
          </cell>
          <cell r="D1620" t="str">
            <v xml:space="preserve">Cáp điều khiển CVV-Sa-4x4,0mm²  </v>
          </cell>
          <cell r="E1620" t="str">
            <v>mét</v>
          </cell>
          <cell r="F1620">
            <v>64650</v>
          </cell>
          <cell r="G1620">
            <v>2090</v>
          </cell>
          <cell r="H1620">
            <v>13232.6</v>
          </cell>
          <cell r="J1620" t="str">
            <v>"</v>
          </cell>
        </row>
        <row r="1621">
          <cell r="B1621" t="str">
            <v>CVV6x4</v>
          </cell>
          <cell r="C1621" t="str">
            <v>T4.4201</v>
          </cell>
          <cell r="D1621" t="str">
            <v xml:space="preserve">Cáp điều khiển CVV-Sa-6x4,0mm²  </v>
          </cell>
          <cell r="E1621" t="str">
            <v>mét</v>
          </cell>
          <cell r="F1621">
            <v>73400</v>
          </cell>
          <cell r="J1621" t="str">
            <v>"</v>
          </cell>
        </row>
        <row r="1622">
          <cell r="B1622" t="str">
            <v>CVV4x7</v>
          </cell>
          <cell r="C1622" t="str">
            <v>T4.4201</v>
          </cell>
          <cell r="D1622" t="str">
            <v xml:space="preserve">Cáp CVV4x7mm²  </v>
          </cell>
          <cell r="E1622" t="str">
            <v>mét</v>
          </cell>
          <cell r="F1622">
            <v>0</v>
          </cell>
          <cell r="J1622" t="str">
            <v>"</v>
          </cell>
        </row>
        <row r="1623">
          <cell r="B1623" t="str">
            <v>CVV5x1,25</v>
          </cell>
          <cell r="C1623" t="str">
            <v>T4.4201</v>
          </cell>
          <cell r="D1623" t="str">
            <v xml:space="preserve">Cáp CVV5x1,25mm²  </v>
          </cell>
          <cell r="E1623" t="str">
            <v>mét</v>
          </cell>
          <cell r="J1623" t="str">
            <v>"</v>
          </cell>
        </row>
        <row r="1624">
          <cell r="B1624" t="str">
            <v>CVV5x1,5</v>
          </cell>
          <cell r="C1624" t="str">
            <v>T4.4201</v>
          </cell>
          <cell r="D1624" t="str">
            <v xml:space="preserve">Cáp CVV5x1,5mm²  </v>
          </cell>
          <cell r="E1624" t="str">
            <v>mét</v>
          </cell>
          <cell r="J1624" t="str">
            <v>"</v>
          </cell>
        </row>
        <row r="1625">
          <cell r="B1625" t="str">
            <v>CVV5x2,0</v>
          </cell>
          <cell r="C1625" t="str">
            <v>T4.4201</v>
          </cell>
          <cell r="D1625" t="str">
            <v xml:space="preserve">Cáp CVV5x2,0mm²  </v>
          </cell>
          <cell r="E1625" t="str">
            <v>mét</v>
          </cell>
          <cell r="J1625" t="str">
            <v>"</v>
          </cell>
        </row>
        <row r="1626">
          <cell r="B1626" t="str">
            <v>CVV5x2,5</v>
          </cell>
          <cell r="C1626" t="str">
            <v>T4.4201</v>
          </cell>
          <cell r="D1626" t="str">
            <v xml:space="preserve">Cáp CVV5x2,5mm²  </v>
          </cell>
          <cell r="E1626" t="str">
            <v>mét</v>
          </cell>
          <cell r="J1626" t="str">
            <v>"</v>
          </cell>
        </row>
        <row r="1627">
          <cell r="B1627" t="str">
            <v>CVV5x3,0</v>
          </cell>
          <cell r="C1627" t="str">
            <v>T4.4201</v>
          </cell>
          <cell r="D1627" t="str">
            <v xml:space="preserve">Cáp CVV5x3,0mm²  </v>
          </cell>
          <cell r="E1627" t="str">
            <v>mét</v>
          </cell>
          <cell r="J1627" t="str">
            <v>"</v>
          </cell>
        </row>
        <row r="1628">
          <cell r="B1628" t="str">
            <v>CVV5x3,5</v>
          </cell>
          <cell r="C1628" t="str">
            <v>T4.4201</v>
          </cell>
          <cell r="D1628" t="str">
            <v xml:space="preserve">Cáp CVV5x3,5mm²  </v>
          </cell>
          <cell r="E1628" t="str">
            <v>mét</v>
          </cell>
          <cell r="J1628" t="str">
            <v>"</v>
          </cell>
        </row>
        <row r="1629">
          <cell r="B1629" t="str">
            <v>CVV6x1,25</v>
          </cell>
          <cell r="C1629" t="str">
            <v>T4.4201</v>
          </cell>
          <cell r="D1629" t="str">
            <v xml:space="preserve">Cáp CVV6x1,25mm²  </v>
          </cell>
          <cell r="E1629" t="str">
            <v>mét</v>
          </cell>
          <cell r="J1629" t="str">
            <v>"</v>
          </cell>
        </row>
        <row r="1630">
          <cell r="B1630" t="str">
            <v>CVV6x1,5</v>
          </cell>
          <cell r="C1630" t="str">
            <v>T4.4201</v>
          </cell>
          <cell r="D1630" t="str">
            <v xml:space="preserve">Cáp CVV6x1,5mm²  </v>
          </cell>
          <cell r="E1630" t="str">
            <v>mét</v>
          </cell>
          <cell r="J1630" t="str">
            <v>"</v>
          </cell>
        </row>
        <row r="1631">
          <cell r="B1631" t="str">
            <v>CVV6x2,0</v>
          </cell>
          <cell r="C1631" t="str">
            <v>T4.4201</v>
          </cell>
          <cell r="D1631" t="str">
            <v xml:space="preserve">Cáp CVV6x2,0mm²  </v>
          </cell>
          <cell r="E1631" t="str">
            <v>mét</v>
          </cell>
          <cell r="J1631" t="str">
            <v>"</v>
          </cell>
        </row>
        <row r="1632">
          <cell r="B1632" t="str">
            <v>CVV6x2,5</v>
          </cell>
          <cell r="C1632" t="str">
            <v>T4.4201</v>
          </cell>
          <cell r="D1632" t="str">
            <v xml:space="preserve">Cáp CVV6x2,5mm²  </v>
          </cell>
          <cell r="E1632" t="str">
            <v>mét</v>
          </cell>
          <cell r="J1632" t="str">
            <v>"</v>
          </cell>
        </row>
        <row r="1633">
          <cell r="B1633" t="str">
            <v>CVV6x3,0</v>
          </cell>
          <cell r="C1633" t="str">
            <v>T4.4201</v>
          </cell>
          <cell r="D1633" t="str">
            <v xml:space="preserve">Cáp CVV6x3,0mm²  </v>
          </cell>
          <cell r="E1633" t="str">
            <v>mét</v>
          </cell>
          <cell r="J1633" t="str">
            <v>"</v>
          </cell>
        </row>
        <row r="1634">
          <cell r="B1634" t="str">
            <v>CVV6x3,5</v>
          </cell>
          <cell r="C1634" t="str">
            <v>T4.4201</v>
          </cell>
          <cell r="D1634" t="str">
            <v xml:space="preserve">Cáp CVV6x3,5mm²  </v>
          </cell>
          <cell r="E1634" t="str">
            <v>mét</v>
          </cell>
          <cell r="J1634" t="str">
            <v>"</v>
          </cell>
        </row>
        <row r="1635">
          <cell r="B1635" t="str">
            <v>CVV7x1,25</v>
          </cell>
          <cell r="C1635" t="str">
            <v>T4.4201</v>
          </cell>
          <cell r="D1635" t="str">
            <v xml:space="preserve">Cáp CVV7x1,25mm²  </v>
          </cell>
          <cell r="E1635" t="str">
            <v>mét</v>
          </cell>
          <cell r="J1635" t="str">
            <v>"</v>
          </cell>
        </row>
        <row r="1636">
          <cell r="B1636" t="str">
            <v>CVV7x1,5</v>
          </cell>
          <cell r="C1636" t="str">
            <v>T4.4201</v>
          </cell>
          <cell r="D1636" t="str">
            <v xml:space="preserve">Cáp CVV7x1,5mm²  </v>
          </cell>
          <cell r="E1636" t="str">
            <v>mét</v>
          </cell>
          <cell r="J1636" t="str">
            <v>"</v>
          </cell>
        </row>
        <row r="1637">
          <cell r="B1637" t="str">
            <v>CVV7x2,0</v>
          </cell>
          <cell r="C1637" t="str">
            <v>T4.4201</v>
          </cell>
          <cell r="D1637" t="str">
            <v xml:space="preserve">Cáp CVV7x2,0mm²  </v>
          </cell>
          <cell r="E1637" t="str">
            <v>mét</v>
          </cell>
          <cell r="J1637" t="str">
            <v>"</v>
          </cell>
        </row>
        <row r="1638">
          <cell r="B1638" t="str">
            <v>CVV7x2,5</v>
          </cell>
          <cell r="C1638" t="str">
            <v>T4.4201</v>
          </cell>
          <cell r="D1638" t="str">
            <v xml:space="preserve">Cáp CVV7x2,5mm²  </v>
          </cell>
          <cell r="E1638" t="str">
            <v>mét</v>
          </cell>
          <cell r="J1638" t="str">
            <v>"</v>
          </cell>
        </row>
        <row r="1639">
          <cell r="B1639" t="str">
            <v>CVV7x3,0</v>
          </cell>
          <cell r="C1639" t="str">
            <v>T4.4201</v>
          </cell>
          <cell r="D1639" t="str">
            <v xml:space="preserve">Cáp CVV7x3,0mm²  </v>
          </cell>
          <cell r="E1639" t="str">
            <v>mét</v>
          </cell>
          <cell r="J1639" t="str">
            <v>"</v>
          </cell>
        </row>
        <row r="1640">
          <cell r="B1640" t="str">
            <v>CVV7x3,5</v>
          </cell>
          <cell r="C1640" t="str">
            <v>T4.4201</v>
          </cell>
          <cell r="D1640" t="str">
            <v xml:space="preserve">Cáp CVV7x3,5mm²  </v>
          </cell>
          <cell r="E1640" t="str">
            <v>mét</v>
          </cell>
          <cell r="J1640" t="str">
            <v>"</v>
          </cell>
        </row>
        <row r="1641">
          <cell r="B1641" t="str">
            <v>CAÙP ÑOÀNG BOÏC HAÏ THEÁ - CV-600V</v>
          </cell>
        </row>
        <row r="1642">
          <cell r="B1642" t="str">
            <v>cv6</v>
          </cell>
          <cell r="C1642" t="str">
            <v>T4.4201</v>
          </cell>
          <cell r="D1642" t="str">
            <v>Cáp đồng CV 6mm2</v>
          </cell>
          <cell r="E1642" t="str">
            <v>mét</v>
          </cell>
          <cell r="F1642">
            <v>20100</v>
          </cell>
          <cell r="J1642" t="str">
            <v>ĐM286</v>
          </cell>
        </row>
        <row r="1643">
          <cell r="B1643" t="str">
            <v>cv10</v>
          </cell>
          <cell r="C1643" t="str">
            <v>T4.4101</v>
          </cell>
          <cell r="D1643" t="str">
            <v>Cáp đồng bọc 600V-CV10</v>
          </cell>
          <cell r="E1643" t="str">
            <v>mét</v>
          </cell>
          <cell r="F1643">
            <v>31000</v>
          </cell>
          <cell r="G1643">
            <v>3025</v>
          </cell>
          <cell r="H1643">
            <v>13232.550000000001</v>
          </cell>
          <cell r="J1643" t="str">
            <v>ĐM286</v>
          </cell>
        </row>
        <row r="1644">
          <cell r="B1644" t="str">
            <v>cv11</v>
          </cell>
          <cell r="C1644" t="str">
            <v>T4.4201</v>
          </cell>
          <cell r="D1644" t="str">
            <v>Cáp đồng bọc 600V-CV11</v>
          </cell>
          <cell r="E1644" t="str">
            <v>mét</v>
          </cell>
          <cell r="F1644">
            <v>27993</v>
          </cell>
          <cell r="J1644" t="str">
            <v>ĐM286</v>
          </cell>
        </row>
        <row r="1645">
          <cell r="B1645" t="str">
            <v>cv16</v>
          </cell>
          <cell r="C1645" t="str">
            <v>T4.4101</v>
          </cell>
          <cell r="D1645" t="str">
            <v>Cáp đồng bọc 600V-CV16</v>
          </cell>
          <cell r="E1645" t="str">
            <v>mét</v>
          </cell>
          <cell r="F1645">
            <v>44211</v>
          </cell>
          <cell r="G1645">
            <v>2090</v>
          </cell>
          <cell r="H1645">
            <v>13232.6</v>
          </cell>
          <cell r="J1645" t="str">
            <v>"</v>
          </cell>
        </row>
        <row r="1646">
          <cell r="B1646" t="str">
            <v>cv22</v>
          </cell>
          <cell r="C1646" t="str">
            <v>T4.4201</v>
          </cell>
          <cell r="D1646" t="str">
            <v>Cáp đồng bọc 600V-CV22</v>
          </cell>
          <cell r="E1646" t="str">
            <v>mét</v>
          </cell>
          <cell r="F1646">
            <v>69899</v>
          </cell>
          <cell r="J1646" t="str">
            <v>"</v>
          </cell>
        </row>
        <row r="1647">
          <cell r="B1647" t="str">
            <v>cv25</v>
          </cell>
          <cell r="C1647" t="str">
            <v>T4.4101</v>
          </cell>
          <cell r="D1647" t="str">
            <v>Cáp đồng bọc 600V-CV25</v>
          </cell>
          <cell r="E1647" t="str">
            <v>mét</v>
          </cell>
          <cell r="F1647">
            <v>69899</v>
          </cell>
          <cell r="G1647">
            <v>2090</v>
          </cell>
          <cell r="H1647">
            <v>13232.6</v>
          </cell>
          <cell r="J1647" t="str">
            <v>"</v>
          </cell>
        </row>
        <row r="1648">
          <cell r="B1648" t="str">
            <v>cv35</v>
          </cell>
          <cell r="C1648" t="str">
            <v>T4.4101</v>
          </cell>
          <cell r="D1648" t="str">
            <v>Cáp đồng bọc 600V-CV35</v>
          </cell>
          <cell r="E1648" t="str">
            <v>mét</v>
          </cell>
          <cell r="F1648">
            <v>96444</v>
          </cell>
          <cell r="G1648">
            <v>2090</v>
          </cell>
          <cell r="H1648">
            <v>13232.6</v>
          </cell>
          <cell r="J1648" t="str">
            <v>"</v>
          </cell>
        </row>
        <row r="1649">
          <cell r="B1649" t="str">
            <v>cv50</v>
          </cell>
          <cell r="C1649" t="str">
            <v>T4.4101</v>
          </cell>
          <cell r="D1649" t="str">
            <v>Cáp đồng bọc 600V-CV50</v>
          </cell>
          <cell r="E1649" t="str">
            <v>mét</v>
          </cell>
          <cell r="F1649">
            <v>134168</v>
          </cell>
          <cell r="G1649">
            <v>2090</v>
          </cell>
          <cell r="H1649">
            <v>13232.6</v>
          </cell>
          <cell r="J1649" t="str">
            <v>"</v>
          </cell>
        </row>
        <row r="1650">
          <cell r="B1650" t="str">
            <v>cv70</v>
          </cell>
          <cell r="C1650" t="str">
            <v>T4.4101</v>
          </cell>
          <cell r="D1650" t="str">
            <v>Cáp đồng bọc 600V-CV70</v>
          </cell>
          <cell r="E1650" t="str">
            <v>mét</v>
          </cell>
          <cell r="F1650">
            <v>201600</v>
          </cell>
          <cell r="G1650">
            <v>3025</v>
          </cell>
          <cell r="H1650">
            <v>13232.550000000001</v>
          </cell>
          <cell r="J1650" t="str">
            <v>"</v>
          </cell>
        </row>
        <row r="1651">
          <cell r="B1651" t="str">
            <v>cv95</v>
          </cell>
          <cell r="C1651" t="str">
            <v>T4.4101</v>
          </cell>
          <cell r="D1651" t="str">
            <v>Cáp đồng bọc 600V-CV95</v>
          </cell>
          <cell r="E1651" t="str">
            <v>mét</v>
          </cell>
          <cell r="F1651">
            <v>261663</v>
          </cell>
          <cell r="G1651">
            <v>2090</v>
          </cell>
          <cell r="H1651">
            <v>13232.6</v>
          </cell>
          <cell r="J1651" t="str">
            <v>"</v>
          </cell>
        </row>
        <row r="1652">
          <cell r="B1652" t="str">
            <v>cv2x95</v>
          </cell>
          <cell r="C1652" t="str">
            <v>T4.4203</v>
          </cell>
          <cell r="D1652" t="str">
            <v>Cáp đồng bọc 600V-CV2x95</v>
          </cell>
          <cell r="E1652" t="str">
            <v>mét</v>
          </cell>
          <cell r="F1652">
            <v>0</v>
          </cell>
          <cell r="J1652" t="str">
            <v>"</v>
          </cell>
        </row>
        <row r="1653">
          <cell r="B1653" t="str">
            <v>cv120</v>
          </cell>
          <cell r="C1653" t="str">
            <v>T4.4102</v>
          </cell>
          <cell r="D1653" t="str">
            <v>Cáp đồng bọc 600V-CV120</v>
          </cell>
          <cell r="E1653" t="str">
            <v>mét</v>
          </cell>
          <cell r="F1653">
            <v>349620</v>
          </cell>
          <cell r="G1653">
            <v>3025</v>
          </cell>
          <cell r="H1653">
            <v>26465.100000000002</v>
          </cell>
          <cell r="J1653" t="str">
            <v>"</v>
          </cell>
        </row>
        <row r="1654">
          <cell r="B1654" t="str">
            <v>cv3x120</v>
          </cell>
          <cell r="C1654" t="str">
            <v>T4.4204</v>
          </cell>
          <cell r="D1654" t="str">
            <v>Cáp đồng bọc 600V-CV3x120</v>
          </cell>
          <cell r="E1654" t="str">
            <v>mét</v>
          </cell>
          <cell r="F1654">
            <v>0</v>
          </cell>
          <cell r="J1654" t="str">
            <v>"</v>
          </cell>
        </row>
        <row r="1655">
          <cell r="B1655" t="str">
            <v>cv2x150</v>
          </cell>
          <cell r="C1655" t="str">
            <v>T4.4203</v>
          </cell>
          <cell r="D1655" t="str">
            <v>Cáp đồng bọc 600V-CV2x150</v>
          </cell>
          <cell r="E1655" t="str">
            <v>mét</v>
          </cell>
          <cell r="F1655">
            <v>814686</v>
          </cell>
          <cell r="J1655" t="str">
            <v>"</v>
          </cell>
        </row>
        <row r="1656">
          <cell r="B1656" t="str">
            <v>cv150</v>
          </cell>
          <cell r="C1656" t="str">
            <v>T4.4102</v>
          </cell>
          <cell r="D1656" t="str">
            <v>Cáp đồng bọc 600V-CV150</v>
          </cell>
          <cell r="E1656" t="str">
            <v>mét</v>
          </cell>
          <cell r="F1656">
            <v>407343</v>
          </cell>
          <cell r="G1656">
            <v>2090</v>
          </cell>
          <cell r="H1656">
            <v>26465.1</v>
          </cell>
          <cell r="J1656" t="str">
            <v>"</v>
          </cell>
        </row>
        <row r="1657">
          <cell r="B1657" t="str">
            <v>cv185</v>
          </cell>
          <cell r="C1657" t="str">
            <v>T4.4103</v>
          </cell>
          <cell r="D1657" t="str">
            <v>Cáp đồng bọc 600V-CV185</v>
          </cell>
          <cell r="E1657" t="str">
            <v>mét</v>
          </cell>
          <cell r="F1657">
            <v>510863</v>
          </cell>
          <cell r="G1657">
            <v>2354</v>
          </cell>
          <cell r="H1657">
            <v>31758.1</v>
          </cell>
          <cell r="I1657">
            <v>0</v>
          </cell>
          <cell r="J1657" t="str">
            <v>"</v>
          </cell>
        </row>
        <row r="1658">
          <cell r="B1658" t="str">
            <v>cv240</v>
          </cell>
          <cell r="C1658" t="str">
            <v>T4.4103</v>
          </cell>
          <cell r="D1658" t="str">
            <v>Cáp đồng bọc 600V-CV240</v>
          </cell>
          <cell r="E1658" t="str">
            <v>mét</v>
          </cell>
          <cell r="F1658">
            <v>703670</v>
          </cell>
          <cell r="G1658">
            <v>4675</v>
          </cell>
          <cell r="H1658">
            <v>31758.12</v>
          </cell>
          <cell r="J1658" t="str">
            <v>"</v>
          </cell>
        </row>
        <row r="1659">
          <cell r="B1659" t="str">
            <v>cv300</v>
          </cell>
          <cell r="C1659" t="str">
            <v>T4.4204</v>
          </cell>
          <cell r="D1659" t="str">
            <v>Cáp đồng bọc 600V-CV300</v>
          </cell>
          <cell r="E1659" t="str">
            <v>mét</v>
          </cell>
          <cell r="F1659">
            <v>0</v>
          </cell>
          <cell r="J1659" t="str">
            <v>"</v>
          </cell>
        </row>
        <row r="1660">
          <cell r="B1660" t="str">
            <v>GIAÙ ÑÔÕ</v>
          </cell>
        </row>
        <row r="1661">
          <cell r="B1661" t="str">
            <v>THANTRUTHEP</v>
          </cell>
          <cell r="C1661" t="str">
            <v>T4.9202</v>
          </cell>
          <cell r="D1661" t="str">
            <v>Thân trụ thép đỡ Máy biến áp  160kVA loại vành và cánh dày 3mm)</v>
          </cell>
          <cell r="E1661" t="str">
            <v>bộ</v>
          </cell>
          <cell r="F1661">
            <v>37000000</v>
          </cell>
          <cell r="G1661">
            <v>23970</v>
          </cell>
          <cell r="H1661">
            <v>2752502</v>
          </cell>
          <cell r="J1661" t="str">
            <v>ĐM286</v>
          </cell>
        </row>
        <row r="1662">
          <cell r="B1662" t="str">
            <v>GUFCOT</v>
          </cell>
          <cell r="D1662" t="str">
            <v>Giá U 80x600 lắp FCO</v>
          </cell>
          <cell r="E1662" t="str">
            <v>bộ</v>
          </cell>
          <cell r="F1662">
            <v>0</v>
          </cell>
          <cell r="J1662" t="str">
            <v>ĐM286</v>
          </cell>
        </row>
        <row r="1663">
          <cell r="B1663" t="str">
            <v>GSXTG</v>
          </cell>
          <cell r="D1663" t="str">
            <v>Giá lắp sứ xuyên tường</v>
          </cell>
          <cell r="E1663" t="str">
            <v>bộ</v>
          </cell>
          <cell r="F1663">
            <v>0</v>
          </cell>
          <cell r="J1663" t="str">
            <v>"</v>
          </cell>
        </row>
        <row r="1664">
          <cell r="B1664" t="str">
            <v>GTMBA15</v>
          </cell>
          <cell r="D1664" t="str">
            <v>Giá chùm treo máy biến áp 3x15</v>
          </cell>
          <cell r="E1664" t="str">
            <v>bộ</v>
          </cell>
          <cell r="F1664">
            <v>1105900</v>
          </cell>
          <cell r="J1664" t="str">
            <v>"</v>
          </cell>
        </row>
        <row r="1665">
          <cell r="B1665" t="str">
            <v>GTMBA25</v>
          </cell>
          <cell r="D1665" t="str">
            <v>Giá chùm treo máy biến áp 3x25</v>
          </cell>
          <cell r="E1665" t="str">
            <v>bộ</v>
          </cell>
          <cell r="F1665">
            <v>877500</v>
          </cell>
          <cell r="J1665" t="str">
            <v>"</v>
          </cell>
        </row>
        <row r="1666">
          <cell r="B1666" t="str">
            <v>GTMBA375</v>
          </cell>
          <cell r="C1666" t="str">
            <v>T4.8002</v>
          </cell>
          <cell r="D1666" t="str">
            <v>Giá chùm treo máy biến áp 3x37,5</v>
          </cell>
          <cell r="E1666" t="str">
            <v>bộ</v>
          </cell>
          <cell r="F1666">
            <v>0</v>
          </cell>
          <cell r="J1666" t="str">
            <v>"</v>
          </cell>
        </row>
        <row r="1667">
          <cell r="B1667" t="str">
            <v>GTMBA50</v>
          </cell>
          <cell r="D1667" t="str">
            <v>Giá chùm treo máy biến áp 3x50</v>
          </cell>
          <cell r="E1667" t="str">
            <v>bộ</v>
          </cell>
          <cell r="F1667">
            <v>1957500</v>
          </cell>
          <cell r="J1667" t="str">
            <v>"</v>
          </cell>
        </row>
        <row r="1668">
          <cell r="B1668" t="str">
            <v>GTMBA50-1</v>
          </cell>
          <cell r="D1668" t="str">
            <v>Giá chùm treo máy biến áp 1x50</v>
          </cell>
          <cell r="E1668" t="str">
            <v>bộ</v>
          </cell>
          <cell r="F1668">
            <v>877500</v>
          </cell>
          <cell r="J1668" t="str">
            <v>"</v>
          </cell>
        </row>
        <row r="1669">
          <cell r="B1669" t="str">
            <v>GTMBA75</v>
          </cell>
          <cell r="D1669" t="str">
            <v>Giá chùm treo máy biến áp 3x75</v>
          </cell>
          <cell r="E1669" t="str">
            <v>bộ</v>
          </cell>
          <cell r="F1669">
            <v>2349600</v>
          </cell>
          <cell r="J1669" t="str">
            <v>"</v>
          </cell>
        </row>
        <row r="1670">
          <cell r="B1670" t="str">
            <v>L-GUFCOT</v>
          </cell>
          <cell r="C1670" t="str">
            <v>T4.8002</v>
          </cell>
          <cell r="D1670" t="str">
            <v>Giá U 80x600 lắp FCO</v>
          </cell>
          <cell r="E1670" t="str">
            <v>bộ</v>
          </cell>
          <cell r="G1670">
            <v>0</v>
          </cell>
          <cell r="H1670">
            <v>2683561.1</v>
          </cell>
          <cell r="I1670">
            <v>0</v>
          </cell>
          <cell r="J1670" t="str">
            <v>ĐM286</v>
          </cell>
        </row>
        <row r="1671">
          <cell r="B1671" t="str">
            <v>L-GSXTL-G</v>
          </cell>
          <cell r="C1671" t="str">
            <v>T4.8002</v>
          </cell>
          <cell r="D1671" t="str">
            <v>Giá lắp sứ xuyên tường</v>
          </cell>
          <cell r="E1671" t="str">
            <v>bộ</v>
          </cell>
          <cell r="G1671">
            <v>0</v>
          </cell>
          <cell r="H1671">
            <v>2683561.1</v>
          </cell>
          <cell r="I1671">
            <v>0</v>
          </cell>
          <cell r="J1671" t="str">
            <v>"</v>
          </cell>
        </row>
        <row r="1672">
          <cell r="B1672" t="str">
            <v>L-GTMBA15</v>
          </cell>
          <cell r="C1672" t="str">
            <v>T4.8002</v>
          </cell>
          <cell r="D1672" t="str">
            <v>Giá chùm treo máy biến áp 3x15</v>
          </cell>
          <cell r="E1672" t="str">
            <v>tấn</v>
          </cell>
          <cell r="G1672">
            <v>0</v>
          </cell>
          <cell r="H1672">
            <v>2683561.1</v>
          </cell>
          <cell r="I1672">
            <v>0</v>
          </cell>
          <cell r="J1672" t="str">
            <v>"</v>
          </cell>
        </row>
        <row r="1673">
          <cell r="B1673" t="str">
            <v>L-GTMBA25</v>
          </cell>
          <cell r="C1673" t="str">
            <v>T4.8002</v>
          </cell>
          <cell r="D1673" t="str">
            <v>Giá chùm treo máy biến áp 3x25</v>
          </cell>
          <cell r="E1673" t="str">
            <v>tấn</v>
          </cell>
          <cell r="G1673">
            <v>0</v>
          </cell>
          <cell r="H1673">
            <v>2683561.1</v>
          </cell>
          <cell r="I1673">
            <v>0</v>
          </cell>
          <cell r="J1673" t="str">
            <v>"</v>
          </cell>
        </row>
        <row r="1674">
          <cell r="B1674" t="str">
            <v>L-GTMBA375</v>
          </cell>
          <cell r="C1674" t="str">
            <v>T4.8002</v>
          </cell>
          <cell r="D1674" t="str">
            <v>Giá chùm treo máy biến áp 3x37,5</v>
          </cell>
          <cell r="E1674" t="str">
            <v>tấn</v>
          </cell>
          <cell r="G1674">
            <v>0</v>
          </cell>
          <cell r="H1674">
            <v>2683561.1</v>
          </cell>
          <cell r="I1674">
            <v>0</v>
          </cell>
          <cell r="J1674" t="str">
            <v>"</v>
          </cell>
        </row>
        <row r="1675">
          <cell r="B1675" t="str">
            <v>L-GTMBA50</v>
          </cell>
          <cell r="C1675" t="str">
            <v>T4.8002</v>
          </cell>
          <cell r="D1675" t="str">
            <v>Lắp giá chùm treo máy biến áp ≥ 37,5 kVA</v>
          </cell>
          <cell r="E1675" t="str">
            <v>tấn</v>
          </cell>
          <cell r="H1675">
            <v>2683561.1</v>
          </cell>
          <cell r="J1675" t="str">
            <v>"</v>
          </cell>
        </row>
        <row r="1676">
          <cell r="B1676" t="str">
            <v>L-GTMBA75</v>
          </cell>
          <cell r="C1676" t="str">
            <v>T4.8002</v>
          </cell>
          <cell r="D1676" t="str">
            <v>Giá chùm treo máy biến áp 3x75</v>
          </cell>
          <cell r="E1676" t="str">
            <v>tấn</v>
          </cell>
          <cell r="G1676">
            <v>0</v>
          </cell>
          <cell r="H1676">
            <v>2683561.1</v>
          </cell>
          <cell r="I1676">
            <v>0</v>
          </cell>
          <cell r="J1676" t="str">
            <v>"</v>
          </cell>
        </row>
        <row r="1677">
          <cell r="B1677" t="str">
            <v>XAØ</v>
          </cell>
        </row>
        <row r="1678">
          <cell r="B1678" t="str">
            <v>XAFCO24D</v>
          </cell>
          <cell r="D1678" t="str">
            <v>Xà 2.4Đ 75x75x8 dài 2,4m đỡ FCO</v>
          </cell>
          <cell r="E1678" t="str">
            <v xml:space="preserve">cây </v>
          </cell>
          <cell r="F1678">
            <v>634000</v>
          </cell>
          <cell r="J1678" t="str">
            <v>ĐM286</v>
          </cell>
        </row>
        <row r="1679">
          <cell r="B1679" t="str">
            <v>XA28</v>
          </cell>
          <cell r="D1679" t="str">
            <v>Đà sắt L75x75x8: 2,8m 3 ốp (FCO, sứ đở...)</v>
          </cell>
          <cell r="E1679" t="str">
            <v xml:space="preserve">cây </v>
          </cell>
          <cell r="F1679">
            <v>748700</v>
          </cell>
          <cell r="J1679" t="str">
            <v>"</v>
          </cell>
        </row>
        <row r="1680">
          <cell r="B1680" t="str">
            <v>XA24</v>
          </cell>
          <cell r="D1680" t="str">
            <v>Đà sắt L75x75x8: 2,4m 4 ốp (FCO, sứ đở...)</v>
          </cell>
          <cell r="E1680" t="str">
            <v xml:space="preserve">cây </v>
          </cell>
          <cell r="F1680">
            <v>703200</v>
          </cell>
          <cell r="J1680" t="str">
            <v>"</v>
          </cell>
        </row>
        <row r="1681">
          <cell r="B1681" t="str">
            <v>XA3</v>
          </cell>
          <cell r="D1681" t="str">
            <v>Đà sắt U 68x160x5: 3,0m (Đà MBT)</v>
          </cell>
          <cell r="E1681" t="str">
            <v xml:space="preserve">cây </v>
          </cell>
          <cell r="F1681">
            <v>1326000</v>
          </cell>
          <cell r="J1681" t="str">
            <v>"</v>
          </cell>
        </row>
        <row r="1682">
          <cell r="B1682" t="str">
            <v>XA0.5</v>
          </cell>
          <cell r="D1682" t="str">
            <v xml:space="preserve">Đà sắt U 46x100x4,5: 0,5m (chống đà MBT) </v>
          </cell>
          <cell r="E1682" t="str">
            <v xml:space="preserve">cây </v>
          </cell>
          <cell r="F1682">
            <v>124000</v>
          </cell>
          <cell r="J1682" t="str">
            <v>"</v>
          </cell>
        </row>
        <row r="1683">
          <cell r="B1683" t="str">
            <v>XA1.1</v>
          </cell>
          <cell r="D1683" t="str">
            <v xml:space="preserve">Đà sắt U 46x100x4,5: 1,13m (kẹp MBT) </v>
          </cell>
          <cell r="E1683" t="str">
            <v xml:space="preserve">cây </v>
          </cell>
          <cell r="F1683">
            <v>260000</v>
          </cell>
          <cell r="J1683" t="str">
            <v>"</v>
          </cell>
        </row>
        <row r="1684">
          <cell r="B1684" t="str">
            <v>PL60x6</v>
          </cell>
          <cell r="D1684" t="str">
            <v>Thanh chỏi PL 60x6: 0,92m</v>
          </cell>
          <cell r="E1684" t="str">
            <v xml:space="preserve">cây </v>
          </cell>
          <cell r="F1684">
            <v>75000</v>
          </cell>
          <cell r="J1684" t="str">
            <v>"</v>
          </cell>
        </row>
        <row r="1685">
          <cell r="B1685" t="str">
            <v>PL60x6-78</v>
          </cell>
          <cell r="D1685" t="str">
            <v>Thanh nối PL 60x6-780</v>
          </cell>
          <cell r="E1685" t="str">
            <v xml:space="preserve">cây </v>
          </cell>
          <cell r="F1685">
            <v>50000</v>
          </cell>
          <cell r="J1685" t="str">
            <v>"</v>
          </cell>
        </row>
        <row r="1686">
          <cell r="B1686" t="str">
            <v>X.MBA</v>
          </cell>
          <cell r="D1686" t="str">
            <v>Bộ xà trạm ngồi (trụ ghép)</v>
          </cell>
          <cell r="E1686" t="str">
            <v>bộ</v>
          </cell>
          <cell r="F1686">
            <v>7514400</v>
          </cell>
          <cell r="J1686" t="str">
            <v>ĐM286</v>
          </cell>
        </row>
        <row r="1687">
          <cell r="B1687" t="str">
            <v>U120</v>
          </cell>
          <cell r="D1687" t="str">
            <v>Sắt U120x52x4,8x7,8-2m (10,4kg/m)</v>
          </cell>
          <cell r="E1687" t="str">
            <v>kg</v>
          </cell>
          <cell r="F1687">
            <v>18000</v>
          </cell>
          <cell r="J1687" t="str">
            <v>"</v>
          </cell>
        </row>
        <row r="1688">
          <cell r="B1688" t="str">
            <v>U120-1</v>
          </cell>
          <cell r="D1688" t="str">
            <v>Sắt U120x52x4,8x7,8-3m (10,4kg/m)</v>
          </cell>
          <cell r="E1688" t="str">
            <v>kg</v>
          </cell>
          <cell r="F1688">
            <v>18000</v>
          </cell>
          <cell r="J1688" t="str">
            <v>"</v>
          </cell>
        </row>
        <row r="1689">
          <cell r="B1689" t="str">
            <v>U160</v>
          </cell>
          <cell r="D1689" t="str">
            <v>Đà sắt U160x64x5 dài 1,457m</v>
          </cell>
          <cell r="E1689" t="str">
            <v>kg</v>
          </cell>
          <cell r="F1689">
            <v>18909</v>
          </cell>
          <cell r="J1689" t="str">
            <v>"</v>
          </cell>
        </row>
        <row r="1690">
          <cell r="B1690" t="str">
            <v>U160-7</v>
          </cell>
          <cell r="D1690" t="str">
            <v>Đà sắt U160x64x5 dài 0,7m</v>
          </cell>
          <cell r="E1690" t="str">
            <v>kg</v>
          </cell>
          <cell r="F1690">
            <v>23000</v>
          </cell>
          <cell r="J1690" t="str">
            <v>"</v>
          </cell>
        </row>
        <row r="1691">
          <cell r="B1691" t="str">
            <v>U160-17</v>
          </cell>
          <cell r="D1691" t="str">
            <v>Đà sắt U160x64x5 dài 1,7m</v>
          </cell>
          <cell r="E1691" t="str">
            <v>kg</v>
          </cell>
          <cell r="F1691">
            <v>18909</v>
          </cell>
          <cell r="J1691" t="str">
            <v>"</v>
          </cell>
        </row>
        <row r="1692">
          <cell r="B1692" t="str">
            <v>U160-21</v>
          </cell>
          <cell r="D1692" t="str">
            <v>Đà sắt U160x64x5 dài 2,1m</v>
          </cell>
          <cell r="E1692" t="str">
            <v>kg</v>
          </cell>
          <cell r="F1692">
            <v>18909</v>
          </cell>
          <cell r="J1692" t="str">
            <v>"</v>
          </cell>
        </row>
        <row r="1693">
          <cell r="B1693" t="str">
            <v>U100</v>
          </cell>
          <cell r="D1693" t="str">
            <v>Đà sắt U100x46x4,5 dài 0,5m</v>
          </cell>
          <cell r="E1693" t="str">
            <v>kg</v>
          </cell>
          <cell r="F1693">
            <v>18909</v>
          </cell>
          <cell r="J1693" t="str">
            <v>"</v>
          </cell>
        </row>
        <row r="1694">
          <cell r="B1694" t="str">
            <v>U100-7</v>
          </cell>
          <cell r="D1694" t="str">
            <v>Đà sắt U100x46x4,5 dài 0,7m</v>
          </cell>
          <cell r="E1694" t="str">
            <v>kg</v>
          </cell>
          <cell r="F1694">
            <v>18909</v>
          </cell>
          <cell r="J1694" t="str">
            <v>"</v>
          </cell>
        </row>
        <row r="1695">
          <cell r="B1695" t="str">
            <v>U100-11</v>
          </cell>
          <cell r="D1695" t="str">
            <v>Đà sắt U100x46x4,5 dài 1,1m</v>
          </cell>
          <cell r="E1695" t="str">
            <v>kg</v>
          </cell>
          <cell r="F1695">
            <v>18909</v>
          </cell>
          <cell r="J1695" t="str">
            <v>"</v>
          </cell>
        </row>
        <row r="1696">
          <cell r="B1696" t="str">
            <v>U100-2</v>
          </cell>
          <cell r="D1696" t="str">
            <v>Đà sắt U100x46x4,5x7,6 dài 1,85m</v>
          </cell>
          <cell r="E1696" t="str">
            <v>kg</v>
          </cell>
          <cell r="F1696">
            <v>23000</v>
          </cell>
          <cell r="J1696" t="str">
            <v>"</v>
          </cell>
        </row>
        <row r="1697">
          <cell r="B1697" t="str">
            <v>U100-113</v>
          </cell>
          <cell r="D1697" t="str">
            <v>Đà sắt U100x46x4,5x7,5 dài 1,13m</v>
          </cell>
          <cell r="E1697" t="str">
            <v>kg</v>
          </cell>
          <cell r="F1697">
            <v>23000</v>
          </cell>
          <cell r="J1697" t="str">
            <v>"</v>
          </cell>
        </row>
        <row r="1698">
          <cell r="B1698" t="str">
            <v>U100-3</v>
          </cell>
          <cell r="D1698" t="str">
            <v>Đà sắt U100x46x4,5x7,6 dài 2,006m</v>
          </cell>
          <cell r="E1698" t="str">
            <v>kg</v>
          </cell>
          <cell r="F1698">
            <v>23000</v>
          </cell>
          <cell r="J1698" t="str">
            <v>"</v>
          </cell>
        </row>
        <row r="1699">
          <cell r="B1699" t="str">
            <v>L-XAFCO24D</v>
          </cell>
          <cell r="C1699" t="str">
            <v>T4.9302</v>
          </cell>
          <cell r="D1699" t="str">
            <v>Xà 2.4Đ 75x75x8 dài 2,4m đỡ FCO</v>
          </cell>
          <cell r="E1699" t="str">
            <v>tấn</v>
          </cell>
          <cell r="G1699">
            <v>32130</v>
          </cell>
          <cell r="H1699">
            <v>3027996</v>
          </cell>
          <cell r="I1699">
            <v>0</v>
          </cell>
          <cell r="J1699" t="str">
            <v>ĐM286</v>
          </cell>
        </row>
        <row r="1700">
          <cell r="B1700" t="str">
            <v>L-XA28</v>
          </cell>
          <cell r="C1700" t="str">
            <v>T4.9302</v>
          </cell>
          <cell r="D1700" t="str">
            <v>Đà sắt L75x75x8: 2,8m 3 ốp (FCO, sứ đở...)</v>
          </cell>
          <cell r="E1700" t="str">
            <v>tấn</v>
          </cell>
          <cell r="G1700">
            <v>32130</v>
          </cell>
          <cell r="H1700">
            <v>3027996</v>
          </cell>
          <cell r="I1700">
            <v>0</v>
          </cell>
          <cell r="J1700" t="str">
            <v>"</v>
          </cell>
        </row>
        <row r="1701">
          <cell r="B1701" t="str">
            <v>L-XA24</v>
          </cell>
          <cell r="C1701" t="str">
            <v>T4.9302</v>
          </cell>
          <cell r="D1701" t="str">
            <v>Đà sắt L75x75x8: 2,4m 4 ốp (FCO, sứ đở...)</v>
          </cell>
          <cell r="E1701" t="str">
            <v>tấn</v>
          </cell>
          <cell r="G1701">
            <v>32130</v>
          </cell>
          <cell r="H1701">
            <v>3027996</v>
          </cell>
          <cell r="I1701">
            <v>0</v>
          </cell>
          <cell r="J1701" t="str">
            <v>"</v>
          </cell>
        </row>
        <row r="1702">
          <cell r="B1702" t="str">
            <v>L-XA3</v>
          </cell>
          <cell r="C1702" t="str">
            <v>T4.9302</v>
          </cell>
          <cell r="D1702" t="str">
            <v>Đà sắt U 68x160x5: 3,0m (Đà MBT)</v>
          </cell>
          <cell r="E1702" t="str">
            <v>tấn</v>
          </cell>
          <cell r="G1702">
            <v>32130</v>
          </cell>
          <cell r="H1702">
            <v>3027996</v>
          </cell>
          <cell r="I1702">
            <v>0</v>
          </cell>
          <cell r="J1702" t="str">
            <v>"</v>
          </cell>
        </row>
        <row r="1703">
          <cell r="B1703" t="str">
            <v>L-XA0.5</v>
          </cell>
          <cell r="C1703" t="str">
            <v>T4.9302</v>
          </cell>
          <cell r="D1703" t="str">
            <v xml:space="preserve">Đà sắt U 46x100x4,5: 0,5m (chống đà MBT) </v>
          </cell>
          <cell r="E1703" t="str">
            <v>tấn</v>
          </cell>
          <cell r="G1703">
            <v>32130</v>
          </cell>
          <cell r="H1703">
            <v>3027996</v>
          </cell>
          <cell r="I1703">
            <v>0</v>
          </cell>
          <cell r="J1703" t="str">
            <v>"</v>
          </cell>
        </row>
        <row r="1704">
          <cell r="B1704" t="str">
            <v>L-XA1.1</v>
          </cell>
          <cell r="C1704" t="str">
            <v>T4.9302</v>
          </cell>
          <cell r="D1704" t="str">
            <v xml:space="preserve">Đà sắt U 46x100x4,5: 1,13m (kẹp MBT) </v>
          </cell>
          <cell r="E1704" t="str">
            <v>tấn</v>
          </cell>
          <cell r="G1704">
            <v>32130</v>
          </cell>
          <cell r="H1704">
            <v>3027996</v>
          </cell>
          <cell r="I1704">
            <v>0</v>
          </cell>
          <cell r="J1704" t="str">
            <v>"</v>
          </cell>
        </row>
        <row r="1705">
          <cell r="B1705" t="str">
            <v>L-PL60x6</v>
          </cell>
          <cell r="C1705" t="str">
            <v>T4.9302</v>
          </cell>
          <cell r="D1705" t="str">
            <v>Thanh chỏi PL 60x6: 0,92m</v>
          </cell>
          <cell r="E1705" t="str">
            <v>tấn</v>
          </cell>
          <cell r="G1705">
            <v>32130</v>
          </cell>
          <cell r="H1705">
            <v>3027996</v>
          </cell>
          <cell r="I1705">
            <v>0</v>
          </cell>
          <cell r="J1705" t="str">
            <v>"</v>
          </cell>
        </row>
        <row r="1706">
          <cell r="B1706" t="str">
            <v>L-U160</v>
          </cell>
          <cell r="C1706" t="str">
            <v>T4.9302</v>
          </cell>
          <cell r="D1706" t="str">
            <v>Đà sắt U160x68x5x9 dài 3,0m</v>
          </cell>
          <cell r="E1706" t="str">
            <v>tấn</v>
          </cell>
          <cell r="G1706">
            <v>32130</v>
          </cell>
          <cell r="H1706">
            <v>3027996</v>
          </cell>
          <cell r="I1706">
            <v>0</v>
          </cell>
          <cell r="J1706" t="str">
            <v>"</v>
          </cell>
        </row>
        <row r="1707">
          <cell r="B1707" t="str">
            <v>L-U100</v>
          </cell>
          <cell r="C1707" t="str">
            <v>T4.9302</v>
          </cell>
          <cell r="D1707" t="str">
            <v>Đà sắt U100x46x4,5x7,5 dài 0,5m</v>
          </cell>
          <cell r="E1707" t="str">
            <v>tấn</v>
          </cell>
          <cell r="G1707">
            <v>32130</v>
          </cell>
          <cell r="H1707">
            <v>3027996</v>
          </cell>
          <cell r="I1707">
            <v>0</v>
          </cell>
          <cell r="J1707" t="str">
            <v>"</v>
          </cell>
        </row>
        <row r="1708">
          <cell r="B1708" t="str">
            <v>L-U100-2</v>
          </cell>
          <cell r="C1708" t="str">
            <v>T4.9302</v>
          </cell>
          <cell r="D1708" t="str">
            <v>Đà sắt U100x46x4,5x7,5 dài 1,13m</v>
          </cell>
          <cell r="E1708" t="str">
            <v>tấn</v>
          </cell>
          <cell r="G1708">
            <v>32130</v>
          </cell>
          <cell r="H1708">
            <v>3027996</v>
          </cell>
          <cell r="I1708">
            <v>0</v>
          </cell>
          <cell r="J1708" t="str">
            <v>"</v>
          </cell>
        </row>
        <row r="1709">
          <cell r="B1709" t="str">
            <v>CT1</v>
          </cell>
          <cell r="C1709" t="str">
            <v>T4.9302</v>
          </cell>
          <cell r="D1709" t="str">
            <v>Đà sắt U160x68x5 dài 1907</v>
          </cell>
          <cell r="E1709" t="str">
            <v>tấn</v>
          </cell>
          <cell r="G1709">
            <v>33354</v>
          </cell>
          <cell r="H1709">
            <v>3027996</v>
          </cell>
          <cell r="I1709">
            <v>0</v>
          </cell>
          <cell r="J1709" t="str">
            <v>"</v>
          </cell>
        </row>
        <row r="1710">
          <cell r="B1710" t="str">
            <v>CT2</v>
          </cell>
          <cell r="C1710" t="str">
            <v>T4.9302</v>
          </cell>
          <cell r="D1710" t="str">
            <v>Đà sắt U160x68x5 dài 1700</v>
          </cell>
          <cell r="E1710" t="str">
            <v>tấn</v>
          </cell>
          <cell r="G1710">
            <v>32130</v>
          </cell>
          <cell r="H1710">
            <v>3027996</v>
          </cell>
          <cell r="I1710">
            <v>0</v>
          </cell>
          <cell r="J1710" t="str">
            <v>"</v>
          </cell>
        </row>
        <row r="1711">
          <cell r="B1711" t="str">
            <v>CT31</v>
          </cell>
          <cell r="C1711" t="str">
            <v>T4.9302</v>
          </cell>
          <cell r="D1711" t="str">
            <v>Đà sắt U100x46x4,5 dài 500</v>
          </cell>
          <cell r="E1711" t="str">
            <v>tấn</v>
          </cell>
          <cell r="G1711">
            <v>32130</v>
          </cell>
          <cell r="H1711">
            <v>3027996</v>
          </cell>
          <cell r="I1711">
            <v>0</v>
          </cell>
          <cell r="J1711" t="str">
            <v>"</v>
          </cell>
        </row>
        <row r="1712">
          <cell r="B1712" t="str">
            <v>CT41</v>
          </cell>
          <cell r="C1712" t="str">
            <v>T4.9302</v>
          </cell>
          <cell r="D1712" t="str">
            <v>Đà sắt U100x46x4,5 dài 700</v>
          </cell>
          <cell r="E1712" t="str">
            <v>tấn</v>
          </cell>
          <cell r="G1712">
            <v>32130</v>
          </cell>
          <cell r="H1712">
            <v>3027996</v>
          </cell>
          <cell r="I1712">
            <v>0</v>
          </cell>
          <cell r="J1712" t="str">
            <v>"</v>
          </cell>
        </row>
        <row r="1713">
          <cell r="B1713" t="str">
            <v>CT51</v>
          </cell>
          <cell r="C1713" t="str">
            <v>T4.9302</v>
          </cell>
          <cell r="D1713" t="str">
            <v>Đà sắt U100x46x4,5 dài 1100</v>
          </cell>
          <cell r="E1713" t="str">
            <v>tấn</v>
          </cell>
          <cell r="G1713">
            <v>32130</v>
          </cell>
          <cell r="H1713">
            <v>3027996</v>
          </cell>
          <cell r="I1713">
            <v>0</v>
          </cell>
          <cell r="J1713" t="str">
            <v>"</v>
          </cell>
        </row>
        <row r="1714">
          <cell r="B1714" t="str">
            <v>CT6</v>
          </cell>
          <cell r="C1714" t="str">
            <v>T4.9302</v>
          </cell>
          <cell r="D1714" t="str">
            <v>Đà sắt U100x46x4,5 dài 1460</v>
          </cell>
          <cell r="E1714" t="str">
            <v>tấn</v>
          </cell>
          <cell r="G1714">
            <v>32130</v>
          </cell>
          <cell r="H1714">
            <v>3027996</v>
          </cell>
          <cell r="I1714">
            <v>0</v>
          </cell>
          <cell r="J1714" t="str">
            <v>"</v>
          </cell>
        </row>
        <row r="1715">
          <cell r="B1715" t="str">
            <v>CT7</v>
          </cell>
          <cell r="C1715" t="str">
            <v>T4.9302</v>
          </cell>
          <cell r="D1715" t="str">
            <v>Đà sắt U160x68x5 dài 700</v>
          </cell>
          <cell r="E1715" t="str">
            <v>tấn</v>
          </cell>
          <cell r="G1715">
            <v>32130</v>
          </cell>
          <cell r="H1715">
            <v>3027996</v>
          </cell>
          <cell r="I1715">
            <v>0</v>
          </cell>
          <cell r="J1715" t="str">
            <v>"</v>
          </cell>
        </row>
        <row r="1716">
          <cell r="B1716" t="str">
            <v>CT8</v>
          </cell>
          <cell r="C1716" t="str">
            <v>T4.9302</v>
          </cell>
          <cell r="D1716" t="str">
            <v>Đà sắt U100x46x4,5 dài 900</v>
          </cell>
          <cell r="E1716" t="str">
            <v>tấn</v>
          </cell>
          <cell r="G1716">
            <v>32130</v>
          </cell>
          <cell r="H1716">
            <v>3027996</v>
          </cell>
          <cell r="I1716">
            <v>0</v>
          </cell>
          <cell r="J1716" t="str">
            <v>"</v>
          </cell>
        </row>
        <row r="1717">
          <cell r="B1717" t="str">
            <v>THANH CAÙI</v>
          </cell>
        </row>
        <row r="1718">
          <cell r="B1718" t="str">
            <v>TC450</v>
          </cell>
          <cell r="C1718" t="str">
            <v>T4.6103</v>
          </cell>
          <cell r="D1718" t="str">
            <v>Thanh cái đồng 4x50</v>
          </cell>
          <cell r="E1718" t="str">
            <v>mét</v>
          </cell>
          <cell r="F1718">
            <v>78000</v>
          </cell>
          <cell r="G1718">
            <v>265810</v>
          </cell>
          <cell r="H1718">
            <v>402515.8</v>
          </cell>
          <cell r="I1718">
            <v>8738.4</v>
          </cell>
          <cell r="J1718" t="str">
            <v>ĐM286</v>
          </cell>
        </row>
        <row r="1719">
          <cell r="B1719" t="str">
            <v>TUÛ ÑIEÄN</v>
          </cell>
        </row>
        <row r="1720">
          <cell r="B1720" t="str">
            <v>TUDK1x15</v>
          </cell>
          <cell r="C1720" t="str">
            <v>T5.1004</v>
          </cell>
          <cell r="D1720" t="str">
            <v xml:space="preserve">Tủ phân phối 1 pha 1x15kVA </v>
          </cell>
          <cell r="E1720" t="str">
            <v>bộ</v>
          </cell>
          <cell r="F1720">
            <v>0</v>
          </cell>
          <cell r="G1720">
            <v>117040</v>
          </cell>
          <cell r="H1720">
            <v>719772.5</v>
          </cell>
          <cell r="I1720">
            <v>0</v>
          </cell>
        </row>
        <row r="1721">
          <cell r="B1721" t="str">
            <v>TUDK1x25</v>
          </cell>
          <cell r="C1721" t="str">
            <v>T5.1004</v>
          </cell>
          <cell r="D1721" t="str">
            <v xml:space="preserve">Tủ phân phối 1 pha 1x25kVA </v>
          </cell>
          <cell r="E1721" t="str">
            <v>bộ</v>
          </cell>
          <cell r="F1721">
            <v>0</v>
          </cell>
          <cell r="G1721">
            <v>117040</v>
          </cell>
          <cell r="H1721">
            <v>719772.5</v>
          </cell>
          <cell r="I1721">
            <v>0</v>
          </cell>
        </row>
        <row r="1722">
          <cell r="B1722" t="str">
            <v>TUDK1x37,5</v>
          </cell>
          <cell r="C1722" t="str">
            <v>T5.1004</v>
          </cell>
          <cell r="D1722" t="str">
            <v xml:space="preserve">Tủ phân phối 1 pha 1x37,5kVA </v>
          </cell>
          <cell r="E1722" t="str">
            <v>bộ</v>
          </cell>
          <cell r="F1722">
            <v>0</v>
          </cell>
          <cell r="G1722">
            <v>117040</v>
          </cell>
          <cell r="H1722">
            <v>719772.5</v>
          </cell>
          <cell r="I1722">
            <v>0</v>
          </cell>
        </row>
        <row r="1723">
          <cell r="B1723" t="str">
            <v>TUDK1x50</v>
          </cell>
          <cell r="C1723" t="str">
            <v>T5.1004</v>
          </cell>
          <cell r="D1723" t="str">
            <v xml:space="preserve">Tủ phân phối 1 pha 1x50kVA </v>
          </cell>
          <cell r="E1723" t="str">
            <v>bộ</v>
          </cell>
          <cell r="F1723">
            <v>15300000</v>
          </cell>
          <cell r="G1723">
            <v>117040</v>
          </cell>
          <cell r="H1723">
            <v>654992.97499999998</v>
          </cell>
          <cell r="I1723">
            <v>0</v>
          </cell>
        </row>
        <row r="1724">
          <cell r="B1724" t="str">
            <v>TUDK1x75</v>
          </cell>
          <cell r="C1724" t="str">
            <v>T5.1004</v>
          </cell>
          <cell r="D1724" t="str">
            <v xml:space="preserve">Tủ phân phối 1 pha 1x75kVA </v>
          </cell>
          <cell r="E1724" t="str">
            <v>bộ</v>
          </cell>
          <cell r="F1724">
            <v>20955750</v>
          </cell>
          <cell r="G1724">
            <v>117040</v>
          </cell>
          <cell r="H1724">
            <v>654992.97499999998</v>
          </cell>
        </row>
        <row r="1725">
          <cell r="B1725" t="str">
            <v>TUDK3x15</v>
          </cell>
          <cell r="C1725" t="str">
            <v>T5.1004</v>
          </cell>
          <cell r="D1725" t="str">
            <v xml:space="preserve">Tủ phân phối 3 pha 3x15kVA </v>
          </cell>
          <cell r="E1725" t="str">
            <v>bộ</v>
          </cell>
          <cell r="F1725">
            <v>0</v>
          </cell>
          <cell r="G1725">
            <v>117040</v>
          </cell>
          <cell r="H1725">
            <v>719772.5</v>
          </cell>
          <cell r="I1725">
            <v>0</v>
          </cell>
        </row>
        <row r="1726">
          <cell r="B1726" t="str">
            <v>TUDK3x25</v>
          </cell>
          <cell r="C1726" t="str">
            <v>T5.1004</v>
          </cell>
          <cell r="D1726" t="str">
            <v xml:space="preserve">Tủ phân phối 3 pha 3x25kVA </v>
          </cell>
          <cell r="E1726" t="str">
            <v>bộ</v>
          </cell>
          <cell r="F1726">
            <v>16150000</v>
          </cell>
          <cell r="G1726">
            <v>117040</v>
          </cell>
          <cell r="H1726">
            <v>719772.5</v>
          </cell>
          <cell r="I1726">
            <v>0</v>
          </cell>
        </row>
        <row r="1727">
          <cell r="B1727" t="str">
            <v>TUDK3x37,5</v>
          </cell>
          <cell r="C1727" t="str">
            <v>T5.1004</v>
          </cell>
          <cell r="D1727" t="str">
            <v xml:space="preserve">Tủ phân phối 3 pha 3x37,5kVA </v>
          </cell>
          <cell r="E1727" t="str">
            <v>bộ</v>
          </cell>
          <cell r="F1727">
            <v>0</v>
          </cell>
          <cell r="G1727">
            <v>117040</v>
          </cell>
          <cell r="H1727">
            <v>719772.5</v>
          </cell>
          <cell r="I1727">
            <v>0</v>
          </cell>
        </row>
        <row r="1728">
          <cell r="B1728" t="str">
            <v>TUDK2x50</v>
          </cell>
          <cell r="C1728" t="str">
            <v>T5.1004</v>
          </cell>
          <cell r="D1728" t="str">
            <v xml:space="preserve">Tủ phân phối 1 pha 2x50kVA </v>
          </cell>
          <cell r="E1728" t="str">
            <v>bộ</v>
          </cell>
          <cell r="F1728">
            <v>20800000</v>
          </cell>
          <cell r="G1728">
            <v>117040</v>
          </cell>
          <cell r="H1728">
            <v>719772.5</v>
          </cell>
          <cell r="I1728">
            <v>0</v>
          </cell>
        </row>
        <row r="1729">
          <cell r="B1729" t="str">
            <v>TUDK3x50</v>
          </cell>
          <cell r="C1729" t="str">
            <v>T5.1004</v>
          </cell>
          <cell r="D1729" t="str">
            <v xml:space="preserve">Tủ phân phối 3 pha 3x50kVA </v>
          </cell>
          <cell r="E1729" t="str">
            <v>bộ</v>
          </cell>
          <cell r="F1729">
            <v>20800000</v>
          </cell>
          <cell r="G1729">
            <v>117040</v>
          </cell>
          <cell r="H1729">
            <v>719772.5</v>
          </cell>
          <cell r="I1729">
            <v>0</v>
          </cell>
        </row>
        <row r="1730">
          <cell r="B1730" t="str">
            <v>TUDK100</v>
          </cell>
          <cell r="C1730" t="str">
            <v>T5.1004</v>
          </cell>
          <cell r="D1730" t="str">
            <v xml:space="preserve">Tủ phân phối 3 pha 100kVA </v>
          </cell>
          <cell r="E1730" t="str">
            <v>bộ</v>
          </cell>
          <cell r="F1730">
            <v>0</v>
          </cell>
          <cell r="G1730">
            <v>117040</v>
          </cell>
          <cell r="H1730">
            <v>719772.5</v>
          </cell>
          <cell r="I1730">
            <v>0</v>
          </cell>
        </row>
        <row r="1731">
          <cell r="B1731" t="str">
            <v>TUDK3x75</v>
          </cell>
          <cell r="C1731" t="str">
            <v>T5.1004</v>
          </cell>
          <cell r="D1731" t="str">
            <v xml:space="preserve">Tủ phân phối 3 pha 3x75kVA </v>
          </cell>
          <cell r="E1731" t="str">
            <v>bộ</v>
          </cell>
          <cell r="F1731">
            <v>22000000</v>
          </cell>
          <cell r="G1731">
            <v>117040</v>
          </cell>
          <cell r="H1731">
            <v>719772.5</v>
          </cell>
          <cell r="I1731">
            <v>0</v>
          </cell>
        </row>
        <row r="1732">
          <cell r="B1732" t="str">
            <v>TUDK160</v>
          </cell>
          <cell r="C1732" t="str">
            <v>T5.1004</v>
          </cell>
          <cell r="D1732" t="str">
            <v>Tủ phân phối 3 pha 160kVA (vỏ inox)</v>
          </cell>
          <cell r="E1732" t="str">
            <v>bộ</v>
          </cell>
          <cell r="F1732">
            <v>29358000</v>
          </cell>
          <cell r="G1732">
            <v>144100</v>
          </cell>
          <cell r="H1732">
            <v>719772.5</v>
          </cell>
          <cell r="I1732">
            <v>0</v>
          </cell>
        </row>
        <row r="1733">
          <cell r="B1733" t="str">
            <v>TUDK180</v>
          </cell>
          <cell r="C1733" t="str">
            <v>T5.1004</v>
          </cell>
          <cell r="D1733" t="str">
            <v xml:space="preserve">Tủ phân phối 3 pha 180kVA </v>
          </cell>
          <cell r="E1733" t="str">
            <v>bộ</v>
          </cell>
          <cell r="F1733">
            <v>0</v>
          </cell>
          <cell r="G1733">
            <v>117040</v>
          </cell>
          <cell r="H1733">
            <v>719772.5</v>
          </cell>
          <cell r="I1733">
            <v>0</v>
          </cell>
        </row>
        <row r="1734">
          <cell r="B1734" t="str">
            <v>TUDK250</v>
          </cell>
          <cell r="C1734" t="str">
            <v>T5.1004</v>
          </cell>
          <cell r="D1734" t="str">
            <v>Tủ phân phối 3 pha 250kVA (vỏ inox)</v>
          </cell>
          <cell r="E1734" t="str">
            <v>bộ</v>
          </cell>
          <cell r="F1734">
            <v>29358000</v>
          </cell>
          <cell r="G1734">
            <v>144100</v>
          </cell>
          <cell r="H1734">
            <v>719772.5</v>
          </cell>
          <cell r="I1734">
            <v>0</v>
          </cell>
        </row>
        <row r="1735">
          <cell r="B1735" t="str">
            <v>TUDK320</v>
          </cell>
          <cell r="C1735" t="str">
            <v>T5.1004</v>
          </cell>
          <cell r="D1735" t="str">
            <v xml:space="preserve">Tủ phân phối 3 pha 320kVA </v>
          </cell>
          <cell r="E1735" t="str">
            <v>bộ</v>
          </cell>
          <cell r="F1735">
            <v>17300000</v>
          </cell>
          <cell r="G1735">
            <v>117040</v>
          </cell>
          <cell r="H1735">
            <v>719772.5</v>
          </cell>
          <cell r="I1735">
            <v>0</v>
          </cell>
        </row>
        <row r="1736">
          <cell r="B1736" t="str">
            <v>TUDK400</v>
          </cell>
          <cell r="C1736" t="str">
            <v>T5.1004</v>
          </cell>
          <cell r="D1736" t="str">
            <v xml:space="preserve">Tủ phân phối 3 pha 400kVA </v>
          </cell>
          <cell r="E1736" t="str">
            <v>bộ</v>
          </cell>
          <cell r="F1736">
            <v>0</v>
          </cell>
          <cell r="G1736">
            <v>117040</v>
          </cell>
          <cell r="H1736">
            <v>719772.5</v>
          </cell>
          <cell r="I1736">
            <v>0</v>
          </cell>
        </row>
        <row r="1737">
          <cell r="B1737" t="str">
            <v>TUDK560</v>
          </cell>
          <cell r="C1737" t="str">
            <v>T5.1004</v>
          </cell>
          <cell r="D1737" t="str">
            <v xml:space="preserve">Tủ phân phối 3 pha 560kVA </v>
          </cell>
          <cell r="E1737" t="str">
            <v>bộ</v>
          </cell>
          <cell r="F1737">
            <v>0</v>
          </cell>
          <cell r="G1737">
            <v>117040</v>
          </cell>
          <cell r="H1737">
            <v>719772.5</v>
          </cell>
          <cell r="I1737">
            <v>0</v>
          </cell>
        </row>
        <row r="1738">
          <cell r="B1738" t="str">
            <v>TUÛ ÑIEÄN +TB</v>
          </cell>
        </row>
        <row r="1739">
          <cell r="B1739" t="str">
            <v>TUDK1x15T</v>
          </cell>
          <cell r="C1739" t="str">
            <v>T5.1001</v>
          </cell>
          <cell r="D1739" t="str">
            <v>Tủ phân phối 1 pha 1x15kVA :</v>
          </cell>
          <cell r="E1739" t="str">
            <v>bộ</v>
          </cell>
          <cell r="F1739">
            <v>4694000</v>
          </cell>
          <cell r="G1739">
            <v>116798</v>
          </cell>
          <cell r="H1739">
            <v>719772.5</v>
          </cell>
          <cell r="I1739">
            <v>124641.8</v>
          </cell>
          <cell r="J1739" t="str">
            <v>ĐM286</v>
          </cell>
        </row>
        <row r="1740">
          <cell r="B1740" t="str">
            <v>TUDK1x25T</v>
          </cell>
          <cell r="C1740" t="str">
            <v>T5.1001</v>
          </cell>
          <cell r="D1740" t="str">
            <v>Tủ phân phối 1 pha 1x25kVA :</v>
          </cell>
          <cell r="E1740" t="str">
            <v>bộ</v>
          </cell>
          <cell r="F1740">
            <v>4700000</v>
          </cell>
          <cell r="G1740">
            <v>116798</v>
          </cell>
          <cell r="H1740">
            <v>719772.5</v>
          </cell>
          <cell r="I1740">
            <v>124641.8</v>
          </cell>
          <cell r="J1740" t="str">
            <v>"</v>
          </cell>
        </row>
        <row r="1741">
          <cell r="B1741" t="str">
            <v>TUDK1x37,5T</v>
          </cell>
          <cell r="C1741" t="str">
            <v>T5.1001</v>
          </cell>
          <cell r="D1741" t="str">
            <v>Tủ phân phối 1 pha 1x37,5kVA ;</v>
          </cell>
          <cell r="E1741" t="str">
            <v>bộ</v>
          </cell>
          <cell r="F1741">
            <v>5503000</v>
          </cell>
          <cell r="G1741">
            <v>116798</v>
          </cell>
          <cell r="H1741">
            <v>719772.5</v>
          </cell>
          <cell r="I1741">
            <v>124641.8</v>
          </cell>
          <cell r="J1741" t="str">
            <v>"</v>
          </cell>
        </row>
        <row r="1742">
          <cell r="B1742" t="str">
            <v>TUDK1x50T</v>
          </cell>
          <cell r="C1742" t="str">
            <v>T5.1001</v>
          </cell>
          <cell r="D1742" t="str">
            <v>Tủ phân phối 1 pha 1x50kVA :</v>
          </cell>
          <cell r="E1742" t="str">
            <v>bộ</v>
          </cell>
          <cell r="F1742">
            <v>5271000</v>
          </cell>
          <cell r="G1742">
            <v>116798</v>
          </cell>
          <cell r="H1742">
            <v>719772.5</v>
          </cell>
          <cell r="I1742">
            <v>124641.8</v>
          </cell>
          <cell r="J1742" t="str">
            <v>"</v>
          </cell>
        </row>
        <row r="1743">
          <cell r="B1743" t="str">
            <v>TUDK3x15T</v>
          </cell>
          <cell r="C1743" t="str">
            <v>T5.1002</v>
          </cell>
          <cell r="D1743" t="str">
            <v>Tủ phân phối 3 pha 3x15kVA :</v>
          </cell>
          <cell r="E1743" t="str">
            <v>bộ</v>
          </cell>
          <cell r="F1743">
            <v>6240000</v>
          </cell>
          <cell r="G1743">
            <v>120648</v>
          </cell>
          <cell r="H1743">
            <v>829177.9</v>
          </cell>
          <cell r="I1743">
            <v>124641.8</v>
          </cell>
          <cell r="J1743" t="str">
            <v>"</v>
          </cell>
        </row>
        <row r="1744">
          <cell r="B1744" t="str">
            <v>TUDK3x25T</v>
          </cell>
          <cell r="C1744" t="str">
            <v>T5.1002</v>
          </cell>
          <cell r="D1744" t="str">
            <v>Tủ phân phối 3 pha 3x25kVA :</v>
          </cell>
          <cell r="E1744" t="str">
            <v>bộ</v>
          </cell>
          <cell r="F1744">
            <v>6240000</v>
          </cell>
          <cell r="G1744">
            <v>120648</v>
          </cell>
          <cell r="H1744">
            <v>829177.9</v>
          </cell>
          <cell r="I1744">
            <v>124641.8</v>
          </cell>
          <cell r="J1744" t="str">
            <v>"</v>
          </cell>
        </row>
        <row r="1745">
          <cell r="B1745" t="str">
            <v>TUDK3x37,5T</v>
          </cell>
          <cell r="C1745" t="str">
            <v>T5.1002</v>
          </cell>
          <cell r="D1745" t="str">
            <v>Tủ phân phối 3 pha 3x37,5kVA :</v>
          </cell>
          <cell r="E1745" t="str">
            <v>bộ</v>
          </cell>
          <cell r="F1745">
            <v>7569000</v>
          </cell>
          <cell r="G1745">
            <v>120648</v>
          </cell>
          <cell r="H1745">
            <v>829177.9</v>
          </cell>
          <cell r="I1745">
            <v>124641.8</v>
          </cell>
          <cell r="J1745" t="str">
            <v>"</v>
          </cell>
        </row>
        <row r="1746">
          <cell r="B1746" t="str">
            <v>TUDK3x50T</v>
          </cell>
          <cell r="C1746" t="str">
            <v>T5.1002</v>
          </cell>
          <cell r="D1746" t="str">
            <v>Tủ phân phối 3 pha 3x50kVA :</v>
          </cell>
          <cell r="E1746" t="str">
            <v>bộ</v>
          </cell>
          <cell r="F1746">
            <v>7906000</v>
          </cell>
          <cell r="G1746">
            <v>120648</v>
          </cell>
          <cell r="H1746">
            <v>829177.9</v>
          </cell>
          <cell r="I1746">
            <v>124641.8</v>
          </cell>
          <cell r="J1746" t="str">
            <v>"</v>
          </cell>
        </row>
        <row r="1747">
          <cell r="B1747" t="str">
            <v>ÑIEÄN KEÁ</v>
          </cell>
        </row>
        <row r="1748">
          <cell r="B1748" t="str">
            <v>DNK5</v>
          </cell>
          <cell r="C1748" t="str">
            <v>T5.5005</v>
          </cell>
          <cell r="D1748" t="str">
            <v>Điện năng kế  1 pha 2 dây 230V-5A</v>
          </cell>
          <cell r="E1748" t="str">
            <v>cái</v>
          </cell>
          <cell r="F1748">
            <v>614000</v>
          </cell>
          <cell r="G1748">
            <v>400</v>
          </cell>
          <cell r="H1748">
            <v>57639.4</v>
          </cell>
          <cell r="J1748" t="str">
            <v>0,25xLNC(4/7)</v>
          </cell>
        </row>
        <row r="1749">
          <cell r="B1749" t="str">
            <v>DK12080</v>
          </cell>
          <cell r="C1749" t="str">
            <v>T5.5005</v>
          </cell>
          <cell r="D1749" t="str">
            <v>Điện kế 1P 20-80A 220V</v>
          </cell>
          <cell r="E1749" t="str">
            <v>cái</v>
          </cell>
          <cell r="F1749">
            <v>135000</v>
          </cell>
          <cell r="G1749">
            <v>400</v>
          </cell>
          <cell r="H1749">
            <v>56667.8</v>
          </cell>
          <cell r="I1749">
            <v>0</v>
          </cell>
          <cell r="J1749" t="str">
            <v>"</v>
          </cell>
        </row>
        <row r="1750">
          <cell r="B1750" t="str">
            <v>DK3520</v>
          </cell>
          <cell r="C1750" t="str">
            <v>T5.5005</v>
          </cell>
          <cell r="D1750" t="str">
            <v>Điện năng kế  3 phase - 4 wires 230V/400V-5A</v>
          </cell>
          <cell r="E1750" t="str">
            <v>cái</v>
          </cell>
          <cell r="F1750">
            <v>3033000</v>
          </cell>
          <cell r="G1750">
            <v>400</v>
          </cell>
          <cell r="H1750">
            <v>57639.4</v>
          </cell>
          <cell r="J1750" t="str">
            <v>"</v>
          </cell>
        </row>
        <row r="1751">
          <cell r="B1751" t="str">
            <v>DAÂY CHÌ</v>
          </cell>
        </row>
        <row r="1752">
          <cell r="B1752" t="str">
            <v>CHIO230</v>
          </cell>
          <cell r="D1752" t="str">
            <v>Chì ống 230V - 2A</v>
          </cell>
          <cell r="E1752" t="str">
            <v>cái</v>
          </cell>
          <cell r="F1752">
            <v>20000</v>
          </cell>
        </row>
        <row r="1753">
          <cell r="B1753" t="str">
            <v>CHI3K</v>
          </cell>
          <cell r="D1753" t="str">
            <v>Dây chì 3A</v>
          </cell>
          <cell r="E1753" t="str">
            <v>cái</v>
          </cell>
          <cell r="F1753">
            <v>40000</v>
          </cell>
        </row>
        <row r="1754">
          <cell r="B1754" t="str">
            <v>CHI6K</v>
          </cell>
          <cell r="D1754" t="str">
            <v>Dây chì 6A</v>
          </cell>
          <cell r="E1754" t="str">
            <v>cái</v>
          </cell>
          <cell r="F1754">
            <v>40800</v>
          </cell>
        </row>
        <row r="1755">
          <cell r="B1755" t="str">
            <v>CHI8K</v>
          </cell>
          <cell r="D1755" t="str">
            <v>Dây chì 8A</v>
          </cell>
          <cell r="E1755" t="str">
            <v>cái</v>
          </cell>
          <cell r="F1755">
            <v>42500</v>
          </cell>
        </row>
        <row r="1756">
          <cell r="B1756" t="str">
            <v>CHI10K</v>
          </cell>
          <cell r="D1756" t="str">
            <v>Dây chì 10A</v>
          </cell>
          <cell r="E1756" t="str">
            <v>cái</v>
          </cell>
          <cell r="F1756">
            <v>47080</v>
          </cell>
        </row>
        <row r="1757">
          <cell r="B1757" t="str">
            <v>CHI15K</v>
          </cell>
          <cell r="D1757" t="str">
            <v>Dây chì 15K</v>
          </cell>
          <cell r="E1757" t="str">
            <v>cái</v>
          </cell>
          <cell r="F1757">
            <v>48685</v>
          </cell>
        </row>
        <row r="1758">
          <cell r="B1758" t="str">
            <v>CHI20K</v>
          </cell>
          <cell r="D1758" t="str">
            <v>Dây chì 20K</v>
          </cell>
          <cell r="E1758" t="str">
            <v>cái</v>
          </cell>
          <cell r="F1758">
            <v>56320</v>
          </cell>
        </row>
        <row r="1759">
          <cell r="B1759" t="str">
            <v>CHI30K</v>
          </cell>
          <cell r="D1759" t="str">
            <v>Dây chì 30K</v>
          </cell>
          <cell r="E1759" t="str">
            <v>cái</v>
          </cell>
          <cell r="F1759">
            <v>49000</v>
          </cell>
        </row>
        <row r="1760">
          <cell r="B1760" t="str">
            <v>CAÙP ÑIEÀU KHIEÅN</v>
          </cell>
        </row>
        <row r="1761">
          <cell r="B1761" t="str">
            <v>D12/10</v>
          </cell>
          <cell r="D1761" t="str">
            <v>Dây điện đơn 12/10</v>
          </cell>
          <cell r="E1761" t="str">
            <v>mét</v>
          </cell>
        </row>
        <row r="1762">
          <cell r="B1762" t="str">
            <v>D14/10</v>
          </cell>
          <cell r="D1762" t="str">
            <v>Dây điện đơn 14/10</v>
          </cell>
          <cell r="E1762" t="str">
            <v>mét</v>
          </cell>
        </row>
        <row r="1763">
          <cell r="B1763" t="str">
            <v>D16/10</v>
          </cell>
          <cell r="D1763" t="str">
            <v>Dây điện đơn 16/10</v>
          </cell>
          <cell r="E1763" t="str">
            <v>mét</v>
          </cell>
        </row>
        <row r="1764">
          <cell r="B1764" t="str">
            <v>D20/10</v>
          </cell>
          <cell r="D1764" t="str">
            <v>Dây điện đơn 20/10</v>
          </cell>
          <cell r="E1764" t="str">
            <v>mét</v>
          </cell>
        </row>
        <row r="1765">
          <cell r="B1765" t="str">
            <v>D26/10</v>
          </cell>
          <cell r="D1765" t="str">
            <v>Dây điện đơn 26/10</v>
          </cell>
          <cell r="E1765" t="str">
            <v>mét</v>
          </cell>
        </row>
        <row r="1766">
          <cell r="B1766" t="str">
            <v>D30/10</v>
          </cell>
          <cell r="D1766" t="str">
            <v>Dây điện đơn 30/10</v>
          </cell>
          <cell r="E1766" t="str">
            <v>mét</v>
          </cell>
        </row>
        <row r="1767">
          <cell r="B1767" t="str">
            <v>OÁNG HDPE</v>
          </cell>
        </row>
        <row r="1768">
          <cell r="B1768" t="str">
            <v>HDPE195x</v>
          </cell>
          <cell r="C1768" t="str">
            <v>D4.1413</v>
          </cell>
          <cell r="D1768" t="str">
            <v>Ống HDPE xoắn Ø195/150, dày 2,8mm</v>
          </cell>
          <cell r="E1768" t="str">
            <v>mét</v>
          </cell>
          <cell r="F1768">
            <v>295500</v>
          </cell>
          <cell r="G1768">
            <v>21106.497000000003</v>
          </cell>
          <cell r="H1768">
            <v>51855.642999999996</v>
          </cell>
          <cell r="J1768" t="str">
            <v>ĐM286</v>
          </cell>
        </row>
        <row r="1769">
          <cell r="B1769" t="str">
            <v>HDPE105x</v>
          </cell>
          <cell r="C1769" t="str">
            <v>D4.1413</v>
          </cell>
          <cell r="D1769" t="str">
            <v>Ống HDPE xoắn Ø105/80</v>
          </cell>
          <cell r="E1769" t="str">
            <v>mét</v>
          </cell>
          <cell r="F1769">
            <v>78100</v>
          </cell>
          <cell r="G1769">
            <v>21106.497000000003</v>
          </cell>
          <cell r="H1769">
            <v>51855.642999999996</v>
          </cell>
          <cell r="I1769">
            <v>126542.183</v>
          </cell>
          <cell r="J1769" t="str">
            <v>ĐM286</v>
          </cell>
        </row>
        <row r="1770">
          <cell r="B1770" t="str">
            <v>HDPE65x</v>
          </cell>
          <cell r="C1770" t="str">
            <v>D4.1413</v>
          </cell>
          <cell r="D1770" t="str">
            <v>Ống HDPE xoắn Ø65/50</v>
          </cell>
          <cell r="E1770" t="str">
            <v>mét</v>
          </cell>
          <cell r="F1770">
            <v>42500</v>
          </cell>
          <cell r="G1770">
            <v>21106.497000000003</v>
          </cell>
          <cell r="H1770">
            <v>51855.642999999996</v>
          </cell>
          <cell r="I1770">
            <v>126542.183</v>
          </cell>
          <cell r="J1770" t="str">
            <v>"</v>
          </cell>
        </row>
        <row r="1771">
          <cell r="B1771" t="str">
            <v>HDPE50x</v>
          </cell>
          <cell r="C1771" t="str">
            <v>D4.1413</v>
          </cell>
          <cell r="D1771" t="str">
            <v>Ống HDPE xoắn Ø50/40, dày 1,5mm</v>
          </cell>
          <cell r="E1771" t="str">
            <v>mét</v>
          </cell>
          <cell r="F1771">
            <v>21400</v>
          </cell>
          <cell r="G1771">
            <v>21106.497000000003</v>
          </cell>
          <cell r="H1771">
            <v>51855.642999999996</v>
          </cell>
          <cell r="J1771" t="str">
            <v>"</v>
          </cell>
        </row>
        <row r="1772">
          <cell r="B1772" t="str">
            <v>HDPE40x</v>
          </cell>
          <cell r="C1772" t="str">
            <v>D4.1413</v>
          </cell>
          <cell r="D1772" t="str">
            <v>Ống HDPE xoắn Ø40/30</v>
          </cell>
          <cell r="E1772" t="str">
            <v>mét</v>
          </cell>
          <cell r="F1772">
            <v>20000</v>
          </cell>
          <cell r="G1772">
            <v>21106.497000000003</v>
          </cell>
          <cell r="H1772">
            <v>51855.642999999996</v>
          </cell>
          <cell r="I1772">
            <v>126542.183</v>
          </cell>
          <cell r="J1772" t="str">
            <v>"</v>
          </cell>
        </row>
        <row r="1773">
          <cell r="B1773" t="str">
            <v>HDPE220</v>
          </cell>
          <cell r="C1773" t="str">
            <v>D4.1414</v>
          </cell>
          <cell r="D1773" t="str">
            <v>Ống HDPE Ø220</v>
          </cell>
          <cell r="E1773" t="str">
            <v>mét</v>
          </cell>
          <cell r="F1773">
            <v>0</v>
          </cell>
          <cell r="G1773">
            <v>38226.464</v>
          </cell>
          <cell r="H1773">
            <v>75896.258000000002</v>
          </cell>
          <cell r="I1773">
            <v>184219.03</v>
          </cell>
          <cell r="J1773" t="str">
            <v>ĐM286</v>
          </cell>
        </row>
        <row r="1774">
          <cell r="B1774" t="str">
            <v>HDPE195</v>
          </cell>
          <cell r="C1774" t="str">
            <v>D4.1413</v>
          </cell>
          <cell r="D1774" t="str">
            <v>Ống HDPE Ø195</v>
          </cell>
          <cell r="E1774" t="str">
            <v>mét</v>
          </cell>
          <cell r="F1774">
            <v>0</v>
          </cell>
          <cell r="G1774">
            <v>21106.497000000003</v>
          </cell>
          <cell r="H1774">
            <v>51855.642999999996</v>
          </cell>
          <cell r="I1774">
            <v>126542.183</v>
          </cell>
          <cell r="J1774" t="str">
            <v>"</v>
          </cell>
        </row>
        <row r="1775">
          <cell r="B1775" t="str">
            <v>OLHDPE-195</v>
          </cell>
          <cell r="D1775" t="str">
            <v>Nút loe bằng HDPE D195/150</v>
          </cell>
          <cell r="E1775" t="str">
            <v>Cái</v>
          </cell>
          <cell r="F1775">
            <v>75840</v>
          </cell>
          <cell r="J1775" t="str">
            <v>"</v>
          </cell>
        </row>
        <row r="1776">
          <cell r="B1776" t="str">
            <v>HDPE160</v>
          </cell>
          <cell r="C1776" t="str">
            <v>D4.1413</v>
          </cell>
          <cell r="D1776" t="str">
            <v>Ống HDPE Ø160</v>
          </cell>
          <cell r="E1776" t="str">
            <v>mét</v>
          </cell>
          <cell r="F1776">
            <v>0</v>
          </cell>
          <cell r="G1776">
            <v>21106.497000000003</v>
          </cell>
          <cell r="H1776">
            <v>51855.642999999996</v>
          </cell>
          <cell r="I1776">
            <v>126542.183</v>
          </cell>
          <cell r="J1776" t="str">
            <v>"</v>
          </cell>
        </row>
        <row r="1777">
          <cell r="B1777" t="str">
            <v>HDPE168</v>
          </cell>
          <cell r="C1777" t="str">
            <v>D4.1413</v>
          </cell>
          <cell r="D1777" t="str">
            <v>Ống HDPE Ø168</v>
          </cell>
          <cell r="E1777" t="str">
            <v>mét</v>
          </cell>
          <cell r="F1777">
            <v>0</v>
          </cell>
          <cell r="G1777">
            <v>21106.497000000003</v>
          </cell>
          <cell r="H1777">
            <v>51855.642999999996</v>
          </cell>
          <cell r="I1777">
            <v>126542.183</v>
          </cell>
          <cell r="J1777" t="str">
            <v>"</v>
          </cell>
        </row>
        <row r="1778">
          <cell r="B1778" t="str">
            <v>HDPE130</v>
          </cell>
          <cell r="C1778" t="str">
            <v>D4.1412</v>
          </cell>
          <cell r="D1778" t="str">
            <v>Ống HDPE Ø130/100</v>
          </cell>
          <cell r="E1778" t="str">
            <v>mét</v>
          </cell>
          <cell r="F1778">
            <v>0</v>
          </cell>
          <cell r="G1778">
            <v>10977</v>
          </cell>
          <cell r="H1778">
            <v>35729.5069</v>
          </cell>
          <cell r="J1778" t="str">
            <v>"</v>
          </cell>
        </row>
        <row r="1779">
          <cell r="B1779" t="str">
            <v>HDPE105</v>
          </cell>
          <cell r="C1779" t="str">
            <v>D4.1412</v>
          </cell>
          <cell r="D1779" t="str">
            <v>Ống HDPE D105/80</v>
          </cell>
          <cell r="E1779" t="str">
            <v>mét</v>
          </cell>
          <cell r="F1779">
            <v>60000</v>
          </cell>
          <cell r="G1779">
            <v>10977</v>
          </cell>
          <cell r="H1779">
            <v>42198.592000000004</v>
          </cell>
          <cell r="J1779" t="str">
            <v>"</v>
          </cell>
        </row>
        <row r="1780">
          <cell r="B1780" t="str">
            <v>HDPE114</v>
          </cell>
          <cell r="C1780" t="str">
            <v>D4.1412</v>
          </cell>
          <cell r="D1780" t="str">
            <v>Ống HDPE Ø114</v>
          </cell>
          <cell r="E1780" t="str">
            <v>mét</v>
          </cell>
          <cell r="F1780">
            <v>0</v>
          </cell>
          <cell r="G1780">
            <v>10977</v>
          </cell>
          <cell r="H1780">
            <v>42198.592000000004</v>
          </cell>
          <cell r="I1780">
            <v>100889.451</v>
          </cell>
          <cell r="J1780" t="str">
            <v>"</v>
          </cell>
        </row>
        <row r="1781">
          <cell r="B1781" t="str">
            <v>HDPE90</v>
          </cell>
          <cell r="C1781" t="str">
            <v>D4.1411</v>
          </cell>
          <cell r="D1781" t="str">
            <v>Ống HDPE Ø90</v>
          </cell>
          <cell r="E1781" t="str">
            <v>mét</v>
          </cell>
          <cell r="F1781">
            <v>0</v>
          </cell>
          <cell r="G1781">
            <v>11440.77</v>
          </cell>
          <cell r="H1781">
            <v>34275.730000000003</v>
          </cell>
          <cell r="I1781">
            <v>81862.157000000007</v>
          </cell>
          <cell r="J1781" t="str">
            <v>"</v>
          </cell>
        </row>
        <row r="1782">
          <cell r="B1782" t="str">
            <v>HDPE63</v>
          </cell>
          <cell r="C1782" t="str">
            <v>T4.8003</v>
          </cell>
          <cell r="D1782" t="str">
            <v>Ống HDPE Ø63</v>
          </cell>
          <cell r="E1782" t="str">
            <v>mét</v>
          </cell>
          <cell r="F1782">
            <v>173389</v>
          </cell>
          <cell r="G1782">
            <v>6800</v>
          </cell>
          <cell r="H1782">
            <v>39697.65</v>
          </cell>
          <cell r="I1782">
            <v>0</v>
          </cell>
          <cell r="J1782" t="str">
            <v>"</v>
          </cell>
        </row>
        <row r="1783">
          <cell r="B1783" t="str">
            <v>HDPE60</v>
          </cell>
          <cell r="C1783" t="str">
            <v>D4.1407</v>
          </cell>
          <cell r="D1783" t="str">
            <v>Ống HDPE Ø60</v>
          </cell>
          <cell r="E1783" t="str">
            <v>mét</v>
          </cell>
          <cell r="F1783">
            <v>0</v>
          </cell>
          <cell r="J1783" t="str">
            <v>"</v>
          </cell>
        </row>
        <row r="1784">
          <cell r="B1784" t="str">
            <v>HDPE32</v>
          </cell>
          <cell r="C1784" t="str">
            <v>D4.1404</v>
          </cell>
          <cell r="D1784" t="str">
            <v>Ống HDPE Ø32, dày 2mm màu vàng (hoặc cam) che dây chằng</v>
          </cell>
          <cell r="E1784" t="str">
            <v>mét</v>
          </cell>
          <cell r="F1784">
            <v>0</v>
          </cell>
          <cell r="J1784" t="str">
            <v>"</v>
          </cell>
        </row>
        <row r="1785">
          <cell r="B1785" t="str">
            <v>HDPE50</v>
          </cell>
          <cell r="C1785" t="str">
            <v>D4.1406</v>
          </cell>
          <cell r="D1785" t="str">
            <v xml:space="preserve">Ống HDPE Ø50/40, dày 1,5mm </v>
          </cell>
          <cell r="E1785" t="str">
            <v>mét</v>
          </cell>
          <cell r="F1785">
            <v>0</v>
          </cell>
          <cell r="J1785" t="str">
            <v>"</v>
          </cell>
        </row>
        <row r="1786">
          <cell r="B1786" t="str">
            <v>HDPE49</v>
          </cell>
          <cell r="C1786" t="str">
            <v>D4.1405</v>
          </cell>
          <cell r="D1786" t="str">
            <v>Ống HDPE Ø49</v>
          </cell>
          <cell r="E1786" t="str">
            <v>mét</v>
          </cell>
          <cell r="F1786">
            <v>0</v>
          </cell>
          <cell r="J1786" t="str">
            <v>"</v>
          </cell>
        </row>
        <row r="1787">
          <cell r="B1787" t="str">
            <v>HDPE42</v>
          </cell>
          <cell r="C1787" t="str">
            <v>D4.1405</v>
          </cell>
          <cell r="D1787" t="str">
            <v>Ống HDPE Ø42</v>
          </cell>
          <cell r="E1787" t="str">
            <v>mét</v>
          </cell>
          <cell r="F1787">
            <v>0</v>
          </cell>
          <cell r="J1787" t="str">
            <v>"</v>
          </cell>
        </row>
        <row r="1788">
          <cell r="B1788" t="str">
            <v>HDPE34</v>
          </cell>
          <cell r="C1788" t="str">
            <v>D4.1404</v>
          </cell>
          <cell r="D1788" t="str">
            <v>Ống HDPE Ø34</v>
          </cell>
          <cell r="E1788" t="str">
            <v>mét</v>
          </cell>
          <cell r="F1788">
            <v>0</v>
          </cell>
          <cell r="J1788" t="str">
            <v>"</v>
          </cell>
        </row>
        <row r="1789">
          <cell r="B1789" t="str">
            <v>HDPE27</v>
          </cell>
          <cell r="C1789" t="str">
            <v>D4.1404</v>
          </cell>
          <cell r="D1789" t="str">
            <v>Ống HDPE Ø27</v>
          </cell>
          <cell r="E1789" t="str">
            <v>mét</v>
          </cell>
          <cell r="F1789">
            <v>0</v>
          </cell>
          <cell r="J1789" t="str">
            <v>"</v>
          </cell>
        </row>
        <row r="1790">
          <cell r="B1790" t="str">
            <v>HDPE21</v>
          </cell>
          <cell r="C1790" t="str">
            <v>D4.1403</v>
          </cell>
          <cell r="D1790" t="str">
            <v>Ống HDPE Ø21</v>
          </cell>
          <cell r="E1790" t="str">
            <v>mét</v>
          </cell>
          <cell r="F1790">
            <v>0</v>
          </cell>
          <cell r="J1790" t="str">
            <v>"</v>
          </cell>
        </row>
        <row r="1791">
          <cell r="B1791" t="str">
            <v>HDPE220-T</v>
          </cell>
          <cell r="C1791" t="str">
            <v>T4.8003</v>
          </cell>
          <cell r="D1791" t="str">
            <v>Ống HDPE Ø220</v>
          </cell>
          <cell r="E1791" t="str">
            <v>mét</v>
          </cell>
          <cell r="F1791">
            <v>0</v>
          </cell>
          <cell r="G1791">
            <v>6000</v>
          </cell>
          <cell r="H1791">
            <v>39697.65</v>
          </cell>
          <cell r="I1791">
            <v>0</v>
          </cell>
          <cell r="J1791" t="str">
            <v>ĐM286</v>
          </cell>
        </row>
        <row r="1792">
          <cell r="B1792" t="str">
            <v>HDPE195-T</v>
          </cell>
          <cell r="C1792" t="str">
            <v>T4.8003</v>
          </cell>
          <cell r="D1792" t="str">
            <v>Ống HDPE Ø195</v>
          </cell>
          <cell r="E1792" t="str">
            <v>mét</v>
          </cell>
          <cell r="F1792">
            <v>0</v>
          </cell>
          <cell r="G1792">
            <v>6000</v>
          </cell>
          <cell r="H1792">
            <v>39697.65</v>
          </cell>
          <cell r="I1792">
            <v>0</v>
          </cell>
          <cell r="J1792" t="str">
            <v>"</v>
          </cell>
        </row>
        <row r="1793">
          <cell r="B1793" t="str">
            <v>HDPE168-T</v>
          </cell>
          <cell r="C1793" t="str">
            <v>T4.8003</v>
          </cell>
          <cell r="D1793" t="str">
            <v>Ống HDPE Ø168</v>
          </cell>
          <cell r="E1793" t="str">
            <v>mét</v>
          </cell>
          <cell r="F1793">
            <v>0</v>
          </cell>
          <cell r="G1793">
            <v>6000</v>
          </cell>
          <cell r="H1793">
            <v>39697.65</v>
          </cell>
          <cell r="I1793">
            <v>0</v>
          </cell>
          <cell r="J1793" t="str">
            <v>"</v>
          </cell>
        </row>
        <row r="1794">
          <cell r="B1794" t="str">
            <v>HDPE114-T</v>
          </cell>
          <cell r="C1794" t="str">
            <v>T4.8003</v>
          </cell>
          <cell r="D1794" t="str">
            <v>Ống HDPE Ø114</v>
          </cell>
          <cell r="E1794" t="str">
            <v>mét</v>
          </cell>
          <cell r="F1794">
            <v>0</v>
          </cell>
          <cell r="G1794">
            <v>6000</v>
          </cell>
          <cell r="H1794">
            <v>39697.65</v>
          </cell>
          <cell r="I1794">
            <v>0</v>
          </cell>
          <cell r="J1794" t="str">
            <v>"</v>
          </cell>
        </row>
        <row r="1795">
          <cell r="B1795" t="str">
            <v>HDPE90-T</v>
          </cell>
          <cell r="C1795" t="str">
            <v>T4.8003</v>
          </cell>
          <cell r="D1795" t="str">
            <v>Ống HDPE Ø90</v>
          </cell>
          <cell r="E1795" t="str">
            <v>mét</v>
          </cell>
          <cell r="F1795">
            <v>0</v>
          </cell>
          <cell r="G1795">
            <v>6000</v>
          </cell>
          <cell r="H1795">
            <v>39697.65</v>
          </cell>
          <cell r="I1795">
            <v>0</v>
          </cell>
          <cell r="J1795" t="str">
            <v>"</v>
          </cell>
        </row>
        <row r="1796">
          <cell r="B1796" t="str">
            <v>HDPE60-T</v>
          </cell>
          <cell r="C1796" t="str">
            <v>T4.8003</v>
          </cell>
          <cell r="D1796" t="str">
            <v>Ống HDPE Ø60</v>
          </cell>
          <cell r="E1796" t="str">
            <v>mét</v>
          </cell>
          <cell r="F1796">
            <v>0</v>
          </cell>
          <cell r="G1796">
            <v>6000</v>
          </cell>
          <cell r="H1796">
            <v>39697.65</v>
          </cell>
          <cell r="I1796">
            <v>0</v>
          </cell>
          <cell r="J1796" t="str">
            <v>"</v>
          </cell>
        </row>
        <row r="1797">
          <cell r="B1797" t="str">
            <v>HDPE32-T</v>
          </cell>
          <cell r="C1797" t="str">
            <v>T4.8003</v>
          </cell>
          <cell r="D1797" t="str">
            <v>Ống HDPE Ø32, dày 2mm màu vàng (hoặc cam) che dây chằng</v>
          </cell>
          <cell r="E1797" t="str">
            <v>mét</v>
          </cell>
          <cell r="F1797">
            <v>0</v>
          </cell>
          <cell r="G1797">
            <v>6000</v>
          </cell>
          <cell r="H1797">
            <v>39697.65</v>
          </cell>
          <cell r="I1797">
            <v>0</v>
          </cell>
          <cell r="J1797" t="str">
            <v>"</v>
          </cell>
        </row>
        <row r="1798">
          <cell r="B1798" t="str">
            <v>HDPE50-T</v>
          </cell>
          <cell r="C1798" t="str">
            <v>T4.8003</v>
          </cell>
          <cell r="D1798" t="str">
            <v xml:space="preserve">Ống HDPE Ø50/40, dày 1,5mm </v>
          </cell>
          <cell r="E1798" t="str">
            <v>mét</v>
          </cell>
          <cell r="F1798">
            <v>0</v>
          </cell>
          <cell r="G1798">
            <v>6000</v>
          </cell>
          <cell r="H1798">
            <v>39697.65</v>
          </cell>
          <cell r="I1798">
            <v>0</v>
          </cell>
          <cell r="J1798" t="str">
            <v>"</v>
          </cell>
        </row>
        <row r="1799">
          <cell r="B1799" t="str">
            <v>HDPE49-T</v>
          </cell>
          <cell r="C1799" t="str">
            <v>T4.8003</v>
          </cell>
          <cell r="D1799" t="str">
            <v>Ống HDPE Ø49</v>
          </cell>
          <cell r="E1799" t="str">
            <v>mét</v>
          </cell>
          <cell r="F1799">
            <v>0</v>
          </cell>
          <cell r="G1799">
            <v>6000</v>
          </cell>
          <cell r="H1799">
            <v>39697.65</v>
          </cell>
          <cell r="I1799">
            <v>0</v>
          </cell>
          <cell r="J1799" t="str">
            <v>"</v>
          </cell>
        </row>
        <row r="1800">
          <cell r="B1800" t="str">
            <v>HDPE42-T</v>
          </cell>
          <cell r="C1800" t="str">
            <v>T4.8003</v>
          </cell>
          <cell r="D1800" t="str">
            <v>Ống HDPE Ø42</v>
          </cell>
          <cell r="E1800" t="str">
            <v>mét</v>
          </cell>
          <cell r="F1800">
            <v>0</v>
          </cell>
          <cell r="G1800">
            <v>6000</v>
          </cell>
          <cell r="H1800">
            <v>39697.65</v>
          </cell>
          <cell r="I1800">
            <v>0</v>
          </cell>
          <cell r="J1800" t="str">
            <v>"</v>
          </cell>
        </row>
        <row r="1801">
          <cell r="B1801" t="str">
            <v>HDPE34-T</v>
          </cell>
          <cell r="C1801" t="str">
            <v>T4.8003</v>
          </cell>
          <cell r="D1801" t="str">
            <v>Ống HDPE Ø34</v>
          </cell>
          <cell r="E1801" t="str">
            <v>mét</v>
          </cell>
          <cell r="F1801">
            <v>0</v>
          </cell>
          <cell r="G1801">
            <v>6000</v>
          </cell>
          <cell r="H1801">
            <v>39697.65</v>
          </cell>
          <cell r="I1801">
            <v>0</v>
          </cell>
          <cell r="J1801" t="str">
            <v>"</v>
          </cell>
        </row>
        <row r="1802">
          <cell r="B1802" t="str">
            <v>HDPE27-T</v>
          </cell>
          <cell r="C1802" t="str">
            <v>T4.8003</v>
          </cell>
          <cell r="D1802" t="str">
            <v>Ống HDPE Ø27</v>
          </cell>
          <cell r="E1802" t="str">
            <v>mét</v>
          </cell>
          <cell r="F1802">
            <v>0</v>
          </cell>
          <cell r="G1802">
            <v>6000</v>
          </cell>
          <cell r="H1802">
            <v>39697.65</v>
          </cell>
          <cell r="I1802">
            <v>0</v>
          </cell>
          <cell r="J1802" t="str">
            <v>"</v>
          </cell>
        </row>
        <row r="1803">
          <cell r="B1803" t="str">
            <v>HDPE21-T</v>
          </cell>
          <cell r="C1803" t="str">
            <v>T4.8003</v>
          </cell>
          <cell r="D1803" t="str">
            <v>Ống HDPE Ø21</v>
          </cell>
          <cell r="E1803" t="str">
            <v>mét</v>
          </cell>
          <cell r="F1803">
            <v>0</v>
          </cell>
          <cell r="G1803">
            <v>6000</v>
          </cell>
          <cell r="H1803">
            <v>39697.65</v>
          </cell>
          <cell r="I1803">
            <v>0</v>
          </cell>
          <cell r="J1803" t="str">
            <v>"</v>
          </cell>
        </row>
        <row r="1804">
          <cell r="B1804" t="str">
            <v>NCS65</v>
          </cell>
          <cell r="D1804" t="str">
            <v>Nắp cao su chống thấm lắp ống HDPE 65/50</v>
          </cell>
          <cell r="E1804" t="str">
            <v>cái</v>
          </cell>
          <cell r="F1804">
            <v>45360</v>
          </cell>
          <cell r="J1804" t="str">
            <v>"</v>
          </cell>
        </row>
        <row r="1805">
          <cell r="B1805" t="str">
            <v>NCS130</v>
          </cell>
          <cell r="D1805" t="str">
            <v>Nắp cao su chống thấm lắp ống HDPE 130/100</v>
          </cell>
          <cell r="E1805" t="str">
            <v>cái</v>
          </cell>
          <cell r="F1805">
            <v>91980</v>
          </cell>
          <cell r="J1805" t="str">
            <v>"</v>
          </cell>
        </row>
        <row r="1806">
          <cell r="B1806" t="str">
            <v>OÁNG NHÖÏA BÌNH MINH, ÑEÄ NHAÁT, TAÂN TIEÁN</v>
          </cell>
        </row>
        <row r="1807">
          <cell r="B1807" t="str">
            <v>PVC220</v>
          </cell>
          <cell r="C1807" t="str">
            <v>T4.8003</v>
          </cell>
          <cell r="D1807" t="str">
            <v>Ống PVC Ø220</v>
          </cell>
          <cell r="E1807" t="str">
            <v>mét</v>
          </cell>
          <cell r="F1807">
            <v>0</v>
          </cell>
          <cell r="G1807">
            <v>6000</v>
          </cell>
          <cell r="H1807">
            <v>39697.65</v>
          </cell>
          <cell r="I1807">
            <v>0</v>
          </cell>
          <cell r="J1807" t="str">
            <v>ĐM286</v>
          </cell>
        </row>
        <row r="1808">
          <cell r="B1808" t="str">
            <v>PVC168</v>
          </cell>
          <cell r="C1808" t="str">
            <v>T4.8003</v>
          </cell>
          <cell r="D1808" t="str">
            <v>Ống PVC Ø168</v>
          </cell>
          <cell r="E1808" t="str">
            <v>mét</v>
          </cell>
          <cell r="F1808">
            <v>0</v>
          </cell>
          <cell r="G1808">
            <v>6000</v>
          </cell>
          <cell r="H1808">
            <v>39697.65</v>
          </cell>
          <cell r="I1808">
            <v>0</v>
          </cell>
          <cell r="J1808" t="str">
            <v>"</v>
          </cell>
        </row>
        <row r="1809">
          <cell r="B1809" t="str">
            <v>PVC140</v>
          </cell>
          <cell r="C1809" t="str">
            <v>T4.8003</v>
          </cell>
          <cell r="D1809" t="str">
            <v>Ống PVC Ø140</v>
          </cell>
          <cell r="E1809" t="str">
            <v>mét</v>
          </cell>
          <cell r="F1809">
            <v>0</v>
          </cell>
          <cell r="G1809">
            <v>6000</v>
          </cell>
          <cell r="H1809">
            <v>39697.65</v>
          </cell>
          <cell r="I1809">
            <v>0</v>
          </cell>
          <cell r="J1809" t="str">
            <v>"</v>
          </cell>
        </row>
        <row r="1810">
          <cell r="B1810" t="str">
            <v>PVC114</v>
          </cell>
          <cell r="C1810" t="str">
            <v>T4.8003</v>
          </cell>
          <cell r="D1810" t="str">
            <v>Ống PVC Ø114</v>
          </cell>
          <cell r="E1810" t="str">
            <v>mét</v>
          </cell>
          <cell r="F1810">
            <v>99600</v>
          </cell>
          <cell r="G1810">
            <v>6000</v>
          </cell>
          <cell r="H1810">
            <v>39697.65</v>
          </cell>
          <cell r="J1810" t="str">
            <v>"</v>
          </cell>
        </row>
        <row r="1811">
          <cell r="B1811" t="str">
            <v>PVC90</v>
          </cell>
          <cell r="C1811" t="str">
            <v>T4.8003</v>
          </cell>
          <cell r="D1811" t="str">
            <v>Ống PVC Ø90</v>
          </cell>
          <cell r="E1811" t="str">
            <v>mét</v>
          </cell>
          <cell r="F1811">
            <v>69600</v>
          </cell>
          <cell r="G1811">
            <v>6000</v>
          </cell>
          <cell r="H1811">
            <v>39697.65</v>
          </cell>
          <cell r="J1811" t="str">
            <v>"</v>
          </cell>
        </row>
        <row r="1812">
          <cell r="B1812" t="str">
            <v>PVC80</v>
          </cell>
          <cell r="C1812" t="str">
            <v>T4.8003</v>
          </cell>
          <cell r="D1812" t="str">
            <v xml:space="preserve">Ống PVC Ø80 </v>
          </cell>
          <cell r="E1812" t="str">
            <v>mét</v>
          </cell>
          <cell r="F1812">
            <v>0</v>
          </cell>
          <cell r="G1812">
            <v>6000</v>
          </cell>
          <cell r="H1812">
            <v>39697.65</v>
          </cell>
          <cell r="I1812">
            <v>0</v>
          </cell>
          <cell r="J1812" t="str">
            <v>"</v>
          </cell>
        </row>
        <row r="1813">
          <cell r="B1813" t="str">
            <v>PVC73</v>
          </cell>
          <cell r="C1813" t="str">
            <v>T4.8003</v>
          </cell>
          <cell r="D1813" t="str">
            <v>Ống PVC Ø73</v>
          </cell>
          <cell r="E1813" t="str">
            <v>mét</v>
          </cell>
          <cell r="F1813">
            <v>0</v>
          </cell>
          <cell r="G1813">
            <v>6000</v>
          </cell>
          <cell r="H1813">
            <v>39697.65</v>
          </cell>
          <cell r="I1813">
            <v>0</v>
          </cell>
          <cell r="J1813" t="str">
            <v>"</v>
          </cell>
        </row>
        <row r="1814">
          <cell r="B1814" t="str">
            <v>PVC60</v>
          </cell>
          <cell r="C1814" t="str">
            <v>T4.8003</v>
          </cell>
          <cell r="D1814" t="str">
            <v>Ống PVC Ø60</v>
          </cell>
          <cell r="E1814" t="str">
            <v>mét</v>
          </cell>
          <cell r="F1814">
            <v>0</v>
          </cell>
          <cell r="G1814">
            <v>6000</v>
          </cell>
          <cell r="H1814">
            <v>39697.65</v>
          </cell>
          <cell r="I1814">
            <v>0</v>
          </cell>
          <cell r="J1814" t="str">
            <v>"</v>
          </cell>
        </row>
        <row r="1815">
          <cell r="B1815" t="str">
            <v>PVC49</v>
          </cell>
          <cell r="C1815" t="str">
            <v>T4.8003</v>
          </cell>
          <cell r="D1815" t="str">
            <v>Ống PVC Ø49</v>
          </cell>
          <cell r="E1815" t="str">
            <v>mét</v>
          </cell>
          <cell r="F1815">
            <v>0</v>
          </cell>
          <cell r="G1815">
            <v>6000</v>
          </cell>
          <cell r="H1815">
            <v>39697.65</v>
          </cell>
          <cell r="I1815">
            <v>0</v>
          </cell>
          <cell r="J1815" t="str">
            <v>"</v>
          </cell>
        </row>
        <row r="1816">
          <cell r="B1816" t="str">
            <v>PVC42</v>
          </cell>
          <cell r="C1816" t="str">
            <v>T4.8003</v>
          </cell>
          <cell r="D1816" t="str">
            <v>Ống PVC Ø42</v>
          </cell>
          <cell r="E1816" t="str">
            <v>mét</v>
          </cell>
          <cell r="F1816">
            <v>23000</v>
          </cell>
          <cell r="G1816">
            <v>6000</v>
          </cell>
          <cell r="H1816">
            <v>39697.65</v>
          </cell>
          <cell r="I1816">
            <v>0</v>
          </cell>
          <cell r="J1816" t="str">
            <v>"</v>
          </cell>
        </row>
        <row r="1817">
          <cell r="B1817" t="str">
            <v>PVC34</v>
          </cell>
          <cell r="C1817" t="str">
            <v>T4.8003</v>
          </cell>
          <cell r="D1817" t="str">
            <v>Ống PVC Ø34</v>
          </cell>
          <cell r="E1817" t="str">
            <v>mét</v>
          </cell>
          <cell r="F1817">
            <v>17400</v>
          </cell>
          <cell r="G1817">
            <v>6000</v>
          </cell>
          <cell r="H1817">
            <v>39697.65</v>
          </cell>
          <cell r="I1817">
            <v>0</v>
          </cell>
          <cell r="J1817" t="str">
            <v>"</v>
          </cell>
        </row>
        <row r="1818">
          <cell r="B1818" t="str">
            <v>PVC32</v>
          </cell>
          <cell r="C1818" t="str">
            <v>T4.8003</v>
          </cell>
          <cell r="D1818" t="str">
            <v>Ống PVC Ø32</v>
          </cell>
          <cell r="E1818" t="str">
            <v>mét</v>
          </cell>
          <cell r="F1818">
            <v>0</v>
          </cell>
          <cell r="G1818">
            <v>6000</v>
          </cell>
          <cell r="H1818">
            <v>39697.65</v>
          </cell>
          <cell r="I1818">
            <v>0</v>
          </cell>
          <cell r="J1818" t="str">
            <v>"</v>
          </cell>
        </row>
        <row r="1819">
          <cell r="B1819" t="str">
            <v>PVC27</v>
          </cell>
          <cell r="C1819" t="str">
            <v>T4.8003</v>
          </cell>
          <cell r="D1819" t="str">
            <v>Ống PVC Ø27</v>
          </cell>
          <cell r="E1819" t="str">
            <v>mét</v>
          </cell>
          <cell r="F1819">
            <v>12400</v>
          </cell>
          <cell r="G1819">
            <v>6800</v>
          </cell>
          <cell r="H1819">
            <v>39697.65</v>
          </cell>
          <cell r="J1819" t="str">
            <v>"</v>
          </cell>
        </row>
        <row r="1820">
          <cell r="B1820" t="str">
            <v>PVC21</v>
          </cell>
          <cell r="C1820" t="str">
            <v>T4.8003</v>
          </cell>
          <cell r="D1820" t="str">
            <v>Ống PVC Ø21</v>
          </cell>
          <cell r="E1820" t="str">
            <v>mét</v>
          </cell>
          <cell r="F1820">
            <v>8800</v>
          </cell>
          <cell r="G1820">
            <v>6800</v>
          </cell>
          <cell r="H1820">
            <v>39697.65</v>
          </cell>
          <cell r="J1820" t="str">
            <v>"</v>
          </cell>
        </row>
        <row r="1821">
          <cell r="B1821" t="str">
            <v>PVC118</v>
          </cell>
          <cell r="C1821" t="str">
            <v>T4.8003</v>
          </cell>
          <cell r="D1821" t="str">
            <v>Ống PVC Ø118</v>
          </cell>
          <cell r="E1821" t="str">
            <v>mét</v>
          </cell>
          <cell r="F1821">
            <v>103700</v>
          </cell>
          <cell r="G1821">
            <v>6000</v>
          </cell>
          <cell r="H1821">
            <v>39697.65</v>
          </cell>
          <cell r="I1821">
            <v>0</v>
          </cell>
          <cell r="J1821" t="str">
            <v>"</v>
          </cell>
        </row>
        <row r="1822">
          <cell r="B1822" t="str">
            <v>OÁNG NHÖÏ VAËN XOAÉN</v>
          </cell>
        </row>
        <row r="1823">
          <cell r="B1823" t="str">
            <v>OVX50</v>
          </cell>
          <cell r="C1823" t="str">
            <v>T4.8003</v>
          </cell>
          <cell r="D1823" t="str">
            <v>Ống nhựa vặn xoắn Ø 50</v>
          </cell>
          <cell r="E1823" t="str">
            <v>mét</v>
          </cell>
          <cell r="F1823">
            <v>29300</v>
          </cell>
          <cell r="G1823">
            <v>6000</v>
          </cell>
          <cell r="H1823">
            <v>35516.1</v>
          </cell>
          <cell r="I1823">
            <v>0</v>
          </cell>
          <cell r="J1823" t="str">
            <v>ĐM286</v>
          </cell>
        </row>
        <row r="1824">
          <cell r="B1824" t="str">
            <v>OVX60</v>
          </cell>
          <cell r="C1824" t="str">
            <v>T4.8003</v>
          </cell>
          <cell r="D1824" t="str">
            <v>Ống nhựa vặn xoắn Ø 60</v>
          </cell>
          <cell r="E1824" t="str">
            <v>mét</v>
          </cell>
          <cell r="F1824">
            <v>29300</v>
          </cell>
          <cell r="G1824">
            <v>6000</v>
          </cell>
          <cell r="H1824">
            <v>35516.1</v>
          </cell>
          <cell r="I1824">
            <v>0</v>
          </cell>
          <cell r="J1824" t="str">
            <v>"</v>
          </cell>
        </row>
        <row r="1825">
          <cell r="B1825" t="str">
            <v>OÁNG SAÉT TRAÙNG KEÕM</v>
          </cell>
        </row>
        <row r="1826">
          <cell r="B1826" t="str">
            <v>stk168</v>
          </cell>
          <cell r="C1826" t="str">
            <v>D4.1205</v>
          </cell>
          <cell r="D1826" t="str">
            <v xml:space="preserve">Ống sắt tráng kẽm Ø 168 </v>
          </cell>
          <cell r="E1826" t="str">
            <v>mét</v>
          </cell>
          <cell r="F1826">
            <v>250000</v>
          </cell>
          <cell r="G1826">
            <v>19425</v>
          </cell>
          <cell r="H1826">
            <v>120169.02</v>
          </cell>
          <cell r="J1826" t="str">
            <v>ĐM286</v>
          </cell>
        </row>
        <row r="1827">
          <cell r="B1827" t="str">
            <v>stk114</v>
          </cell>
          <cell r="C1827" t="str">
            <v>D4.1205</v>
          </cell>
          <cell r="D1827" t="str">
            <v>Ống sắt tráng kẽm Ø 114</v>
          </cell>
          <cell r="E1827" t="str">
            <v>mét</v>
          </cell>
          <cell r="F1827">
            <v>214500</v>
          </cell>
          <cell r="G1827">
            <v>19425</v>
          </cell>
          <cell r="H1827">
            <v>120169.02</v>
          </cell>
          <cell r="I1827">
            <v>0</v>
          </cell>
          <cell r="J1827" t="str">
            <v>ĐM286</v>
          </cell>
        </row>
        <row r="1828">
          <cell r="B1828" t="str">
            <v>stk90</v>
          </cell>
          <cell r="C1828" t="str">
            <v>D4.1204</v>
          </cell>
          <cell r="D1828" t="str">
            <v>Ống sắt tráng kẽm Ø 90</v>
          </cell>
          <cell r="E1828" t="str">
            <v>mét</v>
          </cell>
          <cell r="F1828">
            <v>147840</v>
          </cell>
          <cell r="G1828">
            <v>19425</v>
          </cell>
          <cell r="H1828">
            <v>103590.62</v>
          </cell>
          <cell r="I1828">
            <v>0</v>
          </cell>
          <cell r="J1828" t="str">
            <v>"</v>
          </cell>
        </row>
        <row r="1829">
          <cell r="B1829" t="str">
            <v>stk76</v>
          </cell>
          <cell r="C1829" t="str">
            <v>D4.1204</v>
          </cell>
          <cell r="D1829" t="str">
            <v>Ống sắt tráng kẽm Ø 76</v>
          </cell>
          <cell r="E1829" t="str">
            <v>mét</v>
          </cell>
          <cell r="F1829">
            <v>115016</v>
          </cell>
          <cell r="G1829">
            <v>19425</v>
          </cell>
          <cell r="H1829">
            <v>103590.62</v>
          </cell>
          <cell r="I1829">
            <v>0</v>
          </cell>
          <cell r="J1829" t="str">
            <v>"</v>
          </cell>
        </row>
        <row r="1830">
          <cell r="B1830" t="str">
            <v>stk60</v>
          </cell>
          <cell r="C1830" t="str">
            <v>D4.1203</v>
          </cell>
          <cell r="D1830" t="str">
            <v>Ống sắt tráng kẽm Ø 60</v>
          </cell>
          <cell r="E1830" t="str">
            <v>mét</v>
          </cell>
          <cell r="F1830">
            <v>89760</v>
          </cell>
          <cell r="G1830">
            <v>19425</v>
          </cell>
          <cell r="H1830">
            <v>89572.12</v>
          </cell>
          <cell r="I1830">
            <v>0</v>
          </cell>
          <cell r="J1830" t="str">
            <v>"</v>
          </cell>
        </row>
        <row r="1831">
          <cell r="B1831" t="str">
            <v>stk49</v>
          </cell>
          <cell r="C1831" t="str">
            <v>D4.1202</v>
          </cell>
          <cell r="D1831" t="str">
            <v>Ống sắt tráng kẽm Ø 49</v>
          </cell>
          <cell r="E1831" t="str">
            <v>mét</v>
          </cell>
          <cell r="F1831">
            <v>64166.5</v>
          </cell>
          <cell r="G1831">
            <v>19425</v>
          </cell>
          <cell r="H1831">
            <v>77455.259999999995</v>
          </cell>
          <cell r="I1831">
            <v>0</v>
          </cell>
          <cell r="J1831" t="str">
            <v>"</v>
          </cell>
        </row>
        <row r="1832">
          <cell r="B1832" t="str">
            <v>stk42</v>
          </cell>
          <cell r="C1832" t="str">
            <v>D4.1202</v>
          </cell>
          <cell r="D1832" t="str">
            <v>Ống sắt tráng kẽm Ø 42</v>
          </cell>
          <cell r="E1832" t="str">
            <v>mét</v>
          </cell>
          <cell r="F1832">
            <v>55980</v>
          </cell>
          <cell r="G1832">
            <v>19425</v>
          </cell>
          <cell r="H1832">
            <v>77455.259999999995</v>
          </cell>
          <cell r="I1832">
            <v>0</v>
          </cell>
          <cell r="J1832" t="str">
            <v>"</v>
          </cell>
        </row>
        <row r="1833">
          <cell r="B1833" t="str">
            <v>stk34</v>
          </cell>
          <cell r="C1833" t="str">
            <v>D4.1202</v>
          </cell>
          <cell r="D1833" t="str">
            <v>Ống sắt tráng kẽm Ø 34</v>
          </cell>
          <cell r="E1833" t="str">
            <v>mét</v>
          </cell>
          <cell r="F1833">
            <v>43587</v>
          </cell>
          <cell r="G1833">
            <v>19425</v>
          </cell>
          <cell r="H1833">
            <v>77455.259999999995</v>
          </cell>
          <cell r="I1833">
            <v>0</v>
          </cell>
          <cell r="J1833" t="str">
            <v>"</v>
          </cell>
        </row>
        <row r="1834">
          <cell r="B1834" t="str">
            <v>stk27</v>
          </cell>
          <cell r="C1834" t="str">
            <v>D4.1202</v>
          </cell>
          <cell r="D1834" t="str">
            <v>Ống sắt tráng kẽm Ø 27</v>
          </cell>
          <cell r="E1834" t="str">
            <v>mét</v>
          </cell>
          <cell r="F1834">
            <v>28248</v>
          </cell>
          <cell r="G1834">
            <v>19425</v>
          </cell>
          <cell r="H1834">
            <v>77455.259999999995</v>
          </cell>
          <cell r="I1834">
            <v>0</v>
          </cell>
          <cell r="J1834" t="str">
            <v>"</v>
          </cell>
        </row>
        <row r="1835">
          <cell r="B1835" t="str">
            <v>stk21</v>
          </cell>
          <cell r="C1835" t="str">
            <v>D4.1201</v>
          </cell>
          <cell r="D1835" t="str">
            <v>Ống sắt tráng kẽm Ø 21</v>
          </cell>
          <cell r="E1835" t="str">
            <v>mét</v>
          </cell>
          <cell r="F1835">
            <v>45000</v>
          </cell>
          <cell r="G1835">
            <v>18238.5</v>
          </cell>
          <cell r="H1835">
            <v>65826</v>
          </cell>
          <cell r="I1835">
            <v>0</v>
          </cell>
          <cell r="J1835" t="str">
            <v>"</v>
          </cell>
        </row>
        <row r="1836">
          <cell r="B1836" t="str">
            <v>stk168-T</v>
          </cell>
          <cell r="C1836" t="str">
            <v>T4.8004</v>
          </cell>
          <cell r="D1836" t="str">
            <v>Ống sắt tráng kẽm Ø 168 dài 3m cho kéo cáp ngầm lên trụ</v>
          </cell>
          <cell r="E1836" t="str">
            <v>mét</v>
          </cell>
          <cell r="F1836">
            <v>250000</v>
          </cell>
          <cell r="G1836">
            <v>6000</v>
          </cell>
          <cell r="H1836">
            <v>79395.3</v>
          </cell>
          <cell r="I1836">
            <v>0</v>
          </cell>
          <cell r="J1836" t="str">
            <v>ĐM286</v>
          </cell>
        </row>
        <row r="1837">
          <cell r="B1837" t="str">
            <v>stk114-T</v>
          </cell>
          <cell r="C1837" t="str">
            <v>T4.8004</v>
          </cell>
          <cell r="D1837" t="str">
            <v>Ống sắt tráng kẽm Ø 114</v>
          </cell>
          <cell r="E1837" t="str">
            <v>mét</v>
          </cell>
          <cell r="F1837">
            <v>214500</v>
          </cell>
          <cell r="G1837">
            <v>6000</v>
          </cell>
          <cell r="H1837">
            <v>79395.3</v>
          </cell>
          <cell r="I1837">
            <v>0</v>
          </cell>
          <cell r="J1837" t="str">
            <v>ĐM286</v>
          </cell>
        </row>
        <row r="1838">
          <cell r="B1838" t="str">
            <v>stk90-T</v>
          </cell>
          <cell r="C1838" t="str">
            <v>T4.8004</v>
          </cell>
          <cell r="D1838" t="str">
            <v>Ống sắt tráng kẽm Ø 90</v>
          </cell>
          <cell r="E1838" t="str">
            <v>mét</v>
          </cell>
          <cell r="F1838">
            <v>147840</v>
          </cell>
          <cell r="G1838">
            <v>6000</v>
          </cell>
          <cell r="H1838">
            <v>79395.3</v>
          </cell>
          <cell r="I1838">
            <v>0</v>
          </cell>
          <cell r="J1838" t="str">
            <v>"</v>
          </cell>
        </row>
        <row r="1839">
          <cell r="B1839" t="str">
            <v>stk76-T</v>
          </cell>
          <cell r="C1839" t="str">
            <v>T4.8004</v>
          </cell>
          <cell r="D1839" t="str">
            <v>Ống sắt tráng kẽm Ø 76</v>
          </cell>
          <cell r="E1839" t="str">
            <v>mét</v>
          </cell>
          <cell r="F1839">
            <v>115016</v>
          </cell>
          <cell r="G1839">
            <v>6000</v>
          </cell>
          <cell r="H1839">
            <v>79395.3</v>
          </cell>
          <cell r="I1839">
            <v>0</v>
          </cell>
          <cell r="J1839" t="str">
            <v>"</v>
          </cell>
        </row>
        <row r="1840">
          <cell r="B1840" t="str">
            <v>stk60-T</v>
          </cell>
          <cell r="C1840" t="str">
            <v>T4.8004</v>
          </cell>
          <cell r="D1840" t="str">
            <v>Ống sắt tráng kẽm Ø 60</v>
          </cell>
          <cell r="E1840" t="str">
            <v>mét</v>
          </cell>
          <cell r="F1840">
            <v>89760</v>
          </cell>
          <cell r="G1840">
            <v>6000</v>
          </cell>
          <cell r="H1840">
            <v>79395.3</v>
          </cell>
          <cell r="I1840">
            <v>0</v>
          </cell>
          <cell r="J1840" t="str">
            <v>"</v>
          </cell>
        </row>
        <row r="1841">
          <cell r="B1841" t="str">
            <v>stk49-T</v>
          </cell>
          <cell r="C1841" t="str">
            <v>T4.8004</v>
          </cell>
          <cell r="D1841" t="str">
            <v>Ống sắt tráng kẽm Ø 49</v>
          </cell>
          <cell r="E1841" t="str">
            <v>mét</v>
          </cell>
          <cell r="F1841">
            <v>64166.5</v>
          </cell>
          <cell r="G1841">
            <v>6000</v>
          </cell>
          <cell r="H1841">
            <v>79395.3</v>
          </cell>
          <cell r="I1841">
            <v>0</v>
          </cell>
          <cell r="J1841" t="str">
            <v>"</v>
          </cell>
        </row>
        <row r="1842">
          <cell r="B1842" t="str">
            <v>stk42-T</v>
          </cell>
          <cell r="C1842" t="str">
            <v>T4.8004</v>
          </cell>
          <cell r="D1842" t="str">
            <v>Ống sắt tráng kẽm Ø 42</v>
          </cell>
          <cell r="E1842" t="str">
            <v>mét</v>
          </cell>
          <cell r="F1842">
            <v>55980</v>
          </cell>
          <cell r="G1842">
            <v>6000</v>
          </cell>
          <cell r="H1842">
            <v>79395.3</v>
          </cell>
          <cell r="I1842">
            <v>0</v>
          </cell>
          <cell r="J1842" t="str">
            <v>"</v>
          </cell>
        </row>
        <row r="1843">
          <cell r="B1843" t="str">
            <v>stk34-T</v>
          </cell>
          <cell r="C1843" t="str">
            <v>T4.8004</v>
          </cell>
          <cell r="D1843" t="str">
            <v>Ống sắt tráng kẽm Ø 34</v>
          </cell>
          <cell r="E1843" t="str">
            <v>mét</v>
          </cell>
          <cell r="F1843">
            <v>43587</v>
          </cell>
          <cell r="G1843">
            <v>6000</v>
          </cell>
          <cell r="H1843">
            <v>79395.3</v>
          </cell>
          <cell r="I1843">
            <v>0</v>
          </cell>
          <cell r="J1843" t="str">
            <v>"</v>
          </cell>
        </row>
        <row r="1844">
          <cell r="B1844" t="str">
            <v>stk27-T</v>
          </cell>
          <cell r="C1844" t="str">
            <v>T4.8004</v>
          </cell>
          <cell r="D1844" t="str">
            <v>Ống sắt tráng kẽm Ø 27</v>
          </cell>
          <cell r="E1844" t="str">
            <v>mét</v>
          </cell>
          <cell r="F1844">
            <v>28248</v>
          </cell>
          <cell r="G1844">
            <v>6000</v>
          </cell>
          <cell r="H1844">
            <v>79395.3</v>
          </cell>
          <cell r="I1844">
            <v>0</v>
          </cell>
          <cell r="J1844" t="str">
            <v>"</v>
          </cell>
        </row>
        <row r="1845">
          <cell r="B1845" t="str">
            <v>stk21-T</v>
          </cell>
          <cell r="C1845" t="str">
            <v>T4.8004</v>
          </cell>
          <cell r="D1845" t="str">
            <v>Ống sắt tráng kẽm Ø 21</v>
          </cell>
          <cell r="E1845" t="str">
            <v>mét</v>
          </cell>
          <cell r="F1845">
            <v>45000</v>
          </cell>
          <cell r="G1845">
            <v>6000</v>
          </cell>
          <cell r="H1845">
            <v>79395.3</v>
          </cell>
          <cell r="I1845">
            <v>0</v>
          </cell>
          <cell r="J1845" t="str">
            <v>"</v>
          </cell>
        </row>
        <row r="1846">
          <cell r="B1846" t="str">
            <v>OÁNG NOÁI</v>
          </cell>
        </row>
        <row r="1847">
          <cell r="B1847" t="str">
            <v>NOI21</v>
          </cell>
          <cell r="D1847" t="str">
            <v>Nối Ống PVC 21</v>
          </cell>
          <cell r="E1847" t="str">
            <v>cái</v>
          </cell>
          <cell r="F1847">
            <v>1600</v>
          </cell>
        </row>
        <row r="1848">
          <cell r="B1848" t="str">
            <v>NOI27</v>
          </cell>
          <cell r="D1848" t="str">
            <v>Nối Ống PVC 27</v>
          </cell>
          <cell r="E1848" t="str">
            <v>cái</v>
          </cell>
          <cell r="F1848">
            <v>3700</v>
          </cell>
        </row>
        <row r="1849">
          <cell r="B1849" t="str">
            <v>NOI34</v>
          </cell>
          <cell r="D1849" t="str">
            <v>Nối Ống PVC 34</v>
          </cell>
          <cell r="E1849" t="str">
            <v>cái</v>
          </cell>
          <cell r="F1849">
            <v>3700</v>
          </cell>
        </row>
        <row r="1850">
          <cell r="B1850" t="str">
            <v>NOI6034</v>
          </cell>
          <cell r="D1850" t="str">
            <v>Co giảm PVC Ø60 - Ø34</v>
          </cell>
          <cell r="E1850" t="str">
            <v>cái</v>
          </cell>
          <cell r="F1850">
            <v>9300</v>
          </cell>
        </row>
        <row r="1851">
          <cell r="B1851" t="str">
            <v>NOI42</v>
          </cell>
          <cell r="D1851" t="str">
            <v>Nối Ống PVC 42</v>
          </cell>
          <cell r="E1851" t="str">
            <v>cái</v>
          </cell>
          <cell r="F1851">
            <v>0</v>
          </cell>
        </row>
        <row r="1852">
          <cell r="B1852" t="str">
            <v>NOI49</v>
          </cell>
          <cell r="D1852" t="str">
            <v>Nối Ống PVC 49</v>
          </cell>
          <cell r="E1852" t="str">
            <v>cái</v>
          </cell>
          <cell r="F1852">
            <v>7900</v>
          </cell>
        </row>
        <row r="1853">
          <cell r="B1853" t="str">
            <v>NOI60</v>
          </cell>
          <cell r="D1853" t="str">
            <v>Nối Ống PVC 60</v>
          </cell>
          <cell r="E1853" t="str">
            <v>cái</v>
          </cell>
          <cell r="F1853">
            <v>0</v>
          </cell>
        </row>
        <row r="1854">
          <cell r="B1854" t="str">
            <v>NOI75</v>
          </cell>
          <cell r="D1854" t="str">
            <v>Nối Ống PVC 75</v>
          </cell>
          <cell r="E1854" t="str">
            <v>cái</v>
          </cell>
          <cell r="F1854">
            <v>15800</v>
          </cell>
        </row>
        <row r="1855">
          <cell r="B1855" t="str">
            <v>NOI90</v>
          </cell>
          <cell r="D1855" t="str">
            <v>Nối Ống PVC 90</v>
          </cell>
          <cell r="E1855" t="str">
            <v>cái</v>
          </cell>
          <cell r="F1855">
            <v>0</v>
          </cell>
        </row>
        <row r="1856">
          <cell r="B1856" t="str">
            <v>NOI114</v>
          </cell>
          <cell r="D1856" t="str">
            <v>Nối Ống PVC 114</v>
          </cell>
          <cell r="E1856" t="str">
            <v>cái</v>
          </cell>
          <cell r="F1856">
            <v>52800</v>
          </cell>
        </row>
        <row r="1857">
          <cell r="B1857" t="str">
            <v>NOI140</v>
          </cell>
          <cell r="D1857" t="str">
            <v>Nối Ống PVC 140</v>
          </cell>
          <cell r="E1857" t="str">
            <v>cái</v>
          </cell>
          <cell r="F1857">
            <v>83200</v>
          </cell>
        </row>
        <row r="1858">
          <cell r="B1858" t="str">
            <v>NOI160</v>
          </cell>
          <cell r="D1858" t="str">
            <v>Nối Ống PVC 160</v>
          </cell>
          <cell r="E1858" t="str">
            <v>cái</v>
          </cell>
          <cell r="F1858">
            <v>145400</v>
          </cell>
        </row>
        <row r="1859">
          <cell r="B1859" t="str">
            <v>NOI168</v>
          </cell>
          <cell r="D1859" t="str">
            <v>Nối Ống PVC 168</v>
          </cell>
          <cell r="E1859" t="str">
            <v>cái</v>
          </cell>
          <cell r="F1859">
            <v>132600</v>
          </cell>
        </row>
        <row r="1860">
          <cell r="B1860" t="str">
            <v>NOI220</v>
          </cell>
          <cell r="D1860" t="str">
            <v>Nối Ống PVC 220</v>
          </cell>
          <cell r="E1860" t="str">
            <v>cái</v>
          </cell>
          <cell r="F1860">
            <v>370200</v>
          </cell>
        </row>
        <row r="1861">
          <cell r="B1861" t="str">
            <v>VUA75</v>
          </cell>
          <cell r="C1861" t="str">
            <v>B.2224</v>
          </cell>
          <cell r="D1861" t="str">
            <v>Vữa xi măng M75, dày 70mm</v>
          </cell>
          <cell r="E1861" t="str">
            <v>m3</v>
          </cell>
        </row>
        <row r="1862">
          <cell r="B1862" t="str">
            <v>LGVH</v>
          </cell>
          <cell r="C1862" t="str">
            <v>AK.55113</v>
          </cell>
          <cell r="D1862" t="str">
            <v>Tái lập vĩa hè (Lát gạch vĩa hè)</v>
          </cell>
          <cell r="E1862" t="str">
            <v>m2</v>
          </cell>
          <cell r="H1862">
            <v>37092</v>
          </cell>
        </row>
        <row r="1863">
          <cell r="B1863" t="str">
            <v>HK</v>
          </cell>
          <cell r="C1863" t="str">
            <v>TT</v>
          </cell>
          <cell r="D1863" t="str">
            <v>Hố khoan 2 hố khoan tại 2 đầu</v>
          </cell>
          <cell r="E1863" t="str">
            <v>hố</v>
          </cell>
        </row>
        <row r="1864">
          <cell r="B1864" t="str">
            <v>KHOAN-ROBO</v>
          </cell>
          <cell r="C1864" t="str">
            <v>AC.36120</v>
          </cell>
          <cell r="D1864" t="str">
            <v>Khoan Robo kéo ống HDPE và cáp ngầm 3x240mm2 vượt sông</v>
          </cell>
          <cell r="E1864" t="str">
            <v>m</v>
          </cell>
          <cell r="H1864">
            <v>59595.03072289157</v>
          </cell>
          <cell r="I1864">
            <v>242880.53</v>
          </cell>
        </row>
        <row r="1865">
          <cell r="B1865" t="str">
            <v>ONKH</v>
          </cell>
          <cell r="D1865" t="str">
            <v>Ống nối kiểu H (Liên kết giữa ống thép và ống nhựa xoắn)</v>
          </cell>
          <cell r="E1865" t="str">
            <v>cái</v>
          </cell>
          <cell r="F1865">
            <v>350000</v>
          </cell>
        </row>
        <row r="1866">
          <cell r="B1866" t="str">
            <v>HDC</v>
          </cell>
          <cell r="C1866" t="str">
            <v>D4.4315</v>
          </cell>
          <cell r="D1866" t="str">
            <v>Hộp nối cáp ngầm ngoài trời- 3x240mm2</v>
          </cell>
          <cell r="E1866" t="str">
            <v>cái</v>
          </cell>
          <cell r="G1866">
            <v>73200</v>
          </cell>
          <cell r="H1866">
            <v>1445029.4</v>
          </cell>
          <cell r="I1866">
            <v>0</v>
          </cell>
        </row>
        <row r="1867">
          <cell r="B1867" t="str">
            <v>CUT NOÁI</v>
          </cell>
        </row>
        <row r="1868">
          <cell r="B1868" t="str">
            <v>CUT21</v>
          </cell>
          <cell r="D1868" t="str">
            <v>Co PVC 21</v>
          </cell>
          <cell r="E1868" t="str">
            <v>cái</v>
          </cell>
          <cell r="F1868">
            <v>2100</v>
          </cell>
        </row>
        <row r="1869">
          <cell r="B1869" t="str">
            <v>CUT27</v>
          </cell>
          <cell r="D1869" t="str">
            <v>Co PVC 27</v>
          </cell>
          <cell r="E1869" t="str">
            <v>cái</v>
          </cell>
          <cell r="F1869">
            <v>0</v>
          </cell>
        </row>
        <row r="1870">
          <cell r="B1870" t="str">
            <v>CUT34</v>
          </cell>
          <cell r="D1870" t="str">
            <v>Co PVC 34</v>
          </cell>
          <cell r="E1870" t="str">
            <v>cái</v>
          </cell>
          <cell r="F1870">
            <v>4800</v>
          </cell>
        </row>
        <row r="1871">
          <cell r="B1871" t="str">
            <v>CUT42</v>
          </cell>
          <cell r="D1871" t="str">
            <v>Co PVC 42</v>
          </cell>
          <cell r="E1871" t="str">
            <v>cái</v>
          </cell>
          <cell r="F1871">
            <v>0</v>
          </cell>
        </row>
        <row r="1872">
          <cell r="B1872" t="str">
            <v>CUT49</v>
          </cell>
          <cell r="D1872" t="str">
            <v>Co PVC 49</v>
          </cell>
          <cell r="E1872" t="str">
            <v>cái</v>
          </cell>
          <cell r="F1872">
            <v>11400</v>
          </cell>
        </row>
        <row r="1873">
          <cell r="B1873" t="str">
            <v>CUT168</v>
          </cell>
          <cell r="D1873" t="str">
            <v>Co PVC 168</v>
          </cell>
          <cell r="E1873" t="str">
            <v>cái</v>
          </cell>
        </row>
        <row r="1874">
          <cell r="B1874" t="str">
            <v>NOI9034</v>
          </cell>
          <cell r="D1874" t="str">
            <v>Co giảm PVC Ø90 - Ø34</v>
          </cell>
          <cell r="E1874" t="str">
            <v>cái</v>
          </cell>
          <cell r="F1874">
            <v>8900</v>
          </cell>
        </row>
        <row r="1875">
          <cell r="B1875" t="str">
            <v>NOI9060</v>
          </cell>
          <cell r="D1875" t="str">
            <v>Co giảm PVC Ø90 - Ø60</v>
          </cell>
          <cell r="E1875" t="str">
            <v>cái</v>
          </cell>
          <cell r="F1875">
            <v>20500</v>
          </cell>
        </row>
        <row r="1876">
          <cell r="B1876" t="str">
            <v>NOI11860</v>
          </cell>
          <cell r="D1876" t="str">
            <v>Co giảm PVC Ø118 - Ø60</v>
          </cell>
          <cell r="E1876" t="str">
            <v>cái</v>
          </cell>
          <cell r="F1876">
            <v>37200</v>
          </cell>
        </row>
        <row r="1877">
          <cell r="B1877" t="str">
            <v>NOI11834</v>
          </cell>
          <cell r="D1877" t="str">
            <v>Co giảm PVC Ø118 - Ø34</v>
          </cell>
          <cell r="E1877" t="str">
            <v>cái</v>
          </cell>
          <cell r="F1877">
            <v>37200</v>
          </cell>
        </row>
        <row r="1878">
          <cell r="B1878" t="str">
            <v>CUT60</v>
          </cell>
          <cell r="D1878" t="str">
            <v>Co PVC 60</v>
          </cell>
          <cell r="E1878" t="str">
            <v>cái</v>
          </cell>
          <cell r="F1878">
            <v>18200</v>
          </cell>
        </row>
        <row r="1879">
          <cell r="B1879" t="str">
            <v>CUT90</v>
          </cell>
          <cell r="D1879" t="str">
            <v>Co PVC 90</v>
          </cell>
          <cell r="E1879" t="str">
            <v>cái</v>
          </cell>
          <cell r="F1879">
            <v>45400</v>
          </cell>
        </row>
        <row r="1880">
          <cell r="B1880" t="str">
            <v>CUT114</v>
          </cell>
          <cell r="D1880" t="str">
            <v>Co PVC 114</v>
          </cell>
          <cell r="E1880" t="str">
            <v>cái</v>
          </cell>
          <cell r="F1880">
            <v>100000</v>
          </cell>
        </row>
        <row r="1881">
          <cell r="B1881" t="str">
            <v>CUT118</v>
          </cell>
          <cell r="D1881" t="str">
            <v>Co PVC 118</v>
          </cell>
          <cell r="E1881" t="str">
            <v>cái</v>
          </cell>
          <cell r="F1881">
            <v>138000</v>
          </cell>
        </row>
        <row r="1882">
          <cell r="B1882" t="str">
            <v>COÅ DEÂ</v>
          </cell>
        </row>
        <row r="1883">
          <cell r="B1883" t="str">
            <v>CD21PVC</v>
          </cell>
          <cell r="C1883" t="str">
            <v>D3.3241</v>
          </cell>
          <cell r="D1883" t="str">
            <v xml:space="preserve">Côdê Ø 21 kẹp ống PVC </v>
          </cell>
          <cell r="E1883" t="str">
            <v>cái</v>
          </cell>
          <cell r="F1883">
            <v>25700</v>
          </cell>
          <cell r="J1883" t="str">
            <v>ĐM286</v>
          </cell>
        </row>
        <row r="1884">
          <cell r="B1884" t="str">
            <v>CD42PVC</v>
          </cell>
          <cell r="C1884" t="str">
            <v>D3.3241</v>
          </cell>
          <cell r="D1884" t="str">
            <v xml:space="preserve">Côdê Ø 42 kẹp ống PVC </v>
          </cell>
          <cell r="E1884" t="str">
            <v>cái</v>
          </cell>
          <cell r="F1884">
            <v>28400</v>
          </cell>
          <cell r="J1884" t="str">
            <v>"</v>
          </cell>
        </row>
        <row r="1885">
          <cell r="B1885" t="str">
            <v>CD60PVC</v>
          </cell>
          <cell r="C1885" t="str">
            <v>D3.3241</v>
          </cell>
          <cell r="D1885" t="str">
            <v xml:space="preserve">Côdê Ø 60 kẹp ống PVC </v>
          </cell>
          <cell r="E1885" t="str">
            <v>cái</v>
          </cell>
          <cell r="F1885">
            <v>28400</v>
          </cell>
          <cell r="J1885" t="str">
            <v>"</v>
          </cell>
        </row>
        <row r="1886">
          <cell r="B1886" t="str">
            <v>CD90PVC</v>
          </cell>
          <cell r="C1886" t="str">
            <v>D3.3241</v>
          </cell>
          <cell r="D1886" t="str">
            <v xml:space="preserve">Côdê Ø 90 kẹp ống PVC </v>
          </cell>
          <cell r="E1886" t="str">
            <v>cái</v>
          </cell>
          <cell r="F1886">
            <v>28400</v>
          </cell>
          <cell r="J1886" t="str">
            <v>"</v>
          </cell>
        </row>
        <row r="1887">
          <cell r="B1887" t="str">
            <v>CD114PVC</v>
          </cell>
          <cell r="C1887" t="str">
            <v>D3.3241</v>
          </cell>
          <cell r="D1887" t="str">
            <v xml:space="preserve">Côdê Ø 114 kẹp ống PVC </v>
          </cell>
          <cell r="E1887" t="str">
            <v>cái</v>
          </cell>
          <cell r="F1887">
            <v>30900</v>
          </cell>
          <cell r="J1887" t="str">
            <v>"</v>
          </cell>
        </row>
        <row r="1888">
          <cell r="B1888" t="str">
            <v>CD168STK</v>
          </cell>
          <cell r="C1888" t="str">
            <v>D3.3241</v>
          </cell>
          <cell r="D1888" t="str">
            <v>Côdê Ø 168 kẹp ống STK</v>
          </cell>
          <cell r="E1888" t="str">
            <v>cái</v>
          </cell>
          <cell r="F1888">
            <v>72000</v>
          </cell>
          <cell r="J1888" t="str">
            <v>"</v>
          </cell>
        </row>
        <row r="1889">
          <cell r="B1889" t="str">
            <v>code</v>
          </cell>
          <cell r="C1889" t="str">
            <v>D3.3241</v>
          </cell>
          <cell r="D1889" t="str">
            <v>Côdê kẹp ống cáp trụ đơn</v>
          </cell>
          <cell r="E1889" t="str">
            <v>cái</v>
          </cell>
          <cell r="F1889">
            <v>179000</v>
          </cell>
          <cell r="J1889" t="str">
            <v>"</v>
          </cell>
        </row>
        <row r="1890">
          <cell r="B1890" t="str">
            <v>CD30x3</v>
          </cell>
          <cell r="C1890" t="str">
            <v>D3.3241</v>
          </cell>
          <cell r="D1890" t="str">
            <v>Côdê 30x3</v>
          </cell>
          <cell r="E1890" t="str">
            <v>cái</v>
          </cell>
          <cell r="F1890">
            <v>42000</v>
          </cell>
          <cell r="J1890" t="str">
            <v>"</v>
          </cell>
        </row>
        <row r="1891">
          <cell r="B1891" t="str">
            <v>CD30x4</v>
          </cell>
          <cell r="C1891" t="str">
            <v>D3.3241</v>
          </cell>
          <cell r="D1891" t="str">
            <v>Collier sắt dẹp 30x4 giữ ống PVC D21</v>
          </cell>
          <cell r="E1891" t="str">
            <v>cái</v>
          </cell>
          <cell r="F1891">
            <v>0</v>
          </cell>
          <cell r="J1891" t="str">
            <v>"</v>
          </cell>
        </row>
        <row r="1892">
          <cell r="B1892" t="str">
            <v>CD25x2</v>
          </cell>
          <cell r="C1892" t="str">
            <v>D3.3241</v>
          </cell>
          <cell r="D1892" t="str">
            <v>Côdê 4x40mm niền ống thép Ø21</v>
          </cell>
          <cell r="E1892" t="str">
            <v>cái</v>
          </cell>
          <cell r="F1892">
            <v>73000</v>
          </cell>
          <cell r="J1892" t="str">
            <v>"</v>
          </cell>
        </row>
        <row r="1893">
          <cell r="B1893" t="str">
            <v>CD5x50</v>
          </cell>
          <cell r="C1893" t="str">
            <v>D3.4241</v>
          </cell>
          <cell r="D1893" t="str">
            <v xml:space="preserve">Côdê tủ dẹt 5x50+U40x600+Bulông </v>
          </cell>
          <cell r="E1893" t="str">
            <v>cái</v>
          </cell>
          <cell r="F1893">
            <v>100000</v>
          </cell>
          <cell r="H1893">
            <v>92627.9</v>
          </cell>
          <cell r="J1893" t="str">
            <v>"</v>
          </cell>
        </row>
        <row r="1894">
          <cell r="B1894" t="str">
            <v>CD4x30</v>
          </cell>
          <cell r="C1894" t="str">
            <v>D3.3241</v>
          </cell>
          <cell r="D1894" t="str">
            <v>Côdê 4x30mm giữ ống PVC Ø21</v>
          </cell>
          <cell r="E1894" t="str">
            <v>cái</v>
          </cell>
          <cell r="F1894">
            <v>42000</v>
          </cell>
          <cell r="J1894" t="str">
            <v>"</v>
          </cell>
        </row>
        <row r="1895">
          <cell r="B1895" t="str">
            <v>CD80x8</v>
          </cell>
          <cell r="C1895" t="str">
            <v>D3.3241</v>
          </cell>
          <cell r="D1895" t="str">
            <v>Côdê 8x80mm giữ ống PVC Ø114</v>
          </cell>
          <cell r="E1895" t="str">
            <v>cái</v>
          </cell>
          <cell r="F1895">
            <v>48000</v>
          </cell>
          <cell r="J1895" t="str">
            <v>"</v>
          </cell>
        </row>
        <row r="1896">
          <cell r="B1896" t="str">
            <v>CDMBA</v>
          </cell>
          <cell r="C1896" t="str">
            <v>D3.3241</v>
          </cell>
          <cell r="D1896" t="str">
            <v>Côdê MBA trụ ghép</v>
          </cell>
          <cell r="E1896" t="str">
            <v>cái</v>
          </cell>
          <cell r="F1896">
            <v>372000</v>
          </cell>
          <cell r="J1896" t="str">
            <v>"</v>
          </cell>
        </row>
        <row r="1897">
          <cell r="B1897" t="str">
            <v>CDMBA-1</v>
          </cell>
          <cell r="C1897" t="str">
            <v>D3.3241</v>
          </cell>
          <cell r="D1897" t="str">
            <v>Côdê MBA trụ trụ đơn</v>
          </cell>
          <cell r="E1897" t="str">
            <v>cái</v>
          </cell>
          <cell r="F1897">
            <v>272000</v>
          </cell>
          <cell r="J1897" t="str">
            <v>"</v>
          </cell>
        </row>
        <row r="1898">
          <cell r="B1898" t="str">
            <v>CDXA</v>
          </cell>
          <cell r="C1898" t="str">
            <v>D3.3241</v>
          </cell>
          <cell r="D1898" t="str">
            <v>Côdê chống lắc Ø200</v>
          </cell>
          <cell r="E1898" t="str">
            <v>cái</v>
          </cell>
          <cell r="F1898">
            <v>189000</v>
          </cell>
          <cell r="J1898" t="str">
            <v>"</v>
          </cell>
        </row>
        <row r="1899">
          <cell r="B1899" t="str">
            <v>CD4X40</v>
          </cell>
          <cell r="C1899" t="str">
            <v>D3.3241</v>
          </cell>
          <cell r="D1899" t="str">
            <v>Côdê ống 4x40mm nhúng kẽm</v>
          </cell>
          <cell r="E1899" t="str">
            <v>cái</v>
          </cell>
          <cell r="F1899">
            <v>73000</v>
          </cell>
          <cell r="J1899" t="str">
            <v>"</v>
          </cell>
        </row>
        <row r="1900">
          <cell r="B1900" t="str">
            <v>LÖÔÙI B40</v>
          </cell>
        </row>
        <row r="1901">
          <cell r="B1901" t="str">
            <v>B4018</v>
          </cell>
          <cell r="D1901" t="str">
            <v>Lưới B40 (khổ 1,8m) - 3,5li</v>
          </cell>
          <cell r="E1901" t="str">
            <v>mét</v>
          </cell>
        </row>
        <row r="1902">
          <cell r="B1902" t="str">
            <v>B4015</v>
          </cell>
          <cell r="D1902" t="str">
            <v>Lưới B40 (khổ 1,5m) - 3,5li</v>
          </cell>
          <cell r="E1902" t="str">
            <v>mét</v>
          </cell>
        </row>
        <row r="1903">
          <cell r="B1903" t="str">
            <v>B4012</v>
          </cell>
          <cell r="D1903" t="str">
            <v>Lưới B40 (khổ 1,2m) - 3,5li</v>
          </cell>
          <cell r="E1903" t="str">
            <v>mét</v>
          </cell>
        </row>
        <row r="1904">
          <cell r="B1904" t="str">
            <v>CAÙC VAÄT LIEÄU KHAÙC</v>
          </cell>
        </row>
        <row r="1905">
          <cell r="B1905" t="str">
            <v>VUA</v>
          </cell>
          <cell r="D1905" t="str">
            <v>Vữa trát bề mặt M100</v>
          </cell>
          <cell r="E1905" t="str">
            <v>m3</v>
          </cell>
        </row>
        <row r="1906">
          <cell r="B1906" t="str">
            <v>DAITHEP</v>
          </cell>
          <cell r="D1906" t="str">
            <v>Đai thép dài 20x0,4 dài 1200mm+khoá đai thép</v>
          </cell>
          <cell r="E1906" t="str">
            <v>bộ</v>
          </cell>
          <cell r="F1906">
            <v>15000</v>
          </cell>
          <cell r="J1906" t="str">
            <v>"</v>
          </cell>
        </row>
        <row r="1907">
          <cell r="B1907" t="str">
            <v>BOCAP</v>
          </cell>
          <cell r="D1907" t="str">
            <v>Đai bó cáp quang</v>
          </cell>
          <cell r="E1907" t="str">
            <v>bộ</v>
          </cell>
          <cell r="F1907">
            <v>21000</v>
          </cell>
          <cell r="J1907" t="str">
            <v>"</v>
          </cell>
        </row>
        <row r="1908">
          <cell r="B1908" t="str">
            <v>BAKE</v>
          </cell>
          <cell r="D1908" t="str">
            <v xml:space="preserve">Bakelit 200x400 dầy 5mm </v>
          </cell>
          <cell r="E1908" t="str">
            <v>cái</v>
          </cell>
          <cell r="F1908">
            <v>20000</v>
          </cell>
        </row>
        <row r="1909">
          <cell r="B1909" t="str">
            <v>BAKE 900</v>
          </cell>
          <cell r="D1909" t="str">
            <v>Bakelit 900x500x600; 2 ly</v>
          </cell>
          <cell r="E1909" t="str">
            <v>cái</v>
          </cell>
          <cell r="F1909">
            <v>125000</v>
          </cell>
        </row>
        <row r="1910">
          <cell r="B1910" t="str">
            <v>BANGKEO</v>
          </cell>
          <cell r="D1910" t="str">
            <v>Băng keo cách điện hạ thế</v>
          </cell>
          <cell r="E1910" t="str">
            <v>cuộn</v>
          </cell>
          <cell r="F1910">
            <v>6400</v>
          </cell>
        </row>
        <row r="1911">
          <cell r="B1911" t="str">
            <v>BANGKEOTA</v>
          </cell>
          <cell r="D1911" t="str">
            <v>Băng keo cách điện trung thế</v>
          </cell>
          <cell r="E1911" t="str">
            <v>cuộn</v>
          </cell>
          <cell r="F1911">
            <v>65000</v>
          </cell>
        </row>
        <row r="1912">
          <cell r="B1912" t="str">
            <v>KEOD</v>
          </cell>
          <cell r="D1912" t="str">
            <v>Băng keo điện : 1 cuộn (lấy tín hiệu ĐK)</v>
          </cell>
          <cell r="E1912" t="str">
            <v>cuộn</v>
          </cell>
          <cell r="F1912">
            <v>7000</v>
          </cell>
        </row>
        <row r="1913">
          <cell r="B1913" t="str">
            <v>KEO</v>
          </cell>
          <cell r="D1913" t="str">
            <v>Keo dán ống PVC</v>
          </cell>
          <cell r="E1913" t="str">
            <v>ống</v>
          </cell>
          <cell r="F1913">
            <v>12000</v>
          </cell>
        </row>
        <row r="1914">
          <cell r="B1914" t="str">
            <v>KHOA</v>
          </cell>
          <cell r="D1914" t="str">
            <v>Ổ khóa</v>
          </cell>
          <cell r="E1914" t="str">
            <v>cái</v>
          </cell>
          <cell r="F1914">
            <v>30000</v>
          </cell>
        </row>
        <row r="1915">
          <cell r="B1915" t="str">
            <v>LUOI</v>
          </cell>
          <cell r="D1915" t="str">
            <v>Lưới mắt cáo 25x25</v>
          </cell>
          <cell r="E1915" t="str">
            <v>m²</v>
          </cell>
          <cell r="F1915">
            <v>7500</v>
          </cell>
        </row>
        <row r="1916">
          <cell r="B1916" t="str">
            <v>BANG</v>
          </cell>
          <cell r="D1916" t="str">
            <v>Bảng tên trạm 200 x 300</v>
          </cell>
          <cell r="E1916" t="str">
            <v>cái</v>
          </cell>
          <cell r="F1916">
            <v>100000</v>
          </cell>
          <cell r="G1916">
            <v>0</v>
          </cell>
          <cell r="H1916">
            <v>0</v>
          </cell>
          <cell r="I1916">
            <v>0</v>
          </cell>
          <cell r="J1916" t="str">
            <v>ĐM286</v>
          </cell>
        </row>
        <row r="1917">
          <cell r="B1917" t="str">
            <v>BANG TPD</v>
          </cell>
          <cell r="C1917" t="str">
            <v>D3.3201</v>
          </cell>
          <cell r="D1917" t="str">
            <v>Bảng tên phân đoạn</v>
          </cell>
          <cell r="E1917" t="str">
            <v>cái</v>
          </cell>
          <cell r="F1917">
            <v>100000</v>
          </cell>
          <cell r="G1917">
            <v>0</v>
          </cell>
          <cell r="H1917">
            <v>0</v>
          </cell>
          <cell r="I1917">
            <v>0</v>
          </cell>
          <cell r="J1917" t="str">
            <v>ĐM286</v>
          </cell>
        </row>
        <row r="1918">
          <cell r="B1918" t="str">
            <v>BANG40</v>
          </cell>
          <cell r="C1918">
            <v>0</v>
          </cell>
          <cell r="D1918" t="str">
            <v>Bảng gỗ 40x60</v>
          </cell>
          <cell r="E1918" t="str">
            <v>m²</v>
          </cell>
          <cell r="F1918">
            <v>40000</v>
          </cell>
        </row>
        <row r="1919">
          <cell r="B1919" t="str">
            <v>BẠNG25</v>
          </cell>
          <cell r="C1919">
            <v>0</v>
          </cell>
          <cell r="D1919" t="str">
            <v>Bảng gỗ 25x40</v>
          </cell>
          <cell r="E1919" t="str">
            <v>m²</v>
          </cell>
          <cell r="F1919">
            <v>20000</v>
          </cell>
        </row>
        <row r="1920">
          <cell r="B1920" t="str">
            <v>AVK1</v>
          </cell>
          <cell r="D1920" t="str">
            <v>Bộ Ampe kế + Volt kế (trạm 1 pha)</v>
          </cell>
          <cell r="E1920" t="str">
            <v>bộ</v>
          </cell>
          <cell r="F1920">
            <v>147500</v>
          </cell>
        </row>
        <row r="1921">
          <cell r="B1921" t="str">
            <v>AVK3</v>
          </cell>
          <cell r="D1921" t="str">
            <v>Bộ Ampe kế + Volt kế (trạm 3 pha)</v>
          </cell>
          <cell r="E1921" t="str">
            <v>bộ</v>
          </cell>
          <cell r="F1921">
            <v>147500</v>
          </cell>
        </row>
        <row r="1922">
          <cell r="B1922" t="str">
            <v>AK100</v>
          </cell>
          <cell r="D1922" t="str">
            <v>Ammeter 0-100A</v>
          </cell>
          <cell r="E1922" t="str">
            <v>cái</v>
          </cell>
          <cell r="F1922">
            <v>96800</v>
          </cell>
          <cell r="J1922" t="str">
            <v>0,19xLNC(4/7)</v>
          </cell>
        </row>
        <row r="1923">
          <cell r="B1923" t="str">
            <v>VK500</v>
          </cell>
          <cell r="D1923" t="str">
            <v>Voltmeter 0-500V</v>
          </cell>
          <cell r="E1923" t="str">
            <v>cái</v>
          </cell>
          <cell r="F1923">
            <v>96800</v>
          </cell>
          <cell r="J1923" t="str">
            <v>__"__</v>
          </cell>
        </row>
        <row r="1924">
          <cell r="B1924" t="str">
            <v>AK50</v>
          </cell>
          <cell r="D1924" t="str">
            <v>Ammeter 0-50A</v>
          </cell>
          <cell r="E1924" t="str">
            <v>cái</v>
          </cell>
          <cell r="F1924">
            <v>96800</v>
          </cell>
          <cell r="J1924" t="str">
            <v>0,19xLNC(4/7)</v>
          </cell>
        </row>
        <row r="1925">
          <cell r="B1925" t="str">
            <v>VK250</v>
          </cell>
          <cell r="D1925" t="str">
            <v>Voltmeter 0-250V</v>
          </cell>
          <cell r="E1925" t="str">
            <v>cái</v>
          </cell>
          <cell r="F1925">
            <v>96800</v>
          </cell>
          <cell r="J1925" t="str">
            <v>__"__</v>
          </cell>
        </row>
        <row r="1926">
          <cell r="B1926" t="str">
            <v>THUNG</v>
          </cell>
          <cell r="D1926" t="str">
            <v>Thùng điện kế &amp; cầu dao đôi nhỏ + 2 bảng bakelit: 900x500x600; 2 ly</v>
          </cell>
          <cell r="E1926" t="str">
            <v>cái</v>
          </cell>
          <cell r="F1926">
            <v>3420000</v>
          </cell>
        </row>
        <row r="1927">
          <cell r="B1927" t="str">
            <v>THUNG3</v>
          </cell>
          <cell r="C1927" t="str">
            <v>T5.1004</v>
          </cell>
          <cell r="D1927" t="str">
            <v>Thùng CB 1 pha composite</v>
          </cell>
          <cell r="E1927" t="str">
            <v>cái</v>
          </cell>
          <cell r="F1927">
            <v>570000</v>
          </cell>
          <cell r="I1927">
            <v>0</v>
          </cell>
        </row>
        <row r="1928">
          <cell r="B1928" t="str">
            <v>THUNG3-1</v>
          </cell>
          <cell r="C1928" t="str">
            <v>T5.1004</v>
          </cell>
          <cell r="D1928" t="str">
            <v>Thùng CB 3 pha composite</v>
          </cell>
          <cell r="E1928" t="str">
            <v>cái</v>
          </cell>
          <cell r="F1928">
            <v>1660000</v>
          </cell>
          <cell r="I1928">
            <v>0</v>
          </cell>
        </row>
        <row r="1929">
          <cell r="B1929" t="str">
            <v>SIKA214</v>
          </cell>
          <cell r="D1929" t="str">
            <v>Vữa trương nở</v>
          </cell>
          <cell r="E1929" t="str">
            <v>m³</v>
          </cell>
        </row>
        <row r="1930">
          <cell r="B1930" t="str">
            <v>VB</v>
          </cell>
          <cell r="D1930" t="str">
            <v>Vải bạt</v>
          </cell>
          <cell r="E1930" t="str">
            <v>m²</v>
          </cell>
        </row>
        <row r="1931">
          <cell r="B1931" t="str">
            <v>BM48x1600</v>
          </cell>
          <cell r="D1931" t="str">
            <v>Bu lông neo M48x1600</v>
          </cell>
          <cell r="E1931" t="str">
            <v>bộ</v>
          </cell>
        </row>
        <row r="1932">
          <cell r="B1932" t="str">
            <v>mani</v>
          </cell>
          <cell r="D1932" t="str">
            <v>Ma ní</v>
          </cell>
          <cell r="E1932" t="str">
            <v>cái</v>
          </cell>
        </row>
        <row r="1933">
          <cell r="B1933" t="str">
            <v>MNHC</v>
          </cell>
          <cell r="D1933" t="str">
            <v>Mắt nối hiệu chỉnh</v>
          </cell>
          <cell r="E1933" t="str">
            <v>cái</v>
          </cell>
        </row>
        <row r="1934">
          <cell r="B1934" t="str">
            <v>CMCD</v>
          </cell>
          <cell r="D1934" t="str">
            <v>Cụm mắt chuỗi đỡ</v>
          </cell>
          <cell r="E1934" t="str">
            <v>cái</v>
          </cell>
        </row>
        <row r="1935">
          <cell r="B1935" t="str">
            <v>NT</v>
          </cell>
          <cell r="D1935" t="str">
            <v>Nối thẳng</v>
          </cell>
          <cell r="E1935" t="str">
            <v>cái</v>
          </cell>
        </row>
        <row r="1936">
          <cell r="B1936" t="str">
            <v>KG</v>
          </cell>
          <cell r="D1936" t="str">
            <v>Khánh ghép</v>
          </cell>
          <cell r="E1936" t="str">
            <v>cái</v>
          </cell>
        </row>
        <row r="1937">
          <cell r="B1937" t="str">
            <v>KD</v>
          </cell>
          <cell r="D1937" t="str">
            <v>Khánh đơn</v>
          </cell>
          <cell r="E1937" t="str">
            <v>cái</v>
          </cell>
          <cell r="F1937">
            <v>200000</v>
          </cell>
        </row>
        <row r="1938">
          <cell r="B1938" t="str">
            <v>KIPC3595</v>
          </cell>
          <cell r="D1938" t="str">
            <v>Kẹp IPC 95-35</v>
          </cell>
          <cell r="E1938" t="str">
            <v>cái</v>
          </cell>
          <cell r="F1938">
            <v>42800</v>
          </cell>
        </row>
        <row r="1939">
          <cell r="B1939" t="str">
            <v>KIPC35120</v>
          </cell>
          <cell r="D1939" t="str">
            <v>Kẹp IPC 120-35</v>
          </cell>
          <cell r="E1939" t="str">
            <v>cái</v>
          </cell>
          <cell r="F1939">
            <v>93400</v>
          </cell>
        </row>
        <row r="1940">
          <cell r="B1940" t="str">
            <v>KEPNR</v>
          </cell>
          <cell r="D1940" t="str">
            <v xml:space="preserve">Kẹp nối rẽ cách điện cỡ dây 35-120mm²  </v>
          </cell>
          <cell r="E1940" t="str">
            <v>cái</v>
          </cell>
          <cell r="F1940">
            <v>93400</v>
          </cell>
        </row>
        <row r="1941">
          <cell r="B1941" t="str">
            <v>KEPIPC50</v>
          </cell>
          <cell r="D1941" t="str">
            <v xml:space="preserve">Kẹp nối bọc cách điện IPC cỡ dây 50mm²  </v>
          </cell>
          <cell r="E1941" t="str">
            <v>cái</v>
          </cell>
          <cell r="F1941">
            <v>42800</v>
          </cell>
        </row>
        <row r="1942">
          <cell r="B1942" t="str">
            <v>KIPC50</v>
          </cell>
          <cell r="D1942" t="str">
            <v xml:space="preserve">Kẹp nối bọc cách điện IPC Cu-AL cỡ dây 50mm²  </v>
          </cell>
          <cell r="E1942" t="str">
            <v>cái</v>
          </cell>
          <cell r="F1942">
            <v>0</v>
          </cell>
        </row>
        <row r="1943">
          <cell r="B1943" t="str">
            <v>KIPC3550</v>
          </cell>
          <cell r="D1943" t="str">
            <v xml:space="preserve">Kẹp nối bọc cách điện IPC cỡ dây 35-50mm²  </v>
          </cell>
          <cell r="E1943" t="str">
            <v>cái</v>
          </cell>
          <cell r="F1943">
            <v>36700</v>
          </cell>
        </row>
        <row r="1944">
          <cell r="B1944" t="str">
            <v>KEPIPC70</v>
          </cell>
          <cell r="D1944" t="str">
            <v xml:space="preserve">Kẹp nối bọc cách điện IPC cỡ dây 70mm²  </v>
          </cell>
          <cell r="E1944" t="str">
            <v>cái</v>
          </cell>
          <cell r="F1944">
            <v>51100</v>
          </cell>
        </row>
        <row r="1945">
          <cell r="B1945" t="str">
            <v>KIPC3595</v>
          </cell>
          <cell r="D1945" t="str">
            <v xml:space="preserve">Kẹp nối bọc cách điện IPC cỡ dây 95-35mm²  </v>
          </cell>
          <cell r="E1945" t="str">
            <v>cái</v>
          </cell>
          <cell r="F1945">
            <v>42800</v>
          </cell>
        </row>
        <row r="1946">
          <cell r="B1946" t="str">
            <v>KEPIPC95</v>
          </cell>
          <cell r="D1946" t="str">
            <v xml:space="preserve">Kẹp nối bọc cách điện IPC cỡ dây 95-95mm²  </v>
          </cell>
          <cell r="E1946" t="str">
            <v>cái</v>
          </cell>
          <cell r="F1946">
            <v>51100</v>
          </cell>
        </row>
        <row r="1947">
          <cell r="B1947" t="str">
            <v>KEPIPC120</v>
          </cell>
          <cell r="D1947" t="str">
            <v xml:space="preserve">Kẹp nối bọc cách điện IPC cỡ dây 120mm²  </v>
          </cell>
          <cell r="E1947" t="str">
            <v>cái</v>
          </cell>
          <cell r="F1947">
            <v>93400</v>
          </cell>
        </row>
        <row r="1948">
          <cell r="B1948" t="str">
            <v>KEPIPC150</v>
          </cell>
          <cell r="D1948" t="str">
            <v xml:space="preserve">Kẹp nối bọc cách điện IPC cỡ dây 150mm²  </v>
          </cell>
          <cell r="E1948" t="str">
            <v>cái</v>
          </cell>
          <cell r="F1948">
            <v>121200</v>
          </cell>
        </row>
        <row r="1949">
          <cell r="B1949" t="str">
            <v>KEPIPC240</v>
          </cell>
          <cell r="D1949" t="str">
            <v xml:space="preserve">Kẹp nối bọc cách điện IPC cỡ dây 240mm²  </v>
          </cell>
          <cell r="E1949" t="str">
            <v>cái</v>
          </cell>
          <cell r="F1949">
            <v>194100</v>
          </cell>
        </row>
        <row r="1950">
          <cell r="B1950" t="str">
            <v>KTABC50</v>
          </cell>
          <cell r="D1950" t="str">
            <v xml:space="preserve">Khóa treo cáp ABC cỡ 50mm²  </v>
          </cell>
          <cell r="E1950" t="str">
            <v>cái</v>
          </cell>
          <cell r="F1950">
            <v>0</v>
          </cell>
        </row>
        <row r="1951">
          <cell r="B1951" t="str">
            <v>KNABC50</v>
          </cell>
          <cell r="D1951" t="str">
            <v xml:space="preserve">Kẹp néo cáp ABC cỡ 50mm²  </v>
          </cell>
          <cell r="E1951" t="str">
            <v>cái</v>
          </cell>
          <cell r="F1951">
            <v>0</v>
          </cell>
        </row>
        <row r="1952">
          <cell r="B1952" t="str">
            <v>KTABC2x50</v>
          </cell>
          <cell r="D1952" t="str">
            <v xml:space="preserve">Kẹp treo cáp ABC cỡ 2x50mm²  </v>
          </cell>
          <cell r="E1952" t="str">
            <v>cái</v>
          </cell>
          <cell r="F1952">
            <v>0</v>
          </cell>
        </row>
        <row r="1953">
          <cell r="B1953" t="str">
            <v>KTABC2x70</v>
          </cell>
          <cell r="D1953" t="str">
            <v xml:space="preserve">Kẹp treo cáp ABC cỡ 2x70mm²  </v>
          </cell>
          <cell r="E1953" t="str">
            <v>cái</v>
          </cell>
          <cell r="F1953">
            <v>0</v>
          </cell>
        </row>
        <row r="1954">
          <cell r="B1954" t="str">
            <v>KTABC2x95</v>
          </cell>
          <cell r="D1954" t="str">
            <v xml:space="preserve">Kẹp treo cáp ABC cỡ 2x95mm²  </v>
          </cell>
          <cell r="E1954" t="str">
            <v>cái</v>
          </cell>
          <cell r="F1954">
            <v>0</v>
          </cell>
        </row>
        <row r="1955">
          <cell r="B1955" t="str">
            <v>KTABC2x120</v>
          </cell>
          <cell r="D1955" t="str">
            <v xml:space="preserve">Kẹp treo cáp ABC cỡ 2x120mm²  </v>
          </cell>
          <cell r="E1955" t="str">
            <v>cái</v>
          </cell>
          <cell r="F1955">
            <v>0</v>
          </cell>
        </row>
        <row r="1956">
          <cell r="B1956" t="str">
            <v>KTABC4x50</v>
          </cell>
          <cell r="D1956" t="str">
            <v xml:space="preserve">Kẹp treo cáp ABC cỡ 4x50mm²  </v>
          </cell>
          <cell r="E1956" t="str">
            <v>cái</v>
          </cell>
          <cell r="F1956">
            <v>23000</v>
          </cell>
        </row>
        <row r="1957">
          <cell r="B1957" t="str">
            <v>KTABC4x70</v>
          </cell>
          <cell r="D1957" t="str">
            <v xml:space="preserve">Kẹp treo cáp ABC cỡ 4x70mm²  </v>
          </cell>
          <cell r="E1957" t="str">
            <v>cái</v>
          </cell>
          <cell r="F1957">
            <v>24000</v>
          </cell>
        </row>
        <row r="1958">
          <cell r="B1958" t="str">
            <v>KTABC4x95</v>
          </cell>
          <cell r="D1958" t="str">
            <v xml:space="preserve">Kẹp treo cáp ABC cỡ 4x95mm²  </v>
          </cell>
          <cell r="E1958" t="str">
            <v>cái</v>
          </cell>
          <cell r="F1958">
            <v>24000</v>
          </cell>
        </row>
        <row r="1959">
          <cell r="B1959" t="str">
            <v>KTABC4x120</v>
          </cell>
          <cell r="D1959" t="str">
            <v xml:space="preserve">Kẹp treo cáp ABC cỡ 4x120mm²  </v>
          </cell>
          <cell r="E1959" t="str">
            <v>cái</v>
          </cell>
          <cell r="F1959">
            <v>30000</v>
          </cell>
        </row>
        <row r="1960">
          <cell r="B1960" t="str">
            <v>KTABC4x150</v>
          </cell>
          <cell r="D1960" t="str">
            <v xml:space="preserve">Kẹp treo cáp ABC cỡ 4x150mm²  </v>
          </cell>
          <cell r="E1960" t="str">
            <v>cái</v>
          </cell>
          <cell r="F1960">
            <v>37180</v>
          </cell>
        </row>
        <row r="1961">
          <cell r="B1961" t="str">
            <v>KABC120</v>
          </cell>
          <cell r="D1961" t="str">
            <v xml:space="preserve">Kẹp treo cáp ABC cỡ 3x120mm²  </v>
          </cell>
          <cell r="E1961" t="str">
            <v>cái</v>
          </cell>
          <cell r="F1961">
            <v>30000</v>
          </cell>
        </row>
        <row r="1962">
          <cell r="B1962" t="str">
            <v>KABC50</v>
          </cell>
          <cell r="D1962" t="str">
            <v xml:space="preserve">Kẹp treo cáp ABC cỡ 3x50mm²  </v>
          </cell>
          <cell r="E1962" t="str">
            <v>cái</v>
          </cell>
          <cell r="F1962">
            <v>21400</v>
          </cell>
        </row>
        <row r="1963">
          <cell r="B1963" t="str">
            <v>KABC70</v>
          </cell>
          <cell r="D1963" t="str">
            <v xml:space="preserve">Kẹp treo cáp ABC cỡ 3x70mm²  </v>
          </cell>
          <cell r="E1963" t="str">
            <v>cái</v>
          </cell>
          <cell r="F1963">
            <v>23000</v>
          </cell>
        </row>
        <row r="1964">
          <cell r="B1964" t="str">
            <v>KABC95</v>
          </cell>
          <cell r="D1964" t="str">
            <v xml:space="preserve">Kẹp treo cáp ABC cỡ 3x95mm²  </v>
          </cell>
          <cell r="E1964" t="str">
            <v>cái</v>
          </cell>
          <cell r="F1964">
            <v>24000</v>
          </cell>
        </row>
        <row r="1965">
          <cell r="B1965" t="str">
            <v>KABC120</v>
          </cell>
          <cell r="D1965" t="str">
            <v xml:space="preserve">Kẹp treo cáp ABC cỡ 3x120mm²  </v>
          </cell>
          <cell r="E1965" t="str">
            <v>cái</v>
          </cell>
          <cell r="F1965">
            <v>30000</v>
          </cell>
        </row>
        <row r="1966">
          <cell r="B1966" t="str">
            <v>KDABC4x50</v>
          </cell>
          <cell r="D1966" t="str">
            <v xml:space="preserve">Kẹp dừng cáp ABC cỡ 4x50mm²  </v>
          </cell>
          <cell r="E1966" t="str">
            <v>cái</v>
          </cell>
          <cell r="F1966">
            <v>44400</v>
          </cell>
        </row>
        <row r="1967">
          <cell r="B1967" t="str">
            <v>KDABC4x70</v>
          </cell>
          <cell r="D1967" t="str">
            <v xml:space="preserve">Kẹp dừng cáp ABC cỡ 4x70mm²  </v>
          </cell>
          <cell r="E1967" t="str">
            <v>cái</v>
          </cell>
          <cell r="F1967">
            <v>62600</v>
          </cell>
        </row>
        <row r="1968">
          <cell r="B1968" t="str">
            <v>KDABC4x95</v>
          </cell>
          <cell r="D1968" t="str">
            <v xml:space="preserve">Kẹp dừng cáp ABC cỡ 4x95mm²  </v>
          </cell>
          <cell r="E1968" t="str">
            <v>cái</v>
          </cell>
          <cell r="F1968">
            <v>62600</v>
          </cell>
        </row>
        <row r="1969">
          <cell r="B1969" t="str">
            <v>KDABC4x120</v>
          </cell>
          <cell r="D1969" t="str">
            <v xml:space="preserve">Kẹp dừng cáp ABC cỡ 4x120mm²  </v>
          </cell>
          <cell r="E1969" t="str">
            <v>cái</v>
          </cell>
          <cell r="F1969">
            <v>76300</v>
          </cell>
        </row>
        <row r="1970">
          <cell r="B1970" t="str">
            <v>KDABC4x150</v>
          </cell>
          <cell r="D1970" t="str">
            <v xml:space="preserve">Kẹp dừng cáp ABC cỡ 4x150mm²  </v>
          </cell>
          <cell r="E1970" t="str">
            <v>cái</v>
          </cell>
          <cell r="F1970">
            <v>102850</v>
          </cell>
        </row>
        <row r="1971">
          <cell r="B1971" t="str">
            <v>KDABC2x50</v>
          </cell>
          <cell r="D1971" t="str">
            <v xml:space="preserve">Kẹp dừng cáp ABC cỡ 2x50mm²  </v>
          </cell>
          <cell r="E1971" t="str">
            <v>cái</v>
          </cell>
        </row>
        <row r="1972">
          <cell r="B1972" t="str">
            <v>KDABC2x70</v>
          </cell>
          <cell r="D1972" t="str">
            <v xml:space="preserve">Kẹp dừng cáp ABC cỡ 2x70mm²  </v>
          </cell>
          <cell r="E1972" t="str">
            <v>cái</v>
          </cell>
        </row>
        <row r="1973">
          <cell r="B1973" t="str">
            <v>KDABC2x95</v>
          </cell>
          <cell r="D1973" t="str">
            <v xml:space="preserve">Kẹp dừng cáp ABC cỡ 2x95mm²  </v>
          </cell>
          <cell r="E1973" t="str">
            <v>cái</v>
          </cell>
        </row>
        <row r="1974">
          <cell r="B1974" t="str">
            <v>KDABC2x120</v>
          </cell>
          <cell r="D1974" t="str">
            <v xml:space="preserve">Kẹp dừng cáp ABC cỡ 2x120mm²  </v>
          </cell>
          <cell r="E1974" t="str">
            <v>cái</v>
          </cell>
          <cell r="F1974">
            <v>76300</v>
          </cell>
        </row>
        <row r="1975">
          <cell r="B1975" t="str">
            <v>KDABC50</v>
          </cell>
          <cell r="D1975" t="str">
            <v xml:space="preserve">Kẹp dừng cáp ABC cỡ 3x50mm²  </v>
          </cell>
          <cell r="E1975" t="str">
            <v>cái</v>
          </cell>
          <cell r="F1975">
            <v>0</v>
          </cell>
        </row>
        <row r="1976">
          <cell r="B1976" t="str">
            <v>KDABC70</v>
          </cell>
          <cell r="D1976" t="str">
            <v xml:space="preserve">Kẹp dừng cáp ABC cỡ 3x70mm²  </v>
          </cell>
          <cell r="E1976" t="str">
            <v>cái</v>
          </cell>
          <cell r="F1976">
            <v>0</v>
          </cell>
        </row>
        <row r="1977">
          <cell r="B1977" t="str">
            <v>KDABC95</v>
          </cell>
          <cell r="D1977" t="str">
            <v xml:space="preserve">Kẹp dừng cáp ABC cỡ 3x95mm²  </v>
          </cell>
          <cell r="E1977" t="str">
            <v>cái</v>
          </cell>
          <cell r="F1977">
            <v>62600</v>
          </cell>
        </row>
        <row r="1978">
          <cell r="B1978" t="str">
            <v>KDABC120</v>
          </cell>
          <cell r="D1978" t="str">
            <v xml:space="preserve">Kẹp dừng cáp ABC cỡ 3x120mm²  </v>
          </cell>
          <cell r="E1978" t="str">
            <v>cái</v>
          </cell>
          <cell r="F1978">
            <v>76300</v>
          </cell>
        </row>
        <row r="1979">
          <cell r="B1979" t="str">
            <v>GMC50</v>
          </cell>
          <cell r="D1979" t="str">
            <v>Giá móc cáp bọc vặn xoắn cỡ dây 50mm²</v>
          </cell>
          <cell r="E1979" t="str">
            <v>cái</v>
          </cell>
          <cell r="F1979">
            <v>0</v>
          </cell>
        </row>
        <row r="1980">
          <cell r="B1980" t="str">
            <v>GMC70</v>
          </cell>
          <cell r="D1980" t="str">
            <v>Giá móc cáp bọc vặn xoắn cỡ dây 70mm²</v>
          </cell>
          <cell r="E1980" t="str">
            <v>cái</v>
          </cell>
          <cell r="F1980">
            <v>0</v>
          </cell>
        </row>
        <row r="1981">
          <cell r="B1981" t="str">
            <v>GMC95</v>
          </cell>
          <cell r="D1981" t="str">
            <v>Giá móc cáp bọc vặn xoắn cỡ dây 95mm²</v>
          </cell>
          <cell r="E1981" t="str">
            <v>cái</v>
          </cell>
          <cell r="F1981">
            <v>0</v>
          </cell>
        </row>
        <row r="1982">
          <cell r="B1982" t="str">
            <v>GMC120</v>
          </cell>
          <cell r="D1982" t="str">
            <v>Giá móc cáp bọc vặn xoắn cỡ dây 120mm²</v>
          </cell>
          <cell r="E1982" t="str">
            <v>cái</v>
          </cell>
          <cell r="F1982">
            <v>0</v>
          </cell>
        </row>
        <row r="1983">
          <cell r="B1983" t="str">
            <v>NBABC50</v>
          </cell>
          <cell r="D1983" t="str">
            <v xml:space="preserve">Nắp bịt cáp ABC cỡ 50mm²  </v>
          </cell>
          <cell r="E1983" t="str">
            <v>cái</v>
          </cell>
          <cell r="F1983">
            <v>2000</v>
          </cell>
        </row>
        <row r="1984">
          <cell r="B1984" t="str">
            <v>NBABC70</v>
          </cell>
          <cell r="D1984" t="str">
            <v xml:space="preserve">Nắp bịt cáp ABC cỡ 70mm²  </v>
          </cell>
          <cell r="E1984" t="str">
            <v>cái</v>
          </cell>
          <cell r="F1984">
            <v>2000</v>
          </cell>
        </row>
        <row r="1985">
          <cell r="B1985" t="str">
            <v>NBABC95</v>
          </cell>
          <cell r="D1985" t="str">
            <v xml:space="preserve">Nắp bịt cáp ABC cỡ 95mm²  </v>
          </cell>
          <cell r="E1985" t="str">
            <v>cái</v>
          </cell>
          <cell r="F1985">
            <v>2000</v>
          </cell>
        </row>
        <row r="1986">
          <cell r="B1986" t="str">
            <v>NBABC120</v>
          </cell>
          <cell r="D1986" t="str">
            <v xml:space="preserve">Nắp bịt cáp ABC cỡ 120mm²  </v>
          </cell>
          <cell r="E1986" t="str">
            <v>cái</v>
          </cell>
          <cell r="F1986">
            <v>2000</v>
          </cell>
        </row>
        <row r="1987">
          <cell r="B1987" t="str">
            <v>NBABC150</v>
          </cell>
          <cell r="D1987" t="str">
            <v xml:space="preserve">Nắp bịt cáp ABC cỡ 150mm²  </v>
          </cell>
          <cell r="E1987" t="str">
            <v>cái</v>
          </cell>
          <cell r="F1987">
            <v>80630</v>
          </cell>
        </row>
        <row r="1988">
          <cell r="B1988" t="str">
            <v>NCMBA</v>
          </cell>
          <cell r="D1988" t="str">
            <v>Chụp bảo vệ MBA</v>
          </cell>
          <cell r="E1988" t="str">
            <v>cái</v>
          </cell>
          <cell r="F1988">
            <v>68400</v>
          </cell>
        </row>
        <row r="1989">
          <cell r="B1989" t="str">
            <v>NCLA</v>
          </cell>
          <cell r="D1989" t="str">
            <v>Chụp bảo vệ LA</v>
          </cell>
          <cell r="E1989" t="str">
            <v>cái</v>
          </cell>
          <cell r="F1989">
            <v>18000</v>
          </cell>
        </row>
        <row r="1990">
          <cell r="B1990" t="str">
            <v>NCFCO</v>
          </cell>
          <cell r="D1990" t="str">
            <v>Chụp bảo vệ FCO-LBFCO</v>
          </cell>
          <cell r="E1990" t="str">
            <v>cái</v>
          </cell>
          <cell r="F1990">
            <v>51944</v>
          </cell>
        </row>
        <row r="1991">
          <cell r="B1991" t="str">
            <v>NC</v>
          </cell>
          <cell r="D1991" t="str">
            <v>Nắp chụp kẹp quai</v>
          </cell>
          <cell r="E1991" t="str">
            <v>cái</v>
          </cell>
          <cell r="F1991">
            <v>180481</v>
          </cell>
        </row>
        <row r="1992">
          <cell r="B1992" t="str">
            <v>DKTB</v>
          </cell>
          <cell r="C1992" t="str">
            <v>TT</v>
          </cell>
          <cell r="D1992" t="str">
            <v>Điện kế trọn bộ</v>
          </cell>
          <cell r="E1992" t="str">
            <v>bộ</v>
          </cell>
          <cell r="F1992">
            <v>0</v>
          </cell>
        </row>
        <row r="1993">
          <cell r="B1993" t="str">
            <v>hopsilicon</v>
          </cell>
          <cell r="D1993" t="str">
            <v>Hộp Silicon</v>
          </cell>
          <cell r="E1993" t="str">
            <v>hộp</v>
          </cell>
          <cell r="F1993">
            <v>50000</v>
          </cell>
        </row>
        <row r="1994">
          <cell r="B1994" t="str">
            <v>COMPOUND</v>
          </cell>
          <cell r="D1994" t="str">
            <v>COMPOUND</v>
          </cell>
          <cell r="E1994" t="str">
            <v>hộp</v>
          </cell>
          <cell r="F1994">
            <v>50000</v>
          </cell>
        </row>
        <row r="1995">
          <cell r="B1995" t="str">
            <v>tre</v>
          </cell>
          <cell r="D1995" t="str">
            <v>.Phên tre</v>
          </cell>
          <cell r="E1995" t="str">
            <v>m²</v>
          </cell>
        </row>
        <row r="1996">
          <cell r="B1996" t="str">
            <v>datset</v>
          </cell>
          <cell r="C1996" t="str">
            <v>03.2203</v>
          </cell>
          <cell r="D1996" t="str">
            <v>Mua đất sét đắp</v>
          </cell>
          <cell r="E1996" t="str">
            <v>m³</v>
          </cell>
          <cell r="H1996">
            <v>21931</v>
          </cell>
        </row>
        <row r="1997">
          <cell r="B1997" t="str">
            <v>bomnuoc</v>
          </cell>
          <cell r="C1997" t="str">
            <v>03.5100</v>
          </cell>
          <cell r="D1997" t="str">
            <v>Bơm tát nước hố móng</v>
          </cell>
          <cell r="E1997" t="str">
            <v>m³</v>
          </cell>
          <cell r="H1997">
            <v>11736</v>
          </cell>
        </row>
        <row r="1998">
          <cell r="B1998" t="str">
            <v>kep</v>
          </cell>
          <cell r="C1998" t="str">
            <v>TT</v>
          </cell>
          <cell r="D1998" t="str">
            <v>Kẹp cố định ống sắt vào tường hay gỗ (sắt PL)</v>
          </cell>
          <cell r="E1998" t="str">
            <v>bộ</v>
          </cell>
        </row>
        <row r="1999">
          <cell r="B1999" t="str">
            <v>vit</v>
          </cell>
          <cell r="C1999" t="str">
            <v>TT</v>
          </cell>
          <cell r="D1999" t="str">
            <v>Vit 5 x 50 + ronden + tắc kê</v>
          </cell>
          <cell r="E1999" t="str">
            <v>bộ</v>
          </cell>
        </row>
        <row r="2000">
          <cell r="B2000" t="str">
            <v>congtac</v>
          </cell>
          <cell r="C2000" t="str">
            <v>TT</v>
          </cell>
          <cell r="D2000" t="str">
            <v>Công tắc Voltmeter</v>
          </cell>
          <cell r="E2000" t="str">
            <v>cái</v>
          </cell>
          <cell r="H2000">
            <v>1000</v>
          </cell>
        </row>
        <row r="2001">
          <cell r="B2001" t="str">
            <v>GneoCH</v>
          </cell>
          <cell r="D2001" t="str">
            <v>Giáp néo cho dây thép chằng 3/8" - 5/8"</v>
          </cell>
          <cell r="E2001" t="str">
            <v>cái</v>
          </cell>
          <cell r="F2001">
            <v>0</v>
          </cell>
        </row>
        <row r="2002">
          <cell r="B2002" t="str">
            <v>Gneo</v>
          </cell>
          <cell r="D2002" t="str">
            <v>Giáp néo cho dây 50</v>
          </cell>
          <cell r="E2002" t="str">
            <v>cái</v>
          </cell>
          <cell r="F2002">
            <v>79100</v>
          </cell>
        </row>
        <row r="2003">
          <cell r="B2003" t="str">
            <v>Gneo70</v>
          </cell>
          <cell r="D2003" t="str">
            <v>Giáp néo cỡ dây 70</v>
          </cell>
          <cell r="E2003" t="str">
            <v>cái</v>
          </cell>
          <cell r="F2003">
            <v>80800</v>
          </cell>
        </row>
        <row r="2004">
          <cell r="B2004" t="str">
            <v>Gneo95</v>
          </cell>
          <cell r="D2004" t="str">
            <v>Giáp néo cỡ dây 95</v>
          </cell>
          <cell r="E2004" t="str">
            <v>cái</v>
          </cell>
          <cell r="F2004">
            <v>106600</v>
          </cell>
        </row>
        <row r="2005">
          <cell r="B2005" t="str">
            <v>Gneo120</v>
          </cell>
          <cell r="D2005" t="str">
            <v>Giáp néo cỡ dây 120</v>
          </cell>
          <cell r="E2005" t="str">
            <v>cái</v>
          </cell>
          <cell r="F2005">
            <v>127000</v>
          </cell>
        </row>
        <row r="2006">
          <cell r="B2006" t="str">
            <v>Gneo150</v>
          </cell>
          <cell r="D2006" t="str">
            <v>Giáp néo cỡ dây 150</v>
          </cell>
          <cell r="E2006" t="str">
            <v>cái</v>
          </cell>
          <cell r="F2006">
            <v>147500</v>
          </cell>
        </row>
        <row r="2007">
          <cell r="B2007" t="str">
            <v>Gneo185</v>
          </cell>
          <cell r="D2007" t="str">
            <v>Giáp néo cỡ dây 185</v>
          </cell>
          <cell r="E2007" t="str">
            <v>cái</v>
          </cell>
          <cell r="F2007">
            <v>231100</v>
          </cell>
        </row>
        <row r="2008">
          <cell r="B2008" t="str">
            <v>Gneo240</v>
          </cell>
          <cell r="D2008" t="str">
            <v>Giáp néo cỡ dây 240</v>
          </cell>
          <cell r="E2008" t="str">
            <v>cái</v>
          </cell>
          <cell r="F2008">
            <v>293200</v>
          </cell>
        </row>
        <row r="2009">
          <cell r="B2009" t="str">
            <v>GneoACX50</v>
          </cell>
          <cell r="D2009" t="str">
            <v>Giáp néo cho dây ACXH50</v>
          </cell>
          <cell r="E2009" t="str">
            <v>cái</v>
          </cell>
          <cell r="F2009">
            <v>318600</v>
          </cell>
        </row>
        <row r="2010">
          <cell r="B2010" t="str">
            <v>GneoACX70</v>
          </cell>
          <cell r="D2010" t="str">
            <v>Giáp néo cỡ dây ACX70</v>
          </cell>
          <cell r="E2010" t="str">
            <v>cái</v>
          </cell>
          <cell r="F2010">
            <v>373300</v>
          </cell>
        </row>
        <row r="2011">
          <cell r="B2011" t="str">
            <v>GneoACX95</v>
          </cell>
          <cell r="D2011" t="str">
            <v>Giáp néo cỡ dây ACX95</v>
          </cell>
          <cell r="E2011" t="str">
            <v>cái</v>
          </cell>
          <cell r="F2011">
            <v>373300</v>
          </cell>
        </row>
        <row r="2012">
          <cell r="B2012" t="str">
            <v>GneoACX120</v>
          </cell>
          <cell r="D2012" t="str">
            <v>Giáp néo cỡ dây ACX120</v>
          </cell>
          <cell r="E2012" t="str">
            <v>cái</v>
          </cell>
          <cell r="F2012">
            <v>444500</v>
          </cell>
        </row>
        <row r="2013">
          <cell r="B2013" t="str">
            <v>GneoACX150</v>
          </cell>
          <cell r="D2013" t="str">
            <v>Giáp néo cỡ dây ACX150</v>
          </cell>
          <cell r="E2013" t="str">
            <v>cái</v>
          </cell>
          <cell r="F2013">
            <v>497800</v>
          </cell>
        </row>
        <row r="2014">
          <cell r="B2014" t="str">
            <v>GneoACX185</v>
          </cell>
          <cell r="D2014" t="str">
            <v>Giáp néo cỡ dây ACX185</v>
          </cell>
          <cell r="E2014" t="str">
            <v>cái</v>
          </cell>
          <cell r="F2014">
            <v>515600</v>
          </cell>
        </row>
        <row r="2015">
          <cell r="B2015" t="str">
            <v>GneoACX240</v>
          </cell>
          <cell r="D2015" t="str">
            <v>Giáp néo cỡ dây ACX240</v>
          </cell>
          <cell r="E2015" t="str">
            <v>cái</v>
          </cell>
          <cell r="F2015">
            <v>524300</v>
          </cell>
        </row>
        <row r="2016">
          <cell r="B2016" t="str">
            <v>GNoiACX50</v>
          </cell>
          <cell r="D2016" t="str">
            <v>Giáp nối cho dây ACX50</v>
          </cell>
          <cell r="E2016" t="str">
            <v>cái</v>
          </cell>
          <cell r="F2016">
            <v>0</v>
          </cell>
        </row>
        <row r="2017">
          <cell r="B2017" t="str">
            <v>GNoiACX70</v>
          </cell>
          <cell r="D2017" t="str">
            <v>Giáp nối cho dây ACX70</v>
          </cell>
          <cell r="E2017" t="str">
            <v>cái</v>
          </cell>
          <cell r="F2017">
            <v>0</v>
          </cell>
        </row>
        <row r="2018">
          <cell r="B2018" t="str">
            <v>GNoiACX95</v>
          </cell>
          <cell r="D2018" t="str">
            <v>Giáp nối cho dây ACX95</v>
          </cell>
          <cell r="E2018" t="str">
            <v>cái</v>
          </cell>
          <cell r="F2018">
            <v>0</v>
          </cell>
        </row>
        <row r="2019">
          <cell r="B2019" t="str">
            <v>GNoiACX120</v>
          </cell>
          <cell r="D2019" t="str">
            <v>Giáp nối cho dây ACX120</v>
          </cell>
          <cell r="E2019" t="str">
            <v>cái</v>
          </cell>
          <cell r="F2019">
            <v>0</v>
          </cell>
        </row>
        <row r="2020">
          <cell r="B2020" t="str">
            <v>GNoiACX150</v>
          </cell>
          <cell r="D2020" t="str">
            <v>Giáp nối cho dây ACX150</v>
          </cell>
          <cell r="E2020" t="str">
            <v>cái</v>
          </cell>
          <cell r="F2020">
            <v>0</v>
          </cell>
        </row>
        <row r="2021">
          <cell r="B2021" t="str">
            <v>GNoiACX185</v>
          </cell>
          <cell r="D2021" t="str">
            <v>Giáp nối cho dây ACX185, ACXH185</v>
          </cell>
          <cell r="E2021" t="str">
            <v>cái</v>
          </cell>
          <cell r="F2021">
            <v>0</v>
          </cell>
        </row>
        <row r="2022">
          <cell r="B2022" t="str">
            <v>GNoiACX240</v>
          </cell>
          <cell r="D2022" t="str">
            <v>Giáp nối cho dây ACX240</v>
          </cell>
          <cell r="E2022" t="str">
            <v>cái</v>
          </cell>
          <cell r="F2022">
            <v>0</v>
          </cell>
        </row>
        <row r="2023">
          <cell r="B2023" t="str">
            <v>GNoiAC50</v>
          </cell>
          <cell r="D2023" t="str">
            <v>Giáp nối thẳng cho dây ACKP50</v>
          </cell>
          <cell r="E2023" t="str">
            <v>cái</v>
          </cell>
          <cell r="F2023">
            <v>0</v>
          </cell>
        </row>
        <row r="2024">
          <cell r="B2024" t="str">
            <v>GNoiAC70</v>
          </cell>
          <cell r="D2024" t="str">
            <v>Giáp nối cho dây AC70</v>
          </cell>
          <cell r="E2024" t="str">
            <v>cái</v>
          </cell>
          <cell r="F2024">
            <v>0</v>
          </cell>
        </row>
        <row r="2025">
          <cell r="B2025" t="str">
            <v>GNoiAC95</v>
          </cell>
          <cell r="D2025" t="str">
            <v>Giáp nối cho dây AC95</v>
          </cell>
          <cell r="E2025" t="str">
            <v>cái</v>
          </cell>
          <cell r="F2025">
            <v>0</v>
          </cell>
        </row>
        <row r="2026">
          <cell r="B2026" t="str">
            <v>GNoiAC240</v>
          </cell>
          <cell r="D2026" t="str">
            <v>Giáp nối cho dây AC240</v>
          </cell>
          <cell r="E2026" t="str">
            <v>cái</v>
          </cell>
          <cell r="F2026">
            <v>0</v>
          </cell>
        </row>
        <row r="2027">
          <cell r="B2027" t="str">
            <v>GNoiAC120</v>
          </cell>
          <cell r="D2027" t="str">
            <v>Giáp nối cho dây ACKP120</v>
          </cell>
          <cell r="E2027" t="str">
            <v>cái</v>
          </cell>
          <cell r="F2027">
            <v>0</v>
          </cell>
        </row>
        <row r="2028">
          <cell r="B2028" t="str">
            <v>GNoiAC185</v>
          </cell>
          <cell r="D2028" t="str">
            <v>Giáp nối cho dây ACKP185</v>
          </cell>
          <cell r="E2028" t="str">
            <v>cái</v>
          </cell>
          <cell r="F2028">
            <v>0</v>
          </cell>
        </row>
        <row r="2029">
          <cell r="B2029" t="str">
            <v>LĐ</v>
          </cell>
          <cell r="C2029" t="str">
            <v>TT</v>
          </cell>
          <cell r="D2029" t="str">
            <v>Long đền vuông 50x50 dày 2,5mm D18</v>
          </cell>
          <cell r="E2029" t="str">
            <v>bộ</v>
          </cell>
          <cell r="F2029">
            <v>2000</v>
          </cell>
        </row>
        <row r="2030">
          <cell r="B2030" t="str">
            <v>TLVH</v>
          </cell>
          <cell r="C2030" t="str">
            <v>TT</v>
          </cell>
          <cell r="D2030" t="str">
            <v>Tái lập vỉa hè</v>
          </cell>
          <cell r="E2030" t="str">
            <v>vị trí</v>
          </cell>
        </row>
        <row r="2031">
          <cell r="B2031" t="str">
            <v>DN1P</v>
          </cell>
          <cell r="C2031" t="str">
            <v>TT</v>
          </cell>
          <cell r="D2031" t="str">
            <v>Đấu nối TBA 1 pha</v>
          </cell>
          <cell r="E2031" t="str">
            <v>vị trí</v>
          </cell>
        </row>
        <row r="2032">
          <cell r="B2032" t="str">
            <v>DN3P</v>
          </cell>
          <cell r="C2032" t="str">
            <v>TT</v>
          </cell>
          <cell r="D2032" t="str">
            <v>Đấu nối TBA 3 pha</v>
          </cell>
          <cell r="E2032" t="str">
            <v>vị trí</v>
          </cell>
        </row>
        <row r="2033">
          <cell r="B2033" t="str">
            <v>thaotre</v>
          </cell>
          <cell r="C2033" t="str">
            <v>TT</v>
          </cell>
          <cell r="D2033" t="str">
            <v>Tháo dỡ phên tre</v>
          </cell>
          <cell r="E2033" t="str">
            <v>m²</v>
          </cell>
        </row>
        <row r="2034">
          <cell r="B2034" t="str">
            <v>thanhcu</v>
          </cell>
          <cell r="C2034" t="str">
            <v>TT</v>
          </cell>
          <cell r="D2034" t="str">
            <v>Thanh cái bằng đồng (busbar) tiết diện 5x20mm</v>
          </cell>
          <cell r="E2034" t="str">
            <v>thanh</v>
          </cell>
        </row>
        <row r="2035">
          <cell r="B2035" t="str">
            <v>den</v>
          </cell>
          <cell r="D2035" t="str">
            <v>Đèn báo pha</v>
          </cell>
          <cell r="E2035" t="str">
            <v>cái</v>
          </cell>
          <cell r="F2035">
            <v>150000</v>
          </cell>
        </row>
        <row r="2036">
          <cell r="B2036" t="str">
            <v>CHIO250</v>
          </cell>
          <cell r="D2036" t="str">
            <v>Chì ống 2A-250V (10x38)</v>
          </cell>
          <cell r="E2036" t="str">
            <v>cái</v>
          </cell>
          <cell r="F2036">
            <v>36729</v>
          </cell>
        </row>
        <row r="2037">
          <cell r="B2037" t="str">
            <v>CDK2x1,5</v>
          </cell>
          <cell r="C2037" t="str">
            <v>T4.4201</v>
          </cell>
          <cell r="D2037" t="str">
            <v>Cáp điều khiển 2x1,5mm2</v>
          </cell>
          <cell r="E2037" t="str">
            <v>mét</v>
          </cell>
          <cell r="F2037">
            <v>14110</v>
          </cell>
        </row>
        <row r="2038">
          <cell r="B2038" t="str">
            <v>CHIO250</v>
          </cell>
          <cell r="D2038" t="str">
            <v>Chì ống 2A-250V (10x38)</v>
          </cell>
          <cell r="E2038" t="str">
            <v>cái</v>
          </cell>
          <cell r="F2038">
            <v>36729</v>
          </cell>
        </row>
        <row r="2039">
          <cell r="B2039" t="str">
            <v>GD-CHI</v>
          </cell>
          <cell r="D2039" t="str">
            <v>Giá đỡ chì 3 cực (10x38)</v>
          </cell>
          <cell r="E2039" t="str">
            <v>cái</v>
          </cell>
          <cell r="F2039">
            <v>389995</v>
          </cell>
        </row>
        <row r="2040">
          <cell r="B2040" t="str">
            <v>HKDD</v>
          </cell>
          <cell r="D2040" t="str">
            <v>Hàng kẹp đấu dây nhị thứ</v>
          </cell>
          <cell r="E2040" t="str">
            <v>bộ</v>
          </cell>
          <cell r="F2040">
            <v>150000</v>
          </cell>
        </row>
        <row r="2041">
          <cell r="B2041" t="str">
            <v>GOI</v>
          </cell>
          <cell r="D2041" t="str">
            <v>Gối đỡ thanh đồng các loại</v>
          </cell>
          <cell r="E2041" t="str">
            <v>bộ</v>
          </cell>
          <cell r="F2041">
            <v>14110</v>
          </cell>
        </row>
        <row r="2042">
          <cell r="B2042" t="str">
            <v>Tdong3</v>
          </cell>
          <cell r="D2042" t="str">
            <v xml:space="preserve">Thanh cái đồng 3(2x50*8) + phụ kiện: 1 bộ </v>
          </cell>
          <cell r="E2042" t="str">
            <v>cái</v>
          </cell>
          <cell r="F2042">
            <v>1600000</v>
          </cell>
        </row>
        <row r="2043">
          <cell r="B2043" t="str">
            <v>Thanhth</v>
          </cell>
          <cell r="D2043" t="str">
            <v xml:space="preserve">Thanh trung hòa (60*8) + phụ kiện: 1 bộ </v>
          </cell>
          <cell r="E2043" t="str">
            <v>bộ</v>
          </cell>
          <cell r="F2043">
            <v>1000000</v>
          </cell>
        </row>
        <row r="2044">
          <cell r="B2044" t="str">
            <v>Tdongdn</v>
          </cell>
          <cell r="D2044" t="str">
            <v xml:space="preserve">Thanh đồng đấu nối MCCB 3(30*5) + phụ kiện: 1 bộ </v>
          </cell>
          <cell r="E2044" t="str">
            <v>bộ</v>
          </cell>
          <cell r="F2044">
            <v>1000000</v>
          </cell>
        </row>
        <row r="2045">
          <cell r="B2045" t="str">
            <v>DK3520</v>
          </cell>
          <cell r="D2045" t="str">
            <v>Công tơ điện tử 3 pha 220/380V-5A</v>
          </cell>
          <cell r="E2045" t="str">
            <v>cái</v>
          </cell>
          <cell r="F2045">
            <v>3033000</v>
          </cell>
        </row>
        <row r="2046">
          <cell r="B2046" t="str">
            <v>TUHT</v>
          </cell>
          <cell r="C2046" t="str">
            <v>T5.1001</v>
          </cell>
          <cell r="D2046" t="str">
            <v xml:space="preserve">Tủ điện hạ thế </v>
          </cell>
          <cell r="E2046" t="str">
            <v>bộ</v>
          </cell>
          <cell r="F2046">
            <v>1000000</v>
          </cell>
          <cell r="G2046">
            <v>116798</v>
          </cell>
          <cell r="H2046">
            <v>719772.5</v>
          </cell>
          <cell r="I2046">
            <v>124641.8</v>
          </cell>
        </row>
        <row r="2047">
          <cell r="B2047" t="str">
            <v>LAPTUHT</v>
          </cell>
          <cell r="C2047" t="str">
            <v>T5.1002</v>
          </cell>
          <cell r="D2047" t="str">
            <v xml:space="preserve">Lắp tủ hạ thế xoay chiều 3 pha </v>
          </cell>
          <cell r="E2047" t="str">
            <v>bộ</v>
          </cell>
          <cell r="G2047">
            <v>120648</v>
          </cell>
          <cell r="H2047">
            <v>829177.9</v>
          </cell>
          <cell r="I2047">
            <v>124641.8</v>
          </cell>
        </row>
        <row r="2048">
          <cell r="B2048" t="str">
            <v>LAPTUMBA</v>
          </cell>
          <cell r="C2048" t="str">
            <v>T5.3201</v>
          </cell>
          <cell r="D2048" t="str">
            <v>Lắp tủ bảo vệ máy biến áp, dàn tụ bù, kháng điện &lt;=35kV</v>
          </cell>
          <cell r="E2048" t="str">
            <v>bộ</v>
          </cell>
          <cell r="G2048">
            <v>22770</v>
          </cell>
          <cell r="H2048">
            <v>1295590.5</v>
          </cell>
          <cell r="I2048">
            <v>155802.29999999999</v>
          </cell>
        </row>
        <row r="2049">
          <cell r="B2049" t="str">
            <v>Gieng</v>
          </cell>
          <cell r="D2049" t="str">
            <v>Khoan giếng rộng 80-100</v>
          </cell>
          <cell r="E2049" t="str">
            <v>cái</v>
          </cell>
          <cell r="H2049">
            <v>6000000</v>
          </cell>
        </row>
        <row r="2050">
          <cell r="B2050" t="str">
            <v>GBS</v>
          </cell>
          <cell r="D2050" t="str">
            <v>Giáp buộc sứ composite cho dây ACXH50</v>
          </cell>
          <cell r="E2050" t="str">
            <v>cái</v>
          </cell>
          <cell r="F2050">
            <v>0</v>
          </cell>
        </row>
        <row r="2051">
          <cell r="B2051" t="str">
            <v>GBSPK</v>
          </cell>
          <cell r="D2051" t="str">
            <v>Giáp buộc sứ phi kim loại cho dây ACXH50</v>
          </cell>
          <cell r="E2051" t="str">
            <v>cái</v>
          </cell>
          <cell r="F2051">
            <v>52000</v>
          </cell>
        </row>
        <row r="2052">
          <cell r="B2052" t="str">
            <v>DBSPK-50</v>
          </cell>
          <cell r="D2052" t="str">
            <v>Giáp buộc sứ đơn phi từ tính cỡ dây 50m2</v>
          </cell>
          <cell r="E2052" t="str">
            <v>cái</v>
          </cell>
          <cell r="F2052">
            <v>111100</v>
          </cell>
        </row>
        <row r="2053">
          <cell r="B2053" t="str">
            <v>DBSĐPK-50</v>
          </cell>
          <cell r="D2053" t="str">
            <v>Giáp buộc sứ đôi phi từ tính cỡ dây 50m2</v>
          </cell>
          <cell r="E2053" t="str">
            <v>cái</v>
          </cell>
          <cell r="F2053">
            <v>139300</v>
          </cell>
        </row>
        <row r="2054">
          <cell r="B2054" t="str">
            <v>DBSPK-95</v>
          </cell>
          <cell r="D2054" t="str">
            <v>Giáp buộc đầu sứ đơn phi từ tính cho dây 95</v>
          </cell>
          <cell r="E2054" t="str">
            <v>cái</v>
          </cell>
          <cell r="F2054">
            <v>126600</v>
          </cell>
        </row>
        <row r="2055">
          <cell r="B2055" t="str">
            <v>DBSĐPK-95</v>
          </cell>
          <cell r="D2055" t="str">
            <v>Giáp buộc đầu sứ đôi phi từ tính cho dây 95</v>
          </cell>
          <cell r="E2055" t="str">
            <v>cái</v>
          </cell>
          <cell r="F2055">
            <v>140400</v>
          </cell>
        </row>
        <row r="2056">
          <cell r="B2056" t="str">
            <v>DBSPK</v>
          </cell>
          <cell r="D2056" t="str">
            <v>Giáp buộc đầu sứ đơn phi từ tính cho dây 185</v>
          </cell>
          <cell r="E2056" t="str">
            <v>cái</v>
          </cell>
          <cell r="F2056">
            <v>138600</v>
          </cell>
        </row>
        <row r="2057">
          <cell r="B2057" t="str">
            <v>DBSĐPK</v>
          </cell>
          <cell r="D2057" t="str">
            <v>Giáp buộc đầu sứ đôi phi từ tính cho dây 185</v>
          </cell>
          <cell r="E2057" t="str">
            <v>cái</v>
          </cell>
          <cell r="F2057">
            <v>142100</v>
          </cell>
        </row>
        <row r="2058">
          <cell r="B2058" t="str">
            <v>DBSAC95</v>
          </cell>
          <cell r="D2058" t="str">
            <v>Dây nhôm trần A95/16mm2 (buộc sứ đứng và sứ ống chỉ đỡ dây trần)</v>
          </cell>
          <cell r="E2058" t="str">
            <v>Kg</v>
          </cell>
          <cell r="F2058">
            <v>68000</v>
          </cell>
        </row>
        <row r="2059">
          <cell r="B2059" t="str">
            <v>DBS240</v>
          </cell>
          <cell r="D2059" t="str">
            <v>Dây buộc sứ cho dây cỡ 240</v>
          </cell>
          <cell r="E2059" t="str">
            <v>cái</v>
          </cell>
          <cell r="F2059">
            <v>52000</v>
          </cell>
        </row>
        <row r="2060">
          <cell r="B2060" t="str">
            <v>DBS25</v>
          </cell>
          <cell r="D2060" t="str">
            <v>Dây buộc sứ cho dây cỡ ACX25</v>
          </cell>
          <cell r="E2060" t="str">
            <v>cái</v>
          </cell>
          <cell r="F2060">
            <v>48290</v>
          </cell>
        </row>
        <row r="2061">
          <cell r="B2061" t="str">
            <v>DBS120</v>
          </cell>
          <cell r="D2061" t="str">
            <v>Dây buộc sứ cho dây cỡ 120</v>
          </cell>
          <cell r="E2061" t="str">
            <v>cái</v>
          </cell>
          <cell r="F2061">
            <v>52000</v>
          </cell>
        </row>
        <row r="2062">
          <cell r="B2062" t="str">
            <v>DBS5070</v>
          </cell>
          <cell r="D2062" t="str">
            <v>Dây buộc sứ cho dây cỡ 50-70</v>
          </cell>
          <cell r="E2062" t="str">
            <v>cái</v>
          </cell>
          <cell r="F2062">
            <v>223056</v>
          </cell>
        </row>
        <row r="2063">
          <cell r="B2063" t="str">
            <v>Gbsoc</v>
          </cell>
          <cell r="D2063" t="str">
            <v>Giáp buộc cho dây AC50 trên cổ sứ ống chỉ</v>
          </cell>
          <cell r="E2063" t="str">
            <v>cái</v>
          </cell>
          <cell r="F2063">
            <v>52000</v>
          </cell>
        </row>
        <row r="2064">
          <cell r="B2064" t="str">
            <v>GBDS 50</v>
          </cell>
          <cell r="D2064" t="str">
            <v>Giáp buộc đầu sứ Composite cho dây 50-70mm2 (loại đơn)</v>
          </cell>
          <cell r="E2064" t="str">
            <v>cái</v>
          </cell>
          <cell r="F2064">
            <v>66000</v>
          </cell>
        </row>
        <row r="2065">
          <cell r="B2065" t="str">
            <v>GBCSk 50</v>
          </cell>
          <cell r="D2065" t="str">
            <v>Giáp buộc cổ sứ đôi composite cho dây ACXH50 (bán dẫn)</v>
          </cell>
          <cell r="E2065" t="str">
            <v>cái</v>
          </cell>
          <cell r="F2065">
            <v>223056</v>
          </cell>
        </row>
        <row r="2066">
          <cell r="B2066" t="str">
            <v>GBDS 95</v>
          </cell>
          <cell r="D2066" t="str">
            <v>Giáp buộc đầu sứ Compositecho dây 95-120mm2 (loại đơn)</v>
          </cell>
          <cell r="E2066" t="str">
            <v>kg</v>
          </cell>
          <cell r="F2066">
            <v>66000</v>
          </cell>
        </row>
        <row r="2067">
          <cell r="B2067" t="str">
            <v>GBDS 120</v>
          </cell>
          <cell r="D2067" t="str">
            <v>Giáp buộc đầu sứ Compositecho dây 120mm2 (loại đơn)</v>
          </cell>
          <cell r="E2067" t="str">
            <v>cái</v>
          </cell>
          <cell r="F2067">
            <v>67000</v>
          </cell>
        </row>
        <row r="2068">
          <cell r="B2068" t="str">
            <v>GBCS ACX50</v>
          </cell>
          <cell r="D2068" t="str">
            <v>Giáp buộc đầu sứ đơn composite cho dây ACXH50 (bán dẫn)</v>
          </cell>
          <cell r="E2068" t="str">
            <v>cái</v>
          </cell>
          <cell r="F2068">
            <v>213889</v>
          </cell>
        </row>
        <row r="2069">
          <cell r="B2069" t="str">
            <v>GBCS 50</v>
          </cell>
          <cell r="D2069" t="str">
            <v>Giáp buộc cổ sứ sứ Composite cho dây 50-70mm2 (loại đơn)</v>
          </cell>
          <cell r="E2069" t="str">
            <v>cái</v>
          </cell>
          <cell r="F2069">
            <v>142300</v>
          </cell>
        </row>
        <row r="2070">
          <cell r="B2070" t="str">
            <v>GBCS 95</v>
          </cell>
          <cell r="D2070" t="str">
            <v>Giáp buộc cổ sứ sứ Composite cho dây 95-120mm2 (loại đơn)</v>
          </cell>
          <cell r="E2070" t="str">
            <v>cái</v>
          </cell>
          <cell r="F2070">
            <v>145300</v>
          </cell>
        </row>
        <row r="2071">
          <cell r="B2071" t="str">
            <v>GBCS 50d</v>
          </cell>
          <cell r="D2071" t="str">
            <v>Giáp buộc cổ sứ Composite cho dây 50-70mm2 (loại đôi)</v>
          </cell>
          <cell r="E2071" t="str">
            <v>cái</v>
          </cell>
          <cell r="F2071">
            <v>109000</v>
          </cell>
        </row>
        <row r="2072">
          <cell r="B2072" t="str">
            <v>GBCS 95d</v>
          </cell>
          <cell r="D2072" t="str">
            <v>Giáp buộc cổ sứ Composite cho dây 95-120mm2 (loại đôi)</v>
          </cell>
          <cell r="E2072" t="str">
            <v>cái</v>
          </cell>
          <cell r="F2072">
            <v>118000</v>
          </cell>
        </row>
        <row r="2073">
          <cell r="B2073" t="str">
            <v>GBCS 120</v>
          </cell>
          <cell r="D2073" t="str">
            <v>Giáp buộc cổ sứ cho dây AC120</v>
          </cell>
          <cell r="E2073" t="str">
            <v>cái</v>
          </cell>
          <cell r="F2073">
            <v>52000</v>
          </cell>
        </row>
        <row r="2074">
          <cell r="B2074" t="str">
            <v>GBCS 150</v>
          </cell>
          <cell r="D2074" t="str">
            <v>Giáp buộc cổ sứ cho dây AC150</v>
          </cell>
          <cell r="E2074" t="str">
            <v>cái</v>
          </cell>
          <cell r="F2074">
            <v>52000</v>
          </cell>
        </row>
        <row r="2075">
          <cell r="B2075" t="str">
            <v>GBCS 185</v>
          </cell>
          <cell r="D2075" t="str">
            <v>Giáp buộc cổ sứ cho dây ACXH185</v>
          </cell>
          <cell r="E2075" t="str">
            <v>cái</v>
          </cell>
          <cell r="F2075">
            <v>52000</v>
          </cell>
        </row>
        <row r="2076">
          <cell r="B2076" t="str">
            <v>GBCS 240</v>
          </cell>
          <cell r="D2076" t="str">
            <v>Giáp buộc cổ sứ cho dây AC240</v>
          </cell>
          <cell r="E2076" t="str">
            <v>cái</v>
          </cell>
          <cell r="F2076">
            <v>52000</v>
          </cell>
        </row>
        <row r="2077">
          <cell r="B2077" t="str">
            <v>ABCD</v>
          </cell>
          <cell r="C2077">
            <v>0</v>
          </cell>
          <cell r="D2077">
            <v>0</v>
          </cell>
          <cell r="E2077">
            <v>0</v>
          </cell>
          <cell r="G2077">
            <v>0</v>
          </cell>
          <cell r="H2077">
            <v>0</v>
          </cell>
          <cell r="I2077">
            <v>0</v>
          </cell>
          <cell r="J2077">
            <v>0</v>
          </cell>
        </row>
        <row r="2078">
          <cell r="F2078">
            <v>0</v>
          </cell>
        </row>
        <row r="2079">
          <cell r="F2079">
            <v>0</v>
          </cell>
        </row>
        <row r="2080">
          <cell r="B2080" t="str">
            <v>phada</v>
          </cell>
          <cell r="C2080" t="str">
            <v>03.8138</v>
          </cell>
          <cell r="D2080" t="str">
            <v>Đục phá đá tổ ong</v>
          </cell>
          <cell r="E2080" t="str">
            <v>m³</v>
          </cell>
          <cell r="H2080">
            <v>158256</v>
          </cell>
        </row>
        <row r="2081">
          <cell r="F2081">
            <v>0</v>
          </cell>
        </row>
      </sheetData>
      <sheetData sheetId="12">
        <row r="4">
          <cell r="J4">
            <v>0</v>
          </cell>
        </row>
      </sheetData>
      <sheetData sheetId="13"/>
      <sheetData sheetId="14"/>
      <sheetData sheetId="15"/>
      <sheetData sheetId="16"/>
      <sheetData sheetId="17"/>
      <sheetData sheetId="18"/>
      <sheetData sheetId="19">
        <row r="10">
          <cell r="F10">
            <v>8002352667</v>
          </cell>
        </row>
      </sheetData>
      <sheetData sheetId="20"/>
      <sheetData sheetId="21"/>
      <sheetData sheetId="22"/>
      <sheetData sheetId="23"/>
      <sheetData sheetId="24"/>
      <sheetData sheetId="25"/>
      <sheetData sheetId="26"/>
      <sheetData sheetId="27"/>
      <sheetData sheetId="28"/>
      <sheetData sheetId="29"/>
      <sheetData sheetId="30">
        <row r="15">
          <cell r="C15" t="str">
            <v>MDC14-2(TC)</v>
          </cell>
        </row>
      </sheetData>
      <sheetData sheetId="31">
        <row r="15">
          <cell r="C15" t="str">
            <v>M8a(tc)</v>
          </cell>
        </row>
      </sheetData>
      <sheetData sheetId="32">
        <row r="15">
          <cell r="C15" t="str">
            <v>MBT8,5(M)</v>
          </cell>
        </row>
      </sheetData>
      <sheetData sheetId="33">
        <row r="13">
          <cell r="C13" t="str">
            <v>M7a(tc)</v>
          </cell>
        </row>
      </sheetData>
      <sheetData sheetId="34">
        <row r="21">
          <cell r="A21" t="str">
            <v/>
          </cell>
        </row>
      </sheetData>
      <sheetData sheetId="35"/>
      <sheetData sheetId="36"/>
      <sheetData sheetId="37">
        <row r="15">
          <cell r="C15" t="str">
            <v>GKC</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VnTools-Excel"/>
    </sheetNames>
    <definedNames>
      <definedName name="VND"/>
    </definedNames>
    <sheetDataSet>
      <sheetData sheetId="0"/>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oleObject" Target="../embeddings/oleObject1.bin"/><Relationship Id="rId7"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image" Target="../media/image2.emf"/><Relationship Id="rId11" Type="http://schemas.openxmlformats.org/officeDocument/2006/relationships/comments" Target="../comments3.xml"/><Relationship Id="rId5" Type="http://schemas.openxmlformats.org/officeDocument/2006/relationships/oleObject" Target="../embeddings/oleObject2.bin"/><Relationship Id="rId10" Type="http://schemas.openxmlformats.org/officeDocument/2006/relationships/image" Target="../media/image4.emf"/><Relationship Id="rId4" Type="http://schemas.openxmlformats.org/officeDocument/2006/relationships/image" Target="../media/image1.emf"/><Relationship Id="rId9" Type="http://schemas.openxmlformats.org/officeDocument/2006/relationships/oleObject" Target="../embeddings/oleObject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image" Target="../media/image9.emf"/><Relationship Id="rId18" Type="http://schemas.openxmlformats.org/officeDocument/2006/relationships/oleObject" Target="../embeddings/oleObject12.bin"/><Relationship Id="rId26" Type="http://schemas.openxmlformats.org/officeDocument/2006/relationships/image" Target="../media/image2.emf"/><Relationship Id="rId3" Type="http://schemas.openxmlformats.org/officeDocument/2006/relationships/vmlDrawing" Target="../drawings/vmlDrawing4.vml"/><Relationship Id="rId21" Type="http://schemas.openxmlformats.org/officeDocument/2006/relationships/image" Target="../media/image13.emf"/><Relationship Id="rId7" Type="http://schemas.openxmlformats.org/officeDocument/2006/relationships/image" Target="../media/image7.emf"/><Relationship Id="rId12" Type="http://schemas.openxmlformats.org/officeDocument/2006/relationships/oleObject" Target="../embeddings/oleObject9.bin"/><Relationship Id="rId17" Type="http://schemas.openxmlformats.org/officeDocument/2006/relationships/image" Target="../media/image11.emf"/><Relationship Id="rId25" Type="http://schemas.openxmlformats.org/officeDocument/2006/relationships/oleObject" Target="../embeddings/oleObject16.bin"/><Relationship Id="rId2" Type="http://schemas.openxmlformats.org/officeDocument/2006/relationships/drawing" Target="../drawings/drawing4.xml"/><Relationship Id="rId16" Type="http://schemas.openxmlformats.org/officeDocument/2006/relationships/oleObject" Target="../embeddings/oleObject11.bin"/><Relationship Id="rId20" Type="http://schemas.openxmlformats.org/officeDocument/2006/relationships/oleObject" Target="../embeddings/oleObject13.bin"/><Relationship Id="rId29" Type="http://schemas.openxmlformats.org/officeDocument/2006/relationships/oleObject" Target="../embeddings/oleObject18.bin"/><Relationship Id="rId1" Type="http://schemas.openxmlformats.org/officeDocument/2006/relationships/printerSettings" Target="../printerSettings/printerSettings3.bin"/><Relationship Id="rId6" Type="http://schemas.openxmlformats.org/officeDocument/2006/relationships/oleObject" Target="../embeddings/oleObject6.bin"/><Relationship Id="rId11" Type="http://schemas.openxmlformats.org/officeDocument/2006/relationships/image" Target="../media/image8.emf"/><Relationship Id="rId24" Type="http://schemas.openxmlformats.org/officeDocument/2006/relationships/image" Target="../media/image14.emf"/><Relationship Id="rId5" Type="http://schemas.openxmlformats.org/officeDocument/2006/relationships/image" Target="../media/image6.emf"/><Relationship Id="rId15" Type="http://schemas.openxmlformats.org/officeDocument/2006/relationships/image" Target="../media/image10.emf"/><Relationship Id="rId23" Type="http://schemas.openxmlformats.org/officeDocument/2006/relationships/oleObject" Target="../embeddings/oleObject15.bin"/><Relationship Id="rId28" Type="http://schemas.openxmlformats.org/officeDocument/2006/relationships/image" Target="../media/image3.emf"/><Relationship Id="rId10" Type="http://schemas.openxmlformats.org/officeDocument/2006/relationships/oleObject" Target="../embeddings/oleObject8.bin"/><Relationship Id="rId19" Type="http://schemas.openxmlformats.org/officeDocument/2006/relationships/image" Target="../media/image12.emf"/><Relationship Id="rId31" Type="http://schemas.openxmlformats.org/officeDocument/2006/relationships/comments" Target="../comments4.xml"/><Relationship Id="rId4" Type="http://schemas.openxmlformats.org/officeDocument/2006/relationships/oleObject" Target="../embeddings/oleObject5.bin"/><Relationship Id="rId9" Type="http://schemas.openxmlformats.org/officeDocument/2006/relationships/image" Target="../media/image1.emf"/><Relationship Id="rId14" Type="http://schemas.openxmlformats.org/officeDocument/2006/relationships/oleObject" Target="../embeddings/oleObject10.bin"/><Relationship Id="rId22" Type="http://schemas.openxmlformats.org/officeDocument/2006/relationships/oleObject" Target="../embeddings/oleObject14.bin"/><Relationship Id="rId27" Type="http://schemas.openxmlformats.org/officeDocument/2006/relationships/oleObject" Target="../embeddings/oleObject17.bin"/><Relationship Id="rId30" Type="http://schemas.openxmlformats.org/officeDocument/2006/relationships/image" Target="../media/image4.emf"/></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DV206"/>
  <sheetViews>
    <sheetView showGridLines="0" showRuler="0" view="pageLayout" zoomScale="80" zoomScaleNormal="100" zoomScalePageLayoutView="80" workbookViewId="0">
      <selection activeCell="U5" sqref="U5:BX5"/>
    </sheetView>
  </sheetViews>
  <sheetFormatPr defaultColWidth="0" defaultRowHeight="20.100000000000001" customHeight="1"/>
  <cols>
    <col min="1" max="76" width="1.83203125" style="414" customWidth="1"/>
    <col min="77" max="77" width="19.83203125" style="414" customWidth="1"/>
    <col min="78" max="78" width="13" style="414" customWidth="1"/>
    <col min="79" max="79" width="11.6640625" style="414" customWidth="1"/>
    <col min="80" max="80" width="10.33203125" style="414" customWidth="1"/>
    <col min="81" max="82" width="9.83203125" style="414" customWidth="1"/>
    <col min="83" max="84" width="8.83203125" style="414" customWidth="1"/>
    <col min="85" max="85" width="9.1640625" style="414" customWidth="1"/>
    <col min="86" max="86" width="10.1640625" style="414" customWidth="1"/>
    <col min="87" max="87" width="8.83203125" style="415" customWidth="1"/>
    <col min="88" max="88" width="10" style="414" customWidth="1"/>
    <col min="89" max="90" width="8.83203125" style="414" customWidth="1"/>
    <col min="91" max="91" width="10.33203125" style="414" customWidth="1"/>
    <col min="92" max="94" width="10.33203125" style="416" customWidth="1"/>
    <col min="95" max="97" width="9.5" style="416" customWidth="1"/>
    <col min="98" max="110" width="8.83203125" style="416" customWidth="1"/>
    <col min="111" max="126" width="8.83203125" style="416" hidden="1" customWidth="1"/>
    <col min="127" max="16384" width="1.83203125" style="416" hidden="1"/>
  </cols>
  <sheetData>
    <row r="1" spans="1:108" ht="20.100000000000001" customHeight="1">
      <c r="A1" s="766"/>
      <c r="B1" s="766"/>
      <c r="U1" s="414" t="s">
        <v>2787</v>
      </c>
      <c r="AR1" s="514"/>
      <c r="AS1" s="514"/>
      <c r="CN1" s="1845" t="s">
        <v>444</v>
      </c>
      <c r="CO1" s="1845"/>
      <c r="CP1" s="1845"/>
      <c r="CQ1" s="1845"/>
    </row>
    <row r="2" spans="1:108" ht="20.100000000000001" customHeight="1">
      <c r="A2" s="766"/>
      <c r="B2" s="766"/>
      <c r="C2" s="1744" t="s">
        <v>4016</v>
      </c>
      <c r="D2" s="1744"/>
      <c r="E2" s="1744"/>
      <c r="F2" s="1744"/>
      <c r="G2" s="1744"/>
      <c r="H2" s="1744"/>
      <c r="I2" s="1744"/>
      <c r="J2" s="1744"/>
      <c r="K2" s="1744"/>
      <c r="L2" s="1744"/>
      <c r="M2" s="1744"/>
      <c r="N2" s="1744"/>
      <c r="O2" s="1744"/>
      <c r="P2" s="1744"/>
      <c r="Q2" s="1744"/>
      <c r="R2" s="1744"/>
      <c r="S2" s="1744"/>
      <c r="T2" s="1744"/>
      <c r="U2" s="1715" t="s">
        <v>4673</v>
      </c>
      <c r="V2" s="1716"/>
      <c r="W2" s="1716"/>
      <c r="X2" s="1716"/>
      <c r="Y2" s="1716"/>
      <c r="Z2" s="1716"/>
      <c r="AA2" s="1716"/>
      <c r="AB2" s="1716"/>
      <c r="AC2" s="1717"/>
      <c r="AD2" s="880" t="s">
        <v>3110</v>
      </c>
      <c r="AE2" s="880"/>
      <c r="AF2" s="880"/>
      <c r="AG2" s="880"/>
      <c r="AH2" s="880"/>
      <c r="AI2" s="881"/>
      <c r="AJ2" s="1708">
        <v>3</v>
      </c>
      <c r="AK2" s="1709"/>
      <c r="AL2" s="1710"/>
      <c r="AM2" s="880" t="s">
        <v>3111</v>
      </c>
      <c r="AN2" s="880"/>
      <c r="AO2" s="880"/>
      <c r="AP2" s="880"/>
      <c r="AQ2" s="880"/>
      <c r="AR2" s="880"/>
      <c r="AS2" s="1708">
        <v>3</v>
      </c>
      <c r="AT2" s="1709"/>
      <c r="AU2" s="1710"/>
      <c r="AV2" s="880"/>
      <c r="AW2" s="880"/>
      <c r="AX2" s="880"/>
      <c r="AY2" s="880"/>
      <c r="AZ2" s="880"/>
      <c r="BA2" s="880"/>
      <c r="BB2" s="880"/>
      <c r="BC2" s="880"/>
      <c r="BD2" s="880"/>
      <c r="BE2" s="880"/>
      <c r="BF2" s="880"/>
      <c r="BG2" s="880"/>
      <c r="BH2" s="880"/>
      <c r="BI2" s="880"/>
      <c r="BJ2" s="880"/>
      <c r="BK2" s="880"/>
      <c r="BL2" s="880"/>
      <c r="BM2" s="880"/>
      <c r="BN2" s="880"/>
      <c r="BO2" s="880"/>
      <c r="BP2" s="880"/>
      <c r="BQ2" s="880"/>
      <c r="BR2" s="880"/>
      <c r="BS2" s="880"/>
      <c r="BT2" s="880"/>
      <c r="BU2" s="880"/>
      <c r="BV2" s="880"/>
      <c r="BW2" s="880"/>
      <c r="BX2" s="881"/>
      <c r="CG2" s="1853" t="s">
        <v>2384</v>
      </c>
      <c r="CH2" s="1853" t="s">
        <v>2386</v>
      </c>
      <c r="CI2" s="1853" t="s">
        <v>2385</v>
      </c>
      <c r="CJ2" s="1853" t="s">
        <v>2392</v>
      </c>
      <c r="CK2" s="1853" t="s">
        <v>2387</v>
      </c>
      <c r="CN2" s="1845"/>
      <c r="CO2" s="1845"/>
      <c r="CP2" s="1845"/>
      <c r="CQ2" s="1845"/>
    </row>
    <row r="3" spans="1:108" ht="20.100000000000001" customHeight="1">
      <c r="A3" s="766"/>
      <c r="B3" s="766"/>
      <c r="C3" s="1838" t="s">
        <v>4017</v>
      </c>
      <c r="D3" s="1839"/>
      <c r="E3" s="1839"/>
      <c r="F3" s="1839"/>
      <c r="G3" s="1839"/>
      <c r="H3" s="1839"/>
      <c r="I3" s="1839"/>
      <c r="J3" s="1839"/>
      <c r="K3" s="1839"/>
      <c r="L3" s="1839"/>
      <c r="M3" s="1839"/>
      <c r="N3" s="1839"/>
      <c r="O3" s="1839"/>
      <c r="P3" s="1839"/>
      <c r="Q3" s="1839"/>
      <c r="R3" s="1839"/>
      <c r="S3" s="1839"/>
      <c r="T3" s="1840"/>
      <c r="U3" s="1719" t="s">
        <v>898</v>
      </c>
      <c r="V3" s="1720"/>
      <c r="W3" s="1720"/>
      <c r="X3" s="1720"/>
      <c r="Y3" s="1720"/>
      <c r="Z3" s="1720"/>
      <c r="AA3" s="1720"/>
      <c r="AB3" s="1720"/>
      <c r="AC3" s="1720"/>
      <c r="AD3" s="1720"/>
      <c r="AE3" s="1720"/>
      <c r="AF3" s="1720"/>
      <c r="AG3" s="1720"/>
      <c r="AH3" s="1720"/>
      <c r="AI3" s="1720"/>
      <c r="AJ3" s="1720"/>
      <c r="AK3" s="1720"/>
      <c r="AL3" s="1720"/>
      <c r="AM3" s="1720"/>
      <c r="AN3" s="1720"/>
      <c r="AO3" s="1720"/>
      <c r="AP3" s="1720"/>
      <c r="AQ3" s="1720"/>
      <c r="AR3" s="1720"/>
      <c r="AS3" s="1720"/>
      <c r="AT3" s="1720"/>
      <c r="AU3" s="1720"/>
      <c r="AV3" s="1720"/>
      <c r="AW3" s="1720"/>
      <c r="AX3" s="1720"/>
      <c r="AY3" s="1720"/>
      <c r="AZ3" s="1720"/>
      <c r="BA3" s="1720"/>
      <c r="BB3" s="1720"/>
      <c r="BC3" s="1720"/>
      <c r="BD3" s="1720"/>
      <c r="BE3" s="1720"/>
      <c r="BF3" s="1720"/>
      <c r="BG3" s="1720"/>
      <c r="BH3" s="1720"/>
      <c r="BI3" s="1720"/>
      <c r="BJ3" s="1720"/>
      <c r="BK3" s="1720"/>
      <c r="BL3" s="1720"/>
      <c r="BM3" s="1720"/>
      <c r="BN3" s="1720"/>
      <c r="BO3" s="1720"/>
      <c r="BP3" s="1720"/>
      <c r="BQ3" s="1720"/>
      <c r="BR3" s="1720"/>
      <c r="BS3" s="1720"/>
      <c r="BT3" s="1720"/>
      <c r="BU3" s="1720"/>
      <c r="BV3" s="1720"/>
      <c r="BW3" s="1720"/>
      <c r="BX3" s="1721"/>
      <c r="BZ3" s="1787" t="s">
        <v>308</v>
      </c>
      <c r="CA3" s="1787"/>
      <c r="CB3" s="1811" t="s">
        <v>294</v>
      </c>
      <c r="CC3" s="1812"/>
      <c r="CD3" s="417" t="s">
        <v>307</v>
      </c>
      <c r="CG3" s="1853"/>
      <c r="CH3" s="1853"/>
      <c r="CI3" s="1853"/>
      <c r="CJ3" s="1853"/>
      <c r="CK3" s="1853"/>
      <c r="CN3" s="418" t="s">
        <v>1419</v>
      </c>
      <c r="CO3" s="418" t="s">
        <v>2848</v>
      </c>
      <c r="CP3" s="418" t="s">
        <v>2845</v>
      </c>
      <c r="CQ3" s="418" t="s">
        <v>1418</v>
      </c>
      <c r="CS3" s="419" t="s">
        <v>445</v>
      </c>
      <c r="CT3" s="419"/>
      <c r="CU3" s="419"/>
      <c r="CV3" s="419"/>
      <c r="CW3" s="418" t="s">
        <v>5706</v>
      </c>
      <c r="CX3" s="418" t="s">
        <v>5708</v>
      </c>
      <c r="CY3" s="418" t="s">
        <v>639</v>
      </c>
      <c r="CZ3" s="418" t="s">
        <v>5707</v>
      </c>
      <c r="DA3" s="418" t="s">
        <v>5248</v>
      </c>
      <c r="DB3" s="418" t="s">
        <v>5249</v>
      </c>
      <c r="DC3" s="418" t="s">
        <v>5250</v>
      </c>
      <c r="DD3" s="418" t="s">
        <v>1811</v>
      </c>
    </row>
    <row r="4" spans="1:108" ht="20.100000000000001" customHeight="1">
      <c r="A4" s="766"/>
      <c r="B4" s="766"/>
      <c r="C4" s="1841"/>
      <c r="D4" s="1842"/>
      <c r="E4" s="1842"/>
      <c r="F4" s="1842"/>
      <c r="G4" s="1842"/>
      <c r="H4" s="1842"/>
      <c r="I4" s="1842"/>
      <c r="J4" s="1842"/>
      <c r="K4" s="1842"/>
      <c r="L4" s="1842"/>
      <c r="M4" s="1842"/>
      <c r="N4" s="1842"/>
      <c r="O4" s="1842"/>
      <c r="P4" s="1842"/>
      <c r="Q4" s="1842"/>
      <c r="R4" s="1842"/>
      <c r="S4" s="1842"/>
      <c r="T4" s="1843"/>
      <c r="U4" s="1719" t="s">
        <v>899</v>
      </c>
      <c r="V4" s="1720"/>
      <c r="W4" s="1720"/>
      <c r="X4" s="1720"/>
      <c r="Y4" s="1720"/>
      <c r="Z4" s="1720"/>
      <c r="AA4" s="1720"/>
      <c r="AB4" s="1720"/>
      <c r="AC4" s="1720"/>
      <c r="AD4" s="1720"/>
      <c r="AE4" s="1720"/>
      <c r="AF4" s="1720"/>
      <c r="AG4" s="1720"/>
      <c r="AH4" s="1720"/>
      <c r="AI4" s="1720"/>
      <c r="AJ4" s="1720"/>
      <c r="AK4" s="1720"/>
      <c r="AL4" s="1720"/>
      <c r="AM4" s="1720"/>
      <c r="AN4" s="1720"/>
      <c r="AO4" s="1720"/>
      <c r="AP4" s="1720"/>
      <c r="AQ4" s="1720"/>
      <c r="AR4" s="1720"/>
      <c r="AS4" s="1720"/>
      <c r="AT4" s="1720"/>
      <c r="AU4" s="1720"/>
      <c r="AV4" s="1720"/>
      <c r="AW4" s="1720"/>
      <c r="AX4" s="1720"/>
      <c r="AY4" s="1720"/>
      <c r="AZ4" s="1720"/>
      <c r="BA4" s="1720"/>
      <c r="BB4" s="1720"/>
      <c r="BC4" s="1720"/>
      <c r="BD4" s="1720"/>
      <c r="BE4" s="1720"/>
      <c r="BF4" s="1720"/>
      <c r="BG4" s="1720"/>
      <c r="BH4" s="1720"/>
      <c r="BI4" s="1720"/>
      <c r="BJ4" s="1720"/>
      <c r="BK4" s="1720"/>
      <c r="BL4" s="1720"/>
      <c r="BM4" s="1720"/>
      <c r="BN4" s="1720"/>
      <c r="BO4" s="1720"/>
      <c r="BP4" s="1720"/>
      <c r="BQ4" s="1720"/>
      <c r="BR4" s="1720"/>
      <c r="BS4" s="1720"/>
      <c r="BT4" s="1720"/>
      <c r="BU4" s="1720"/>
      <c r="BV4" s="1720"/>
      <c r="BW4" s="1720"/>
      <c r="BX4" s="1721"/>
      <c r="BZ4" s="1784" t="s">
        <v>309</v>
      </c>
      <c r="CA4" s="420" t="s">
        <v>295</v>
      </c>
      <c r="CB4" s="1780">
        <v>320</v>
      </c>
      <c r="CC4" s="1781"/>
      <c r="CD4" s="1790">
        <v>323</v>
      </c>
      <c r="CE4" s="414" t="s">
        <v>4632</v>
      </c>
      <c r="CF4" s="414">
        <v>10.5</v>
      </c>
      <c r="CG4" s="414">
        <v>190</v>
      </c>
      <c r="CH4" s="421">
        <f>ROUND(((((CF4-CJ4)*((CI4-CG4)/2))/CF4)*2)+CG4,1)</f>
        <v>306</v>
      </c>
      <c r="CI4" s="415" t="s">
        <v>2388</v>
      </c>
      <c r="CJ4" s="414">
        <v>1.8</v>
      </c>
      <c r="CK4" s="414">
        <f>ROUND(((CG4+CH4)*10^-3)*((CF4-CJ4)/2),1)</f>
        <v>2.2000000000000002</v>
      </c>
      <c r="CL4" s="414" t="s">
        <v>22</v>
      </c>
      <c r="CN4" s="422">
        <v>1</v>
      </c>
      <c r="CO4" s="422">
        <v>2</v>
      </c>
      <c r="CP4" s="422">
        <v>3</v>
      </c>
      <c r="CQ4" s="422">
        <v>4</v>
      </c>
      <c r="CS4" s="422">
        <v>1</v>
      </c>
      <c r="CT4" s="422">
        <v>2</v>
      </c>
      <c r="CU4" s="422">
        <v>3</v>
      </c>
      <c r="CV4" s="422">
        <v>4</v>
      </c>
      <c r="CW4" s="422">
        <v>5</v>
      </c>
      <c r="CX4" s="422">
        <v>6</v>
      </c>
      <c r="CY4" s="422">
        <v>7</v>
      </c>
      <c r="CZ4" s="422">
        <v>8</v>
      </c>
      <c r="DA4" s="422">
        <v>9</v>
      </c>
      <c r="DB4" s="422">
        <v>10</v>
      </c>
      <c r="DC4" s="422">
        <v>11</v>
      </c>
      <c r="DD4" s="422">
        <v>12</v>
      </c>
    </row>
    <row r="5" spans="1:108" ht="20.100000000000001" customHeight="1">
      <c r="A5" s="766"/>
      <c r="B5" s="766"/>
      <c r="C5" s="1744" t="s">
        <v>4018</v>
      </c>
      <c r="D5" s="1744"/>
      <c r="E5" s="1744"/>
      <c r="F5" s="1744"/>
      <c r="G5" s="1744"/>
      <c r="H5" s="1744"/>
      <c r="I5" s="1744"/>
      <c r="J5" s="1744"/>
      <c r="K5" s="1744"/>
      <c r="L5" s="1744"/>
      <c r="M5" s="1744"/>
      <c r="N5" s="1744"/>
      <c r="O5" s="1744"/>
      <c r="P5" s="1744"/>
      <c r="Q5" s="1744"/>
      <c r="R5" s="1744"/>
      <c r="S5" s="1744"/>
      <c r="T5" s="1744"/>
      <c r="U5" s="1719" t="s">
        <v>897</v>
      </c>
      <c r="V5" s="1720"/>
      <c r="W5" s="1720"/>
      <c r="X5" s="1720"/>
      <c r="Y5" s="1720"/>
      <c r="Z5" s="1720"/>
      <c r="AA5" s="1720"/>
      <c r="AB5" s="1720"/>
      <c r="AC5" s="1720"/>
      <c r="AD5" s="1720"/>
      <c r="AE5" s="1720"/>
      <c r="AF5" s="1720"/>
      <c r="AG5" s="1720"/>
      <c r="AH5" s="1720"/>
      <c r="AI5" s="1720"/>
      <c r="AJ5" s="1720"/>
      <c r="AK5" s="1720"/>
      <c r="AL5" s="1720"/>
      <c r="AM5" s="1720"/>
      <c r="AN5" s="1720"/>
      <c r="AO5" s="1720"/>
      <c r="AP5" s="1720"/>
      <c r="AQ5" s="1720"/>
      <c r="AR5" s="1720"/>
      <c r="AS5" s="1720"/>
      <c r="AT5" s="1720"/>
      <c r="AU5" s="1720"/>
      <c r="AV5" s="1720"/>
      <c r="AW5" s="1720"/>
      <c r="AX5" s="1720"/>
      <c r="AY5" s="1720"/>
      <c r="AZ5" s="1720"/>
      <c r="BA5" s="1720"/>
      <c r="BB5" s="1720"/>
      <c r="BC5" s="1720"/>
      <c r="BD5" s="1720"/>
      <c r="BE5" s="1720"/>
      <c r="BF5" s="1720"/>
      <c r="BG5" s="1720"/>
      <c r="BH5" s="1720"/>
      <c r="BI5" s="1720"/>
      <c r="BJ5" s="1720"/>
      <c r="BK5" s="1720"/>
      <c r="BL5" s="1720"/>
      <c r="BM5" s="1720"/>
      <c r="BN5" s="1720"/>
      <c r="BO5" s="1720"/>
      <c r="BP5" s="1720"/>
      <c r="BQ5" s="1720"/>
      <c r="BR5" s="1720"/>
      <c r="BS5" s="1720"/>
      <c r="BT5" s="1720"/>
      <c r="BU5" s="1720"/>
      <c r="BV5" s="1720"/>
      <c r="BW5" s="1720"/>
      <c r="BX5" s="1721"/>
      <c r="BZ5" s="1784"/>
      <c r="CA5" s="423" t="s">
        <v>296</v>
      </c>
      <c r="CB5" s="1785">
        <v>420</v>
      </c>
      <c r="CC5" s="1786"/>
      <c r="CD5" s="1791"/>
      <c r="CE5" s="414" t="s">
        <v>4633</v>
      </c>
      <c r="CF5" s="414">
        <v>12</v>
      </c>
      <c r="CG5" s="414">
        <v>190</v>
      </c>
      <c r="CH5" s="421">
        <f>ROUND(((((CF5-CJ5)*((CI5-CG5)/2))/CF5)*2)+CG5,1)</f>
        <v>323.3</v>
      </c>
      <c r="CI5" s="415" t="s">
        <v>2389</v>
      </c>
      <c r="CJ5" s="414">
        <v>2</v>
      </c>
      <c r="CK5" s="414">
        <f>ROUND(((CG5+CH5)*10^-3)*((CF5-CJ5)/2),1)</f>
        <v>2.6</v>
      </c>
      <c r="CL5" s="414" t="s">
        <v>23</v>
      </c>
      <c r="CN5" s="416">
        <v>1</v>
      </c>
      <c r="CO5" s="416">
        <v>17.68</v>
      </c>
      <c r="CP5" s="416">
        <f>ROUND(CN5*CO5,2)</f>
        <v>17.68</v>
      </c>
      <c r="CQ5" s="424">
        <f>ROUND(1/CP5,4)</f>
        <v>5.6599999999999998E-2</v>
      </c>
      <c r="CS5" s="416" t="s">
        <v>446</v>
      </c>
      <c r="CW5" s="416">
        <v>20</v>
      </c>
      <c r="CX5" s="416">
        <v>0.36399999999999999</v>
      </c>
      <c r="CY5" s="416">
        <v>38</v>
      </c>
      <c r="CZ5" s="416">
        <v>18.600000000000001</v>
      </c>
      <c r="DA5" s="416">
        <v>0.7</v>
      </c>
      <c r="DB5" s="416">
        <v>0.49</v>
      </c>
      <c r="DC5" s="416">
        <v>3.3</v>
      </c>
    </row>
    <row r="6" spans="1:108" ht="20.100000000000001" customHeight="1">
      <c r="A6" s="766"/>
      <c r="B6" s="766"/>
      <c r="C6" s="1744" t="s">
        <v>4019</v>
      </c>
      <c r="D6" s="1744"/>
      <c r="E6" s="1744"/>
      <c r="F6" s="1744"/>
      <c r="G6" s="1744"/>
      <c r="H6" s="1744"/>
      <c r="I6" s="1744" t="s">
        <v>338</v>
      </c>
      <c r="J6" s="1744"/>
      <c r="K6" s="1744"/>
      <c r="L6" s="1744"/>
      <c r="M6" s="1744"/>
      <c r="N6" s="1744"/>
      <c r="O6" s="1744"/>
      <c r="P6" s="1744"/>
      <c r="Q6" s="1744"/>
      <c r="R6" s="1744"/>
      <c r="S6" s="1744"/>
      <c r="T6" s="1744"/>
      <c r="U6" s="1728">
        <v>42740</v>
      </c>
      <c r="V6" s="1729"/>
      <c r="W6" s="1729"/>
      <c r="X6" s="1729"/>
      <c r="Y6" s="1729"/>
      <c r="Z6" s="1729"/>
      <c r="AA6" s="1729"/>
      <c r="AB6" s="1729"/>
      <c r="AC6" s="1730"/>
      <c r="AD6" s="1731" t="str">
        <f>IF(AN6=1,"CN",IF(AN6=2,"Thứ Hai",IF(AN6=3,"Thứ Ba",IF(AN6=4,"Thứ Tư",IF(AN6=5,"Thứ Năm",IF(AN6=6,"Thứ Sáu",IF(AN6=7,"Thứ Bảy","")))))))</f>
        <v>Thứ Năm</v>
      </c>
      <c r="AE6" s="1732"/>
      <c r="AF6" s="1732"/>
      <c r="AG6" s="1732"/>
      <c r="AH6" s="1732"/>
      <c r="AI6" s="1732"/>
      <c r="AJ6" s="1732"/>
      <c r="AK6" s="1732"/>
      <c r="AL6" s="1733"/>
      <c r="AN6" s="312">
        <f>IF(U6="","Chưa nhập ngày",WEEKDAY(U6,1))</f>
        <v>5</v>
      </c>
      <c r="AO6" s="312"/>
      <c r="AP6" s="312"/>
      <c r="AQ6" s="312"/>
      <c r="AR6" s="312"/>
      <c r="AS6" s="312"/>
      <c r="AT6" s="312"/>
      <c r="AU6" s="311"/>
      <c r="AV6" s="311"/>
      <c r="AW6" s="311"/>
      <c r="AX6" s="311"/>
      <c r="AY6" s="311"/>
      <c r="AZ6" s="311"/>
      <c r="BA6" s="311"/>
      <c r="BB6" s="311"/>
      <c r="BC6" s="311"/>
      <c r="BD6" s="311"/>
      <c r="BE6" s="311"/>
      <c r="BF6" s="311"/>
      <c r="BG6" s="311"/>
      <c r="BH6" s="311"/>
      <c r="BI6" s="311"/>
      <c r="BJ6" s="311"/>
      <c r="BK6" s="311"/>
      <c r="BL6" s="311"/>
      <c r="BM6" s="311"/>
      <c r="BN6" s="311"/>
      <c r="BO6" s="311"/>
      <c r="BP6" s="311"/>
      <c r="BQ6" s="311"/>
      <c r="BR6" s="311"/>
      <c r="BS6" s="311"/>
      <c r="BT6" s="311"/>
      <c r="BU6" s="311"/>
      <c r="BV6" s="311"/>
      <c r="BW6" s="311"/>
      <c r="BX6" s="311"/>
      <c r="BZ6" s="1784"/>
      <c r="CA6" s="425" t="s">
        <v>297</v>
      </c>
      <c r="CB6" s="1782">
        <v>520</v>
      </c>
      <c r="CC6" s="1783"/>
      <c r="CD6" s="1792"/>
      <c r="CE6" s="414" t="s">
        <v>623</v>
      </c>
      <c r="CF6" s="414">
        <v>14</v>
      </c>
      <c r="CG6" s="414">
        <v>190</v>
      </c>
      <c r="CH6" s="421">
        <f>ROUND(((((CF6-CJ6)*((CI6-CG6)/2))/CF6)*2)+CG6,1)</f>
        <v>346.1</v>
      </c>
      <c r="CI6" s="415" t="s">
        <v>2390</v>
      </c>
      <c r="CJ6" s="414">
        <v>2.5</v>
      </c>
      <c r="CK6" s="414">
        <f>ROUND(((CG6+CH6)*10^-3)*((CF6-CJ6)/2),1)</f>
        <v>3.1</v>
      </c>
      <c r="CL6" s="414" t="s">
        <v>24</v>
      </c>
      <c r="CN6" s="416">
        <v>2</v>
      </c>
      <c r="CO6" s="416">
        <v>14.06</v>
      </c>
      <c r="CP6" s="416">
        <f t="shared" ref="CP6:CP14" si="0">ROUND(CN6*CO6,2)</f>
        <v>28.12</v>
      </c>
      <c r="CQ6" s="424">
        <f t="shared" ref="CQ6:CQ14" si="1">ROUND(1/CP6,4)</f>
        <v>3.56E-2</v>
      </c>
      <c r="CS6" s="416" t="s">
        <v>447</v>
      </c>
      <c r="CW6" s="416">
        <v>40</v>
      </c>
      <c r="CX6" s="416">
        <v>0.83899999999999997</v>
      </c>
      <c r="CY6" s="416">
        <v>67.7</v>
      </c>
      <c r="CZ6" s="416">
        <v>14.7</v>
      </c>
      <c r="DA6" s="416">
        <v>0.46700000000000003</v>
      </c>
      <c r="DB6" s="416">
        <v>0.218</v>
      </c>
      <c r="DC6" s="416">
        <v>70.849999999999994</v>
      </c>
    </row>
    <row r="7" spans="1:108" ht="20.100000000000001" customHeight="1">
      <c r="A7" s="766"/>
      <c r="B7" s="766"/>
      <c r="C7" s="1744"/>
      <c r="D7" s="1744"/>
      <c r="E7" s="1744"/>
      <c r="F7" s="1744"/>
      <c r="G7" s="1744"/>
      <c r="H7" s="1744"/>
      <c r="I7" s="1744" t="s">
        <v>3975</v>
      </c>
      <c r="J7" s="1744"/>
      <c r="K7" s="1744"/>
      <c r="L7" s="1744"/>
      <c r="M7" s="1744"/>
      <c r="N7" s="1744"/>
      <c r="O7" s="1744"/>
      <c r="P7" s="1744"/>
      <c r="Q7" s="1744"/>
      <c r="R7" s="1744"/>
      <c r="S7" s="1744"/>
      <c r="T7" s="1744"/>
      <c r="U7" s="1734">
        <f>IF(AN6="Chưa nhập ngày","",IF(AN6=5,U6+4,IF(AN6=6,U6+4, IF(AN6=7,U6+3,IF(AN6&gt;=1,U6+2)))))</f>
        <v>42744</v>
      </c>
      <c r="V7" s="1735"/>
      <c r="W7" s="1735"/>
      <c r="X7" s="1735"/>
      <c r="Y7" s="1735"/>
      <c r="Z7" s="1735"/>
      <c r="AA7" s="1735"/>
      <c r="AB7" s="1735"/>
      <c r="AC7" s="1736"/>
      <c r="AD7" s="1725" t="str">
        <f>IF(AN7=1,"CN",IF(AN7=2,"Thứ Hai",IF(AN7=3,"Thứ Ba",IF(AN7=4,"Thứ Tư",IF(AN7=5,"Thứ Năm",IF(AN7=6,"Thứ Sáu",IF(AN7=7,"Thứ Bảy","")))))))</f>
        <v>Thứ Hai</v>
      </c>
      <c r="AE7" s="1726"/>
      <c r="AF7" s="1726"/>
      <c r="AG7" s="1726"/>
      <c r="AH7" s="1726"/>
      <c r="AI7" s="1726"/>
      <c r="AJ7" s="1726"/>
      <c r="AK7" s="1726"/>
      <c r="AL7" s="1727"/>
      <c r="AN7" s="312">
        <f>IF(U7="","Chưa nhập ngày",WEEKDAY(U7,1))</f>
        <v>2</v>
      </c>
      <c r="AO7" s="426"/>
      <c r="AP7" s="311"/>
      <c r="AQ7" s="311"/>
      <c r="AR7" s="311"/>
      <c r="AS7" s="311"/>
      <c r="AT7" s="311"/>
      <c r="AU7" s="311"/>
      <c r="AV7" s="311"/>
      <c r="AW7" s="311"/>
      <c r="AX7" s="311"/>
      <c r="AY7" s="311"/>
      <c r="AZ7" s="311"/>
      <c r="BA7" s="311"/>
      <c r="BB7" s="311"/>
      <c r="BC7" s="311"/>
      <c r="BD7" s="311"/>
      <c r="BE7" s="311"/>
      <c r="BF7" s="311"/>
      <c r="BG7" s="311"/>
      <c r="BH7" s="311"/>
      <c r="BI7" s="311"/>
      <c r="BJ7" s="311"/>
      <c r="BK7" s="311"/>
      <c r="BL7" s="311"/>
      <c r="BM7" s="311"/>
      <c r="BN7" s="311"/>
      <c r="BO7" s="311"/>
      <c r="BP7" s="311"/>
      <c r="BQ7" s="311"/>
      <c r="BR7" s="311"/>
      <c r="BS7" s="311"/>
      <c r="BT7" s="311"/>
      <c r="BU7" s="311"/>
      <c r="BV7" s="311"/>
      <c r="BW7" s="311"/>
      <c r="BX7" s="311"/>
      <c r="BZ7" s="1784" t="s">
        <v>310</v>
      </c>
      <c r="CA7" s="420" t="s">
        <v>298</v>
      </c>
      <c r="CB7" s="1780">
        <v>540</v>
      </c>
      <c r="CC7" s="1781"/>
      <c r="CD7" s="1790">
        <v>350</v>
      </c>
      <c r="CE7" s="414" t="s">
        <v>624</v>
      </c>
      <c r="CF7" s="414">
        <v>20</v>
      </c>
      <c r="CG7" s="414">
        <v>190</v>
      </c>
      <c r="CH7" s="421">
        <f>ROUND(((((CF7-CJ7)*((CI7-CG7)/2))/CF7)*2)+CG7,1)</f>
        <v>416.1</v>
      </c>
      <c r="CI7" s="415" t="s">
        <v>2391</v>
      </c>
      <c r="CJ7" s="414">
        <v>3</v>
      </c>
      <c r="CK7" s="414">
        <f>ROUND(((CG7+CH7)*10^-3)*((CF7-CJ7)/2),1)</f>
        <v>5.2</v>
      </c>
      <c r="CN7" s="416">
        <v>3</v>
      </c>
      <c r="CO7" s="416">
        <v>12.61</v>
      </c>
      <c r="CP7" s="416">
        <f t="shared" si="0"/>
        <v>37.83</v>
      </c>
      <c r="CQ7" s="424">
        <f t="shared" si="1"/>
        <v>2.64E-2</v>
      </c>
      <c r="CS7" s="416" t="s">
        <v>3063</v>
      </c>
      <c r="CW7" s="416">
        <v>20</v>
      </c>
      <c r="CX7" s="416">
        <v>0.36399999999999999</v>
      </c>
      <c r="CY7" s="416">
        <v>36</v>
      </c>
      <c r="CZ7" s="416">
        <v>17.600000000000001</v>
      </c>
      <c r="DA7" s="416">
        <v>0.7</v>
      </c>
      <c r="DB7" s="416">
        <v>0.49</v>
      </c>
      <c r="DC7" s="416">
        <v>3.3</v>
      </c>
    </row>
    <row r="8" spans="1:108" ht="20.100000000000001" customHeight="1">
      <c r="A8" s="766"/>
      <c r="B8" s="766"/>
      <c r="C8" s="1744"/>
      <c r="D8" s="1744"/>
      <c r="E8" s="1744"/>
      <c r="F8" s="1744"/>
      <c r="G8" s="1744"/>
      <c r="H8" s="1744"/>
      <c r="I8" s="1744" t="s">
        <v>5710</v>
      </c>
      <c r="J8" s="1744"/>
      <c r="K8" s="1744"/>
      <c r="L8" s="1744"/>
      <c r="M8" s="1744"/>
      <c r="N8" s="1744"/>
      <c r="O8" s="1744"/>
      <c r="P8" s="1744"/>
      <c r="Q8" s="1744"/>
      <c r="R8" s="1744"/>
      <c r="S8" s="1744"/>
      <c r="T8" s="1744"/>
      <c r="U8" s="1734">
        <f>IF(AN7="Chưa nhập ngày","",IF(AN7=5,U7+4,IF(AN7=6,U7+4, IF(AN7=7,U7+3,IF(AN7&gt;=1,U7+2)))))</f>
        <v>42746</v>
      </c>
      <c r="V8" s="1735"/>
      <c r="W8" s="1735"/>
      <c r="X8" s="1735"/>
      <c r="Y8" s="1735"/>
      <c r="Z8" s="1735"/>
      <c r="AA8" s="1735"/>
      <c r="AB8" s="1735"/>
      <c r="AC8" s="1736"/>
      <c r="AD8" s="1725" t="str">
        <f>IF(AN8=1,"CN",IF(AN8=2,"Thứ Hai",IF(AN8=3,"Thứ Ba",IF(AN8=4,"Thứ Tư",IF(AN8=5,"Thứ Năm",IF(AN8=6,"Thứ Sáu",IF(AN8=7,"Thứ Bảy","")))))))</f>
        <v>Thứ Tư</v>
      </c>
      <c r="AE8" s="1726"/>
      <c r="AF8" s="1726"/>
      <c r="AG8" s="1726"/>
      <c r="AH8" s="1726"/>
      <c r="AI8" s="1726"/>
      <c r="AJ8" s="1726"/>
      <c r="AK8" s="1726"/>
      <c r="AL8" s="1727"/>
      <c r="AN8" s="312">
        <f>IF(U8="","Chưa nhập ngày",WEEKDAY(U8,1))</f>
        <v>4</v>
      </c>
      <c r="AO8" s="426"/>
      <c r="AP8" s="311"/>
      <c r="AQ8" s="311"/>
      <c r="AR8" s="311"/>
      <c r="AS8" s="311"/>
      <c r="AT8" s="311"/>
      <c r="AU8" s="311"/>
      <c r="AV8" s="311"/>
      <c r="AW8" s="311"/>
      <c r="AX8" s="311"/>
      <c r="AY8" s="311"/>
      <c r="AZ8" s="311"/>
      <c r="BA8" s="311"/>
      <c r="BB8" s="311"/>
      <c r="BC8" s="311"/>
      <c r="BD8" s="311"/>
      <c r="BE8" s="311"/>
      <c r="BF8" s="311"/>
      <c r="BG8" s="311"/>
      <c r="BH8" s="311"/>
      <c r="BI8" s="311"/>
      <c r="BJ8" s="311"/>
      <c r="BK8" s="311"/>
      <c r="BL8" s="311"/>
      <c r="BM8" s="311"/>
      <c r="BN8" s="311"/>
      <c r="BO8" s="311"/>
      <c r="BP8" s="311"/>
      <c r="BQ8" s="311"/>
      <c r="BR8" s="311"/>
      <c r="BS8" s="311"/>
      <c r="BT8" s="311"/>
      <c r="BU8" s="311"/>
      <c r="BV8" s="311"/>
      <c r="BW8" s="311"/>
      <c r="BX8" s="311"/>
      <c r="BZ8" s="1784"/>
      <c r="CA8" s="423" t="s">
        <v>299</v>
      </c>
      <c r="CB8" s="1785">
        <v>720</v>
      </c>
      <c r="CC8" s="1786"/>
      <c r="CD8" s="1791"/>
      <c r="CN8" s="416">
        <v>4</v>
      </c>
      <c r="CO8" s="416">
        <v>12.13</v>
      </c>
      <c r="CP8" s="416">
        <f t="shared" si="0"/>
        <v>48.52</v>
      </c>
      <c r="CQ8" s="424">
        <f t="shared" si="1"/>
        <v>2.06E-2</v>
      </c>
      <c r="CS8" s="416" t="s">
        <v>3064</v>
      </c>
      <c r="CW8" s="416">
        <v>40</v>
      </c>
      <c r="CX8" s="416">
        <v>0.83899999999999997</v>
      </c>
      <c r="CY8" s="416">
        <v>72.2</v>
      </c>
      <c r="CZ8" s="416">
        <v>15.7</v>
      </c>
      <c r="DA8" s="416">
        <v>0.46700000000000003</v>
      </c>
      <c r="DB8" s="416">
        <v>0.218</v>
      </c>
      <c r="DC8" s="416">
        <v>70.849999999999994</v>
      </c>
    </row>
    <row r="9" spans="1:108" ht="20.100000000000001" customHeight="1">
      <c r="A9" s="766"/>
      <c r="B9" s="766"/>
      <c r="C9" s="1744"/>
      <c r="D9" s="1744"/>
      <c r="E9" s="1744"/>
      <c r="F9" s="1744"/>
      <c r="G9" s="1744"/>
      <c r="H9" s="1744"/>
      <c r="I9" s="1744" t="s">
        <v>6190</v>
      </c>
      <c r="J9" s="1744"/>
      <c r="K9" s="1744"/>
      <c r="L9" s="1744"/>
      <c r="M9" s="1744"/>
      <c r="N9" s="1744"/>
      <c r="O9" s="1744"/>
      <c r="P9" s="1744"/>
      <c r="Q9" s="1744"/>
      <c r="R9" s="1744"/>
      <c r="S9" s="1744"/>
      <c r="T9" s="1744"/>
      <c r="U9" s="1737">
        <v>43441</v>
      </c>
      <c r="V9" s="1738"/>
      <c r="W9" s="1738"/>
      <c r="X9" s="1738"/>
      <c r="Y9" s="1738"/>
      <c r="Z9" s="1738"/>
      <c r="AA9" s="1738"/>
      <c r="AB9" s="1738"/>
      <c r="AC9" s="1739"/>
      <c r="AD9" s="1725" t="str">
        <f>IF(AN9=1,"CN",IF(AN9=2,"Thứ Hai",IF(AN9=3,"Thứ Ba",IF(AN9=4,"Thứ Tư",IF(AN9=5,"Thứ Năm",IF(AN9=6,"Thứ Sáu",IF(AN9=7,"Thứ Bảy","")))))))</f>
        <v>Thứ Sáu</v>
      </c>
      <c r="AE9" s="1726"/>
      <c r="AF9" s="1726"/>
      <c r="AG9" s="1726"/>
      <c r="AH9" s="1726"/>
      <c r="AI9" s="1726"/>
      <c r="AJ9" s="1726"/>
      <c r="AK9" s="1726"/>
      <c r="AL9" s="1727"/>
      <c r="AN9" s="312">
        <f>IF(U9="","Chưa nhập ngày",WEEKDAY(U9,1))</f>
        <v>6</v>
      </c>
      <c r="AO9" s="426"/>
      <c r="AP9" s="311"/>
      <c r="AQ9" s="311"/>
      <c r="AR9" s="311"/>
      <c r="AS9" s="311"/>
      <c r="AT9" s="311"/>
      <c r="AU9" s="311"/>
      <c r="AV9" s="311"/>
      <c r="AW9" s="311"/>
      <c r="AX9" s="311"/>
      <c r="AY9" s="311"/>
      <c r="AZ9" s="311"/>
      <c r="BA9" s="311"/>
      <c r="BB9" s="311"/>
      <c r="BC9" s="311"/>
      <c r="BD9" s="311"/>
      <c r="BE9" s="311"/>
      <c r="BF9" s="311"/>
      <c r="BG9" s="311"/>
      <c r="BH9" s="311"/>
      <c r="BI9" s="311"/>
      <c r="BJ9" s="311"/>
      <c r="BK9" s="311"/>
      <c r="BL9" s="311"/>
      <c r="BM9" s="311"/>
      <c r="BN9" s="311"/>
      <c r="BO9" s="311"/>
      <c r="BP9" s="311"/>
      <c r="BQ9" s="311"/>
      <c r="BR9" s="311"/>
      <c r="BS9" s="311"/>
      <c r="BT9" s="311"/>
      <c r="BU9" s="311"/>
      <c r="BV9" s="311"/>
      <c r="BW9" s="311"/>
      <c r="BX9" s="311"/>
      <c r="BZ9" s="1784"/>
      <c r="CA9" s="425" t="s">
        <v>300</v>
      </c>
      <c r="CB9" s="1782">
        <v>900</v>
      </c>
      <c r="CC9" s="1783"/>
      <c r="CD9" s="1792"/>
      <c r="CN9" s="416">
        <v>5</v>
      </c>
      <c r="CO9" s="416">
        <v>11.81</v>
      </c>
      <c r="CP9" s="416">
        <f t="shared" si="0"/>
        <v>59.05</v>
      </c>
      <c r="CQ9" s="424">
        <f t="shared" si="1"/>
        <v>1.6899999999999998E-2</v>
      </c>
      <c r="CS9" s="416" t="s">
        <v>5246</v>
      </c>
      <c r="CW9" s="416">
        <v>45</v>
      </c>
      <c r="CX9" s="416">
        <v>1</v>
      </c>
      <c r="CY9" s="416">
        <v>104.5</v>
      </c>
      <c r="CZ9" s="416">
        <v>17.600000000000001</v>
      </c>
      <c r="DA9" s="416">
        <v>0.46700000000000003</v>
      </c>
      <c r="DB9" s="416">
        <v>0.218</v>
      </c>
      <c r="DC9" s="416">
        <v>70.849999999999994</v>
      </c>
    </row>
    <row r="10" spans="1:108" ht="20.100000000000001" customHeight="1">
      <c r="A10" s="766"/>
      <c r="B10" s="766"/>
      <c r="C10" s="1744"/>
      <c r="D10" s="1744"/>
      <c r="E10" s="1744"/>
      <c r="F10" s="1744"/>
      <c r="G10" s="1744"/>
      <c r="H10" s="1744"/>
      <c r="I10" s="1744" t="s">
        <v>6395</v>
      </c>
      <c r="J10" s="1744"/>
      <c r="K10" s="1744"/>
      <c r="L10" s="1744"/>
      <c r="M10" s="1744"/>
      <c r="N10" s="1744"/>
      <c r="O10" s="1744"/>
      <c r="P10" s="1744"/>
      <c r="Q10" s="1744"/>
      <c r="R10" s="1744"/>
      <c r="S10" s="1744"/>
      <c r="T10" s="1744"/>
      <c r="U10" s="1734">
        <f>IF(U9="","",+U9+7)</f>
        <v>43448</v>
      </c>
      <c r="V10" s="1735"/>
      <c r="W10" s="1735"/>
      <c r="X10" s="1735"/>
      <c r="Y10" s="1735"/>
      <c r="Z10" s="1735"/>
      <c r="AA10" s="1735"/>
      <c r="AB10" s="1735"/>
      <c r="AC10" s="1736"/>
      <c r="AD10" s="1725" t="str">
        <f>IF(AN10=1,"CN",IF(AN10=2,"Thứ Hai",IF(AN10=3,"Thứ Ba",IF(AN10=4,"Thứ Tư",IF(AN10=5,"Thứ Năm",IF(AN10=6,"Thứ Sáu",IF(AN10=7,"Thứ Bảy","")))))))</f>
        <v>Thứ Sáu</v>
      </c>
      <c r="AE10" s="1726"/>
      <c r="AF10" s="1726"/>
      <c r="AG10" s="1726"/>
      <c r="AH10" s="1726"/>
      <c r="AI10" s="1726"/>
      <c r="AJ10" s="1726"/>
      <c r="AK10" s="1726"/>
      <c r="AL10" s="1727"/>
      <c r="AN10" s="312">
        <f>IF(U10="","Chưa nhập ngày",WEEKDAY(U10,1))</f>
        <v>6</v>
      </c>
      <c r="AO10" s="426"/>
      <c r="AP10" s="311"/>
      <c r="AQ10" s="311"/>
      <c r="AR10" s="311"/>
      <c r="AS10" s="311"/>
      <c r="AT10" s="311"/>
      <c r="AU10" s="311"/>
      <c r="AV10" s="311"/>
      <c r="AW10" s="311"/>
      <c r="AX10" s="311"/>
      <c r="AY10" s="311"/>
      <c r="AZ10" s="311"/>
      <c r="BA10" s="311"/>
      <c r="BB10" s="311"/>
      <c r="BC10" s="311"/>
      <c r="BD10" s="311"/>
      <c r="BE10" s="311"/>
      <c r="BF10" s="311"/>
      <c r="BG10" s="311"/>
      <c r="BH10" s="311"/>
      <c r="BI10" s="311"/>
      <c r="BJ10" s="311"/>
      <c r="BK10" s="311"/>
      <c r="BL10" s="311"/>
      <c r="BM10" s="311"/>
      <c r="BN10" s="311"/>
      <c r="BO10" s="311"/>
      <c r="BP10" s="311"/>
      <c r="BQ10" s="311"/>
      <c r="BR10" s="311"/>
      <c r="BS10" s="311"/>
      <c r="BT10" s="311"/>
      <c r="BU10" s="311"/>
      <c r="BV10" s="311"/>
      <c r="BW10" s="311"/>
      <c r="BX10" s="311"/>
      <c r="BZ10" s="1784" t="s">
        <v>311</v>
      </c>
      <c r="CA10" s="420" t="s">
        <v>301</v>
      </c>
      <c r="CB10" s="1780">
        <v>650</v>
      </c>
      <c r="CC10" s="1781"/>
      <c r="CD10" s="1790">
        <v>387</v>
      </c>
      <c r="CN10" s="416">
        <v>6</v>
      </c>
      <c r="CO10" s="416">
        <v>11.55</v>
      </c>
      <c r="CP10" s="416">
        <f t="shared" si="0"/>
        <v>69.3</v>
      </c>
      <c r="CQ10" s="424">
        <f t="shared" si="1"/>
        <v>1.44E-2</v>
      </c>
      <c r="CS10" s="416" t="s">
        <v>2086</v>
      </c>
      <c r="CW10" s="416">
        <v>25</v>
      </c>
      <c r="CX10" s="416">
        <v>0.46600000000000003</v>
      </c>
      <c r="CY10" s="416">
        <v>48.3</v>
      </c>
      <c r="CZ10" s="416">
        <v>23.5</v>
      </c>
      <c r="DA10" s="416">
        <v>0.63700000000000001</v>
      </c>
      <c r="DB10" s="416">
        <v>0.40600000000000003</v>
      </c>
      <c r="DC10" s="416">
        <v>5.2</v>
      </c>
    </row>
    <row r="11" spans="1:108" ht="20.100000000000001" customHeight="1">
      <c r="A11" s="766"/>
      <c r="B11" s="766"/>
      <c r="C11" s="1844" t="s">
        <v>2039</v>
      </c>
      <c r="D11" s="1844"/>
      <c r="E11" s="1844"/>
      <c r="F11" s="1844"/>
      <c r="G11" s="1844"/>
      <c r="H11" s="1844"/>
      <c r="I11" s="1844"/>
      <c r="J11" s="1844"/>
      <c r="K11" s="1844"/>
      <c r="L11" s="1844"/>
      <c r="M11" s="1844"/>
      <c r="N11" s="1844"/>
      <c r="O11" s="1844"/>
      <c r="P11" s="1844"/>
      <c r="Q11" s="1844"/>
      <c r="R11" s="1844"/>
      <c r="S11" s="1844"/>
      <c r="T11" s="1844"/>
      <c r="U11" s="1722">
        <v>1</v>
      </c>
      <c r="V11" s="1723"/>
      <c r="W11" s="1723"/>
      <c r="X11" s="1723"/>
      <c r="Y11" s="1723"/>
      <c r="Z11" s="1723"/>
      <c r="AA11" s="1723"/>
      <c r="AB11" s="1723"/>
      <c r="AC11" s="1723"/>
      <c r="AD11" s="1723"/>
      <c r="AE11" s="1723"/>
      <c r="AF11" s="1723"/>
      <c r="AG11" s="1723"/>
      <c r="AH11" s="1723"/>
      <c r="AI11" s="1723"/>
      <c r="AJ11" s="1723"/>
      <c r="AK11" s="1723"/>
      <c r="AL11" s="1724"/>
      <c r="AN11" s="414">
        <v>1</v>
      </c>
      <c r="AO11" s="311">
        <v>2</v>
      </c>
      <c r="AP11" s="311"/>
      <c r="AQ11" s="311"/>
      <c r="AR11" s="311"/>
      <c r="AS11" s="311"/>
      <c r="AT11" s="311"/>
      <c r="AU11" s="311"/>
      <c r="AV11" s="311"/>
      <c r="AW11" s="311"/>
      <c r="AX11" s="311"/>
      <c r="AY11" s="311"/>
      <c r="AZ11" s="311"/>
      <c r="BA11" s="311"/>
      <c r="BB11" s="311"/>
      <c r="BC11" s="311"/>
      <c r="BD11" s="311"/>
      <c r="BE11" s="311"/>
      <c r="BF11" s="311"/>
      <c r="BG11" s="311"/>
      <c r="BH11" s="311"/>
      <c r="BI11" s="311"/>
      <c r="BJ11" s="311"/>
      <c r="BK11" s="311"/>
      <c r="BL11" s="311"/>
      <c r="BM11" s="311"/>
      <c r="BN11" s="311"/>
      <c r="BO11" s="311"/>
      <c r="BP11" s="311"/>
      <c r="BQ11" s="311"/>
      <c r="BR11" s="311"/>
      <c r="BS11" s="311"/>
      <c r="BT11" s="311"/>
      <c r="BU11" s="311"/>
      <c r="BV11" s="311"/>
      <c r="BW11" s="311"/>
      <c r="BX11" s="311"/>
      <c r="BZ11" s="1784"/>
      <c r="CA11" s="423" t="s">
        <v>302</v>
      </c>
      <c r="CB11" s="1785">
        <v>850</v>
      </c>
      <c r="CC11" s="1786"/>
      <c r="CD11" s="1791"/>
      <c r="CG11" s="428"/>
      <c r="CN11" s="416">
        <v>7</v>
      </c>
      <c r="CO11" s="416">
        <v>11.28</v>
      </c>
      <c r="CP11" s="416">
        <f t="shared" si="0"/>
        <v>78.959999999999994</v>
      </c>
      <c r="CQ11" s="424">
        <f t="shared" si="1"/>
        <v>1.2699999999999999E-2</v>
      </c>
      <c r="CS11" s="416" t="s">
        <v>2087</v>
      </c>
      <c r="CW11" s="416">
        <v>25</v>
      </c>
      <c r="CX11" s="416">
        <v>0.46600000000000003</v>
      </c>
      <c r="CY11" s="416">
        <v>45.8</v>
      </c>
      <c r="CZ11" s="416">
        <v>18.600000000000001</v>
      </c>
      <c r="DA11" s="416">
        <v>0.63700000000000001</v>
      </c>
      <c r="DB11" s="416">
        <v>0.40600000000000003</v>
      </c>
      <c r="DC11" s="416">
        <v>5.2</v>
      </c>
    </row>
    <row r="12" spans="1:108" ht="20.100000000000001" customHeight="1">
      <c r="A12" s="766"/>
      <c r="B12" s="766"/>
      <c r="C12" s="1844" t="s">
        <v>2067</v>
      </c>
      <c r="D12" s="1844"/>
      <c r="E12" s="1844"/>
      <c r="F12" s="1844"/>
      <c r="G12" s="1844"/>
      <c r="H12" s="1844"/>
      <c r="I12" s="1844"/>
      <c r="J12" s="1844"/>
      <c r="K12" s="1844"/>
      <c r="L12" s="1844"/>
      <c r="M12" s="1844"/>
      <c r="N12" s="1844"/>
      <c r="O12" s="1844"/>
      <c r="P12" s="1844"/>
      <c r="Q12" s="1844"/>
      <c r="R12" s="1844"/>
      <c r="S12" s="1844"/>
      <c r="T12" s="1844"/>
      <c r="U12" s="1722">
        <v>1</v>
      </c>
      <c r="V12" s="1723"/>
      <c r="W12" s="1723"/>
      <c r="X12" s="1723"/>
      <c r="Y12" s="1723"/>
      <c r="Z12" s="1723"/>
      <c r="AA12" s="1723"/>
      <c r="AB12" s="1723"/>
      <c r="AC12" s="1723"/>
      <c r="AD12" s="1723"/>
      <c r="AE12" s="1723"/>
      <c r="AF12" s="1723"/>
      <c r="AG12" s="1723"/>
      <c r="AH12" s="1723"/>
      <c r="AI12" s="1723"/>
      <c r="AJ12" s="1723"/>
      <c r="AK12" s="1723"/>
      <c r="AL12" s="1724"/>
      <c r="AN12" s="311">
        <v>1</v>
      </c>
      <c r="AO12" s="311">
        <v>2</v>
      </c>
      <c r="AP12" s="311"/>
      <c r="AQ12" s="311"/>
      <c r="AR12" s="311"/>
      <c r="AS12" s="311"/>
      <c r="AT12" s="311"/>
      <c r="AU12" s="311"/>
      <c r="AV12" s="311"/>
      <c r="AW12" s="311"/>
      <c r="AX12" s="311"/>
      <c r="AY12" s="311"/>
      <c r="AZ12" s="311"/>
      <c r="BA12" s="311"/>
      <c r="BB12" s="311"/>
      <c r="BC12" s="311"/>
      <c r="BD12" s="311"/>
      <c r="BE12" s="311"/>
      <c r="BF12" s="311"/>
      <c r="BG12" s="311"/>
      <c r="BH12" s="311"/>
      <c r="BI12" s="311"/>
      <c r="BJ12" s="311"/>
      <c r="BK12" s="311"/>
      <c r="BL12" s="311"/>
      <c r="BM12" s="311"/>
      <c r="BN12" s="311"/>
      <c r="BO12" s="311"/>
      <c r="BP12" s="311"/>
      <c r="BQ12" s="311"/>
      <c r="BR12" s="311"/>
      <c r="BS12" s="311"/>
      <c r="BT12" s="311"/>
      <c r="BU12" s="311"/>
      <c r="BV12" s="311"/>
      <c r="BW12" s="311"/>
      <c r="BX12" s="311"/>
      <c r="BZ12" s="1784"/>
      <c r="CA12" s="425" t="s">
        <v>303</v>
      </c>
      <c r="CB12" s="1782">
        <v>1100</v>
      </c>
      <c r="CC12" s="1783"/>
      <c r="CD12" s="1792"/>
      <c r="CN12" s="416">
        <v>8</v>
      </c>
      <c r="CO12" s="416">
        <v>11.15</v>
      </c>
      <c r="CP12" s="416">
        <f t="shared" si="0"/>
        <v>89.2</v>
      </c>
      <c r="CQ12" s="424">
        <f t="shared" si="1"/>
        <v>1.12E-2</v>
      </c>
      <c r="CS12" s="416" t="s">
        <v>5700</v>
      </c>
      <c r="CW12" s="416">
        <v>15</v>
      </c>
      <c r="CX12" s="416">
        <v>0.26800000000000002</v>
      </c>
      <c r="CY12" s="416">
        <v>31.7</v>
      </c>
      <c r="CZ12" s="416">
        <v>18.600000000000001</v>
      </c>
      <c r="DA12" s="416">
        <v>0.76</v>
      </c>
      <c r="DB12" s="416">
        <v>0.57699999999999996</v>
      </c>
      <c r="DC12" s="416">
        <v>2.2999999999999998</v>
      </c>
    </row>
    <row r="13" spans="1:108" ht="20.100000000000001" customHeight="1">
      <c r="A13" s="766"/>
      <c r="B13" s="766"/>
      <c r="C13" s="1844" t="s">
        <v>2068</v>
      </c>
      <c r="D13" s="1844"/>
      <c r="E13" s="1844"/>
      <c r="F13" s="1844"/>
      <c r="G13" s="1844"/>
      <c r="H13" s="1844"/>
      <c r="I13" s="1844"/>
      <c r="J13" s="1844"/>
      <c r="K13" s="1844"/>
      <c r="L13" s="1844"/>
      <c r="M13" s="1844"/>
      <c r="N13" s="1844"/>
      <c r="O13" s="1844"/>
      <c r="P13" s="1844"/>
      <c r="Q13" s="1844"/>
      <c r="R13" s="1844"/>
      <c r="S13" s="1844"/>
      <c r="T13" s="1825"/>
      <c r="U13" s="1689" t="s">
        <v>319</v>
      </c>
      <c r="V13" s="1690"/>
      <c r="W13" s="1690"/>
      <c r="X13" s="1690"/>
      <c r="Y13" s="1690"/>
      <c r="Z13" s="1690"/>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1"/>
      <c r="BZ13" s="1784" t="s">
        <v>312</v>
      </c>
      <c r="CA13" s="420" t="s">
        <v>304</v>
      </c>
      <c r="CB13" s="1780">
        <v>920</v>
      </c>
      <c r="CC13" s="1781"/>
      <c r="CD13" s="1790">
        <v>456</v>
      </c>
      <c r="CN13" s="416">
        <v>9</v>
      </c>
      <c r="CO13" s="416">
        <v>11.03</v>
      </c>
      <c r="CP13" s="416">
        <f t="shared" si="0"/>
        <v>99.27</v>
      </c>
      <c r="CQ13" s="424">
        <f t="shared" si="1"/>
        <v>1.01E-2</v>
      </c>
      <c r="CS13" s="416" t="s">
        <v>5701</v>
      </c>
      <c r="CW13" s="416">
        <v>25</v>
      </c>
      <c r="CX13" s="416">
        <v>0.46600000000000003</v>
      </c>
      <c r="CY13" s="416">
        <v>48.3</v>
      </c>
      <c r="CZ13" s="416">
        <v>19.600000000000001</v>
      </c>
      <c r="DA13" s="416">
        <v>0.63700000000000001</v>
      </c>
      <c r="DB13" s="416">
        <v>0.40600000000000003</v>
      </c>
      <c r="DC13" s="416">
        <v>5.2</v>
      </c>
    </row>
    <row r="14" spans="1:108" ht="20.100000000000001" customHeight="1">
      <c r="A14" s="766"/>
      <c r="B14" s="766"/>
      <c r="C14" s="1844" t="s">
        <v>2069</v>
      </c>
      <c r="D14" s="1844"/>
      <c r="E14" s="1844"/>
      <c r="F14" s="1844"/>
      <c r="G14" s="1844"/>
      <c r="H14" s="1844"/>
      <c r="I14" s="1844"/>
      <c r="J14" s="1844"/>
      <c r="K14" s="1844"/>
      <c r="L14" s="1844"/>
      <c r="M14" s="1844"/>
      <c r="N14" s="1844"/>
      <c r="O14" s="1844"/>
      <c r="P14" s="1844"/>
      <c r="Q14" s="1844"/>
      <c r="R14" s="1844"/>
      <c r="S14" s="1844"/>
      <c r="T14" s="1825"/>
      <c r="U14" s="1718" t="s">
        <v>6356</v>
      </c>
      <c r="V14" s="1693"/>
      <c r="W14" s="1693"/>
      <c r="X14" s="1693"/>
      <c r="Y14" s="1693"/>
      <c r="Z14" s="1693"/>
      <c r="AA14" s="1693"/>
      <c r="AB14" s="1693"/>
      <c r="AC14" s="1693"/>
      <c r="AD14" s="1693"/>
      <c r="AE14" s="1693"/>
      <c r="AF14" s="1693"/>
      <c r="AG14" s="1693"/>
      <c r="AH14" s="1693"/>
      <c r="AI14" s="1693"/>
      <c r="AJ14" s="1693"/>
      <c r="AK14" s="1693"/>
      <c r="AL14" s="1693"/>
      <c r="AM14" s="1693"/>
      <c r="AN14" s="1693"/>
      <c r="AO14" s="1693"/>
      <c r="AP14" s="1693"/>
      <c r="AQ14" s="1693"/>
      <c r="AR14" s="1693"/>
      <c r="AS14" s="1693"/>
      <c r="AT14" s="1693"/>
      <c r="AU14" s="1693"/>
      <c r="AV14" s="1693"/>
      <c r="AW14" s="1693"/>
      <c r="AX14" s="1693"/>
      <c r="AY14" s="1693"/>
      <c r="AZ14" s="1693"/>
      <c r="BA14" s="1693"/>
      <c r="BB14" s="1693"/>
      <c r="BC14" s="1693"/>
      <c r="BD14" s="1693"/>
      <c r="BE14" s="1694"/>
      <c r="BZ14" s="1784"/>
      <c r="CA14" s="423" t="s">
        <v>305</v>
      </c>
      <c r="CB14" s="1785">
        <v>1000</v>
      </c>
      <c r="CC14" s="1786"/>
      <c r="CD14" s="1791"/>
      <c r="CN14" s="416">
        <v>10</v>
      </c>
      <c r="CO14" s="416">
        <v>10.91</v>
      </c>
      <c r="CP14" s="416">
        <f t="shared" si="0"/>
        <v>109.1</v>
      </c>
      <c r="CQ14" s="424">
        <f t="shared" si="1"/>
        <v>9.1999999999999998E-3</v>
      </c>
      <c r="CS14" s="416" t="s">
        <v>5702</v>
      </c>
      <c r="CW14" s="416">
        <v>35</v>
      </c>
      <c r="CX14" s="416">
        <v>0.7</v>
      </c>
      <c r="CY14" s="416">
        <v>57.8</v>
      </c>
      <c r="CZ14" s="416">
        <v>15.7</v>
      </c>
      <c r="DA14" s="416">
        <v>0.52100000000000002</v>
      </c>
      <c r="DB14" s="416">
        <v>0.27100000000000002</v>
      </c>
      <c r="DC14" s="416">
        <v>18.399999999999999</v>
      </c>
    </row>
    <row r="15" spans="1:108" ht="20.100000000000001" customHeight="1">
      <c r="A15" s="766"/>
      <c r="B15" s="766"/>
      <c r="C15" s="1844" t="s">
        <v>2070</v>
      </c>
      <c r="D15" s="1844"/>
      <c r="E15" s="1844"/>
      <c r="F15" s="1844"/>
      <c r="G15" s="1844"/>
      <c r="H15" s="1844"/>
      <c r="I15" s="1844"/>
      <c r="J15" s="1844"/>
      <c r="K15" s="1844"/>
      <c r="L15" s="1844"/>
      <c r="M15" s="1844"/>
      <c r="N15" s="1844"/>
      <c r="O15" s="1844"/>
      <c r="P15" s="1844"/>
      <c r="Q15" s="1844"/>
      <c r="R15" s="1844"/>
      <c r="S15" s="1844"/>
      <c r="T15" s="1825"/>
      <c r="U15" s="1711" t="s">
        <v>3683</v>
      </c>
      <c r="V15" s="1712"/>
      <c r="W15" s="1712"/>
      <c r="X15" s="1712"/>
      <c r="Y15" s="1712"/>
      <c r="Z15" s="1712"/>
      <c r="AA15" s="1712"/>
      <c r="AB15" s="1712"/>
      <c r="AC15" s="1712"/>
      <c r="AD15" s="1713"/>
      <c r="AE15" s="1714" t="s">
        <v>2885</v>
      </c>
      <c r="AF15" s="1714"/>
      <c r="AG15" s="1714"/>
      <c r="AH15" s="1714"/>
      <c r="AI15" s="1714"/>
      <c r="AJ15" s="1692" t="s">
        <v>3683</v>
      </c>
      <c r="AK15" s="1823"/>
      <c r="AL15" s="1823"/>
      <c r="AM15" s="1823"/>
      <c r="AN15" s="1823"/>
      <c r="AO15" s="1823"/>
      <c r="AP15" s="1823"/>
      <c r="AQ15" s="1823"/>
      <c r="AR15" s="1823"/>
      <c r="AS15" s="1823"/>
      <c r="AT15" s="1823"/>
      <c r="AU15" s="1823"/>
      <c r="AV15" s="1823"/>
      <c r="AW15" s="1823"/>
      <c r="AX15" s="1823"/>
      <c r="AY15" s="1823"/>
      <c r="AZ15" s="1823"/>
      <c r="BA15" s="1823"/>
      <c r="BB15" s="1823"/>
      <c r="BC15" s="1823"/>
      <c r="BD15" s="1823"/>
      <c r="BE15" s="1824"/>
      <c r="BZ15" s="1784"/>
      <c r="CA15" s="425" t="s">
        <v>306</v>
      </c>
      <c r="CB15" s="1782">
        <v>1300</v>
      </c>
      <c r="CC15" s="1783"/>
      <c r="CD15" s="1792"/>
      <c r="CO15" s="429"/>
      <c r="CS15" s="416" t="s">
        <v>5703</v>
      </c>
      <c r="CW15" s="416">
        <v>40</v>
      </c>
      <c r="CX15" s="416">
        <v>0.83899999999999997</v>
      </c>
      <c r="CY15" s="416">
        <v>81</v>
      </c>
      <c r="CZ15" s="416">
        <v>17.600000000000001</v>
      </c>
      <c r="DA15" s="416">
        <v>0.46700000000000003</v>
      </c>
      <c r="DB15" s="416">
        <v>0.218</v>
      </c>
      <c r="DC15" s="416">
        <v>70.849999999999994</v>
      </c>
    </row>
    <row r="16" spans="1:108" ht="20.100000000000001" customHeight="1">
      <c r="A16" s="766"/>
      <c r="B16" s="766"/>
      <c r="C16" s="1844" t="s">
        <v>2071</v>
      </c>
      <c r="D16" s="1844"/>
      <c r="E16" s="1844"/>
      <c r="F16" s="1844"/>
      <c r="G16" s="1844"/>
      <c r="H16" s="1844"/>
      <c r="I16" s="1844"/>
      <c r="J16" s="1844"/>
      <c r="K16" s="1844"/>
      <c r="L16" s="1844"/>
      <c r="M16" s="1844"/>
      <c r="N16" s="1844"/>
      <c r="O16" s="1844"/>
      <c r="P16" s="1844"/>
      <c r="Q16" s="1844"/>
      <c r="R16" s="1844"/>
      <c r="S16" s="1844"/>
      <c r="T16" s="1825"/>
      <c r="U16" s="1692" t="s">
        <v>3683</v>
      </c>
      <c r="V16" s="1823"/>
      <c r="W16" s="1823"/>
      <c r="X16" s="1823"/>
      <c r="Y16" s="1823"/>
      <c r="Z16" s="1823"/>
      <c r="AA16" s="1823"/>
      <c r="AB16" s="1823"/>
      <c r="AC16" s="1823"/>
      <c r="AD16" s="1824"/>
      <c r="AE16" s="1714" t="s">
        <v>2072</v>
      </c>
      <c r="AF16" s="1714"/>
      <c r="AG16" s="1714"/>
      <c r="AH16" s="1714"/>
      <c r="AI16" s="1714"/>
      <c r="AJ16" s="1692" t="s">
        <v>3683</v>
      </c>
      <c r="AK16" s="1693"/>
      <c r="AL16" s="1693"/>
      <c r="AM16" s="1693"/>
      <c r="AN16" s="1693"/>
      <c r="AO16" s="1693"/>
      <c r="AP16" s="1693"/>
      <c r="AQ16" s="1693"/>
      <c r="AR16" s="1693"/>
      <c r="AS16" s="1693"/>
      <c r="AT16" s="1693"/>
      <c r="AU16" s="1693"/>
      <c r="AV16" s="1693"/>
      <c r="AW16" s="1693"/>
      <c r="AX16" s="1693"/>
      <c r="AY16" s="1693"/>
      <c r="AZ16" s="1693"/>
      <c r="BA16" s="1693"/>
      <c r="BB16" s="1693"/>
      <c r="BC16" s="1693"/>
      <c r="BD16" s="1693"/>
      <c r="BE16" s="1694"/>
      <c r="CS16" s="416" t="s">
        <v>5704</v>
      </c>
      <c r="CW16" s="416">
        <v>35</v>
      </c>
      <c r="CX16" s="416">
        <v>0.7</v>
      </c>
      <c r="CY16" s="416">
        <v>50.7</v>
      </c>
      <c r="CZ16" s="416">
        <v>13.7</v>
      </c>
      <c r="DA16" s="416">
        <v>0.52100000000000002</v>
      </c>
      <c r="DB16" s="416">
        <v>0.27100000000000002</v>
      </c>
      <c r="DC16" s="416">
        <v>18.399999999999999</v>
      </c>
    </row>
    <row r="17" spans="1:110" ht="20.100000000000001" customHeight="1">
      <c r="A17" s="766"/>
      <c r="B17" s="766"/>
      <c r="C17" s="1844" t="s">
        <v>2073</v>
      </c>
      <c r="D17" s="1844"/>
      <c r="E17" s="1844"/>
      <c r="F17" s="1844"/>
      <c r="G17" s="1844"/>
      <c r="H17" s="1844"/>
      <c r="I17" s="1844"/>
      <c r="J17" s="1844"/>
      <c r="K17" s="1844"/>
      <c r="L17" s="1844"/>
      <c r="M17" s="1844"/>
      <c r="N17" s="1844"/>
      <c r="O17" s="1844"/>
      <c r="P17" s="1844"/>
      <c r="Q17" s="1844"/>
      <c r="R17" s="1844"/>
      <c r="S17" s="1844"/>
      <c r="T17" s="1825"/>
      <c r="U17" s="1692" t="s">
        <v>3683</v>
      </c>
      <c r="V17" s="1693"/>
      <c r="W17" s="1693"/>
      <c r="X17" s="1693"/>
      <c r="Y17" s="1693"/>
      <c r="Z17" s="1693"/>
      <c r="AA17" s="1693"/>
      <c r="AB17" s="1693"/>
      <c r="AC17" s="1693"/>
      <c r="AD17" s="1693"/>
      <c r="AE17" s="1693"/>
      <c r="AF17" s="1693"/>
      <c r="AG17" s="1693"/>
      <c r="AH17" s="1693"/>
      <c r="AI17" s="1693"/>
      <c r="AJ17" s="1693"/>
      <c r="AK17" s="1693"/>
      <c r="AL17" s="1693"/>
      <c r="AM17" s="1693"/>
      <c r="AN17" s="1693"/>
      <c r="AO17" s="1693"/>
      <c r="AP17" s="1693"/>
      <c r="AQ17" s="1693"/>
      <c r="AR17" s="1693"/>
      <c r="AS17" s="1693"/>
      <c r="AT17" s="1693"/>
      <c r="AU17" s="1693"/>
      <c r="AV17" s="1693"/>
      <c r="AW17" s="1693"/>
      <c r="AX17" s="1693"/>
      <c r="AY17" s="1693"/>
      <c r="AZ17" s="1693"/>
      <c r="BA17" s="1693"/>
      <c r="BB17" s="1693"/>
      <c r="BC17" s="1693"/>
      <c r="BD17" s="1693"/>
      <c r="BE17" s="1694"/>
      <c r="CS17" s="416" t="s">
        <v>5705</v>
      </c>
      <c r="CW17" s="416">
        <v>30</v>
      </c>
      <c r="CX17" s="416">
        <v>0.57699999999999996</v>
      </c>
      <c r="CY17" s="416">
        <v>52.9</v>
      </c>
      <c r="CZ17" s="416">
        <v>17.600000000000001</v>
      </c>
      <c r="DA17" s="416">
        <v>0.57699999999999996</v>
      </c>
      <c r="DB17" s="416">
        <v>0.33300000000000002</v>
      </c>
      <c r="DC17" s="416">
        <v>8.75</v>
      </c>
    </row>
    <row r="18" spans="1:110" ht="20.100000000000001" customHeight="1">
      <c r="A18" s="766"/>
      <c r="B18" s="766"/>
      <c r="C18" s="1844" t="s">
        <v>3484</v>
      </c>
      <c r="D18" s="1844"/>
      <c r="E18" s="1844"/>
      <c r="F18" s="1844"/>
      <c r="G18" s="1844"/>
      <c r="H18" s="1844"/>
      <c r="I18" s="1844"/>
      <c r="J18" s="1844"/>
      <c r="K18" s="1844"/>
      <c r="L18" s="1844"/>
      <c r="M18" s="1844"/>
      <c r="N18" s="1844"/>
      <c r="O18" s="1844"/>
      <c r="P18" s="1844"/>
      <c r="Q18" s="1844"/>
      <c r="R18" s="1844"/>
      <c r="S18" s="1844"/>
      <c r="T18" s="1825"/>
      <c r="U18" s="1831" t="s">
        <v>5940</v>
      </c>
      <c r="V18" s="1832"/>
      <c r="W18" s="1828" t="s">
        <v>6355</v>
      </c>
      <c r="X18" s="1829"/>
      <c r="Y18" s="1829"/>
      <c r="Z18" s="1829"/>
      <c r="AA18" s="1829"/>
      <c r="AB18" s="1829"/>
      <c r="AC18" s="1829"/>
      <c r="AD18" s="1829"/>
      <c r="AE18" s="1829"/>
      <c r="AF18" s="1829"/>
      <c r="AG18" s="1829"/>
      <c r="AH18" s="1829"/>
      <c r="AI18" s="1829"/>
      <c r="AJ18" s="1829"/>
      <c r="AK18" s="1829"/>
      <c r="AL18" s="1830"/>
      <c r="AM18" s="1825" t="s">
        <v>3485</v>
      </c>
      <c r="AN18" s="1826"/>
      <c r="AO18" s="1826"/>
      <c r="AP18" s="1826"/>
      <c r="AQ18" s="1827"/>
      <c r="AR18" s="1689" t="s">
        <v>539</v>
      </c>
      <c r="AS18" s="1690"/>
      <c r="AT18" s="1690"/>
      <c r="AU18" s="1690"/>
      <c r="AV18" s="1690"/>
      <c r="AW18" s="1690"/>
      <c r="AX18" s="1690"/>
      <c r="AY18" s="1690"/>
      <c r="AZ18" s="1690"/>
      <c r="BA18" s="1690"/>
      <c r="BB18" s="1690"/>
      <c r="BC18" s="1690"/>
      <c r="BD18" s="1690"/>
      <c r="BE18" s="1691"/>
      <c r="BF18" s="313" t="s">
        <v>5940</v>
      </c>
      <c r="BG18" s="313" t="s">
        <v>3976</v>
      </c>
      <c r="BM18" s="311"/>
    </row>
    <row r="19" spans="1:110" ht="20.100000000000001" customHeight="1">
      <c r="A19" s="766"/>
      <c r="B19" s="766"/>
      <c r="C19" s="1744" t="s">
        <v>4020</v>
      </c>
      <c r="D19" s="1744"/>
      <c r="E19" s="1744"/>
      <c r="F19" s="1744"/>
      <c r="G19" s="1744"/>
      <c r="H19" s="1744"/>
      <c r="I19" s="1744"/>
      <c r="J19" s="1744"/>
      <c r="K19" s="1744"/>
      <c r="L19" s="1744"/>
      <c r="M19" s="1744"/>
      <c r="N19" s="1744"/>
      <c r="O19" s="1744"/>
      <c r="P19" s="1744"/>
      <c r="Q19" s="1744"/>
      <c r="R19" s="1744"/>
      <c r="S19" s="1744"/>
      <c r="T19" s="1741"/>
      <c r="U19" s="1718" t="s">
        <v>390</v>
      </c>
      <c r="V19" s="1693"/>
      <c r="W19" s="1693"/>
      <c r="X19" s="1693"/>
      <c r="Y19" s="1693"/>
      <c r="Z19" s="1693"/>
      <c r="AA19" s="1693"/>
      <c r="AB19" s="1693"/>
      <c r="AC19" s="1693"/>
      <c r="AD19" s="1693"/>
      <c r="AE19" s="1693"/>
      <c r="AF19" s="1693"/>
      <c r="AG19" s="1693"/>
      <c r="AH19" s="1693"/>
      <c r="AI19" s="1693"/>
      <c r="AJ19" s="1693"/>
      <c r="AK19" s="1693"/>
      <c r="AL19" s="1694"/>
    </row>
    <row r="20" spans="1:110" ht="20.100000000000001" customHeight="1">
      <c r="A20" s="766"/>
      <c r="B20" s="766"/>
      <c r="C20" s="1744" t="s">
        <v>4022</v>
      </c>
      <c r="D20" s="1744"/>
      <c r="E20" s="1744"/>
      <c r="F20" s="1744"/>
      <c r="G20" s="1744"/>
      <c r="H20" s="1744"/>
      <c r="I20" s="1744"/>
      <c r="J20" s="1744"/>
      <c r="K20" s="1744"/>
      <c r="L20" s="1744"/>
      <c r="M20" s="1744"/>
      <c r="N20" s="1744"/>
      <c r="O20" s="1744"/>
      <c r="P20" s="1744"/>
      <c r="Q20" s="1744"/>
      <c r="R20" s="1744"/>
      <c r="S20" s="1744"/>
      <c r="T20" s="1741"/>
      <c r="U20" s="1718" t="s">
        <v>5183</v>
      </c>
      <c r="V20" s="1693"/>
      <c r="W20" s="1693"/>
      <c r="X20" s="1693"/>
      <c r="Y20" s="1693"/>
      <c r="Z20" s="1693"/>
      <c r="AA20" s="1693"/>
      <c r="AB20" s="1693"/>
      <c r="AC20" s="1693"/>
      <c r="AD20" s="1693"/>
      <c r="AE20" s="1693"/>
      <c r="AF20" s="1693"/>
      <c r="AG20" s="1693"/>
      <c r="AH20" s="1693"/>
      <c r="AI20" s="1693"/>
      <c r="AJ20" s="1693"/>
      <c r="AK20" s="1693"/>
      <c r="AL20" s="1694"/>
    </row>
    <row r="21" spans="1:110" ht="20.100000000000001" customHeight="1">
      <c r="A21" s="766"/>
      <c r="B21" s="766"/>
      <c r="C21" s="1744" t="s">
        <v>4021</v>
      </c>
      <c r="D21" s="1744"/>
      <c r="E21" s="1744"/>
      <c r="F21" s="1744"/>
      <c r="G21" s="1744"/>
      <c r="H21" s="1744"/>
      <c r="I21" s="1744"/>
      <c r="J21" s="1744"/>
      <c r="K21" s="1744"/>
      <c r="L21" s="1744"/>
      <c r="M21" s="1744"/>
      <c r="N21" s="1744"/>
      <c r="O21" s="1744"/>
      <c r="P21" s="1744"/>
      <c r="Q21" s="1744"/>
      <c r="R21" s="1744"/>
      <c r="S21" s="1744"/>
      <c r="T21" s="1741"/>
      <c r="U21" s="1718" t="s">
        <v>2329</v>
      </c>
      <c r="V21" s="1693"/>
      <c r="W21" s="1693"/>
      <c r="X21" s="1693"/>
      <c r="Y21" s="1693"/>
      <c r="Z21" s="1693"/>
      <c r="AA21" s="1693"/>
      <c r="AB21" s="1693"/>
      <c r="AC21" s="1693"/>
      <c r="AD21" s="1693"/>
      <c r="AE21" s="1693"/>
      <c r="AF21" s="1693"/>
      <c r="AG21" s="1693"/>
      <c r="AH21" s="1693"/>
      <c r="AI21" s="1693"/>
      <c r="AJ21" s="1693"/>
      <c r="AK21" s="1693"/>
      <c r="AL21" s="1694"/>
    </row>
    <row r="22" spans="1:110" ht="20.100000000000001" customHeight="1">
      <c r="A22" s="766"/>
      <c r="B22" s="766"/>
      <c r="C22" s="1744" t="s">
        <v>385</v>
      </c>
      <c r="D22" s="1744"/>
      <c r="E22" s="1744"/>
      <c r="F22" s="1744"/>
      <c r="G22" s="1744"/>
      <c r="H22" s="1744"/>
      <c r="I22" s="1744"/>
      <c r="J22" s="1744"/>
      <c r="K22" s="1744"/>
      <c r="L22" s="1744"/>
      <c r="M22" s="1744"/>
      <c r="N22" s="1744"/>
      <c r="O22" s="1744"/>
      <c r="P22" s="1744"/>
      <c r="Q22" s="1744"/>
      <c r="R22" s="1744"/>
      <c r="S22" s="1744"/>
      <c r="T22" s="1741"/>
      <c r="U22" s="1718" t="s">
        <v>4502</v>
      </c>
      <c r="V22" s="1693"/>
      <c r="W22" s="1693"/>
      <c r="X22" s="1693"/>
      <c r="Y22" s="1693"/>
      <c r="Z22" s="1693"/>
      <c r="AA22" s="1693"/>
      <c r="AB22" s="1693"/>
      <c r="AC22" s="1693"/>
      <c r="AD22" s="1693"/>
      <c r="AE22" s="1693"/>
      <c r="AF22" s="1693"/>
      <c r="AG22" s="1693"/>
      <c r="AH22" s="1693"/>
      <c r="AI22" s="1693"/>
      <c r="AJ22" s="1693"/>
      <c r="AK22" s="1693"/>
      <c r="AL22" s="1694"/>
      <c r="CT22" s="1813" t="s">
        <v>2943</v>
      </c>
      <c r="CU22" s="1814"/>
      <c r="CV22" s="3">
        <v>16</v>
      </c>
      <c r="CW22" s="452">
        <v>95</v>
      </c>
      <c r="CX22" s="1813" t="s">
        <v>2944</v>
      </c>
      <c r="CY22" s="1814"/>
      <c r="CZ22" s="3">
        <v>10</v>
      </c>
      <c r="DA22" s="452">
        <v>46</v>
      </c>
    </row>
    <row r="23" spans="1:110" ht="20.100000000000001" customHeight="1">
      <c r="A23" s="766"/>
      <c r="B23" s="766"/>
      <c r="C23" s="1744" t="s">
        <v>3728</v>
      </c>
      <c r="D23" s="1744"/>
      <c r="E23" s="1744"/>
      <c r="F23" s="1744"/>
      <c r="G23" s="1744"/>
      <c r="H23" s="1744"/>
      <c r="I23" s="1744"/>
      <c r="J23" s="1744"/>
      <c r="K23" s="1744"/>
      <c r="L23" s="1744"/>
      <c r="M23" s="1744"/>
      <c r="N23" s="1744"/>
      <c r="O23" s="1744"/>
      <c r="P23" s="1744"/>
      <c r="Q23" s="1744"/>
      <c r="R23" s="1744"/>
      <c r="S23" s="1744"/>
      <c r="T23" s="1741"/>
      <c r="U23" s="1718" t="s">
        <v>990</v>
      </c>
      <c r="V23" s="1693"/>
      <c r="W23" s="1693"/>
      <c r="X23" s="1693"/>
      <c r="Y23" s="1693"/>
      <c r="Z23" s="1693"/>
      <c r="AA23" s="1693"/>
      <c r="AB23" s="1693"/>
      <c r="AC23" s="1693"/>
      <c r="AD23" s="1693"/>
      <c r="AE23" s="1693"/>
      <c r="AF23" s="1693"/>
      <c r="AG23" s="1693"/>
      <c r="AH23" s="1693"/>
      <c r="AI23" s="1693"/>
      <c r="AJ23" s="1693"/>
      <c r="AK23" s="1693"/>
      <c r="AL23" s="1694"/>
      <c r="AX23" s="414" t="s">
        <v>5159</v>
      </c>
    </row>
    <row r="24" spans="1:110" ht="20.100000000000001" customHeight="1">
      <c r="A24" s="766"/>
      <c r="B24" s="766"/>
      <c r="C24" s="1744" t="s">
        <v>384</v>
      </c>
      <c r="D24" s="1744"/>
      <c r="E24" s="1744"/>
      <c r="F24" s="1744"/>
      <c r="G24" s="1744"/>
      <c r="H24" s="1744"/>
      <c r="I24" s="1744"/>
      <c r="J24" s="1744"/>
      <c r="K24" s="1744"/>
      <c r="L24" s="1744"/>
      <c r="M24" s="1744"/>
      <c r="N24" s="1744"/>
      <c r="O24" s="1744"/>
      <c r="P24" s="1744"/>
      <c r="Q24" s="1744"/>
      <c r="R24" s="1744"/>
      <c r="S24" s="1744"/>
      <c r="T24" s="1741"/>
      <c r="U24" s="1718" t="s">
        <v>4375</v>
      </c>
      <c r="V24" s="1693"/>
      <c r="W24" s="1693"/>
      <c r="X24" s="1693"/>
      <c r="Y24" s="1693"/>
      <c r="Z24" s="1693"/>
      <c r="AA24" s="1693"/>
      <c r="AB24" s="1693"/>
      <c r="AC24" s="1693"/>
      <c r="AD24" s="1693"/>
      <c r="AE24" s="1693"/>
      <c r="AF24" s="1693"/>
      <c r="AG24" s="1693"/>
      <c r="AH24" s="1693"/>
      <c r="AI24" s="1693"/>
      <c r="AJ24" s="1693"/>
      <c r="AK24" s="1693"/>
      <c r="AL24" s="1694"/>
      <c r="AX24" s="414" t="s">
        <v>5159</v>
      </c>
    </row>
    <row r="25" spans="1:110" ht="20.100000000000001" customHeight="1">
      <c r="A25" s="766"/>
      <c r="B25" s="766"/>
      <c r="C25" s="432" t="s">
        <v>2886</v>
      </c>
      <c r="AF25" s="430"/>
      <c r="CB25" s="431" t="s">
        <v>4130</v>
      </c>
      <c r="CC25" s="431"/>
      <c r="CD25" s="431"/>
      <c r="CE25" s="414" t="s">
        <v>4129</v>
      </c>
    </row>
    <row r="26" spans="1:110" ht="20.100000000000001" customHeight="1">
      <c r="A26" s="766"/>
      <c r="B26" s="766"/>
      <c r="C26" s="1833" t="s">
        <v>1242</v>
      </c>
      <c r="D26" s="1834"/>
      <c r="E26" s="1834"/>
      <c r="F26" s="1834"/>
      <c r="G26" s="1834"/>
      <c r="H26" s="1834"/>
      <c r="I26" s="1834"/>
      <c r="J26" s="1834"/>
      <c r="K26" s="1834"/>
      <c r="L26" s="1834"/>
      <c r="M26" s="1834"/>
      <c r="N26" s="1834"/>
      <c r="O26" s="1834"/>
      <c r="P26" s="1834"/>
      <c r="Q26" s="1834"/>
      <c r="R26" s="1834"/>
      <c r="S26" s="1834"/>
      <c r="T26" s="1835"/>
      <c r="U26" s="1701" t="s">
        <v>1110</v>
      </c>
      <c r="V26" s="1702"/>
      <c r="W26" s="1702"/>
      <c r="X26" s="1702"/>
      <c r="Y26" s="1702"/>
      <c r="Z26" s="1702"/>
      <c r="AA26" s="1702"/>
      <c r="AB26" s="1702"/>
      <c r="AC26" s="1702"/>
      <c r="AD26" s="1702"/>
      <c r="AE26" s="1702"/>
      <c r="AF26" s="1702"/>
      <c r="AG26" s="1702"/>
      <c r="AH26" s="1702"/>
      <c r="AI26" s="1702"/>
      <c r="AJ26" s="1702"/>
      <c r="AK26" s="1702"/>
      <c r="AL26" s="1703"/>
      <c r="BY26" s="433"/>
      <c r="BZ26" s="433">
        <v>1</v>
      </c>
      <c r="CA26" s="433">
        <v>2</v>
      </c>
      <c r="CB26" s="433">
        <v>3</v>
      </c>
      <c r="CC26" s="433">
        <v>4</v>
      </c>
      <c r="CD26" s="433">
        <v>5</v>
      </c>
      <c r="CE26" s="433">
        <v>6</v>
      </c>
      <c r="CF26" s="433">
        <v>7</v>
      </c>
      <c r="CG26" s="433">
        <v>8</v>
      </c>
      <c r="CH26" s="433">
        <v>9</v>
      </c>
      <c r="CI26" s="433">
        <v>10</v>
      </c>
      <c r="CJ26" s="433">
        <v>11</v>
      </c>
      <c r="CK26" s="433">
        <v>12</v>
      </c>
      <c r="CL26" s="433">
        <v>13</v>
      </c>
      <c r="CM26" s="433">
        <v>14</v>
      </c>
      <c r="CN26" s="434">
        <v>15</v>
      </c>
      <c r="CO26" s="434">
        <v>16</v>
      </c>
      <c r="CP26" s="434">
        <v>17</v>
      </c>
      <c r="CQ26" s="434">
        <v>18</v>
      </c>
      <c r="CR26" s="434">
        <v>19</v>
      </c>
      <c r="CS26" s="434">
        <v>20</v>
      </c>
      <c r="CT26" s="434">
        <v>21</v>
      </c>
      <c r="CU26" s="434">
        <v>22</v>
      </c>
      <c r="CV26" s="434">
        <v>23</v>
      </c>
      <c r="CW26" s="434">
        <v>24</v>
      </c>
      <c r="CX26" s="434">
        <v>25</v>
      </c>
      <c r="CY26" s="434">
        <v>26</v>
      </c>
      <c r="CZ26" s="434">
        <v>27</v>
      </c>
      <c r="DA26" s="434">
        <v>28</v>
      </c>
      <c r="DB26" s="434">
        <v>29</v>
      </c>
      <c r="DC26" s="434">
        <v>30</v>
      </c>
      <c r="DD26" s="434">
        <v>31</v>
      </c>
      <c r="DE26" s="434"/>
      <c r="DF26" s="434"/>
    </row>
    <row r="27" spans="1:110" ht="20.100000000000001" customHeight="1">
      <c r="A27" s="766"/>
      <c r="B27" s="766"/>
      <c r="C27" s="1744" t="s">
        <v>2792</v>
      </c>
      <c r="D27" s="1744"/>
      <c r="E27" s="1744"/>
      <c r="F27" s="1744"/>
      <c r="G27" s="1744"/>
      <c r="H27" s="1744"/>
      <c r="I27" s="1744"/>
      <c r="J27" s="1744"/>
      <c r="K27" s="1744"/>
      <c r="L27" s="1744"/>
      <c r="M27" s="1744"/>
      <c r="N27" s="1744"/>
      <c r="O27" s="1744"/>
      <c r="P27" s="1744"/>
      <c r="Q27" s="1744"/>
      <c r="R27" s="1744"/>
      <c r="S27" s="1744"/>
      <c r="T27" s="1744"/>
      <c r="U27" s="1754" t="s">
        <v>1596</v>
      </c>
      <c r="V27" s="1755"/>
      <c r="W27" s="1755"/>
      <c r="X27" s="1755"/>
      <c r="Y27" s="1755"/>
      <c r="Z27" s="1755"/>
      <c r="AA27" s="1755"/>
      <c r="AB27" s="1755"/>
      <c r="AC27" s="1755"/>
      <c r="AD27" s="1755"/>
      <c r="AE27" s="1755"/>
      <c r="AF27" s="1755"/>
      <c r="AG27" s="1755"/>
      <c r="AH27" s="1755"/>
      <c r="AI27" s="1755"/>
      <c r="AJ27" s="1755"/>
      <c r="AK27" s="1755"/>
      <c r="AL27" s="1756"/>
      <c r="AU27" s="1687">
        <v>1</v>
      </c>
      <c r="AV27" s="1688"/>
      <c r="AW27" s="1822" t="s">
        <v>4399</v>
      </c>
      <c r="AX27" s="1822"/>
      <c r="AY27" s="1822"/>
      <c r="AZ27" s="1822"/>
      <c r="BA27" s="1822"/>
      <c r="BB27" s="1822"/>
      <c r="BC27" s="1822"/>
      <c r="BD27" s="1822"/>
      <c r="BE27" s="1822"/>
      <c r="BF27" s="1822"/>
      <c r="BG27" s="1822"/>
      <c r="BH27" s="1822"/>
      <c r="BI27" s="1822"/>
      <c r="BJ27" s="1822"/>
      <c r="BK27" s="1822"/>
      <c r="BL27" s="1822"/>
      <c r="BM27" s="1822"/>
      <c r="BN27" s="1822" t="s">
        <v>1590</v>
      </c>
      <c r="BO27" s="1822"/>
      <c r="BP27" s="1822"/>
      <c r="BQ27" s="1822"/>
      <c r="BR27" s="1822" t="s">
        <v>949</v>
      </c>
      <c r="BS27" s="1822"/>
      <c r="BT27" s="1822"/>
      <c r="BU27" s="1822"/>
      <c r="BY27" s="1803" t="s">
        <v>6397</v>
      </c>
      <c r="BZ27" s="1804"/>
      <c r="CA27" s="1805"/>
      <c r="CB27" s="435" t="s">
        <v>1044</v>
      </c>
      <c r="CC27" s="436"/>
      <c r="CD27" s="437"/>
      <c r="CE27" s="437"/>
      <c r="CF27" s="1799" t="s">
        <v>2938</v>
      </c>
      <c r="CG27" s="1800"/>
      <c r="CH27" s="1809" t="s">
        <v>3075</v>
      </c>
      <c r="CI27" s="438" t="s">
        <v>3184</v>
      </c>
      <c r="CJ27" s="439"/>
      <c r="CK27" s="439"/>
      <c r="CL27" s="439"/>
      <c r="CM27" s="439"/>
      <c r="CN27" s="440"/>
      <c r="CO27" s="441"/>
      <c r="CP27" s="441"/>
      <c r="CQ27" s="441"/>
      <c r="CR27" s="1788" t="s">
        <v>3650</v>
      </c>
      <c r="CS27" s="1789"/>
      <c r="CT27" s="1817" t="s">
        <v>1373</v>
      </c>
      <c r="CU27" s="1817"/>
      <c r="CV27" s="1817"/>
      <c r="CW27" s="1817"/>
      <c r="CX27" s="1817"/>
      <c r="CY27" s="1817"/>
      <c r="CZ27" s="1817"/>
      <c r="DA27" s="1817"/>
      <c r="DB27" s="1846" t="s">
        <v>2554</v>
      </c>
      <c r="DC27" s="1848" t="s">
        <v>3508</v>
      </c>
      <c r="DD27" s="1816"/>
      <c r="DE27" s="442"/>
      <c r="DF27" s="442"/>
    </row>
    <row r="28" spans="1:110" ht="20.100000000000001" customHeight="1">
      <c r="A28" s="766"/>
      <c r="B28" s="766"/>
      <c r="C28" s="1744" t="s">
        <v>2793</v>
      </c>
      <c r="D28" s="1744"/>
      <c r="E28" s="1744"/>
      <c r="F28" s="1744"/>
      <c r="G28" s="1744"/>
      <c r="H28" s="1744"/>
      <c r="I28" s="1744"/>
      <c r="J28" s="1744"/>
      <c r="K28" s="1744"/>
      <c r="L28" s="1744"/>
      <c r="M28" s="1744"/>
      <c r="N28" s="1744"/>
      <c r="O28" s="1744"/>
      <c r="P28" s="1744"/>
      <c r="Q28" s="1744"/>
      <c r="R28" s="1744"/>
      <c r="S28" s="1744"/>
      <c r="T28" s="1744"/>
      <c r="U28" s="1695">
        <v>22</v>
      </c>
      <c r="V28" s="1695"/>
      <c r="W28" s="1695"/>
      <c r="X28" s="1695"/>
      <c r="Y28" s="1695"/>
      <c r="Z28" s="1695"/>
      <c r="AA28" s="1695"/>
      <c r="AB28" s="1695"/>
      <c r="AC28" s="1695"/>
      <c r="AD28" s="1695"/>
      <c r="AE28" s="1695"/>
      <c r="AF28" s="1695"/>
      <c r="AG28" s="1695"/>
      <c r="AH28" s="1695"/>
      <c r="AI28" s="1695"/>
      <c r="AJ28" s="1695"/>
      <c r="AK28" s="1695"/>
      <c r="AL28" s="1695"/>
      <c r="AM28" s="414" t="s">
        <v>3523</v>
      </c>
      <c r="AU28" s="1687">
        <f>IF($U$27=AW28,1,0)</f>
        <v>0</v>
      </c>
      <c r="AV28" s="1688"/>
      <c r="AW28" s="1849" t="s">
        <v>4035</v>
      </c>
      <c r="AX28" s="1849"/>
      <c r="AY28" s="1849"/>
      <c r="AZ28" s="1849"/>
      <c r="BA28" s="1849"/>
      <c r="BB28" s="1849"/>
      <c r="BC28" s="1849"/>
      <c r="BD28" s="1849"/>
      <c r="BE28" s="1849"/>
      <c r="BF28" s="1849"/>
      <c r="BG28" s="1849"/>
      <c r="BH28" s="1849"/>
      <c r="BI28" s="1849"/>
      <c r="BJ28" s="1849"/>
      <c r="BK28" s="1849"/>
      <c r="BL28" s="1849"/>
      <c r="BM28" s="1849"/>
      <c r="BN28" s="1704">
        <v>0.4</v>
      </c>
      <c r="BO28" s="1704"/>
      <c r="BP28" s="1704"/>
      <c r="BQ28" s="1704"/>
      <c r="BR28" s="1704">
        <v>0.5</v>
      </c>
      <c r="BS28" s="1704"/>
      <c r="BT28" s="1704"/>
      <c r="BU28" s="1704"/>
      <c r="BY28" s="1806"/>
      <c r="BZ28" s="1807"/>
      <c r="CA28" s="1808"/>
      <c r="CB28" s="443" t="s">
        <v>1043</v>
      </c>
      <c r="CC28" s="5" t="s">
        <v>1041</v>
      </c>
      <c r="CD28" s="5" t="s">
        <v>1042</v>
      </c>
      <c r="CE28" s="5" t="s">
        <v>4128</v>
      </c>
      <c r="CF28" s="444" t="s">
        <v>3651</v>
      </c>
      <c r="CG28" s="445" t="s">
        <v>1742</v>
      </c>
      <c r="CH28" s="1810"/>
      <c r="CI28" s="1793" t="s">
        <v>3507</v>
      </c>
      <c r="CJ28" s="1794"/>
      <c r="CK28" s="1794"/>
      <c r="CL28" s="1795"/>
      <c r="CM28" s="2" t="s">
        <v>881</v>
      </c>
      <c r="CN28" s="4" t="s">
        <v>17</v>
      </c>
      <c r="CO28" s="4" t="s">
        <v>18</v>
      </c>
      <c r="CP28" s="4" t="s">
        <v>19</v>
      </c>
      <c r="CQ28" s="4" t="s">
        <v>906</v>
      </c>
      <c r="CR28" s="446" t="s">
        <v>3651</v>
      </c>
      <c r="CS28" s="4" t="s">
        <v>1742</v>
      </c>
      <c r="CT28" s="1815" t="s">
        <v>704</v>
      </c>
      <c r="CU28" s="1816"/>
      <c r="CV28" s="1" t="s">
        <v>1045</v>
      </c>
      <c r="CW28" s="1" t="s">
        <v>907</v>
      </c>
      <c r="CX28" s="1815" t="s">
        <v>705</v>
      </c>
      <c r="CY28" s="1816"/>
      <c r="CZ28" s="1" t="s">
        <v>1045</v>
      </c>
      <c r="DA28" s="1" t="s">
        <v>907</v>
      </c>
      <c r="DB28" s="1847"/>
      <c r="DC28" s="1815"/>
      <c r="DD28" s="1816"/>
      <c r="DE28" s="442"/>
      <c r="DF28" s="442"/>
    </row>
    <row r="29" spans="1:110" ht="20.100000000000001" customHeight="1">
      <c r="A29" s="766"/>
      <c r="B29" s="766"/>
      <c r="C29" s="1760" t="s">
        <v>4215</v>
      </c>
      <c r="D29" s="1761"/>
      <c r="E29" s="1761"/>
      <c r="F29" s="1761"/>
      <c r="G29" s="1761"/>
      <c r="H29" s="1761"/>
      <c r="I29" s="1761"/>
      <c r="J29" s="1761"/>
      <c r="K29" s="1761"/>
      <c r="L29" s="1761"/>
      <c r="M29" s="1761"/>
      <c r="N29" s="1761"/>
      <c r="O29" s="1761"/>
      <c r="P29" s="1761"/>
      <c r="Q29" s="1761"/>
      <c r="R29" s="1761"/>
      <c r="S29" s="1761"/>
      <c r="T29" s="1762"/>
      <c r="U29" s="1695" t="s">
        <v>528</v>
      </c>
      <c r="V29" s="1695"/>
      <c r="W29" s="1695"/>
      <c r="X29" s="1695"/>
      <c r="Y29" s="1695"/>
      <c r="Z29" s="1695"/>
      <c r="AA29" s="1695"/>
      <c r="AB29" s="1695"/>
      <c r="AC29" s="1695"/>
      <c r="AD29" s="1695"/>
      <c r="AE29" s="1695"/>
      <c r="AF29" s="1695"/>
      <c r="AG29" s="1695"/>
      <c r="AH29" s="1695"/>
      <c r="AI29" s="1695"/>
      <c r="AJ29" s="1695"/>
      <c r="AK29" s="1695"/>
      <c r="AL29" s="1695"/>
      <c r="AM29" s="414" t="s">
        <v>2321</v>
      </c>
      <c r="AU29" s="1687">
        <f t="shared" ref="AU29:AU38" si="2">IF($U$27=AW29,1,0)</f>
        <v>0</v>
      </c>
      <c r="AV29" s="1688"/>
      <c r="AW29" s="1706" t="s">
        <v>4036</v>
      </c>
      <c r="AX29" s="1706"/>
      <c r="AY29" s="1706"/>
      <c r="AZ29" s="1706"/>
      <c r="BA29" s="1706"/>
      <c r="BB29" s="1706"/>
      <c r="BC29" s="1706"/>
      <c r="BD29" s="1706"/>
      <c r="BE29" s="1706"/>
      <c r="BF29" s="1706"/>
      <c r="BG29" s="1706"/>
      <c r="BH29" s="1706"/>
      <c r="BI29" s="1706"/>
      <c r="BJ29" s="1706"/>
      <c r="BK29" s="1706"/>
      <c r="BL29" s="1706"/>
      <c r="BM29" s="1706"/>
      <c r="BN29" s="1700">
        <v>0.7</v>
      </c>
      <c r="BO29" s="1700"/>
      <c r="BP29" s="1700"/>
      <c r="BQ29" s="1700"/>
      <c r="BR29" s="1700">
        <v>0.7</v>
      </c>
      <c r="BS29" s="1700"/>
      <c r="BT29" s="1700"/>
      <c r="BU29" s="1700"/>
      <c r="BY29" s="1777" t="s">
        <v>3185</v>
      </c>
      <c r="BZ29" s="1801" t="s">
        <v>1698</v>
      </c>
      <c r="CA29" s="1802"/>
      <c r="CB29" s="6">
        <v>15</v>
      </c>
      <c r="CC29" s="6">
        <v>52</v>
      </c>
      <c r="CD29" s="6">
        <v>213</v>
      </c>
      <c r="CE29" s="6">
        <v>2</v>
      </c>
      <c r="CF29" s="6">
        <v>12.7</v>
      </c>
      <c r="CG29" s="6">
        <v>0.22</v>
      </c>
      <c r="CH29" s="447">
        <v>3</v>
      </c>
      <c r="CI29" s="1796" t="s">
        <v>1423</v>
      </c>
      <c r="CJ29" s="1797"/>
      <c r="CK29" s="1797"/>
      <c r="CL29" s="1798"/>
      <c r="CM29" s="448">
        <v>80</v>
      </c>
      <c r="CN29" s="449">
        <v>10</v>
      </c>
      <c r="CO29" s="449">
        <v>0.95</v>
      </c>
      <c r="CP29" s="449">
        <v>1.1499999999999999</v>
      </c>
      <c r="CQ29" s="449">
        <v>2</v>
      </c>
      <c r="CR29" s="450"/>
      <c r="CS29" s="451"/>
      <c r="CT29" s="1813" t="s">
        <v>2945</v>
      </c>
      <c r="CU29" s="1814"/>
      <c r="CV29" s="3">
        <v>35</v>
      </c>
      <c r="CW29" s="452">
        <v>140</v>
      </c>
      <c r="CX29" s="1813" t="s">
        <v>2945</v>
      </c>
      <c r="CY29" s="1814"/>
      <c r="CZ29" s="3">
        <v>35</v>
      </c>
      <c r="DA29" s="452">
        <v>140</v>
      </c>
      <c r="DB29" s="453">
        <v>2</v>
      </c>
      <c r="DC29" s="1836"/>
      <c r="DD29" s="1837"/>
      <c r="DE29" s="422"/>
      <c r="DF29" s="422"/>
    </row>
    <row r="30" spans="1:110" ht="20.100000000000001" customHeight="1">
      <c r="A30" s="766"/>
      <c r="B30" s="766"/>
      <c r="C30" s="1744" t="s">
        <v>1662</v>
      </c>
      <c r="D30" s="1744"/>
      <c r="E30" s="1744"/>
      <c r="F30" s="1744"/>
      <c r="G30" s="1744"/>
      <c r="H30" s="1744"/>
      <c r="I30" s="1744"/>
      <c r="J30" s="1744"/>
      <c r="K30" s="1744"/>
      <c r="L30" s="1744"/>
      <c r="M30" s="1744"/>
      <c r="N30" s="1744"/>
      <c r="O30" s="1744"/>
      <c r="P30" s="1744"/>
      <c r="Q30" s="1744"/>
      <c r="R30" s="1744"/>
      <c r="S30" s="1744"/>
      <c r="T30" s="1744"/>
      <c r="U30" s="1740">
        <f>CI63</f>
        <v>0.88</v>
      </c>
      <c r="V30" s="1740"/>
      <c r="W30" s="1740"/>
      <c r="X30" s="1740"/>
      <c r="Y30" s="1740"/>
      <c r="Z30" s="1740"/>
      <c r="AA30" s="1740"/>
      <c r="AB30" s="1740"/>
      <c r="AC30" s="1740"/>
      <c r="AD30" s="1740"/>
      <c r="AE30" s="1740"/>
      <c r="AF30" s="1740"/>
      <c r="AG30" s="1740"/>
      <c r="AH30" s="1740"/>
      <c r="AI30" s="1740"/>
      <c r="AJ30" s="1740"/>
      <c r="AK30" s="1740"/>
      <c r="AL30" s="1740"/>
      <c r="AU30" s="1687">
        <f t="shared" si="2"/>
        <v>0</v>
      </c>
      <c r="AV30" s="1688"/>
      <c r="AW30" s="1706" t="s">
        <v>2177</v>
      </c>
      <c r="AX30" s="1706"/>
      <c r="AY30" s="1706"/>
      <c r="AZ30" s="1706"/>
      <c r="BA30" s="1706"/>
      <c r="BB30" s="1706"/>
      <c r="BC30" s="1706"/>
      <c r="BD30" s="1706"/>
      <c r="BE30" s="1706"/>
      <c r="BF30" s="1706"/>
      <c r="BG30" s="1706"/>
      <c r="BH30" s="1706"/>
      <c r="BI30" s="1706"/>
      <c r="BJ30" s="1706"/>
      <c r="BK30" s="1706"/>
      <c r="BL30" s="1706"/>
      <c r="BM30" s="1706"/>
      <c r="BN30" s="1700">
        <v>0.6</v>
      </c>
      <c r="BO30" s="1700"/>
      <c r="BP30" s="1700"/>
      <c r="BQ30" s="1700"/>
      <c r="BR30" s="1700">
        <v>0.6</v>
      </c>
      <c r="BS30" s="1700"/>
      <c r="BT30" s="1700"/>
      <c r="BU30" s="1700"/>
      <c r="BY30" s="1778"/>
      <c r="BZ30" s="1768" t="s">
        <v>4252</v>
      </c>
      <c r="CA30" s="1769"/>
      <c r="CB30" s="6">
        <v>25</v>
      </c>
      <c r="CC30" s="6">
        <v>67</v>
      </c>
      <c r="CD30" s="6">
        <v>333</v>
      </c>
      <c r="CE30" s="6">
        <v>2</v>
      </c>
      <c r="CF30" s="6">
        <v>12.7</v>
      </c>
      <c r="CG30" s="6">
        <v>0.22</v>
      </c>
      <c r="CH30" s="447">
        <v>3</v>
      </c>
      <c r="CI30" s="1796" t="s">
        <v>1424</v>
      </c>
      <c r="CJ30" s="1797"/>
      <c r="CK30" s="1797"/>
      <c r="CL30" s="1798"/>
      <c r="CM30" s="448">
        <v>125</v>
      </c>
      <c r="CN30" s="449">
        <v>10</v>
      </c>
      <c r="CO30" s="449">
        <v>0.75</v>
      </c>
      <c r="CP30" s="449">
        <v>0.86</v>
      </c>
      <c r="CQ30" s="449">
        <v>1.3</v>
      </c>
      <c r="CR30" s="450"/>
      <c r="CS30" s="454" t="s">
        <v>3652</v>
      </c>
      <c r="CT30" s="1813" t="s">
        <v>2940</v>
      </c>
      <c r="CU30" s="1814"/>
      <c r="CV30" s="3">
        <v>50</v>
      </c>
      <c r="CW30" s="452">
        <v>189</v>
      </c>
      <c r="CX30" s="1813" t="s">
        <v>2940</v>
      </c>
      <c r="CY30" s="1814"/>
      <c r="CZ30" s="3">
        <v>50</v>
      </c>
      <c r="DA30" s="452">
        <v>189</v>
      </c>
      <c r="DB30" s="453">
        <v>2</v>
      </c>
      <c r="DC30" s="1836">
        <v>10</v>
      </c>
      <c r="DD30" s="1837"/>
      <c r="DE30" s="422"/>
      <c r="DF30" s="422"/>
    </row>
    <row r="31" spans="1:110" ht="20.100000000000001" customHeight="1">
      <c r="A31" s="766"/>
      <c r="B31" s="766"/>
      <c r="C31" s="1744" t="s">
        <v>4011</v>
      </c>
      <c r="D31" s="1744"/>
      <c r="E31" s="1744"/>
      <c r="F31" s="1744"/>
      <c r="G31" s="1744"/>
      <c r="H31" s="1744"/>
      <c r="I31" s="1744"/>
      <c r="J31" s="1744"/>
      <c r="K31" s="1744"/>
      <c r="L31" s="1744"/>
      <c r="M31" s="1744"/>
      <c r="N31" s="1744"/>
      <c r="O31" s="1744"/>
      <c r="P31" s="1744"/>
      <c r="Q31" s="1744"/>
      <c r="R31" s="1744"/>
      <c r="S31" s="1744"/>
      <c r="T31" s="1744"/>
      <c r="U31" s="1695">
        <f>CA72</f>
        <v>1</v>
      </c>
      <c r="V31" s="1695"/>
      <c r="W31" s="1695"/>
      <c r="X31" s="1695"/>
      <c r="Y31" s="1695"/>
      <c r="Z31" s="1695"/>
      <c r="AA31" s="1695"/>
      <c r="AB31" s="1695"/>
      <c r="AC31" s="1695"/>
      <c r="AD31" s="1695"/>
      <c r="AE31" s="1695"/>
      <c r="AF31" s="1695"/>
      <c r="AG31" s="1695"/>
      <c r="AH31" s="1695"/>
      <c r="AI31" s="1695"/>
      <c r="AJ31" s="1695"/>
      <c r="AK31" s="1695"/>
      <c r="AL31" s="1695"/>
      <c r="AU31" s="1687">
        <f t="shared" si="2"/>
        <v>0</v>
      </c>
      <c r="AV31" s="1688"/>
      <c r="AW31" s="1706" t="s">
        <v>1663</v>
      </c>
      <c r="AX31" s="1706"/>
      <c r="AY31" s="1706"/>
      <c r="AZ31" s="1706"/>
      <c r="BA31" s="1706"/>
      <c r="BB31" s="1706"/>
      <c r="BC31" s="1706"/>
      <c r="BD31" s="1706"/>
      <c r="BE31" s="1706"/>
      <c r="BF31" s="1706"/>
      <c r="BG31" s="1706"/>
      <c r="BH31" s="1706"/>
      <c r="BI31" s="1706"/>
      <c r="BJ31" s="1706"/>
      <c r="BK31" s="1706"/>
      <c r="BL31" s="1706"/>
      <c r="BM31" s="1706"/>
      <c r="BN31" s="1700">
        <v>0.7</v>
      </c>
      <c r="BO31" s="1700"/>
      <c r="BP31" s="1700"/>
      <c r="BQ31" s="1700"/>
      <c r="BR31" s="1700">
        <v>0.7</v>
      </c>
      <c r="BS31" s="1700"/>
      <c r="BT31" s="1700"/>
      <c r="BU31" s="1700"/>
      <c r="BY31" s="1778"/>
      <c r="BZ31" s="1768" t="s">
        <v>4253</v>
      </c>
      <c r="CA31" s="1769"/>
      <c r="CB31" s="6">
        <v>37.5</v>
      </c>
      <c r="CC31" s="6">
        <v>92</v>
      </c>
      <c r="CD31" s="6">
        <v>420</v>
      </c>
      <c r="CE31" s="6">
        <v>2</v>
      </c>
      <c r="CF31" s="6">
        <v>12.7</v>
      </c>
      <c r="CG31" s="6">
        <v>0.22</v>
      </c>
      <c r="CH31" s="447">
        <v>6</v>
      </c>
      <c r="CI31" s="1796" t="s">
        <v>1425</v>
      </c>
      <c r="CJ31" s="1797"/>
      <c r="CK31" s="1797"/>
      <c r="CL31" s="1798"/>
      <c r="CM31" s="448">
        <v>200</v>
      </c>
      <c r="CN31" s="449">
        <v>15</v>
      </c>
      <c r="CO31" s="449">
        <v>0.6</v>
      </c>
      <c r="CP31" s="449">
        <v>0.28000000000000003</v>
      </c>
      <c r="CQ31" s="449">
        <v>0.36</v>
      </c>
      <c r="CR31" s="450"/>
      <c r="CS31" s="454" t="s">
        <v>3653</v>
      </c>
      <c r="CT31" s="1813" t="s">
        <v>2941</v>
      </c>
      <c r="CU31" s="1814"/>
      <c r="CV31" s="3">
        <v>95</v>
      </c>
      <c r="CW31" s="452">
        <v>260</v>
      </c>
      <c r="CX31" s="1813" t="s">
        <v>2941</v>
      </c>
      <c r="CY31" s="1814"/>
      <c r="CZ31" s="3">
        <v>95</v>
      </c>
      <c r="DA31" s="452">
        <v>260</v>
      </c>
      <c r="DB31" s="453">
        <v>2</v>
      </c>
      <c r="DC31" s="1836">
        <v>10</v>
      </c>
      <c r="DD31" s="1837"/>
      <c r="DE31" s="422"/>
      <c r="DF31" s="422"/>
    </row>
    <row r="32" spans="1:110" ht="20.100000000000001" customHeight="1">
      <c r="A32" s="766"/>
      <c r="B32" s="766"/>
      <c r="C32" s="1744" t="s">
        <v>197</v>
      </c>
      <c r="D32" s="1744"/>
      <c r="E32" s="1744"/>
      <c r="F32" s="1744"/>
      <c r="G32" s="1744"/>
      <c r="H32" s="1744"/>
      <c r="I32" s="1744"/>
      <c r="J32" s="1744"/>
      <c r="K32" s="1744"/>
      <c r="L32" s="1744"/>
      <c r="M32" s="1744"/>
      <c r="N32" s="1744"/>
      <c r="O32" s="1744"/>
      <c r="P32" s="1744"/>
      <c r="Q32" s="1744"/>
      <c r="R32" s="1744"/>
      <c r="S32" s="1744"/>
      <c r="T32" s="1744"/>
      <c r="U32" s="1754">
        <v>60</v>
      </c>
      <c r="V32" s="1755"/>
      <c r="W32" s="1755"/>
      <c r="X32" s="1755"/>
      <c r="Y32" s="1755"/>
      <c r="Z32" s="1755"/>
      <c r="AA32" s="1755"/>
      <c r="AB32" s="1755"/>
      <c r="AC32" s="1755"/>
      <c r="AD32" s="1755"/>
      <c r="AE32" s="1755"/>
      <c r="AF32" s="1755"/>
      <c r="AG32" s="1755"/>
      <c r="AH32" s="1755"/>
      <c r="AI32" s="1755"/>
      <c r="AJ32" s="1755"/>
      <c r="AK32" s="1755"/>
      <c r="AL32" s="1756"/>
      <c r="AM32" s="414" t="s">
        <v>3521</v>
      </c>
      <c r="AU32" s="1687">
        <f t="shared" si="2"/>
        <v>0</v>
      </c>
      <c r="AV32" s="1688"/>
      <c r="AW32" s="1706" t="s">
        <v>1664</v>
      </c>
      <c r="AX32" s="1706"/>
      <c r="AY32" s="1706"/>
      <c r="AZ32" s="1706"/>
      <c r="BA32" s="1706"/>
      <c r="BB32" s="1706"/>
      <c r="BC32" s="1706"/>
      <c r="BD32" s="1706"/>
      <c r="BE32" s="1706"/>
      <c r="BF32" s="1706"/>
      <c r="BG32" s="1706"/>
      <c r="BH32" s="1706"/>
      <c r="BI32" s="1706"/>
      <c r="BJ32" s="1706"/>
      <c r="BK32" s="1706"/>
      <c r="BL32" s="1706"/>
      <c r="BM32" s="1706"/>
      <c r="BN32" s="1700">
        <v>0.3</v>
      </c>
      <c r="BO32" s="1700"/>
      <c r="BP32" s="1700"/>
      <c r="BQ32" s="1700"/>
      <c r="BR32" s="1700">
        <v>0.5</v>
      </c>
      <c r="BS32" s="1700"/>
      <c r="BT32" s="1700"/>
      <c r="BU32" s="1700"/>
      <c r="BY32" s="1779"/>
      <c r="BZ32" s="1768" t="s">
        <v>4254</v>
      </c>
      <c r="CA32" s="1769"/>
      <c r="CB32" s="6">
        <v>50</v>
      </c>
      <c r="CC32" s="6">
        <v>108</v>
      </c>
      <c r="CD32" s="6">
        <v>570</v>
      </c>
      <c r="CE32" s="6">
        <v>2.4</v>
      </c>
      <c r="CF32" s="6">
        <v>12.7</v>
      </c>
      <c r="CG32" s="6">
        <v>0.22</v>
      </c>
      <c r="CH32" s="447">
        <v>8</v>
      </c>
      <c r="CI32" s="1796" t="s">
        <v>1426</v>
      </c>
      <c r="CJ32" s="1797"/>
      <c r="CK32" s="1797"/>
      <c r="CL32" s="1798"/>
      <c r="CM32" s="448">
        <v>250</v>
      </c>
      <c r="CN32" s="449">
        <v>15</v>
      </c>
      <c r="CO32" s="449">
        <v>0.6</v>
      </c>
      <c r="CP32" s="449">
        <v>0.28000000000000003</v>
      </c>
      <c r="CQ32" s="449">
        <v>0.36</v>
      </c>
      <c r="CR32" s="450"/>
      <c r="CS32" s="454" t="s">
        <v>3654</v>
      </c>
      <c r="CT32" s="1813" t="s">
        <v>2942</v>
      </c>
      <c r="CU32" s="1814"/>
      <c r="CV32" s="3">
        <v>120</v>
      </c>
      <c r="CW32" s="452">
        <v>324</v>
      </c>
      <c r="CX32" s="1813" t="s">
        <v>2942</v>
      </c>
      <c r="CY32" s="1814"/>
      <c r="CZ32" s="3">
        <v>120</v>
      </c>
      <c r="DA32" s="452">
        <v>324</v>
      </c>
      <c r="DB32" s="453">
        <v>2</v>
      </c>
      <c r="DC32" s="1836">
        <v>20</v>
      </c>
      <c r="DD32" s="1837"/>
      <c r="DE32" s="422"/>
      <c r="DF32" s="422"/>
    </row>
    <row r="33" spans="1:110" ht="20.100000000000001" customHeight="1">
      <c r="A33" s="766"/>
      <c r="B33" s="766"/>
      <c r="C33" s="1744" t="s">
        <v>938</v>
      </c>
      <c r="D33" s="1744"/>
      <c r="E33" s="1744"/>
      <c r="F33" s="1744"/>
      <c r="G33" s="1744"/>
      <c r="H33" s="1744"/>
      <c r="I33" s="1744"/>
      <c r="J33" s="1744"/>
      <c r="K33" s="1744"/>
      <c r="L33" s="1744"/>
      <c r="M33" s="1744"/>
      <c r="N33" s="1744"/>
      <c r="O33" s="1744"/>
      <c r="P33" s="1744"/>
      <c r="Q33" s="1744"/>
      <c r="R33" s="1744"/>
      <c r="S33" s="1744"/>
      <c r="T33" s="1744"/>
      <c r="U33" s="1695">
        <v>30</v>
      </c>
      <c r="V33" s="1695"/>
      <c r="W33" s="1695"/>
      <c r="X33" s="1695"/>
      <c r="Y33" s="1695"/>
      <c r="Z33" s="1695"/>
      <c r="AA33" s="1695"/>
      <c r="AB33" s="1695"/>
      <c r="AC33" s="1695"/>
      <c r="AD33" s="1695"/>
      <c r="AE33" s="1695"/>
      <c r="AF33" s="1695"/>
      <c r="AG33" s="1695"/>
      <c r="AH33" s="1695"/>
      <c r="AI33" s="1695"/>
      <c r="AJ33" s="1695"/>
      <c r="AK33" s="1695"/>
      <c r="AL33" s="1695"/>
      <c r="AM33" s="414" t="s">
        <v>939</v>
      </c>
      <c r="AU33" s="1687">
        <f t="shared" si="2"/>
        <v>0</v>
      </c>
      <c r="AV33" s="1688"/>
      <c r="AW33" s="1706" t="s">
        <v>1665</v>
      </c>
      <c r="AX33" s="1706"/>
      <c r="AY33" s="1706"/>
      <c r="AZ33" s="1706"/>
      <c r="BA33" s="1706"/>
      <c r="BB33" s="1706"/>
      <c r="BC33" s="1706"/>
      <c r="BD33" s="1706"/>
      <c r="BE33" s="1706"/>
      <c r="BF33" s="1706"/>
      <c r="BG33" s="1706"/>
      <c r="BH33" s="1706"/>
      <c r="BI33" s="1706"/>
      <c r="BJ33" s="1706"/>
      <c r="BK33" s="1706"/>
      <c r="BL33" s="1706"/>
      <c r="BM33" s="1706"/>
      <c r="BN33" s="1700">
        <v>0.7</v>
      </c>
      <c r="BO33" s="1700"/>
      <c r="BP33" s="1700"/>
      <c r="BQ33" s="1700"/>
      <c r="BR33" s="1700">
        <v>0.8</v>
      </c>
      <c r="BS33" s="1700"/>
      <c r="BT33" s="1700"/>
      <c r="BU33" s="1700"/>
      <c r="BY33" s="1777" t="s">
        <v>3186</v>
      </c>
      <c r="BZ33" s="1768" t="s">
        <v>4255</v>
      </c>
      <c r="CA33" s="1769"/>
      <c r="CB33" s="6">
        <v>15</v>
      </c>
      <c r="CC33" s="6">
        <v>52</v>
      </c>
      <c r="CD33" s="6">
        <v>213</v>
      </c>
      <c r="CE33" s="6">
        <v>2</v>
      </c>
      <c r="CF33" s="6">
        <v>12.7</v>
      </c>
      <c r="CG33" s="6">
        <v>0.44</v>
      </c>
      <c r="CH33" s="447">
        <v>3</v>
      </c>
      <c r="CI33" s="1796" t="s">
        <v>1427</v>
      </c>
      <c r="CJ33" s="1797"/>
      <c r="CK33" s="1797"/>
      <c r="CL33" s="1798"/>
      <c r="CM33" s="448">
        <v>45</v>
      </c>
      <c r="CN33" s="449">
        <v>10</v>
      </c>
      <c r="CO33" s="449">
        <v>1.36</v>
      </c>
      <c r="CP33" s="449">
        <v>3.05</v>
      </c>
      <c r="CQ33" s="449">
        <v>6.28</v>
      </c>
      <c r="CR33" s="450"/>
      <c r="CS33" s="451"/>
      <c r="CT33" s="1813" t="s">
        <v>2939</v>
      </c>
      <c r="CU33" s="1814"/>
      <c r="CV33" s="3">
        <v>25</v>
      </c>
      <c r="CW33" s="452">
        <v>115</v>
      </c>
      <c r="CX33" s="1813" t="s">
        <v>2943</v>
      </c>
      <c r="CY33" s="1814"/>
      <c r="CZ33" s="3">
        <v>16</v>
      </c>
      <c r="DA33" s="452">
        <v>95</v>
      </c>
      <c r="DB33" s="453">
        <v>2</v>
      </c>
      <c r="DC33" s="1836"/>
      <c r="DD33" s="1837"/>
      <c r="DE33" s="422"/>
      <c r="DF33" s="422"/>
    </row>
    <row r="34" spans="1:110" ht="20.100000000000001" customHeight="1">
      <c r="A34" s="766"/>
      <c r="B34" s="766"/>
      <c r="C34" s="1744" t="s">
        <v>1374</v>
      </c>
      <c r="D34" s="1744"/>
      <c r="E34" s="1744"/>
      <c r="F34" s="1744"/>
      <c r="G34" s="1744"/>
      <c r="H34" s="1744"/>
      <c r="I34" s="1744"/>
      <c r="J34" s="1744"/>
      <c r="K34" s="1744"/>
      <c r="L34" s="1744"/>
      <c r="M34" s="1744"/>
      <c r="N34" s="1744"/>
      <c r="O34" s="1744"/>
      <c r="P34" s="1744"/>
      <c r="Q34" s="1744"/>
      <c r="R34" s="1744"/>
      <c r="S34" s="1744"/>
      <c r="T34" s="1744"/>
      <c r="U34" s="1695">
        <v>1.05</v>
      </c>
      <c r="V34" s="1695"/>
      <c r="W34" s="1695"/>
      <c r="X34" s="1695"/>
      <c r="Y34" s="1695"/>
      <c r="Z34" s="1695"/>
      <c r="AA34" s="1695"/>
      <c r="AB34" s="1695"/>
      <c r="AC34" s="1695"/>
      <c r="AD34" s="1695"/>
      <c r="AE34" s="1695"/>
      <c r="AF34" s="1695"/>
      <c r="AG34" s="1695"/>
      <c r="AH34" s="1695"/>
      <c r="AI34" s="1695"/>
      <c r="AJ34" s="1695"/>
      <c r="AK34" s="1695"/>
      <c r="AL34" s="1695"/>
      <c r="AU34" s="1687">
        <f t="shared" si="2"/>
        <v>0</v>
      </c>
      <c r="AV34" s="1688"/>
      <c r="AW34" s="1706" t="s">
        <v>1666</v>
      </c>
      <c r="AX34" s="1706"/>
      <c r="AY34" s="1706"/>
      <c r="AZ34" s="1706"/>
      <c r="BA34" s="1706"/>
      <c r="BB34" s="1706"/>
      <c r="BC34" s="1706"/>
      <c r="BD34" s="1706"/>
      <c r="BE34" s="1706"/>
      <c r="BF34" s="1706"/>
      <c r="BG34" s="1706"/>
      <c r="BH34" s="1706"/>
      <c r="BI34" s="1706"/>
      <c r="BJ34" s="1706"/>
      <c r="BK34" s="1706"/>
      <c r="BL34" s="1706"/>
      <c r="BM34" s="1706"/>
      <c r="BN34" s="1700">
        <v>0.7</v>
      </c>
      <c r="BO34" s="1700"/>
      <c r="BP34" s="1700"/>
      <c r="BQ34" s="1700"/>
      <c r="BR34" s="1700">
        <v>0.7</v>
      </c>
      <c r="BS34" s="1700"/>
      <c r="BT34" s="1700"/>
      <c r="BU34" s="1700"/>
      <c r="BY34" s="1778"/>
      <c r="BZ34" s="1768" t="s">
        <v>4256</v>
      </c>
      <c r="CA34" s="1769"/>
      <c r="CB34" s="6">
        <v>25</v>
      </c>
      <c r="CC34" s="6">
        <v>67</v>
      </c>
      <c r="CD34" s="6">
        <v>333</v>
      </c>
      <c r="CE34" s="6">
        <v>2</v>
      </c>
      <c r="CF34" s="6">
        <v>12.7</v>
      </c>
      <c r="CG34" s="6">
        <v>0.44</v>
      </c>
      <c r="CH34" s="447">
        <v>3</v>
      </c>
      <c r="CI34" s="1796" t="s">
        <v>2301</v>
      </c>
      <c r="CJ34" s="1797"/>
      <c r="CK34" s="1797"/>
      <c r="CL34" s="1798"/>
      <c r="CM34" s="448">
        <v>75</v>
      </c>
      <c r="CN34" s="449">
        <v>10</v>
      </c>
      <c r="CO34" s="449">
        <v>0.95</v>
      </c>
      <c r="CP34" s="449">
        <v>1.1499999999999999</v>
      </c>
      <c r="CQ34" s="449">
        <v>2</v>
      </c>
      <c r="CR34" s="450"/>
      <c r="CS34" s="454" t="s">
        <v>824</v>
      </c>
      <c r="CT34" s="1813" t="s">
        <v>2945</v>
      </c>
      <c r="CU34" s="1814"/>
      <c r="CV34" s="3">
        <v>35</v>
      </c>
      <c r="CW34" s="452">
        <v>140</v>
      </c>
      <c r="CX34" s="1813" t="s">
        <v>2939</v>
      </c>
      <c r="CY34" s="1814"/>
      <c r="CZ34" s="3">
        <v>25</v>
      </c>
      <c r="DA34" s="452">
        <v>115</v>
      </c>
      <c r="DB34" s="453">
        <v>2</v>
      </c>
      <c r="DC34" s="1836">
        <v>10</v>
      </c>
      <c r="DD34" s="1837"/>
      <c r="DE34" s="422"/>
      <c r="DF34" s="422"/>
    </row>
    <row r="35" spans="1:110" ht="20.100000000000001" customHeight="1">
      <c r="A35" s="766"/>
      <c r="B35" s="766"/>
      <c r="C35" s="1741" t="s">
        <v>1521</v>
      </c>
      <c r="D35" s="1742"/>
      <c r="E35" s="1742"/>
      <c r="F35" s="1742"/>
      <c r="G35" s="1742"/>
      <c r="H35" s="1742"/>
      <c r="I35" s="1742"/>
      <c r="J35" s="1742"/>
      <c r="K35" s="1742"/>
      <c r="L35" s="1742"/>
      <c r="M35" s="1742"/>
      <c r="N35" s="1742"/>
      <c r="O35" s="1742"/>
      <c r="P35" s="1742"/>
      <c r="Q35" s="1742"/>
      <c r="R35" s="1742"/>
      <c r="S35" s="1742"/>
      <c r="T35" s="1743"/>
      <c r="U35" s="1754">
        <v>2.4</v>
      </c>
      <c r="V35" s="1755"/>
      <c r="W35" s="1755"/>
      <c r="X35" s="1755"/>
      <c r="Y35" s="1755"/>
      <c r="Z35" s="1755"/>
      <c r="AA35" s="1755"/>
      <c r="AB35" s="1755"/>
      <c r="AC35" s="1755"/>
      <c r="AD35" s="1755"/>
      <c r="AE35" s="1755"/>
      <c r="AF35" s="1755"/>
      <c r="AG35" s="1755"/>
      <c r="AH35" s="1755"/>
      <c r="AI35" s="1755"/>
      <c r="AJ35" s="1755"/>
      <c r="AK35" s="1755"/>
      <c r="AL35" s="1756"/>
      <c r="AM35" s="414" t="s">
        <v>639</v>
      </c>
      <c r="AU35" s="1687">
        <f t="shared" si="2"/>
        <v>0</v>
      </c>
      <c r="AV35" s="1688"/>
      <c r="AW35" s="1706" t="s">
        <v>5145</v>
      </c>
      <c r="AX35" s="1706"/>
      <c r="AY35" s="1706"/>
      <c r="AZ35" s="1706"/>
      <c r="BA35" s="1706"/>
      <c r="BB35" s="1706"/>
      <c r="BC35" s="1706"/>
      <c r="BD35" s="1706"/>
      <c r="BE35" s="1706"/>
      <c r="BF35" s="1706"/>
      <c r="BG35" s="1706"/>
      <c r="BH35" s="1706"/>
      <c r="BI35" s="1706"/>
      <c r="BJ35" s="1706"/>
      <c r="BK35" s="1706"/>
      <c r="BL35" s="1706"/>
      <c r="BM35" s="1706"/>
      <c r="BN35" s="1700">
        <v>0.5</v>
      </c>
      <c r="BO35" s="1700"/>
      <c r="BP35" s="1700"/>
      <c r="BQ35" s="1700"/>
      <c r="BR35" s="1700">
        <v>0.6</v>
      </c>
      <c r="BS35" s="1700"/>
      <c r="BT35" s="1700"/>
      <c r="BU35" s="1700"/>
      <c r="BY35" s="1778"/>
      <c r="BZ35" s="1768" t="s">
        <v>4257</v>
      </c>
      <c r="CA35" s="1769"/>
      <c r="CB35" s="6">
        <v>37.5</v>
      </c>
      <c r="CC35" s="6">
        <v>92</v>
      </c>
      <c r="CD35" s="6">
        <v>420</v>
      </c>
      <c r="CE35" s="6">
        <v>2</v>
      </c>
      <c r="CF35" s="6">
        <v>12.7</v>
      </c>
      <c r="CG35" s="6">
        <v>0.44</v>
      </c>
      <c r="CH35" s="447">
        <v>6</v>
      </c>
      <c r="CI35" s="1796" t="s">
        <v>1424</v>
      </c>
      <c r="CJ35" s="1797"/>
      <c r="CK35" s="1797"/>
      <c r="CL35" s="1798"/>
      <c r="CM35" s="448">
        <v>125</v>
      </c>
      <c r="CN35" s="449">
        <v>10</v>
      </c>
      <c r="CO35" s="449">
        <v>0.75</v>
      </c>
      <c r="CP35" s="449">
        <v>0.86</v>
      </c>
      <c r="CQ35" s="449">
        <v>1.3</v>
      </c>
      <c r="CR35" s="450"/>
      <c r="CS35" s="454" t="s">
        <v>825</v>
      </c>
      <c r="CT35" s="1813" t="s">
        <v>2940</v>
      </c>
      <c r="CU35" s="1814"/>
      <c r="CV35" s="3">
        <v>50</v>
      </c>
      <c r="CW35" s="452">
        <v>189</v>
      </c>
      <c r="CX35" s="1813" t="s">
        <v>2945</v>
      </c>
      <c r="CY35" s="1814"/>
      <c r="CZ35" s="3">
        <v>35</v>
      </c>
      <c r="DA35" s="452">
        <v>140</v>
      </c>
      <c r="DB35" s="453">
        <v>2</v>
      </c>
      <c r="DC35" s="1836">
        <v>10</v>
      </c>
      <c r="DD35" s="1837"/>
      <c r="DE35" s="422"/>
      <c r="DF35" s="422"/>
    </row>
    <row r="36" spans="1:110" ht="20.100000000000001" customHeight="1">
      <c r="A36" s="766"/>
      <c r="B36" s="766"/>
      <c r="C36" s="1741" t="s">
        <v>1522</v>
      </c>
      <c r="D36" s="1742"/>
      <c r="E36" s="1742"/>
      <c r="F36" s="1742"/>
      <c r="G36" s="1742"/>
      <c r="H36" s="1742"/>
      <c r="I36" s="1742"/>
      <c r="J36" s="1742"/>
      <c r="K36" s="1742"/>
      <c r="L36" s="1742"/>
      <c r="M36" s="1742"/>
      <c r="N36" s="1742"/>
      <c r="O36" s="1742"/>
      <c r="P36" s="1742"/>
      <c r="Q36" s="1742"/>
      <c r="R36" s="1742"/>
      <c r="S36" s="1742"/>
      <c r="T36" s="1743"/>
      <c r="U36" s="1696">
        <v>16</v>
      </c>
      <c r="V36" s="1697"/>
      <c r="W36" s="1697"/>
      <c r="X36" s="1697"/>
      <c r="Y36" s="1697"/>
      <c r="Z36" s="1697"/>
      <c r="AA36" s="1697"/>
      <c r="AB36" s="1697"/>
      <c r="AC36" s="1697"/>
      <c r="AD36" s="1697"/>
      <c r="AE36" s="1697"/>
      <c r="AF36" s="1697"/>
      <c r="AG36" s="1697"/>
      <c r="AH36" s="1697"/>
      <c r="AI36" s="1697"/>
      <c r="AJ36" s="1697"/>
      <c r="AK36" s="1697"/>
      <c r="AL36" s="1698"/>
      <c r="AM36" s="414" t="s">
        <v>1375</v>
      </c>
      <c r="AU36" s="1687">
        <f t="shared" si="2"/>
        <v>0</v>
      </c>
      <c r="AV36" s="1688"/>
      <c r="AW36" s="1706" t="s">
        <v>1593</v>
      </c>
      <c r="AX36" s="1706"/>
      <c r="AY36" s="1706"/>
      <c r="AZ36" s="1706"/>
      <c r="BA36" s="1706"/>
      <c r="BB36" s="1706"/>
      <c r="BC36" s="1706"/>
      <c r="BD36" s="1706"/>
      <c r="BE36" s="1706"/>
      <c r="BF36" s="1706"/>
      <c r="BG36" s="1706"/>
      <c r="BH36" s="1706"/>
      <c r="BI36" s="1706"/>
      <c r="BJ36" s="1706"/>
      <c r="BK36" s="1706"/>
      <c r="BL36" s="1706"/>
      <c r="BM36" s="1706"/>
      <c r="BN36" s="1700">
        <v>0.8</v>
      </c>
      <c r="BO36" s="1700"/>
      <c r="BP36" s="1700"/>
      <c r="BQ36" s="1700"/>
      <c r="BR36" s="1700">
        <v>0.7</v>
      </c>
      <c r="BS36" s="1700"/>
      <c r="BT36" s="1700"/>
      <c r="BU36" s="1700"/>
      <c r="BY36" s="1779"/>
      <c r="BZ36" s="1768" t="s">
        <v>4258</v>
      </c>
      <c r="CA36" s="1769"/>
      <c r="CB36" s="6">
        <v>50</v>
      </c>
      <c r="CC36" s="6">
        <v>108</v>
      </c>
      <c r="CD36" s="6">
        <v>570</v>
      </c>
      <c r="CE36" s="6">
        <v>2.4</v>
      </c>
      <c r="CF36" s="6">
        <v>12.7</v>
      </c>
      <c r="CG36" s="6">
        <v>0.44</v>
      </c>
      <c r="CH36" s="447">
        <v>8</v>
      </c>
      <c r="CI36" s="1796" t="s">
        <v>1428</v>
      </c>
      <c r="CJ36" s="1797"/>
      <c r="CK36" s="1797"/>
      <c r="CL36" s="1798"/>
      <c r="CM36" s="448">
        <v>150</v>
      </c>
      <c r="CN36" s="449">
        <v>15</v>
      </c>
      <c r="CO36" s="449">
        <v>0.64</v>
      </c>
      <c r="CP36" s="449">
        <v>0.51</v>
      </c>
      <c r="CQ36" s="449">
        <v>0.67</v>
      </c>
      <c r="CR36" s="450"/>
      <c r="CS36" s="454" t="s">
        <v>826</v>
      </c>
      <c r="CT36" s="1813" t="s">
        <v>2946</v>
      </c>
      <c r="CU36" s="1814"/>
      <c r="CV36" s="3">
        <v>70</v>
      </c>
      <c r="CW36" s="452">
        <v>215</v>
      </c>
      <c r="CX36" s="1813" t="s">
        <v>2940</v>
      </c>
      <c r="CY36" s="1814"/>
      <c r="CZ36" s="3">
        <v>50</v>
      </c>
      <c r="DA36" s="452">
        <v>189</v>
      </c>
      <c r="DB36" s="453">
        <v>2</v>
      </c>
      <c r="DC36" s="1836">
        <v>20</v>
      </c>
      <c r="DD36" s="1837"/>
      <c r="DE36" s="422"/>
      <c r="DF36" s="422"/>
    </row>
    <row r="37" spans="1:110" ht="20.100000000000001" customHeight="1">
      <c r="A37" s="766"/>
      <c r="B37" s="766"/>
      <c r="C37" s="1741" t="s">
        <v>1523</v>
      </c>
      <c r="D37" s="1742"/>
      <c r="E37" s="1742"/>
      <c r="F37" s="1742"/>
      <c r="G37" s="1742"/>
      <c r="H37" s="1742"/>
      <c r="I37" s="1742"/>
      <c r="J37" s="1742"/>
      <c r="K37" s="1742"/>
      <c r="L37" s="1742"/>
      <c r="M37" s="1742"/>
      <c r="N37" s="1742"/>
      <c r="O37" s="1742"/>
      <c r="P37" s="1742"/>
      <c r="Q37" s="1742"/>
      <c r="R37" s="1742"/>
      <c r="S37" s="1742"/>
      <c r="T37" s="1743"/>
      <c r="U37" s="1696">
        <f>VLOOKUP(NL!U29,NL!BZ29:DD50,DB26,FALSE)</f>
        <v>4</v>
      </c>
      <c r="V37" s="1697"/>
      <c r="W37" s="1697"/>
      <c r="X37" s="1697"/>
      <c r="Y37" s="1697"/>
      <c r="Z37" s="1697"/>
      <c r="AA37" s="1697"/>
      <c r="AB37" s="1697"/>
      <c r="AC37" s="1697"/>
      <c r="AD37" s="1697"/>
      <c r="AE37" s="1697"/>
      <c r="AF37" s="1697"/>
      <c r="AG37" s="1697"/>
      <c r="AH37" s="1697"/>
      <c r="AI37" s="1697"/>
      <c r="AJ37" s="1697"/>
      <c r="AK37" s="1697"/>
      <c r="AL37" s="1698"/>
      <c r="AM37" s="414" t="s">
        <v>1376</v>
      </c>
      <c r="AU37" s="1687">
        <f t="shared" si="2"/>
        <v>0</v>
      </c>
      <c r="AV37" s="1688"/>
      <c r="AW37" s="1706" t="s">
        <v>1595</v>
      </c>
      <c r="AX37" s="1706"/>
      <c r="AY37" s="1706"/>
      <c r="AZ37" s="1706"/>
      <c r="BA37" s="1706"/>
      <c r="BB37" s="1706"/>
      <c r="BC37" s="1706"/>
      <c r="BD37" s="1706"/>
      <c r="BE37" s="1706"/>
      <c r="BF37" s="1706"/>
      <c r="BG37" s="1706"/>
      <c r="BH37" s="1706"/>
      <c r="BI37" s="1706"/>
      <c r="BJ37" s="1706"/>
      <c r="BK37" s="1706"/>
      <c r="BL37" s="1706"/>
      <c r="BM37" s="1706"/>
      <c r="BN37" s="1700">
        <v>0.8</v>
      </c>
      <c r="BO37" s="1700"/>
      <c r="BP37" s="1700"/>
      <c r="BQ37" s="1700"/>
      <c r="BR37" s="1700">
        <v>0.8</v>
      </c>
      <c r="BS37" s="1700"/>
      <c r="BT37" s="1700"/>
      <c r="BU37" s="1700"/>
      <c r="BY37" s="1777" t="s">
        <v>3187</v>
      </c>
      <c r="BZ37" s="1768" t="s">
        <v>524</v>
      </c>
      <c r="CA37" s="1769"/>
      <c r="CB37" s="6">
        <v>45</v>
      </c>
      <c r="CC37" s="6">
        <v>156</v>
      </c>
      <c r="CD37" s="6">
        <v>639</v>
      </c>
      <c r="CE37" s="6">
        <v>2</v>
      </c>
      <c r="CF37" s="6">
        <v>22</v>
      </c>
      <c r="CG37" s="6">
        <v>0.38</v>
      </c>
      <c r="CH37" s="447">
        <v>3</v>
      </c>
      <c r="CI37" s="1796" t="s">
        <v>1429</v>
      </c>
      <c r="CJ37" s="1797"/>
      <c r="CK37" s="1797"/>
      <c r="CL37" s="1798"/>
      <c r="CM37" s="448">
        <v>75</v>
      </c>
      <c r="CN37" s="449">
        <v>10</v>
      </c>
      <c r="CO37" s="449">
        <v>1</v>
      </c>
      <c r="CP37" s="449">
        <v>1.23</v>
      </c>
      <c r="CQ37" s="449">
        <v>2.17</v>
      </c>
      <c r="CR37" s="450"/>
      <c r="CS37" s="454"/>
      <c r="CT37" s="1813" t="s">
        <v>2945</v>
      </c>
      <c r="CU37" s="1814"/>
      <c r="CV37" s="3">
        <v>35</v>
      </c>
      <c r="CW37" s="452">
        <v>140</v>
      </c>
      <c r="CX37" s="1813" t="s">
        <v>2939</v>
      </c>
      <c r="CY37" s="1814"/>
      <c r="CZ37" s="3">
        <v>25</v>
      </c>
      <c r="DA37" s="452">
        <v>115</v>
      </c>
      <c r="DB37" s="453">
        <v>2</v>
      </c>
      <c r="DC37" s="1836"/>
      <c r="DD37" s="1837"/>
      <c r="DE37" s="422"/>
      <c r="DF37" s="422"/>
    </row>
    <row r="38" spans="1:110" ht="20.100000000000001" customHeight="1">
      <c r="A38" s="766"/>
      <c r="B38" s="766"/>
      <c r="C38" s="432" t="s">
        <v>1241</v>
      </c>
      <c r="AU38" s="1687">
        <f t="shared" si="2"/>
        <v>1</v>
      </c>
      <c r="AV38" s="1688"/>
      <c r="AW38" s="1820" t="s">
        <v>1596</v>
      </c>
      <c r="AX38" s="1820"/>
      <c r="AY38" s="1820"/>
      <c r="AZ38" s="1820"/>
      <c r="BA38" s="1820"/>
      <c r="BB38" s="1820"/>
      <c r="BC38" s="1820"/>
      <c r="BD38" s="1820"/>
      <c r="BE38" s="1820"/>
      <c r="BF38" s="1820"/>
      <c r="BG38" s="1820"/>
      <c r="BH38" s="1820"/>
      <c r="BI38" s="1820"/>
      <c r="BJ38" s="1820"/>
      <c r="BK38" s="1820"/>
      <c r="BL38" s="1820"/>
      <c r="BM38" s="1820"/>
      <c r="BN38" s="1821">
        <v>0.8</v>
      </c>
      <c r="BO38" s="1821"/>
      <c r="BP38" s="1821"/>
      <c r="BQ38" s="1821"/>
      <c r="BR38" s="1821">
        <v>0.8</v>
      </c>
      <c r="BS38" s="1821"/>
      <c r="BT38" s="1821"/>
      <c r="BU38" s="1821"/>
      <c r="BY38" s="1778"/>
      <c r="BZ38" s="1768" t="s">
        <v>525</v>
      </c>
      <c r="CA38" s="1769"/>
      <c r="CB38" s="6">
        <v>75</v>
      </c>
      <c r="CC38" s="6">
        <v>201</v>
      </c>
      <c r="CD38" s="6">
        <v>999</v>
      </c>
      <c r="CE38" s="6">
        <v>2</v>
      </c>
      <c r="CF38" s="6">
        <v>22</v>
      </c>
      <c r="CG38" s="6">
        <v>0.38</v>
      </c>
      <c r="CH38" s="447">
        <v>3</v>
      </c>
      <c r="CI38" s="1796" t="s">
        <v>5223</v>
      </c>
      <c r="CJ38" s="1797"/>
      <c r="CK38" s="1797"/>
      <c r="CL38" s="1798"/>
      <c r="CM38" s="448">
        <v>125</v>
      </c>
      <c r="CN38" s="449">
        <v>10</v>
      </c>
      <c r="CO38" s="449">
        <v>0.75</v>
      </c>
      <c r="CP38" s="449">
        <v>0.86</v>
      </c>
      <c r="CQ38" s="449">
        <v>1.3</v>
      </c>
      <c r="CR38" s="450"/>
      <c r="CS38" s="454" t="s">
        <v>3652</v>
      </c>
      <c r="CT38" s="1813" t="s">
        <v>2940</v>
      </c>
      <c r="CU38" s="1814"/>
      <c r="CV38" s="3">
        <v>50</v>
      </c>
      <c r="CW38" s="452">
        <v>189</v>
      </c>
      <c r="CX38" s="1813" t="s">
        <v>2945</v>
      </c>
      <c r="CY38" s="1814"/>
      <c r="CZ38" s="3">
        <v>35</v>
      </c>
      <c r="DA38" s="452">
        <v>140</v>
      </c>
      <c r="DB38" s="453">
        <v>2</v>
      </c>
      <c r="DC38" s="1836">
        <v>30</v>
      </c>
      <c r="DD38" s="1837"/>
      <c r="DE38" s="422"/>
      <c r="DF38" s="422"/>
    </row>
    <row r="39" spans="1:110" ht="20.100000000000001" customHeight="1">
      <c r="A39" s="766"/>
      <c r="B39" s="766"/>
      <c r="C39" s="1757" t="s">
        <v>4216</v>
      </c>
      <c r="D39" s="1758"/>
      <c r="E39" s="1758"/>
      <c r="F39" s="1758"/>
      <c r="G39" s="1758"/>
      <c r="H39" s="1758"/>
      <c r="I39" s="1758"/>
      <c r="J39" s="1758"/>
      <c r="K39" s="1758"/>
      <c r="L39" s="1758"/>
      <c r="M39" s="1758"/>
      <c r="N39" s="1758"/>
      <c r="O39" s="1758"/>
      <c r="P39" s="1758"/>
      <c r="Q39" s="1758"/>
      <c r="R39" s="1758"/>
      <c r="S39" s="1758"/>
      <c r="T39" s="1759"/>
      <c r="U39" s="1695" t="s">
        <v>2252</v>
      </c>
      <c r="V39" s="1695"/>
      <c r="W39" s="1695"/>
      <c r="X39" s="1695"/>
      <c r="Y39" s="1695"/>
      <c r="Z39" s="1695"/>
      <c r="AA39" s="1695"/>
      <c r="AB39" s="1695"/>
      <c r="AC39" s="1695"/>
      <c r="AD39" s="1695"/>
      <c r="AE39" s="1695"/>
      <c r="AF39" s="1695"/>
      <c r="AG39" s="1695"/>
      <c r="AH39" s="1695"/>
      <c r="AI39" s="1695"/>
      <c r="AJ39" s="1695"/>
      <c r="AK39" s="1695"/>
      <c r="AL39" s="1695"/>
      <c r="AW39" s="414">
        <v>1</v>
      </c>
      <c r="AX39" s="414">
        <v>2</v>
      </c>
      <c r="AY39" s="414">
        <v>3</v>
      </c>
      <c r="AZ39" s="414">
        <v>4</v>
      </c>
      <c r="BA39" s="414">
        <v>5</v>
      </c>
      <c r="BB39" s="414">
        <v>6</v>
      </c>
      <c r="BC39" s="414">
        <v>7</v>
      </c>
      <c r="BD39" s="414">
        <v>8</v>
      </c>
      <c r="BE39" s="414">
        <v>9</v>
      </c>
      <c r="BF39" s="414">
        <v>10</v>
      </c>
      <c r="BG39" s="414">
        <v>11</v>
      </c>
      <c r="BH39" s="414">
        <v>12</v>
      </c>
      <c r="BI39" s="414">
        <v>13</v>
      </c>
      <c r="BJ39" s="414">
        <v>14</v>
      </c>
      <c r="BY39" s="1778"/>
      <c r="BZ39" s="1768" t="s">
        <v>526</v>
      </c>
      <c r="CA39" s="1769"/>
      <c r="CB39" s="6">
        <v>112.5</v>
      </c>
      <c r="CC39" s="6">
        <v>276</v>
      </c>
      <c r="CD39" s="6">
        <v>1260</v>
      </c>
      <c r="CE39" s="6">
        <v>2</v>
      </c>
      <c r="CF39" s="6">
        <v>22</v>
      </c>
      <c r="CG39" s="6">
        <v>0.38</v>
      </c>
      <c r="CH39" s="447">
        <v>6</v>
      </c>
      <c r="CI39" s="1796" t="s">
        <v>6069</v>
      </c>
      <c r="CJ39" s="1797"/>
      <c r="CK39" s="1797"/>
      <c r="CL39" s="1798"/>
      <c r="CM39" s="448">
        <v>200</v>
      </c>
      <c r="CN39" s="449">
        <v>15</v>
      </c>
      <c r="CO39" s="449">
        <v>0.6</v>
      </c>
      <c r="CP39" s="449">
        <v>0.28000000000000003</v>
      </c>
      <c r="CQ39" s="449">
        <v>0.36</v>
      </c>
      <c r="CR39" s="450"/>
      <c r="CS39" s="454" t="s">
        <v>3653</v>
      </c>
      <c r="CT39" s="1813" t="s">
        <v>2941</v>
      </c>
      <c r="CU39" s="1814"/>
      <c r="CV39" s="3">
        <v>95</v>
      </c>
      <c r="CW39" s="452">
        <v>260</v>
      </c>
      <c r="CX39" s="1813" t="s">
        <v>2940</v>
      </c>
      <c r="CY39" s="1814"/>
      <c r="CZ39" s="3">
        <v>50</v>
      </c>
      <c r="DA39" s="452">
        <v>189</v>
      </c>
      <c r="DB39" s="453">
        <v>2</v>
      </c>
      <c r="DC39" s="1836">
        <v>30</v>
      </c>
      <c r="DD39" s="1837"/>
      <c r="DE39" s="422"/>
      <c r="DF39" s="422"/>
    </row>
    <row r="40" spans="1:110" ht="20.100000000000001" customHeight="1">
      <c r="A40" s="766"/>
      <c r="B40" s="766"/>
      <c r="C40" s="1744" t="s">
        <v>3729</v>
      </c>
      <c r="D40" s="1744"/>
      <c r="E40" s="1744"/>
      <c r="F40" s="1744"/>
      <c r="G40" s="1744"/>
      <c r="H40" s="1744"/>
      <c r="I40" s="1744"/>
      <c r="J40" s="1744"/>
      <c r="K40" s="1744"/>
      <c r="L40" s="1744"/>
      <c r="M40" s="1744"/>
      <c r="N40" s="1744"/>
      <c r="O40" s="1744"/>
      <c r="P40" s="1744"/>
      <c r="Q40" s="1744"/>
      <c r="R40" s="1744"/>
      <c r="S40" s="1744"/>
      <c r="T40" s="1744"/>
      <c r="U40" s="1751">
        <f>tkeTA!C69</f>
        <v>17</v>
      </c>
      <c r="V40" s="1752"/>
      <c r="W40" s="1752"/>
      <c r="X40" s="1752"/>
      <c r="Y40" s="1752"/>
      <c r="Z40" s="1752"/>
      <c r="AA40" s="1752"/>
      <c r="AB40" s="1752"/>
      <c r="AC40" s="1752"/>
      <c r="AD40" s="1752"/>
      <c r="AE40" s="1752"/>
      <c r="AF40" s="1752"/>
      <c r="AG40" s="1752"/>
      <c r="AH40" s="1752"/>
      <c r="AI40" s="1752"/>
      <c r="AJ40" s="1752"/>
      <c r="AK40" s="1752"/>
      <c r="AL40" s="1753"/>
      <c r="AM40" s="414" t="s">
        <v>639</v>
      </c>
      <c r="AS40" s="455"/>
      <c r="AT40" s="455"/>
      <c r="AU40" s="455"/>
      <c r="AV40" s="455"/>
      <c r="AW40" s="1850" t="s">
        <v>6400</v>
      </c>
      <c r="AX40" s="1851"/>
      <c r="AY40" s="1851"/>
      <c r="AZ40" s="1851"/>
      <c r="BA40" s="1851"/>
      <c r="BB40" s="1851"/>
      <c r="BC40" s="1851"/>
      <c r="BD40" s="1851"/>
      <c r="BE40" s="1851"/>
      <c r="BF40" s="1851"/>
      <c r="BG40" s="1851"/>
      <c r="BH40" s="1851"/>
      <c r="BI40" s="1851"/>
      <c r="BJ40" s="1852"/>
      <c r="BL40" s="1819" t="s">
        <v>1377</v>
      </c>
      <c r="BM40" s="1819"/>
      <c r="BN40" s="1819"/>
      <c r="BO40" s="1819"/>
      <c r="BP40" s="1819"/>
      <c r="BQ40" s="1819" t="s">
        <v>1378</v>
      </c>
      <c r="BR40" s="1819"/>
      <c r="BS40" s="1819"/>
      <c r="BT40" s="1819"/>
      <c r="BU40" s="1819"/>
      <c r="BY40" s="1778"/>
      <c r="BZ40" s="1768" t="s">
        <v>527</v>
      </c>
      <c r="CA40" s="1769"/>
      <c r="CB40" s="6">
        <v>150</v>
      </c>
      <c r="CC40" s="6">
        <v>324</v>
      </c>
      <c r="CD40" s="6">
        <v>1710</v>
      </c>
      <c r="CE40" s="6">
        <v>2.4</v>
      </c>
      <c r="CF40" s="6">
        <v>22</v>
      </c>
      <c r="CG40" s="6">
        <v>0.38</v>
      </c>
      <c r="CH40" s="447">
        <v>8</v>
      </c>
      <c r="CI40" s="1796" t="s">
        <v>4908</v>
      </c>
      <c r="CJ40" s="1797"/>
      <c r="CK40" s="1797"/>
      <c r="CL40" s="1798"/>
      <c r="CM40" s="448">
        <v>250</v>
      </c>
      <c r="CN40" s="449">
        <v>15</v>
      </c>
      <c r="CO40" s="449">
        <v>0.6</v>
      </c>
      <c r="CP40" s="449">
        <v>0.28000000000000003</v>
      </c>
      <c r="CQ40" s="449">
        <v>0.36</v>
      </c>
      <c r="CR40" s="450"/>
      <c r="CS40" s="454" t="s">
        <v>3654</v>
      </c>
      <c r="CT40" s="1813" t="s">
        <v>2942</v>
      </c>
      <c r="CU40" s="1814"/>
      <c r="CV40" s="3">
        <v>120</v>
      </c>
      <c r="CW40" s="452">
        <v>324</v>
      </c>
      <c r="CX40" s="1813" t="s">
        <v>2940</v>
      </c>
      <c r="CY40" s="1814"/>
      <c r="CZ40" s="3">
        <v>50</v>
      </c>
      <c r="DA40" s="452">
        <v>189</v>
      </c>
      <c r="DB40" s="453">
        <v>2</v>
      </c>
      <c r="DC40" s="1836">
        <v>60</v>
      </c>
      <c r="DD40" s="1837"/>
      <c r="DE40" s="422"/>
      <c r="DF40" s="422"/>
    </row>
    <row r="41" spans="1:110" ht="20.100000000000001" customHeight="1">
      <c r="A41" s="766"/>
      <c r="B41" s="766"/>
      <c r="C41" s="1745" t="s">
        <v>3470</v>
      </c>
      <c r="D41" s="1746"/>
      <c r="E41" s="1746"/>
      <c r="F41" s="1746"/>
      <c r="G41" s="1746"/>
      <c r="H41" s="1746"/>
      <c r="I41" s="1746"/>
      <c r="J41" s="1746"/>
      <c r="K41" s="1746"/>
      <c r="L41" s="1746"/>
      <c r="M41" s="1746"/>
      <c r="N41" s="1746"/>
      <c r="O41" s="1746"/>
      <c r="P41" s="1746"/>
      <c r="Q41" s="1746"/>
      <c r="R41" s="1746"/>
      <c r="S41" s="1746"/>
      <c r="T41" s="1747"/>
      <c r="U41" s="1754">
        <v>50</v>
      </c>
      <c r="V41" s="1755"/>
      <c r="W41" s="1755"/>
      <c r="X41" s="1755"/>
      <c r="Y41" s="1755"/>
      <c r="Z41" s="1755"/>
      <c r="AA41" s="1755"/>
      <c r="AB41" s="1755"/>
      <c r="AC41" s="1755"/>
      <c r="AD41" s="1755"/>
      <c r="AE41" s="1755"/>
      <c r="AF41" s="1755"/>
      <c r="AG41" s="1755"/>
      <c r="AH41" s="1755"/>
      <c r="AI41" s="1755"/>
      <c r="AJ41" s="1755"/>
      <c r="AK41" s="1755"/>
      <c r="AL41" s="1756"/>
      <c r="AM41" s="414" t="s">
        <v>639</v>
      </c>
      <c r="AT41" s="455"/>
      <c r="AU41" s="455"/>
      <c r="AV41" s="455">
        <v>70</v>
      </c>
      <c r="AW41" s="1706" t="s">
        <v>6401</v>
      </c>
      <c r="AX41" s="1706"/>
      <c r="AY41" s="1706"/>
      <c r="AZ41" s="1706"/>
      <c r="BA41" s="1706"/>
      <c r="BB41" s="1706"/>
      <c r="BC41" s="1706"/>
      <c r="BD41" s="1706"/>
      <c r="BE41" s="1706"/>
      <c r="BF41" s="1706"/>
      <c r="BG41" s="1700">
        <v>70</v>
      </c>
      <c r="BH41" s="1700"/>
      <c r="BI41" s="1700"/>
      <c r="BJ41" s="1700"/>
      <c r="BL41" s="1705">
        <v>16</v>
      </c>
      <c r="BM41" s="1705"/>
      <c r="BN41" s="1705"/>
      <c r="BO41" s="1705"/>
      <c r="BP41" s="1705"/>
      <c r="BQ41" s="1705">
        <v>95</v>
      </c>
      <c r="BR41" s="1705"/>
      <c r="BS41" s="1705"/>
      <c r="BT41" s="1705"/>
      <c r="BU41" s="1705"/>
      <c r="BY41" s="1778"/>
      <c r="BZ41" s="1768" t="s">
        <v>528</v>
      </c>
      <c r="CA41" s="1769"/>
      <c r="CB41" s="6">
        <v>160</v>
      </c>
      <c r="CC41" s="6">
        <v>280</v>
      </c>
      <c r="CD41" s="6">
        <v>1940</v>
      </c>
      <c r="CE41" s="6">
        <v>4</v>
      </c>
      <c r="CF41" s="6">
        <v>22</v>
      </c>
      <c r="CG41" s="6">
        <v>0.38</v>
      </c>
      <c r="CH41" s="447">
        <v>8</v>
      </c>
      <c r="CI41" s="1796" t="s">
        <v>4908</v>
      </c>
      <c r="CJ41" s="1797"/>
      <c r="CK41" s="1797"/>
      <c r="CL41" s="1798"/>
      <c r="CM41" s="448">
        <v>250</v>
      </c>
      <c r="CN41" s="449">
        <v>15</v>
      </c>
      <c r="CO41" s="449">
        <v>0.6</v>
      </c>
      <c r="CP41" s="449">
        <v>0.28000000000000003</v>
      </c>
      <c r="CQ41" s="449">
        <v>0.36</v>
      </c>
      <c r="CR41" s="450" t="s">
        <v>827</v>
      </c>
      <c r="CS41" s="454" t="s">
        <v>3654</v>
      </c>
      <c r="CT41" s="1813" t="s">
        <v>2942</v>
      </c>
      <c r="CU41" s="1814"/>
      <c r="CV41" s="3">
        <v>120</v>
      </c>
      <c r="CW41" s="452">
        <v>324</v>
      </c>
      <c r="CX41" s="1813" t="s">
        <v>2940</v>
      </c>
      <c r="CY41" s="1814"/>
      <c r="CZ41" s="3">
        <v>50</v>
      </c>
      <c r="DA41" s="452">
        <v>189</v>
      </c>
      <c r="DB41" s="453">
        <v>4</v>
      </c>
      <c r="DC41" s="1836">
        <v>60</v>
      </c>
      <c r="DD41" s="1837"/>
      <c r="DE41" s="422"/>
      <c r="DF41" s="422"/>
    </row>
    <row r="42" spans="1:110" ht="20.100000000000001" customHeight="1">
      <c r="A42" s="766"/>
      <c r="B42" s="766"/>
      <c r="C42" s="1748"/>
      <c r="D42" s="1749"/>
      <c r="E42" s="1749"/>
      <c r="F42" s="1749"/>
      <c r="G42" s="1749"/>
      <c r="H42" s="1749"/>
      <c r="I42" s="1749"/>
      <c r="J42" s="1749"/>
      <c r="K42" s="1749"/>
      <c r="L42" s="1749"/>
      <c r="M42" s="1749"/>
      <c r="N42" s="1749"/>
      <c r="O42" s="1749"/>
      <c r="P42" s="1749"/>
      <c r="Q42" s="1749"/>
      <c r="R42" s="1749"/>
      <c r="S42" s="1749"/>
      <c r="T42" s="1750"/>
      <c r="U42" s="1754">
        <v>60</v>
      </c>
      <c r="V42" s="1755"/>
      <c r="W42" s="1755"/>
      <c r="X42" s="1755"/>
      <c r="Y42" s="1755"/>
      <c r="Z42" s="1755"/>
      <c r="AA42" s="1755"/>
      <c r="AB42" s="1755"/>
      <c r="AC42" s="1755"/>
      <c r="AD42" s="1755"/>
      <c r="AE42" s="1755"/>
      <c r="AF42" s="1755"/>
      <c r="AG42" s="1755"/>
      <c r="AH42" s="1755"/>
      <c r="AI42" s="1755"/>
      <c r="AJ42" s="1755"/>
      <c r="AK42" s="1755"/>
      <c r="AL42" s="1756"/>
      <c r="AM42" s="414" t="s">
        <v>639</v>
      </c>
      <c r="AT42" s="455"/>
      <c r="AU42" s="455"/>
      <c r="AV42" s="455">
        <v>30</v>
      </c>
      <c r="AW42" s="1706" t="s">
        <v>6402</v>
      </c>
      <c r="AX42" s="1706"/>
      <c r="AY42" s="1706"/>
      <c r="AZ42" s="1706"/>
      <c r="BA42" s="1706"/>
      <c r="BB42" s="1706"/>
      <c r="BC42" s="1706"/>
      <c r="BD42" s="1706"/>
      <c r="BE42" s="1706"/>
      <c r="BF42" s="1706"/>
      <c r="BG42" s="1700">
        <v>30</v>
      </c>
      <c r="BH42" s="1700"/>
      <c r="BI42" s="1700"/>
      <c r="BJ42" s="1700"/>
      <c r="BL42" s="1705">
        <v>25</v>
      </c>
      <c r="BM42" s="1705"/>
      <c r="BN42" s="1705"/>
      <c r="BO42" s="1705"/>
      <c r="BP42" s="1705"/>
      <c r="BQ42" s="1705">
        <v>115</v>
      </c>
      <c r="BR42" s="1705"/>
      <c r="BS42" s="1705"/>
      <c r="BT42" s="1705"/>
      <c r="BU42" s="1705"/>
      <c r="BY42" s="1778"/>
      <c r="BZ42" s="1768" t="s">
        <v>529</v>
      </c>
      <c r="CA42" s="1769"/>
      <c r="CB42" s="6">
        <v>250</v>
      </c>
      <c r="CC42" s="6">
        <v>340</v>
      </c>
      <c r="CD42" s="6">
        <v>2600</v>
      </c>
      <c r="CE42" s="6">
        <v>4</v>
      </c>
      <c r="CF42" s="6">
        <v>22</v>
      </c>
      <c r="CG42" s="6">
        <v>0.38</v>
      </c>
      <c r="CH42" s="447">
        <v>10</v>
      </c>
      <c r="CI42" s="1796" t="s">
        <v>291</v>
      </c>
      <c r="CJ42" s="1797"/>
      <c r="CK42" s="1797"/>
      <c r="CL42" s="1798"/>
      <c r="CM42" s="448">
        <v>400</v>
      </c>
      <c r="CN42" s="449">
        <v>25</v>
      </c>
      <c r="CO42" s="449">
        <v>0.4</v>
      </c>
      <c r="CP42" s="449">
        <v>0.1</v>
      </c>
      <c r="CQ42" s="449">
        <v>0.15</v>
      </c>
      <c r="CR42" s="450" t="s">
        <v>828</v>
      </c>
      <c r="CS42" s="454" t="s">
        <v>829</v>
      </c>
      <c r="CT42" s="1813" t="s">
        <v>1046</v>
      </c>
      <c r="CU42" s="1814"/>
      <c r="CV42" s="3">
        <v>240</v>
      </c>
      <c r="CW42" s="452">
        <v>518</v>
      </c>
      <c r="CX42" s="1813" t="s">
        <v>2942</v>
      </c>
      <c r="CY42" s="1814"/>
      <c r="CZ42" s="3">
        <v>120</v>
      </c>
      <c r="DA42" s="452">
        <v>324</v>
      </c>
      <c r="DB42" s="453">
        <v>4</v>
      </c>
      <c r="DC42" s="1836">
        <v>90</v>
      </c>
      <c r="DD42" s="1837"/>
      <c r="DE42" s="422"/>
      <c r="DF42" s="422"/>
    </row>
    <row r="43" spans="1:110" ht="20.100000000000001" customHeight="1">
      <c r="A43" s="766"/>
      <c r="B43" s="766"/>
      <c r="C43" s="1744" t="s">
        <v>3883</v>
      </c>
      <c r="D43" s="1744"/>
      <c r="E43" s="1744"/>
      <c r="F43" s="1744"/>
      <c r="G43" s="1744"/>
      <c r="H43" s="1744"/>
      <c r="I43" s="1744"/>
      <c r="J43" s="1744"/>
      <c r="K43" s="1744"/>
      <c r="L43" s="1744"/>
      <c r="M43" s="1744"/>
      <c r="N43" s="1744"/>
      <c r="O43" s="1744"/>
      <c r="P43" s="1744"/>
      <c r="Q43" s="1744"/>
      <c r="R43" s="1744"/>
      <c r="S43" s="1744"/>
      <c r="T43" s="1744"/>
      <c r="U43" s="1754" t="s">
        <v>5760</v>
      </c>
      <c r="V43" s="1755"/>
      <c r="W43" s="1755"/>
      <c r="X43" s="1755"/>
      <c r="Y43" s="1755"/>
      <c r="Z43" s="1755"/>
      <c r="AA43" s="1755"/>
      <c r="AB43" s="1755"/>
      <c r="AC43" s="1755"/>
      <c r="AD43" s="1755"/>
      <c r="AE43" s="1755"/>
      <c r="AF43" s="1755"/>
      <c r="AG43" s="1755"/>
      <c r="AH43" s="1755"/>
      <c r="AI43" s="1755"/>
      <c r="AJ43" s="1755"/>
      <c r="AK43" s="1755"/>
      <c r="AL43" s="1756"/>
      <c r="AT43" s="455"/>
      <c r="AU43" s="455"/>
      <c r="AV43" s="455">
        <v>20</v>
      </c>
      <c r="AW43" s="1706" t="s">
        <v>3151</v>
      </c>
      <c r="AX43" s="1706"/>
      <c r="AY43" s="1706"/>
      <c r="AZ43" s="1706"/>
      <c r="BA43" s="1706"/>
      <c r="BB43" s="1706"/>
      <c r="BC43" s="1706"/>
      <c r="BD43" s="1706"/>
      <c r="BE43" s="1706"/>
      <c r="BF43" s="1706"/>
      <c r="BG43" s="1700">
        <v>20</v>
      </c>
      <c r="BH43" s="1700"/>
      <c r="BI43" s="1700"/>
      <c r="BJ43" s="1700"/>
      <c r="BL43" s="1705">
        <v>35</v>
      </c>
      <c r="BM43" s="1705"/>
      <c r="BN43" s="1705"/>
      <c r="BO43" s="1705"/>
      <c r="BP43" s="1705"/>
      <c r="BQ43" s="1705">
        <v>140</v>
      </c>
      <c r="BR43" s="1705"/>
      <c r="BS43" s="1705"/>
      <c r="BT43" s="1705"/>
      <c r="BU43" s="1705"/>
      <c r="BY43" s="1778"/>
      <c r="BZ43" s="1768" t="s">
        <v>530</v>
      </c>
      <c r="CA43" s="1769"/>
      <c r="CB43" s="6">
        <v>320</v>
      </c>
      <c r="CC43" s="6">
        <v>390</v>
      </c>
      <c r="CD43" s="6">
        <v>3330</v>
      </c>
      <c r="CE43" s="6">
        <v>4</v>
      </c>
      <c r="CF43" s="6">
        <v>22</v>
      </c>
      <c r="CG43" s="6">
        <v>0.38</v>
      </c>
      <c r="CH43" s="447">
        <v>15</v>
      </c>
      <c r="CI43" s="1796" t="s">
        <v>292</v>
      </c>
      <c r="CJ43" s="1797"/>
      <c r="CK43" s="1797"/>
      <c r="CL43" s="1798"/>
      <c r="CM43" s="448">
        <v>550</v>
      </c>
      <c r="CN43" s="449">
        <v>50</v>
      </c>
      <c r="CO43" s="449">
        <v>0.3</v>
      </c>
      <c r="CP43" s="449">
        <v>0.09</v>
      </c>
      <c r="CQ43" s="449">
        <v>0.13</v>
      </c>
      <c r="CR43" s="450" t="s">
        <v>828</v>
      </c>
      <c r="CS43" s="454" t="s">
        <v>830</v>
      </c>
      <c r="CT43" s="1813" t="s">
        <v>1047</v>
      </c>
      <c r="CU43" s="1814"/>
      <c r="CV43" s="3">
        <f>2*150</f>
        <v>300</v>
      </c>
      <c r="CW43" s="452">
        <v>768</v>
      </c>
      <c r="CX43" s="1813" t="s">
        <v>1048</v>
      </c>
      <c r="CY43" s="1814"/>
      <c r="CZ43" s="3">
        <v>150</v>
      </c>
      <c r="DA43" s="452">
        <v>384</v>
      </c>
      <c r="DB43" s="453">
        <v>4</v>
      </c>
      <c r="DC43" s="1836">
        <v>120</v>
      </c>
      <c r="DD43" s="1837"/>
      <c r="DE43" s="422"/>
      <c r="DF43" s="422"/>
    </row>
    <row r="44" spans="1:110" ht="20.100000000000001" customHeight="1">
      <c r="A44" s="766"/>
      <c r="B44" s="766"/>
      <c r="C44" s="1744" t="s">
        <v>4190</v>
      </c>
      <c r="D44" s="1744"/>
      <c r="E44" s="1744"/>
      <c r="F44" s="1744"/>
      <c r="G44" s="1744"/>
      <c r="H44" s="1744"/>
      <c r="I44" s="1744"/>
      <c r="J44" s="1744"/>
      <c r="K44" s="1744"/>
      <c r="L44" s="1744"/>
      <c r="M44" s="1744"/>
      <c r="N44" s="1744"/>
      <c r="O44" s="1744"/>
      <c r="P44" s="1744"/>
      <c r="Q44" s="1744"/>
      <c r="R44" s="1744"/>
      <c r="S44" s="1744"/>
      <c r="T44" s="1744"/>
      <c r="U44" s="1754">
        <v>21.5</v>
      </c>
      <c r="V44" s="1755"/>
      <c r="W44" s="1755"/>
      <c r="X44" s="1755"/>
      <c r="Y44" s="1755"/>
      <c r="Z44" s="1755"/>
      <c r="AA44" s="1755"/>
      <c r="AB44" s="1755"/>
      <c r="AC44" s="1755"/>
      <c r="AD44" s="1755"/>
      <c r="AE44" s="1755"/>
      <c r="AF44" s="1755"/>
      <c r="AG44" s="1755"/>
      <c r="AH44" s="1755"/>
      <c r="AI44" s="1755"/>
      <c r="AJ44" s="1755"/>
      <c r="AK44" s="1755"/>
      <c r="AL44" s="1756"/>
      <c r="AM44" s="414" t="s">
        <v>4193</v>
      </c>
      <c r="AT44" s="455"/>
      <c r="AU44" s="455"/>
      <c r="AV44" s="455">
        <v>2000</v>
      </c>
      <c r="AW44" s="1706" t="s">
        <v>3152</v>
      </c>
      <c r="AX44" s="1706"/>
      <c r="AY44" s="1706"/>
      <c r="AZ44" s="1706"/>
      <c r="BA44" s="1706"/>
      <c r="BB44" s="1706"/>
      <c r="BC44" s="1706"/>
      <c r="BD44" s="1706"/>
      <c r="BE44" s="1706"/>
      <c r="BF44" s="1706"/>
      <c r="BG44" s="1700">
        <v>2000</v>
      </c>
      <c r="BH44" s="1700"/>
      <c r="BI44" s="1700"/>
      <c r="BJ44" s="1700"/>
      <c r="BL44" s="1705">
        <v>50</v>
      </c>
      <c r="BM44" s="1705"/>
      <c r="BN44" s="1705"/>
      <c r="BO44" s="1705"/>
      <c r="BP44" s="1705"/>
      <c r="BQ44" s="1705">
        <v>189</v>
      </c>
      <c r="BR44" s="1705"/>
      <c r="BS44" s="1705"/>
      <c r="BT44" s="1705"/>
      <c r="BU44" s="1705"/>
      <c r="BY44" s="1778"/>
      <c r="BZ44" s="1768" t="s">
        <v>531</v>
      </c>
      <c r="CA44" s="1769"/>
      <c r="CB44" s="6">
        <v>400</v>
      </c>
      <c r="CC44" s="6">
        <v>433</v>
      </c>
      <c r="CD44" s="6">
        <v>3818</v>
      </c>
      <c r="CE44" s="6">
        <v>4</v>
      </c>
      <c r="CF44" s="6">
        <v>22</v>
      </c>
      <c r="CG44" s="6">
        <v>0.38</v>
      </c>
      <c r="CH44" s="447">
        <v>20</v>
      </c>
      <c r="CI44" s="1796" t="s">
        <v>293</v>
      </c>
      <c r="CJ44" s="1797"/>
      <c r="CK44" s="1797"/>
      <c r="CL44" s="1798"/>
      <c r="CM44" s="448">
        <v>630</v>
      </c>
      <c r="CN44" s="449">
        <v>50</v>
      </c>
      <c r="CO44" s="449">
        <v>0.25</v>
      </c>
      <c r="CP44" s="449">
        <v>0.09</v>
      </c>
      <c r="CQ44" s="449">
        <v>0.12</v>
      </c>
      <c r="CR44" s="450" t="s">
        <v>832</v>
      </c>
      <c r="CS44" s="454" t="s">
        <v>831</v>
      </c>
      <c r="CT44" s="1813" t="s">
        <v>1049</v>
      </c>
      <c r="CU44" s="1814"/>
      <c r="CV44" s="3">
        <f>3*120</f>
        <v>360</v>
      </c>
      <c r="CW44" s="452">
        <f>324*3</f>
        <v>972</v>
      </c>
      <c r="CX44" s="1813" t="s">
        <v>1050</v>
      </c>
      <c r="CY44" s="1814"/>
      <c r="CZ44" s="3">
        <f>2*95</f>
        <v>190</v>
      </c>
      <c r="DA44" s="452">
        <f>2*260</f>
        <v>520</v>
      </c>
      <c r="DB44" s="453">
        <v>4</v>
      </c>
      <c r="DC44" s="1836">
        <v>120</v>
      </c>
      <c r="DD44" s="1837"/>
      <c r="DE44" s="422"/>
      <c r="DF44" s="422"/>
    </row>
    <row r="45" spans="1:110" ht="20.100000000000001" customHeight="1">
      <c r="A45" s="766"/>
      <c r="B45" s="766"/>
      <c r="C45" s="1741" t="s">
        <v>557</v>
      </c>
      <c r="D45" s="1742"/>
      <c r="E45" s="1742"/>
      <c r="F45" s="1742"/>
      <c r="G45" s="1742"/>
      <c r="H45" s="1742"/>
      <c r="I45" s="1742"/>
      <c r="J45" s="1742"/>
      <c r="K45" s="1742"/>
      <c r="L45" s="1742"/>
      <c r="M45" s="1742"/>
      <c r="N45" s="1742"/>
      <c r="O45" s="1742"/>
      <c r="P45" s="1742"/>
      <c r="Q45" s="1742"/>
      <c r="R45" s="1742"/>
      <c r="S45" s="1742"/>
      <c r="T45" s="1743"/>
      <c r="U45" s="1754">
        <v>22</v>
      </c>
      <c r="V45" s="1755"/>
      <c r="W45" s="1755"/>
      <c r="X45" s="1755"/>
      <c r="Y45" s="1755"/>
      <c r="Z45" s="1755"/>
      <c r="AA45" s="1755"/>
      <c r="AB45" s="1755"/>
      <c r="AC45" s="1755"/>
      <c r="AD45" s="1755"/>
      <c r="AE45" s="1755"/>
      <c r="AF45" s="1755"/>
      <c r="AG45" s="1755"/>
      <c r="AH45" s="1755"/>
      <c r="AI45" s="1755"/>
      <c r="AJ45" s="1755"/>
      <c r="AK45" s="1755"/>
      <c r="AL45" s="1756"/>
      <c r="AM45" s="414" t="s">
        <v>4193</v>
      </c>
      <c r="AO45" s="427">
        <v>22</v>
      </c>
      <c r="AP45" s="427">
        <v>12.7</v>
      </c>
      <c r="AT45" s="455"/>
      <c r="AU45" s="455"/>
      <c r="AV45" s="455">
        <v>250</v>
      </c>
      <c r="AW45" s="1706" t="s">
        <v>3153</v>
      </c>
      <c r="AX45" s="1706"/>
      <c r="AY45" s="1706"/>
      <c r="AZ45" s="1706"/>
      <c r="BA45" s="1706"/>
      <c r="BB45" s="1706"/>
      <c r="BC45" s="1706"/>
      <c r="BD45" s="1706"/>
      <c r="BE45" s="1706"/>
      <c r="BF45" s="1706"/>
      <c r="BG45" s="1700">
        <v>250</v>
      </c>
      <c r="BH45" s="1700"/>
      <c r="BI45" s="1700"/>
      <c r="BJ45" s="1700"/>
      <c r="BL45" s="1705">
        <v>70</v>
      </c>
      <c r="BM45" s="1705"/>
      <c r="BN45" s="1705"/>
      <c r="BO45" s="1705"/>
      <c r="BP45" s="1705"/>
      <c r="BQ45" s="1705">
        <v>215</v>
      </c>
      <c r="BR45" s="1705"/>
      <c r="BS45" s="1705"/>
      <c r="BT45" s="1705"/>
      <c r="BU45" s="1705"/>
      <c r="BY45" s="1778"/>
      <c r="BZ45" s="1768" t="s">
        <v>532</v>
      </c>
      <c r="CA45" s="1769"/>
      <c r="CB45" s="6">
        <v>560</v>
      </c>
      <c r="CC45" s="6">
        <v>580</v>
      </c>
      <c r="CD45" s="6">
        <v>4810</v>
      </c>
      <c r="CE45" s="6">
        <v>4.5</v>
      </c>
      <c r="CF45" s="6">
        <v>22</v>
      </c>
      <c r="CG45" s="6">
        <v>0.38</v>
      </c>
      <c r="CH45" s="447">
        <v>25</v>
      </c>
      <c r="CI45" s="1796" t="s">
        <v>314</v>
      </c>
      <c r="CJ45" s="1797"/>
      <c r="CK45" s="1797"/>
      <c r="CL45" s="1798"/>
      <c r="CM45" s="448">
        <v>1000</v>
      </c>
      <c r="CN45" s="449">
        <v>50</v>
      </c>
      <c r="CO45" s="456">
        <v>0.13</v>
      </c>
      <c r="CP45" s="449">
        <v>0.08</v>
      </c>
      <c r="CQ45" s="449">
        <v>7.0000000000000007E-2</v>
      </c>
      <c r="CR45" s="450" t="s">
        <v>832</v>
      </c>
      <c r="CS45" s="454" t="s">
        <v>699</v>
      </c>
      <c r="CT45" s="1813" t="s">
        <v>1051</v>
      </c>
      <c r="CU45" s="1814"/>
      <c r="CV45" s="3">
        <f>3*185</f>
        <v>555</v>
      </c>
      <c r="CW45" s="452">
        <f>3*405</f>
        <v>1215</v>
      </c>
      <c r="CX45" s="1813" t="s">
        <v>1047</v>
      </c>
      <c r="CY45" s="1814"/>
      <c r="CZ45" s="3">
        <f>2*150</f>
        <v>300</v>
      </c>
      <c r="DA45" s="452">
        <v>768</v>
      </c>
      <c r="DB45" s="453">
        <v>4</v>
      </c>
      <c r="DC45" s="1836">
        <v>180</v>
      </c>
      <c r="DD45" s="1837"/>
      <c r="DE45" s="422"/>
      <c r="DF45" s="422"/>
    </row>
    <row r="46" spans="1:110" ht="20.100000000000001" customHeight="1">
      <c r="A46" s="766"/>
      <c r="B46" s="766"/>
      <c r="C46" s="1744" t="s">
        <v>2794</v>
      </c>
      <c r="D46" s="1744"/>
      <c r="E46" s="1744"/>
      <c r="F46" s="1744"/>
      <c r="G46" s="1744"/>
      <c r="H46" s="1744"/>
      <c r="I46" s="1744"/>
      <c r="J46" s="1744"/>
      <c r="K46" s="1744"/>
      <c r="L46" s="1744"/>
      <c r="M46" s="1744"/>
      <c r="N46" s="1744"/>
      <c r="O46" s="1744"/>
      <c r="P46" s="1744"/>
      <c r="Q46" s="1744"/>
      <c r="R46" s="1744"/>
      <c r="S46" s="1744"/>
      <c r="T46" s="1744"/>
      <c r="U46" s="1695" t="s">
        <v>2303</v>
      </c>
      <c r="V46" s="1695"/>
      <c r="W46" s="1695"/>
      <c r="X46" s="1695"/>
      <c r="Y46" s="1695"/>
      <c r="Z46" s="1695"/>
      <c r="AA46" s="1695"/>
      <c r="AB46" s="1695"/>
      <c r="AC46" s="1695"/>
      <c r="AD46" s="1695"/>
      <c r="AE46" s="1695"/>
      <c r="AF46" s="1695"/>
      <c r="AG46" s="1695"/>
      <c r="AH46" s="1695"/>
      <c r="AI46" s="1695"/>
      <c r="AJ46" s="1695"/>
      <c r="AK46" s="1695"/>
      <c r="AL46" s="1695"/>
      <c r="AT46" s="455"/>
      <c r="AU46" s="455"/>
      <c r="AV46" s="455">
        <v>2000</v>
      </c>
      <c r="AW46" s="1706" t="s">
        <v>3154</v>
      </c>
      <c r="AX46" s="1706"/>
      <c r="AY46" s="1706"/>
      <c r="AZ46" s="1706"/>
      <c r="BA46" s="1706"/>
      <c r="BB46" s="1706"/>
      <c r="BC46" s="1706"/>
      <c r="BD46" s="1706"/>
      <c r="BE46" s="1706"/>
      <c r="BF46" s="1706"/>
      <c r="BG46" s="1700">
        <v>2000</v>
      </c>
      <c r="BH46" s="1700"/>
      <c r="BI46" s="1700"/>
      <c r="BJ46" s="1700"/>
      <c r="BL46" s="1705">
        <v>95</v>
      </c>
      <c r="BM46" s="1705"/>
      <c r="BN46" s="1705"/>
      <c r="BO46" s="1705"/>
      <c r="BP46" s="1705"/>
      <c r="BQ46" s="1705">
        <v>260</v>
      </c>
      <c r="BR46" s="1705"/>
      <c r="BS46" s="1705"/>
      <c r="BT46" s="1705"/>
      <c r="BU46" s="1705"/>
      <c r="BY46" s="1778"/>
      <c r="BZ46" s="1768" t="s">
        <v>533</v>
      </c>
      <c r="CA46" s="1769"/>
      <c r="CB46" s="6">
        <v>630</v>
      </c>
      <c r="CC46" s="6">
        <v>787</v>
      </c>
      <c r="CD46" s="6">
        <v>5570</v>
      </c>
      <c r="CE46" s="6">
        <v>4.5</v>
      </c>
      <c r="CF46" s="6">
        <v>22</v>
      </c>
      <c r="CG46" s="6">
        <v>0.38</v>
      </c>
      <c r="CH46" s="447">
        <v>30</v>
      </c>
      <c r="CI46" s="1796" t="s">
        <v>2302</v>
      </c>
      <c r="CJ46" s="1797"/>
      <c r="CK46" s="1797"/>
      <c r="CL46" s="1798"/>
      <c r="CM46" s="448">
        <v>1250</v>
      </c>
      <c r="CN46" s="449">
        <v>50</v>
      </c>
      <c r="CO46" s="456">
        <v>0.13</v>
      </c>
      <c r="CP46" s="456">
        <v>7.0000000000000007E-2</v>
      </c>
      <c r="CQ46" s="456">
        <v>0.04</v>
      </c>
      <c r="CR46" s="450" t="s">
        <v>700</v>
      </c>
      <c r="CS46" s="454"/>
      <c r="CT46" s="1813" t="s">
        <v>875</v>
      </c>
      <c r="CU46" s="1814"/>
      <c r="CV46" s="3">
        <f>3*240</f>
        <v>720</v>
      </c>
      <c r="CW46" s="452">
        <f>3*518</f>
        <v>1554</v>
      </c>
      <c r="CX46" s="1813" t="s">
        <v>876</v>
      </c>
      <c r="CY46" s="1814"/>
      <c r="CZ46" s="3">
        <f>2*185</f>
        <v>370</v>
      </c>
      <c r="DA46" s="452">
        <f>2*405</f>
        <v>810</v>
      </c>
      <c r="DB46" s="453">
        <v>4</v>
      </c>
      <c r="DC46" s="1836">
        <v>180</v>
      </c>
      <c r="DD46" s="1837"/>
      <c r="DE46" s="422"/>
      <c r="DF46" s="422"/>
    </row>
    <row r="47" spans="1:110" ht="20.100000000000001" customHeight="1">
      <c r="A47" s="766"/>
      <c r="B47" s="766"/>
      <c r="C47" s="1744" t="s">
        <v>705</v>
      </c>
      <c r="D47" s="1744"/>
      <c r="E47" s="1744"/>
      <c r="F47" s="1744"/>
      <c r="G47" s="1744"/>
      <c r="H47" s="1744"/>
      <c r="I47" s="1744"/>
      <c r="J47" s="1744"/>
      <c r="K47" s="1744"/>
      <c r="L47" s="1744"/>
      <c r="M47" s="1744"/>
      <c r="N47" s="1744"/>
      <c r="O47" s="1744"/>
      <c r="P47" s="1744"/>
      <c r="Q47" s="1744"/>
      <c r="R47" s="1744"/>
      <c r="S47" s="1744"/>
      <c r="T47" s="1744"/>
      <c r="U47" s="1695" t="s">
        <v>1253</v>
      </c>
      <c r="V47" s="1695"/>
      <c r="W47" s="1695"/>
      <c r="X47" s="1695"/>
      <c r="Y47" s="1695"/>
      <c r="Z47" s="1695"/>
      <c r="AA47" s="1695"/>
      <c r="AB47" s="1695"/>
      <c r="AC47" s="1695"/>
      <c r="AD47" s="1695"/>
      <c r="AE47" s="1695"/>
      <c r="AF47" s="1695"/>
      <c r="AG47" s="1695"/>
      <c r="AH47" s="1695"/>
      <c r="AI47" s="1695"/>
      <c r="AJ47" s="1695"/>
      <c r="AK47" s="1695"/>
      <c r="AL47" s="1695"/>
      <c r="AT47" s="455"/>
      <c r="AU47" s="455"/>
      <c r="AV47" s="455">
        <v>500</v>
      </c>
      <c r="AW47" s="1706" t="s">
        <v>3155</v>
      </c>
      <c r="AX47" s="1706"/>
      <c r="AY47" s="1706"/>
      <c r="AZ47" s="1706"/>
      <c r="BA47" s="1706"/>
      <c r="BB47" s="1706"/>
      <c r="BC47" s="1706"/>
      <c r="BD47" s="1706"/>
      <c r="BE47" s="1706"/>
      <c r="BF47" s="1706"/>
      <c r="BG47" s="1700">
        <v>500</v>
      </c>
      <c r="BH47" s="1700"/>
      <c r="BI47" s="1700"/>
      <c r="BJ47" s="1700"/>
      <c r="BL47" s="1705">
        <v>120</v>
      </c>
      <c r="BM47" s="1705"/>
      <c r="BN47" s="1705"/>
      <c r="BO47" s="1705"/>
      <c r="BP47" s="1705"/>
      <c r="BQ47" s="1705">
        <v>324</v>
      </c>
      <c r="BR47" s="1705"/>
      <c r="BS47" s="1705"/>
      <c r="BT47" s="1705"/>
      <c r="BU47" s="1705"/>
      <c r="BY47" s="1778"/>
      <c r="BZ47" s="1768" t="s">
        <v>534</v>
      </c>
      <c r="CA47" s="1769"/>
      <c r="CB47" s="6">
        <v>750</v>
      </c>
      <c r="CC47" s="6">
        <v>855</v>
      </c>
      <c r="CD47" s="6">
        <v>6725</v>
      </c>
      <c r="CE47" s="6">
        <v>5.5</v>
      </c>
      <c r="CF47" s="6">
        <v>22</v>
      </c>
      <c r="CG47" s="6">
        <v>0.38</v>
      </c>
      <c r="CH47" s="447">
        <v>40</v>
      </c>
      <c r="CI47" s="1796" t="s">
        <v>2302</v>
      </c>
      <c r="CJ47" s="1797"/>
      <c r="CK47" s="1797"/>
      <c r="CL47" s="1798"/>
      <c r="CM47" s="448">
        <v>1250</v>
      </c>
      <c r="CN47" s="449">
        <v>50</v>
      </c>
      <c r="CO47" s="456">
        <v>0.13</v>
      </c>
      <c r="CP47" s="456">
        <v>7.0000000000000007E-2</v>
      </c>
      <c r="CQ47" s="456">
        <v>0.04</v>
      </c>
      <c r="CR47" s="450" t="s">
        <v>700</v>
      </c>
      <c r="CS47" s="454"/>
      <c r="CT47" s="1813" t="s">
        <v>875</v>
      </c>
      <c r="CU47" s="1814"/>
      <c r="CV47" s="3">
        <f>3*240</f>
        <v>720</v>
      </c>
      <c r="CW47" s="452">
        <f>3*518</f>
        <v>1554</v>
      </c>
      <c r="CX47" s="1813" t="s">
        <v>876</v>
      </c>
      <c r="CY47" s="1814"/>
      <c r="CZ47" s="3">
        <f>2*185</f>
        <v>370</v>
      </c>
      <c r="DA47" s="452">
        <f>2*405</f>
        <v>810</v>
      </c>
      <c r="DB47" s="453">
        <v>4</v>
      </c>
      <c r="DC47" s="1836">
        <v>240</v>
      </c>
      <c r="DD47" s="1837"/>
      <c r="DE47" s="422"/>
      <c r="DF47" s="422"/>
    </row>
    <row r="48" spans="1:110" ht="20.100000000000001" customHeight="1">
      <c r="A48" s="766"/>
      <c r="B48" s="766"/>
      <c r="C48" s="1744" t="s">
        <v>941</v>
      </c>
      <c r="D48" s="1744"/>
      <c r="E48" s="1744"/>
      <c r="F48" s="1744"/>
      <c r="G48" s="1744"/>
      <c r="H48" s="1744"/>
      <c r="I48" s="1744"/>
      <c r="J48" s="1744"/>
      <c r="K48" s="1744"/>
      <c r="L48" s="1744"/>
      <c r="M48" s="1744"/>
      <c r="N48" s="1744"/>
      <c r="O48" s="1744"/>
      <c r="P48" s="1744"/>
      <c r="Q48" s="1744"/>
      <c r="R48" s="1744"/>
      <c r="S48" s="1744"/>
      <c r="T48" s="1744"/>
      <c r="U48" s="1695" t="s">
        <v>4633</v>
      </c>
      <c r="V48" s="1695"/>
      <c r="W48" s="1695"/>
      <c r="X48" s="1695"/>
      <c r="Y48" s="1695"/>
      <c r="Z48" s="1695"/>
      <c r="AA48" s="1695"/>
      <c r="AB48" s="1695"/>
      <c r="AC48" s="1695"/>
      <c r="AD48" s="1695"/>
      <c r="AE48" s="1695"/>
      <c r="AF48" s="1695"/>
      <c r="AG48" s="1695"/>
      <c r="AH48" s="1695"/>
      <c r="AI48" s="1695"/>
      <c r="AJ48" s="1695"/>
      <c r="AK48" s="1695"/>
      <c r="AL48" s="1695"/>
      <c r="AN48" s="414" t="str">
        <f>IF(U48=10.5,CB6,IF(U48=12,CB9,IF(U48=14,CB12,IF(U48=20,CB15,""))))</f>
        <v/>
      </c>
      <c r="AT48" s="455"/>
      <c r="AU48" s="455"/>
      <c r="AV48" s="455">
        <v>10</v>
      </c>
      <c r="AW48" s="1820" t="s">
        <v>3115</v>
      </c>
      <c r="AX48" s="1820"/>
      <c r="AY48" s="1820"/>
      <c r="AZ48" s="1820"/>
      <c r="BA48" s="1820"/>
      <c r="BB48" s="1820"/>
      <c r="BC48" s="1820"/>
      <c r="BD48" s="1820"/>
      <c r="BE48" s="1820"/>
      <c r="BF48" s="1820"/>
      <c r="BG48" s="1821">
        <v>10</v>
      </c>
      <c r="BH48" s="1821"/>
      <c r="BI48" s="1821"/>
      <c r="BJ48" s="1821"/>
      <c r="BL48" s="1705">
        <v>150</v>
      </c>
      <c r="BM48" s="1705"/>
      <c r="BN48" s="1705"/>
      <c r="BO48" s="1705"/>
      <c r="BP48" s="1705"/>
      <c r="BQ48" s="1705">
        <v>384</v>
      </c>
      <c r="BR48" s="1705"/>
      <c r="BS48" s="1705"/>
      <c r="BT48" s="1705"/>
      <c r="BU48" s="1705"/>
      <c r="BY48" s="1778"/>
      <c r="BZ48" s="1768" t="s">
        <v>6296</v>
      </c>
      <c r="CA48" s="1769"/>
      <c r="CB48" s="6">
        <v>1000</v>
      </c>
      <c r="CC48" s="6">
        <v>980</v>
      </c>
      <c r="CD48" s="6">
        <v>8550</v>
      </c>
      <c r="CE48" s="6">
        <v>6</v>
      </c>
      <c r="CF48" s="6">
        <v>22</v>
      </c>
      <c r="CG48" s="6">
        <v>0.38</v>
      </c>
      <c r="CH48" s="447">
        <v>50</v>
      </c>
      <c r="CI48" s="1796" t="s">
        <v>315</v>
      </c>
      <c r="CJ48" s="1797"/>
      <c r="CK48" s="1797"/>
      <c r="CL48" s="1798"/>
      <c r="CM48" s="448">
        <v>1600</v>
      </c>
      <c r="CN48" s="449">
        <v>70</v>
      </c>
      <c r="CO48" s="456">
        <v>0.13</v>
      </c>
      <c r="CP48" s="456">
        <v>7.0000000000000007E-2</v>
      </c>
      <c r="CQ48" s="456">
        <v>0.04</v>
      </c>
      <c r="CR48" s="450" t="s">
        <v>701</v>
      </c>
      <c r="CS48" s="454"/>
      <c r="CT48" s="1813" t="s">
        <v>877</v>
      </c>
      <c r="CU48" s="1814"/>
      <c r="CV48" s="3">
        <f>4*240</f>
        <v>960</v>
      </c>
      <c r="CW48" s="452">
        <f>4*518</f>
        <v>2072</v>
      </c>
      <c r="CX48" s="1813" t="s">
        <v>878</v>
      </c>
      <c r="CY48" s="1814"/>
      <c r="CZ48" s="3">
        <f>2*240</f>
        <v>480</v>
      </c>
      <c r="DA48" s="452">
        <f>2*518</f>
        <v>1036</v>
      </c>
      <c r="DB48" s="453">
        <v>4</v>
      </c>
      <c r="DC48" s="1836">
        <v>360</v>
      </c>
      <c r="DD48" s="1837"/>
      <c r="DE48" s="422"/>
      <c r="DF48" s="422"/>
    </row>
    <row r="49" spans="1:110" ht="20.100000000000001" customHeight="1">
      <c r="A49" s="766"/>
      <c r="B49" s="766"/>
      <c r="C49" s="1744" t="s">
        <v>2842</v>
      </c>
      <c r="D49" s="1744"/>
      <c r="E49" s="1744"/>
      <c r="F49" s="1744"/>
      <c r="G49" s="1744"/>
      <c r="H49" s="1744"/>
      <c r="I49" s="1744"/>
      <c r="J49" s="1744"/>
      <c r="K49" s="1744"/>
      <c r="L49" s="1744"/>
      <c r="M49" s="1744"/>
      <c r="N49" s="1744"/>
      <c r="O49" s="1744"/>
      <c r="P49" s="1744"/>
      <c r="Q49" s="1744"/>
      <c r="R49" s="1744"/>
      <c r="S49" s="1744"/>
      <c r="T49" s="1744"/>
      <c r="U49" s="1695" t="s">
        <v>23</v>
      </c>
      <c r="V49" s="1695"/>
      <c r="W49" s="1695"/>
      <c r="X49" s="1695"/>
      <c r="Y49" s="1695"/>
      <c r="Z49" s="1695"/>
      <c r="AA49" s="1695"/>
      <c r="AB49" s="1695"/>
      <c r="AC49" s="1695"/>
      <c r="AD49" s="1695"/>
      <c r="AE49" s="1695"/>
      <c r="AF49" s="1695"/>
      <c r="AG49" s="1695"/>
      <c r="AH49" s="1695"/>
      <c r="AI49" s="1695"/>
      <c r="AJ49" s="1695"/>
      <c r="AK49" s="1695"/>
      <c r="AL49" s="1695"/>
      <c r="AS49" s="455"/>
      <c r="AT49" s="455"/>
      <c r="AU49" s="455"/>
      <c r="AV49" s="455"/>
      <c r="BL49" s="1705">
        <v>185</v>
      </c>
      <c r="BM49" s="1705"/>
      <c r="BN49" s="1705"/>
      <c r="BO49" s="1705"/>
      <c r="BP49" s="1705"/>
      <c r="BQ49" s="1705">
        <v>405</v>
      </c>
      <c r="BR49" s="1705"/>
      <c r="BS49" s="1705"/>
      <c r="BT49" s="1705"/>
      <c r="BU49" s="1705"/>
      <c r="BY49" s="1778"/>
      <c r="BZ49" s="1768" t="s">
        <v>1089</v>
      </c>
      <c r="CA49" s="1769"/>
      <c r="CB49" s="6">
        <v>1250</v>
      </c>
      <c r="CC49" s="6">
        <v>1020</v>
      </c>
      <c r="CD49" s="6">
        <v>10690</v>
      </c>
      <c r="CE49" s="6">
        <v>6</v>
      </c>
      <c r="CF49" s="6">
        <v>22</v>
      </c>
      <c r="CG49" s="6">
        <v>0.38</v>
      </c>
      <c r="CH49" s="447">
        <v>50</v>
      </c>
      <c r="CI49" s="1796" t="s">
        <v>316</v>
      </c>
      <c r="CJ49" s="1797"/>
      <c r="CK49" s="1797"/>
      <c r="CL49" s="1798"/>
      <c r="CM49" s="448">
        <v>2000</v>
      </c>
      <c r="CN49" s="449">
        <v>70</v>
      </c>
      <c r="CO49" s="456">
        <v>0.13</v>
      </c>
      <c r="CP49" s="456">
        <v>7.0000000000000007E-2</v>
      </c>
      <c r="CQ49" s="456">
        <v>0.04</v>
      </c>
      <c r="CR49" s="450" t="s">
        <v>702</v>
      </c>
      <c r="CS49" s="454"/>
      <c r="CT49" s="1813" t="s">
        <v>879</v>
      </c>
      <c r="CU49" s="1814"/>
      <c r="CV49" s="3">
        <f>5*240</f>
        <v>1200</v>
      </c>
      <c r="CW49" s="452">
        <f>5*518</f>
        <v>2590</v>
      </c>
      <c r="CX49" s="1813" t="s">
        <v>878</v>
      </c>
      <c r="CY49" s="1814"/>
      <c r="CZ49" s="3">
        <f>2*240</f>
        <v>480</v>
      </c>
      <c r="DA49" s="452">
        <f>2*518</f>
        <v>1036</v>
      </c>
      <c r="DB49" s="453">
        <v>4</v>
      </c>
      <c r="DC49" s="1836">
        <v>420</v>
      </c>
      <c r="DD49" s="1837"/>
      <c r="DE49" s="422"/>
      <c r="DF49" s="422"/>
    </row>
    <row r="50" spans="1:110" ht="20.100000000000001" customHeight="1">
      <c r="A50" s="766"/>
      <c r="B50" s="766"/>
      <c r="C50" s="1744" t="s">
        <v>5247</v>
      </c>
      <c r="D50" s="1744"/>
      <c r="E50" s="1744"/>
      <c r="F50" s="1744"/>
      <c r="G50" s="1744"/>
      <c r="H50" s="1744"/>
      <c r="I50" s="1744"/>
      <c r="J50" s="1744"/>
      <c r="K50" s="1744"/>
      <c r="L50" s="1744"/>
      <c r="M50" s="1744"/>
      <c r="N50" s="1744"/>
      <c r="O50" s="1744"/>
      <c r="P50" s="1744"/>
      <c r="Q50" s="1744"/>
      <c r="R50" s="1744"/>
      <c r="S50" s="1744"/>
      <c r="T50" s="1744"/>
      <c r="U50" s="1695" t="s">
        <v>447</v>
      </c>
      <c r="V50" s="1695"/>
      <c r="W50" s="1695"/>
      <c r="X50" s="1695"/>
      <c r="Y50" s="1695"/>
      <c r="Z50" s="1695"/>
      <c r="AA50" s="1695"/>
      <c r="AB50" s="1695"/>
      <c r="AC50" s="1695"/>
      <c r="AD50" s="1695"/>
      <c r="AE50" s="1695"/>
      <c r="AF50" s="1695"/>
      <c r="AG50" s="1695"/>
      <c r="AH50" s="1695"/>
      <c r="AI50" s="1695"/>
      <c r="AJ50" s="1695"/>
      <c r="AK50" s="1695"/>
      <c r="AL50" s="1695"/>
      <c r="AW50" s="832" t="s">
        <v>2250</v>
      </c>
      <c r="AX50" s="830"/>
      <c r="AY50" s="830"/>
      <c r="AZ50" s="830"/>
      <c r="BA50" s="830"/>
      <c r="BB50" s="830"/>
      <c r="BC50" s="830"/>
      <c r="BD50" s="830"/>
      <c r="BE50" s="830"/>
      <c r="BF50" s="830"/>
      <c r="BG50" s="830"/>
      <c r="BH50" s="830"/>
      <c r="BI50" s="830"/>
      <c r="BJ50" s="831"/>
      <c r="BL50" s="1705">
        <v>200</v>
      </c>
      <c r="BM50" s="1705"/>
      <c r="BN50" s="1705"/>
      <c r="BO50" s="1705"/>
      <c r="BP50" s="1705"/>
      <c r="BQ50" s="1705">
        <v>443</v>
      </c>
      <c r="BR50" s="1705"/>
      <c r="BS50" s="1705"/>
      <c r="BT50" s="1705"/>
      <c r="BU50" s="1705"/>
      <c r="BY50" s="1779"/>
      <c r="BZ50" s="1768" t="s">
        <v>1090</v>
      </c>
      <c r="CA50" s="1769"/>
      <c r="CB50" s="6">
        <v>1600</v>
      </c>
      <c r="CC50" s="6">
        <v>1305</v>
      </c>
      <c r="CD50" s="6">
        <v>13680</v>
      </c>
      <c r="CE50" s="6">
        <v>6</v>
      </c>
      <c r="CF50" s="6">
        <v>22</v>
      </c>
      <c r="CG50" s="6">
        <v>0.38</v>
      </c>
      <c r="CH50" s="447">
        <v>65</v>
      </c>
      <c r="CI50" s="1796" t="s">
        <v>317</v>
      </c>
      <c r="CJ50" s="1797"/>
      <c r="CK50" s="1797"/>
      <c r="CL50" s="1798"/>
      <c r="CM50" s="448">
        <v>2500</v>
      </c>
      <c r="CN50" s="449">
        <v>70</v>
      </c>
      <c r="CO50" s="456">
        <v>0.13</v>
      </c>
      <c r="CP50" s="456">
        <v>7.0000000000000007E-2</v>
      </c>
      <c r="CQ50" s="456">
        <v>0.04</v>
      </c>
      <c r="CR50" s="450" t="s">
        <v>703</v>
      </c>
      <c r="CS50" s="454"/>
      <c r="CT50" s="1813" t="s">
        <v>880</v>
      </c>
      <c r="CU50" s="1814"/>
      <c r="CV50" s="3">
        <f>6*240</f>
        <v>1440</v>
      </c>
      <c r="CW50" s="452">
        <f>6*518</f>
        <v>3108</v>
      </c>
      <c r="CX50" s="1813" t="s">
        <v>878</v>
      </c>
      <c r="CY50" s="1814"/>
      <c r="CZ50" s="3">
        <f>2*240</f>
        <v>480</v>
      </c>
      <c r="DA50" s="452">
        <f>2*518</f>
        <v>1036</v>
      </c>
      <c r="DB50" s="453">
        <v>4</v>
      </c>
      <c r="DC50" s="1836">
        <v>540</v>
      </c>
      <c r="DD50" s="1837"/>
      <c r="DE50" s="422"/>
      <c r="DF50" s="422"/>
    </row>
    <row r="51" spans="1:110" ht="20.100000000000001" customHeight="1">
      <c r="A51" s="766"/>
      <c r="B51" s="766"/>
      <c r="C51" s="1744" t="s">
        <v>942</v>
      </c>
      <c r="D51" s="1744"/>
      <c r="E51" s="1744"/>
      <c r="F51" s="1744"/>
      <c r="G51" s="1744"/>
      <c r="H51" s="1744"/>
      <c r="I51" s="1744"/>
      <c r="J51" s="1744"/>
      <c r="K51" s="1744"/>
      <c r="L51" s="1744"/>
      <c r="M51" s="1744"/>
      <c r="N51" s="1744"/>
      <c r="O51" s="1744"/>
      <c r="P51" s="1744"/>
      <c r="Q51" s="1744"/>
      <c r="R51" s="1744"/>
      <c r="S51" s="1744"/>
      <c r="T51" s="1744"/>
      <c r="U51" s="1695">
        <v>6</v>
      </c>
      <c r="V51" s="1695"/>
      <c r="W51" s="1695"/>
      <c r="X51" s="1695"/>
      <c r="Y51" s="1695"/>
      <c r="Z51" s="1695"/>
      <c r="AA51" s="1695"/>
      <c r="AB51" s="1695"/>
      <c r="AC51" s="1695"/>
      <c r="AD51" s="1695"/>
      <c r="AE51" s="1695"/>
      <c r="AF51" s="1695"/>
      <c r="AG51" s="1695"/>
      <c r="AH51" s="1695"/>
      <c r="AI51" s="1695"/>
      <c r="AJ51" s="1695"/>
      <c r="AK51" s="1695"/>
      <c r="AL51" s="1695"/>
      <c r="AM51" s="414" t="s">
        <v>639</v>
      </c>
      <c r="AW51" s="829" t="s">
        <v>2251</v>
      </c>
      <c r="AX51" s="830"/>
      <c r="AY51" s="830"/>
      <c r="AZ51" s="830"/>
      <c r="BA51" s="830"/>
      <c r="BB51" s="830"/>
      <c r="BC51" s="830"/>
      <c r="BD51" s="830"/>
      <c r="BE51" s="830"/>
      <c r="BF51" s="830"/>
      <c r="BG51" s="830"/>
      <c r="BH51" s="830"/>
      <c r="BI51" s="830"/>
      <c r="BJ51" s="831"/>
      <c r="BL51" s="1705">
        <v>240</v>
      </c>
      <c r="BM51" s="1705"/>
      <c r="BN51" s="1705"/>
      <c r="BO51" s="1705"/>
      <c r="BP51" s="1705"/>
      <c r="BQ51" s="1705">
        <v>518</v>
      </c>
      <c r="BR51" s="1705"/>
      <c r="BS51" s="1705"/>
      <c r="BT51" s="1705"/>
      <c r="BU51" s="1705"/>
      <c r="CC51" s="457" t="s">
        <v>1697</v>
      </c>
      <c r="CD51" s="457"/>
      <c r="CI51" s="414"/>
      <c r="CK51" s="415"/>
    </row>
    <row r="52" spans="1:110" ht="20.100000000000001" customHeight="1">
      <c r="A52" s="766"/>
      <c r="B52" s="766"/>
      <c r="C52" s="432" t="s">
        <v>1240</v>
      </c>
      <c r="AW52" s="829" t="s">
        <v>2252</v>
      </c>
      <c r="AX52" s="830"/>
      <c r="AY52" s="830"/>
      <c r="AZ52" s="830"/>
      <c r="BA52" s="830"/>
      <c r="BB52" s="830"/>
      <c r="BC52" s="830"/>
      <c r="BD52" s="830"/>
      <c r="BE52" s="830"/>
      <c r="BF52" s="830"/>
      <c r="BG52" s="830"/>
      <c r="BH52" s="830"/>
      <c r="BI52" s="830"/>
      <c r="BJ52" s="831"/>
      <c r="BL52" s="1707">
        <v>300</v>
      </c>
      <c r="BM52" s="1707"/>
      <c r="BN52" s="1707"/>
      <c r="BO52" s="1707"/>
      <c r="BP52" s="1707"/>
      <c r="BQ52" s="1707">
        <v>768</v>
      </c>
      <c r="BR52" s="1707"/>
      <c r="BS52" s="1707"/>
      <c r="BT52" s="1707"/>
      <c r="BU52" s="1707"/>
    </row>
    <row r="53" spans="1:110" ht="20.100000000000001" customHeight="1">
      <c r="A53" s="766"/>
      <c r="B53" s="766"/>
      <c r="C53" s="1744" t="s">
        <v>195</v>
      </c>
      <c r="D53" s="1744"/>
      <c r="E53" s="1744"/>
      <c r="F53" s="1744"/>
      <c r="G53" s="1744"/>
      <c r="H53" s="1744"/>
      <c r="I53" s="1744"/>
      <c r="J53" s="1744"/>
      <c r="K53" s="1744"/>
      <c r="L53" s="1744"/>
      <c r="M53" s="1744"/>
      <c r="N53" s="1744"/>
      <c r="O53" s="1744"/>
      <c r="P53" s="1744"/>
      <c r="Q53" s="1744"/>
      <c r="R53" s="1744"/>
      <c r="S53" s="1744"/>
      <c r="T53" s="1744"/>
      <c r="U53" s="1751">
        <f>+tkeHA!C245</f>
        <v>4653</v>
      </c>
      <c r="V53" s="1755"/>
      <c r="W53" s="1755"/>
      <c r="X53" s="1755"/>
      <c r="Y53" s="1755"/>
      <c r="Z53" s="1755"/>
      <c r="AA53" s="1755"/>
      <c r="AB53" s="1755"/>
      <c r="AC53" s="1755"/>
      <c r="AD53" s="1755"/>
      <c r="AE53" s="1755"/>
      <c r="AF53" s="1755"/>
      <c r="AG53" s="1755"/>
      <c r="AH53" s="1755"/>
      <c r="AI53" s="1755"/>
      <c r="AJ53" s="1755"/>
      <c r="AK53" s="1755"/>
      <c r="AL53" s="1756"/>
      <c r="AM53" s="414" t="s">
        <v>639</v>
      </c>
      <c r="BY53" s="458" t="s">
        <v>1379</v>
      </c>
      <c r="BZ53" s="458"/>
      <c r="CA53" s="458"/>
      <c r="CB53" s="458"/>
      <c r="CC53" s="458"/>
      <c r="CD53" s="458"/>
      <c r="CE53" s="458"/>
      <c r="CF53" s="458"/>
      <c r="CG53" s="458"/>
      <c r="CH53" s="458"/>
      <c r="CI53" s="459"/>
      <c r="CJ53" s="458"/>
      <c r="CK53" s="458"/>
      <c r="CL53" s="458"/>
      <c r="CM53" s="458"/>
      <c r="CN53" s="460"/>
      <c r="CO53" s="460"/>
      <c r="CP53" s="460"/>
    </row>
    <row r="54" spans="1:110" ht="20.100000000000001" customHeight="1">
      <c r="A54" s="766"/>
      <c r="B54" s="766"/>
      <c r="C54" s="1760" t="s">
        <v>4212</v>
      </c>
      <c r="D54" s="1761"/>
      <c r="E54" s="1761"/>
      <c r="F54" s="1761"/>
      <c r="G54" s="1761"/>
      <c r="H54" s="1761"/>
      <c r="I54" s="1761"/>
      <c r="J54" s="1761"/>
      <c r="K54" s="1761"/>
      <c r="L54" s="1761"/>
      <c r="M54" s="1761"/>
      <c r="N54" s="1761"/>
      <c r="O54" s="1761"/>
      <c r="P54" s="1761"/>
      <c r="Q54" s="1761"/>
      <c r="R54" s="1761"/>
      <c r="S54" s="1761"/>
      <c r="T54" s="1762"/>
      <c r="U54" s="1699" t="s">
        <v>659</v>
      </c>
      <c r="V54" s="1699"/>
      <c r="W54" s="1699"/>
      <c r="X54" s="1699"/>
      <c r="Y54" s="1699"/>
      <c r="Z54" s="1699"/>
      <c r="AA54" s="1699"/>
      <c r="AB54" s="1699"/>
      <c r="AC54" s="1699"/>
      <c r="AD54" s="1699"/>
      <c r="AE54" s="1699"/>
      <c r="AF54" s="1699"/>
      <c r="AG54" s="1699"/>
      <c r="AH54" s="1699"/>
      <c r="AI54" s="1699"/>
      <c r="AJ54" s="1699"/>
      <c r="AK54" s="1699"/>
      <c r="AL54" s="1699"/>
      <c r="AW54" s="832" t="s">
        <v>656</v>
      </c>
      <c r="AX54" s="830"/>
      <c r="AY54" s="830"/>
      <c r="AZ54" s="830"/>
      <c r="BA54" s="830"/>
      <c r="BB54" s="830"/>
      <c r="BC54" s="830"/>
      <c r="BD54" s="830"/>
      <c r="BE54" s="830"/>
      <c r="BF54" s="830"/>
      <c r="BG54" s="830"/>
      <c r="BH54" s="830"/>
      <c r="BI54" s="830"/>
      <c r="BJ54" s="830"/>
      <c r="BK54" s="831"/>
      <c r="BY54" s="1771" t="s">
        <v>4819</v>
      </c>
      <c r="BZ54" s="1771" t="s">
        <v>4703</v>
      </c>
      <c r="CA54" s="1770" t="s">
        <v>1661</v>
      </c>
      <c r="CB54" s="1770"/>
      <c r="CC54" s="1770"/>
      <c r="CD54" s="1770"/>
      <c r="CE54" s="1770"/>
      <c r="CF54" s="1770"/>
      <c r="CG54" s="1770"/>
      <c r="CH54" s="1770"/>
      <c r="CI54" s="1770"/>
      <c r="CJ54" s="1770"/>
      <c r="CK54" s="1770"/>
      <c r="CL54" s="1770"/>
    </row>
    <row r="55" spans="1:110" ht="20.100000000000001" customHeight="1">
      <c r="A55" s="766"/>
      <c r="B55" s="766"/>
      <c r="C55" s="829" t="s">
        <v>704</v>
      </c>
      <c r="D55" s="830"/>
      <c r="E55" s="830"/>
      <c r="F55" s="830"/>
      <c r="G55" s="830"/>
      <c r="H55" s="830"/>
      <c r="I55" s="830"/>
      <c r="J55" s="830"/>
      <c r="K55" s="830"/>
      <c r="L55" s="830"/>
      <c r="M55" s="830"/>
      <c r="N55" s="830"/>
      <c r="O55" s="830"/>
      <c r="P55" s="830"/>
      <c r="Q55" s="830"/>
      <c r="R55" s="830"/>
      <c r="S55" s="830"/>
      <c r="T55" s="831"/>
      <c r="U55" s="1701" t="s">
        <v>75</v>
      </c>
      <c r="V55" s="1702"/>
      <c r="W55" s="1702"/>
      <c r="X55" s="1702"/>
      <c r="Y55" s="1702"/>
      <c r="Z55" s="1702"/>
      <c r="AA55" s="1702"/>
      <c r="AB55" s="1702"/>
      <c r="AC55" s="1702"/>
      <c r="AD55" s="1702"/>
      <c r="AE55" s="1702"/>
      <c r="AF55" s="1702"/>
      <c r="AG55" s="1702"/>
      <c r="AH55" s="1702"/>
      <c r="AI55" s="1702"/>
      <c r="AJ55" s="1702"/>
      <c r="AK55" s="1702"/>
      <c r="AL55" s="1703"/>
      <c r="AW55" s="829" t="s">
        <v>658</v>
      </c>
      <c r="AX55" s="830"/>
      <c r="AY55" s="830"/>
      <c r="AZ55" s="830"/>
      <c r="BA55" s="830"/>
      <c r="BB55" s="830"/>
      <c r="BC55" s="830"/>
      <c r="BD55" s="830"/>
      <c r="BE55" s="830"/>
      <c r="BF55" s="830"/>
      <c r="BG55" s="830"/>
      <c r="BH55" s="830"/>
      <c r="BI55" s="830"/>
      <c r="BJ55" s="830"/>
      <c r="BK55" s="831"/>
      <c r="BY55" s="1771"/>
      <c r="BZ55" s="1771"/>
      <c r="CA55" s="1767" t="s">
        <v>4704</v>
      </c>
      <c r="CB55" s="1770">
        <v>0</v>
      </c>
      <c r="CC55" s="1767" t="s">
        <v>4705</v>
      </c>
      <c r="CD55" s="1767" t="s">
        <v>4706</v>
      </c>
      <c r="CE55" s="1767" t="s">
        <v>4707</v>
      </c>
      <c r="CF55" s="1767" t="s">
        <v>4708</v>
      </c>
      <c r="CG55" s="1767" t="s">
        <v>4709</v>
      </c>
      <c r="CH55" s="1767" t="s">
        <v>4710</v>
      </c>
      <c r="CI55" s="1818" t="s">
        <v>4841</v>
      </c>
      <c r="CJ55" s="1767" t="s">
        <v>4842</v>
      </c>
      <c r="CK55" s="1767" t="s">
        <v>4843</v>
      </c>
      <c r="CL55" s="1767" t="s">
        <v>4844</v>
      </c>
      <c r="CM55" s="1767"/>
      <c r="CN55" s="461"/>
      <c r="CO55" s="461"/>
      <c r="CP55" s="461"/>
    </row>
    <row r="56" spans="1:110" ht="20.100000000000001" customHeight="1">
      <c r="A56" s="766"/>
      <c r="B56" s="766"/>
      <c r="C56" s="829" t="s">
        <v>705</v>
      </c>
      <c r="D56" s="830"/>
      <c r="E56" s="830"/>
      <c r="F56" s="830"/>
      <c r="G56" s="830"/>
      <c r="H56" s="830"/>
      <c r="I56" s="830"/>
      <c r="J56" s="830"/>
      <c r="K56" s="830"/>
      <c r="L56" s="830"/>
      <c r="M56" s="830"/>
      <c r="N56" s="830"/>
      <c r="O56" s="830"/>
      <c r="P56" s="830"/>
      <c r="Q56" s="830"/>
      <c r="R56" s="830"/>
      <c r="S56" s="830"/>
      <c r="T56" s="831"/>
      <c r="U56" s="1695" t="s">
        <v>2364</v>
      </c>
      <c r="V56" s="1695"/>
      <c r="W56" s="1695"/>
      <c r="X56" s="1695"/>
      <c r="Y56" s="1695"/>
      <c r="Z56" s="1695"/>
      <c r="AA56" s="1695"/>
      <c r="AB56" s="1695"/>
      <c r="AC56" s="1695"/>
      <c r="AD56" s="1695"/>
      <c r="AE56" s="1695"/>
      <c r="AF56" s="1695"/>
      <c r="AG56" s="1695"/>
      <c r="AH56" s="1695"/>
      <c r="AI56" s="1695"/>
      <c r="AJ56" s="1695"/>
      <c r="AK56" s="1695"/>
      <c r="AL56" s="1695"/>
      <c r="AW56" s="829" t="s">
        <v>657</v>
      </c>
      <c r="AX56" s="830"/>
      <c r="AY56" s="830"/>
      <c r="AZ56" s="830"/>
      <c r="BA56" s="830"/>
      <c r="BB56" s="830"/>
      <c r="BC56" s="830"/>
      <c r="BD56" s="830"/>
      <c r="BE56" s="830"/>
      <c r="BF56" s="830"/>
      <c r="BG56" s="830"/>
      <c r="BH56" s="830"/>
      <c r="BI56" s="830"/>
      <c r="BJ56" s="830"/>
      <c r="BK56" s="831"/>
      <c r="BY56" s="1771"/>
      <c r="BZ56" s="1771"/>
      <c r="CA56" s="1767"/>
      <c r="CB56" s="1770"/>
      <c r="CC56" s="1767"/>
      <c r="CD56" s="1767"/>
      <c r="CE56" s="1767"/>
      <c r="CF56" s="1767"/>
      <c r="CG56" s="1767"/>
      <c r="CH56" s="1767"/>
      <c r="CI56" s="1818"/>
      <c r="CJ56" s="1767"/>
      <c r="CK56" s="1767"/>
      <c r="CL56" s="1767"/>
      <c r="CM56" s="1767"/>
      <c r="CN56" s="461"/>
      <c r="CO56" s="461"/>
      <c r="CP56" s="461"/>
    </row>
    <row r="57" spans="1:110" ht="20.100000000000001" customHeight="1">
      <c r="A57" s="766"/>
      <c r="B57" s="766"/>
      <c r="C57" s="432" t="s">
        <v>1120</v>
      </c>
      <c r="AW57" s="829" t="s">
        <v>659</v>
      </c>
      <c r="AX57" s="830"/>
      <c r="AY57" s="830"/>
      <c r="AZ57" s="830"/>
      <c r="BA57" s="830"/>
      <c r="BB57" s="830"/>
      <c r="BC57" s="830"/>
      <c r="BD57" s="830"/>
      <c r="BE57" s="830"/>
      <c r="BF57" s="830"/>
      <c r="BG57" s="830"/>
      <c r="BH57" s="830"/>
      <c r="BI57" s="830"/>
      <c r="BJ57" s="830"/>
      <c r="BK57" s="831"/>
      <c r="BY57" s="1771"/>
      <c r="BZ57" s="1771"/>
      <c r="CA57" s="1767"/>
      <c r="CB57" s="1770"/>
      <c r="CC57" s="1767"/>
      <c r="CD57" s="1767"/>
      <c r="CE57" s="1767"/>
      <c r="CF57" s="1767"/>
      <c r="CG57" s="1767"/>
      <c r="CH57" s="1767"/>
      <c r="CI57" s="1818"/>
      <c r="CJ57" s="1767"/>
      <c r="CK57" s="1767"/>
      <c r="CL57" s="1767"/>
      <c r="CM57" s="1767"/>
      <c r="CN57" s="461"/>
      <c r="CO57" s="461"/>
      <c r="CP57" s="461"/>
    </row>
    <row r="58" spans="1:110" ht="20.100000000000001" customHeight="1">
      <c r="A58" s="766"/>
      <c r="B58" s="766"/>
      <c r="C58" s="1744" t="s">
        <v>1121</v>
      </c>
      <c r="D58" s="1744"/>
      <c r="E58" s="1744"/>
      <c r="F58" s="1744"/>
      <c r="G58" s="1744"/>
      <c r="H58" s="1744"/>
      <c r="I58" s="1744"/>
      <c r="J58" s="1744"/>
      <c r="K58" s="1744"/>
      <c r="L58" s="1744"/>
      <c r="M58" s="1744"/>
      <c r="N58" s="1744"/>
      <c r="O58" s="1744"/>
      <c r="P58" s="1744"/>
      <c r="Q58" s="1744"/>
      <c r="R58" s="1744"/>
      <c r="S58" s="1744"/>
      <c r="T58" s="1744"/>
      <c r="U58" s="1699" t="s">
        <v>1119</v>
      </c>
      <c r="V58" s="1699"/>
      <c r="W58" s="1699"/>
      <c r="X58" s="1699"/>
      <c r="Y58" s="1699"/>
      <c r="Z58" s="1699"/>
      <c r="AA58" s="1699"/>
      <c r="AB58" s="1699"/>
      <c r="AC58" s="1699"/>
      <c r="AD58" s="1699"/>
      <c r="AE58" s="1699"/>
      <c r="AF58" s="1699"/>
      <c r="AG58" s="1699"/>
      <c r="AH58" s="1699"/>
      <c r="AI58" s="1699"/>
      <c r="AJ58" s="1699"/>
      <c r="AK58" s="1699"/>
      <c r="AL58" s="1699"/>
      <c r="BY58" s="1771"/>
      <c r="BZ58" s="1771"/>
      <c r="CA58" s="1767"/>
      <c r="CB58" s="1770"/>
      <c r="CC58" s="1767"/>
      <c r="CD58" s="1767"/>
      <c r="CE58" s="1767"/>
      <c r="CF58" s="1767"/>
      <c r="CG58" s="1767"/>
      <c r="CH58" s="1767"/>
      <c r="CI58" s="1818"/>
      <c r="CJ58" s="1767"/>
      <c r="CK58" s="1767"/>
      <c r="CL58" s="1767"/>
      <c r="CM58" s="1767"/>
      <c r="CN58" s="461"/>
      <c r="CO58" s="461"/>
      <c r="CP58" s="461"/>
    </row>
    <row r="59" spans="1:110" ht="20.100000000000001" customHeight="1">
      <c r="A59" s="766"/>
      <c r="B59" s="766"/>
      <c r="C59" s="1744" t="s">
        <v>1122</v>
      </c>
      <c r="D59" s="1744"/>
      <c r="E59" s="1744"/>
      <c r="F59" s="1744"/>
      <c r="G59" s="1744"/>
      <c r="H59" s="1744"/>
      <c r="I59" s="1744"/>
      <c r="J59" s="1744"/>
      <c r="K59" s="1744"/>
      <c r="L59" s="1744"/>
      <c r="M59" s="1744"/>
      <c r="N59" s="1744"/>
      <c r="O59" s="1744"/>
      <c r="P59" s="1744"/>
      <c r="Q59" s="1744"/>
      <c r="R59" s="1744"/>
      <c r="S59" s="1744"/>
      <c r="T59" s="1744"/>
      <c r="U59" s="1701" t="s">
        <v>2427</v>
      </c>
      <c r="V59" s="1702"/>
      <c r="W59" s="1702"/>
      <c r="X59" s="1702"/>
      <c r="Y59" s="1702"/>
      <c r="Z59" s="1702"/>
      <c r="AA59" s="1702"/>
      <c r="AB59" s="1702"/>
      <c r="AC59" s="1702"/>
      <c r="AD59" s="1702"/>
      <c r="AE59" s="1702"/>
      <c r="AF59" s="1702"/>
      <c r="AG59" s="1702"/>
      <c r="AH59" s="1702"/>
      <c r="AI59" s="1702"/>
      <c r="AJ59" s="1702"/>
      <c r="AK59" s="1702"/>
      <c r="AL59" s="1703"/>
      <c r="AW59" s="832" t="s">
        <v>1243</v>
      </c>
      <c r="AX59" s="830"/>
      <c r="AY59" s="830"/>
      <c r="AZ59" s="830"/>
      <c r="BA59" s="830"/>
      <c r="BB59" s="830"/>
      <c r="BC59" s="830"/>
      <c r="BD59" s="830"/>
      <c r="BE59" s="830"/>
      <c r="BF59" s="830"/>
      <c r="BG59" s="830"/>
      <c r="BH59" s="830"/>
      <c r="BI59" s="830"/>
      <c r="BJ59" s="830"/>
      <c r="BK59" s="830"/>
      <c r="BL59" s="830"/>
      <c r="BM59" s="830"/>
      <c r="BN59" s="830"/>
      <c r="BO59" s="831"/>
      <c r="BY59" s="1771"/>
      <c r="BZ59" s="1771"/>
      <c r="CA59" s="1767"/>
      <c r="CB59" s="1770"/>
      <c r="CC59" s="1767"/>
      <c r="CD59" s="1767"/>
      <c r="CE59" s="1767"/>
      <c r="CF59" s="1767"/>
      <c r="CG59" s="1767"/>
      <c r="CH59" s="1767"/>
      <c r="CI59" s="1818"/>
      <c r="CJ59" s="1767"/>
      <c r="CK59" s="1767"/>
      <c r="CL59" s="1767"/>
      <c r="CM59" s="1767"/>
      <c r="CN59" s="461"/>
      <c r="CO59" s="461"/>
      <c r="CP59" s="461"/>
    </row>
    <row r="60" spans="1:110" ht="20.100000000000001" customHeight="1">
      <c r="A60" s="766"/>
      <c r="B60" s="766"/>
      <c r="C60" s="1744" t="s">
        <v>1123</v>
      </c>
      <c r="D60" s="1744"/>
      <c r="E60" s="1744"/>
      <c r="F60" s="1744"/>
      <c r="G60" s="1744"/>
      <c r="H60" s="1744"/>
      <c r="I60" s="1744"/>
      <c r="J60" s="1744"/>
      <c r="K60" s="1744"/>
      <c r="L60" s="1744"/>
      <c r="M60" s="1744"/>
      <c r="N60" s="1744"/>
      <c r="O60" s="1744"/>
      <c r="P60" s="1744"/>
      <c r="Q60" s="1744"/>
      <c r="R60" s="1744"/>
      <c r="S60" s="1744"/>
      <c r="T60" s="1744"/>
      <c r="U60" s="1699" t="s">
        <v>1682</v>
      </c>
      <c r="V60" s="1699"/>
      <c r="W60" s="1699"/>
      <c r="X60" s="1699"/>
      <c r="Y60" s="1699"/>
      <c r="Z60" s="1699"/>
      <c r="AA60" s="1699"/>
      <c r="AB60" s="1699"/>
      <c r="AC60" s="1699"/>
      <c r="AD60" s="1699"/>
      <c r="AE60" s="1699"/>
      <c r="AF60" s="1699"/>
      <c r="AG60" s="1699"/>
      <c r="AH60" s="1699"/>
      <c r="AI60" s="1699"/>
      <c r="AJ60" s="1699"/>
      <c r="AK60" s="1699"/>
      <c r="AL60" s="1699"/>
      <c r="AW60" s="829" t="s">
        <v>1108</v>
      </c>
      <c r="AX60" s="830"/>
      <c r="AY60" s="830"/>
      <c r="AZ60" s="830"/>
      <c r="BA60" s="830"/>
      <c r="BB60" s="830"/>
      <c r="BC60" s="830"/>
      <c r="BD60" s="830"/>
      <c r="BE60" s="830"/>
      <c r="BF60" s="830"/>
      <c r="BG60" s="830"/>
      <c r="BH60" s="830"/>
      <c r="BI60" s="830"/>
      <c r="BJ60" s="830"/>
      <c r="BK60" s="830"/>
      <c r="BL60" s="830"/>
      <c r="BM60" s="830"/>
      <c r="BN60" s="830"/>
      <c r="BO60" s="831"/>
      <c r="BY60" s="1771"/>
      <c r="BZ60" s="1771"/>
      <c r="CA60" s="1767"/>
      <c r="CB60" s="1770"/>
      <c r="CC60" s="1767"/>
      <c r="CD60" s="1767"/>
      <c r="CE60" s="1767"/>
      <c r="CF60" s="1767"/>
      <c r="CG60" s="1767"/>
      <c r="CH60" s="1767"/>
      <c r="CI60" s="1818"/>
      <c r="CJ60" s="1767"/>
      <c r="CK60" s="1767"/>
      <c r="CL60" s="1767"/>
      <c r="CM60" s="1767"/>
      <c r="CN60" s="461"/>
      <c r="CO60" s="461"/>
      <c r="CP60" s="461"/>
    </row>
    <row r="61" spans="1:110" ht="20.100000000000001" customHeight="1">
      <c r="A61" s="766"/>
      <c r="B61" s="766"/>
      <c r="C61" s="1744" t="s">
        <v>1124</v>
      </c>
      <c r="D61" s="1744"/>
      <c r="E61" s="1744"/>
      <c r="F61" s="1744"/>
      <c r="G61" s="1744"/>
      <c r="H61" s="1744"/>
      <c r="I61" s="1744"/>
      <c r="J61" s="1744"/>
      <c r="K61" s="1744"/>
      <c r="L61" s="1744"/>
      <c r="M61" s="1744"/>
      <c r="N61" s="1744"/>
      <c r="O61" s="1744"/>
      <c r="P61" s="1744"/>
      <c r="Q61" s="1744"/>
      <c r="R61" s="1744"/>
      <c r="S61" s="1744"/>
      <c r="T61" s="1744"/>
      <c r="U61" s="1699" t="s">
        <v>550</v>
      </c>
      <c r="V61" s="1699"/>
      <c r="W61" s="1699"/>
      <c r="X61" s="1699"/>
      <c r="Y61" s="1699"/>
      <c r="Z61" s="1699"/>
      <c r="AA61" s="1699"/>
      <c r="AB61" s="1699"/>
      <c r="AC61" s="1699"/>
      <c r="AD61" s="1699"/>
      <c r="AE61" s="1699"/>
      <c r="AF61" s="1699"/>
      <c r="AG61" s="1699"/>
      <c r="AH61" s="1699"/>
      <c r="AI61" s="1699"/>
      <c r="AJ61" s="1699"/>
      <c r="AK61" s="1699"/>
      <c r="AL61" s="1699"/>
      <c r="AW61" s="829" t="s">
        <v>1109</v>
      </c>
      <c r="AX61" s="830"/>
      <c r="AY61" s="830"/>
      <c r="AZ61" s="830"/>
      <c r="BA61" s="830"/>
      <c r="BB61" s="830"/>
      <c r="BC61" s="830"/>
      <c r="BD61" s="830"/>
      <c r="BE61" s="830"/>
      <c r="BF61" s="830"/>
      <c r="BG61" s="830"/>
      <c r="BH61" s="830"/>
      <c r="BI61" s="830"/>
      <c r="BJ61" s="830"/>
      <c r="BK61" s="830"/>
      <c r="BL61" s="830"/>
      <c r="BM61" s="830"/>
      <c r="BN61" s="830"/>
      <c r="BO61" s="831"/>
      <c r="BY61" s="466">
        <v>15</v>
      </c>
      <c r="BZ61" s="1773">
        <v>80</v>
      </c>
      <c r="CA61" s="466">
        <v>1.1399999999999999</v>
      </c>
      <c r="CB61" s="466">
        <v>1.1100000000000001</v>
      </c>
      <c r="CC61" s="466">
        <v>1.08</v>
      </c>
      <c r="CD61" s="466">
        <v>1.04</v>
      </c>
      <c r="CE61" s="466">
        <v>1</v>
      </c>
      <c r="CF61" s="466">
        <v>0.96</v>
      </c>
      <c r="CG61" s="466">
        <v>0.92</v>
      </c>
      <c r="CH61" s="466">
        <v>0.88</v>
      </c>
      <c r="CI61" s="467">
        <v>0.83</v>
      </c>
      <c r="CJ61" s="466">
        <v>0.78</v>
      </c>
      <c r="CK61" s="466">
        <v>0.73</v>
      </c>
      <c r="CL61" s="466">
        <v>0.68</v>
      </c>
      <c r="CM61" s="466"/>
    </row>
    <row r="62" spans="1:110" ht="20.100000000000001" customHeight="1">
      <c r="A62" s="766"/>
      <c r="B62" s="766"/>
      <c r="C62" s="1763" t="s">
        <v>1125</v>
      </c>
      <c r="D62" s="1763"/>
      <c r="E62" s="1763"/>
      <c r="F62" s="1763"/>
      <c r="G62" s="1763"/>
      <c r="H62" s="1763"/>
      <c r="I62" s="1763"/>
      <c r="J62" s="1763"/>
      <c r="K62" s="1763"/>
      <c r="L62" s="1763"/>
      <c r="M62" s="1763"/>
      <c r="N62" s="1763"/>
      <c r="O62" s="1763"/>
      <c r="P62" s="1763"/>
      <c r="Q62" s="1763"/>
      <c r="R62" s="1763"/>
      <c r="S62" s="1763"/>
      <c r="T62" s="1763"/>
      <c r="U62" s="1701" t="s">
        <v>1127</v>
      </c>
      <c r="V62" s="1702"/>
      <c r="W62" s="1702"/>
      <c r="X62" s="1702"/>
      <c r="Y62" s="1702"/>
      <c r="Z62" s="1702"/>
      <c r="AA62" s="1702"/>
      <c r="AB62" s="1702"/>
      <c r="AC62" s="1702"/>
      <c r="AD62" s="1702"/>
      <c r="AE62" s="1702"/>
      <c r="AF62" s="1702"/>
      <c r="AG62" s="1702"/>
      <c r="AH62" s="1702"/>
      <c r="AI62" s="1702"/>
      <c r="AJ62" s="1702"/>
      <c r="AK62" s="1702"/>
      <c r="AL62" s="1703"/>
      <c r="AW62" s="829" t="s">
        <v>1110</v>
      </c>
      <c r="AX62" s="830"/>
      <c r="AY62" s="830"/>
      <c r="AZ62" s="830"/>
      <c r="BA62" s="830"/>
      <c r="BB62" s="830"/>
      <c r="BC62" s="830"/>
      <c r="BD62" s="830"/>
      <c r="BE62" s="830"/>
      <c r="BF62" s="830"/>
      <c r="BG62" s="830"/>
      <c r="BH62" s="830"/>
      <c r="BI62" s="830"/>
      <c r="BJ62" s="830"/>
      <c r="BK62" s="830"/>
      <c r="BL62" s="830"/>
      <c r="BM62" s="830"/>
      <c r="BN62" s="830"/>
      <c r="BO62" s="831"/>
      <c r="BY62" s="466">
        <v>25</v>
      </c>
      <c r="BZ62" s="1774"/>
      <c r="CA62" s="466">
        <v>1.24</v>
      </c>
      <c r="CB62" s="466">
        <v>1.2</v>
      </c>
      <c r="CC62" s="466">
        <v>1.17</v>
      </c>
      <c r="CD62" s="466">
        <v>1.1299999999999999</v>
      </c>
      <c r="CE62" s="466">
        <v>1.0900000000000001</v>
      </c>
      <c r="CF62" s="466">
        <v>1.04</v>
      </c>
      <c r="CG62" s="466">
        <v>1</v>
      </c>
      <c r="CH62" s="466">
        <v>0.95</v>
      </c>
      <c r="CI62" s="467">
        <v>0.9</v>
      </c>
      <c r="CJ62" s="466">
        <v>0.85</v>
      </c>
      <c r="CK62" s="466">
        <v>0.8</v>
      </c>
      <c r="CL62" s="466">
        <v>0.74</v>
      </c>
      <c r="CM62" s="466"/>
    </row>
    <row r="63" spans="1:110" ht="20.100000000000001" customHeight="1">
      <c r="A63" s="766"/>
      <c r="B63" s="766"/>
      <c r="C63" s="432" t="s">
        <v>4665</v>
      </c>
      <c r="D63" s="432"/>
      <c r="E63" s="432"/>
      <c r="F63" s="432"/>
      <c r="G63" s="432"/>
      <c r="H63" s="432"/>
      <c r="I63" s="432"/>
      <c r="J63" s="432"/>
      <c r="K63" s="432"/>
      <c r="L63" s="432"/>
      <c r="M63" s="432"/>
      <c r="N63" s="432"/>
      <c r="O63" s="432"/>
      <c r="P63" s="432"/>
      <c r="Q63" s="432"/>
      <c r="R63" s="432"/>
      <c r="S63" s="432"/>
      <c r="T63" s="432"/>
      <c r="AW63" s="829" t="s">
        <v>1111</v>
      </c>
      <c r="AX63" s="830"/>
      <c r="AY63" s="830"/>
      <c r="AZ63" s="830"/>
      <c r="BA63" s="830"/>
      <c r="BB63" s="830"/>
      <c r="BC63" s="830"/>
      <c r="BD63" s="830"/>
      <c r="BE63" s="830"/>
      <c r="BF63" s="830"/>
      <c r="BG63" s="830"/>
      <c r="BH63" s="830"/>
      <c r="BI63" s="830"/>
      <c r="BJ63" s="830"/>
      <c r="BK63" s="830"/>
      <c r="BL63" s="830"/>
      <c r="BM63" s="830"/>
      <c r="BN63" s="830"/>
      <c r="BO63" s="831"/>
      <c r="BY63" s="466">
        <v>25</v>
      </c>
      <c r="BZ63" s="7">
        <v>70</v>
      </c>
      <c r="CA63" s="466">
        <v>1.29</v>
      </c>
      <c r="CB63" s="466">
        <v>1.24</v>
      </c>
      <c r="CC63" s="466">
        <v>1.2</v>
      </c>
      <c r="CD63" s="466">
        <v>1.1499999999999999</v>
      </c>
      <c r="CE63" s="466">
        <v>1.1100000000000001</v>
      </c>
      <c r="CF63" s="466">
        <v>1.05</v>
      </c>
      <c r="CG63" s="466">
        <v>1</v>
      </c>
      <c r="CH63" s="466">
        <v>0.94</v>
      </c>
      <c r="CI63" s="467">
        <v>0.88</v>
      </c>
      <c r="CJ63" s="466">
        <v>0.81</v>
      </c>
      <c r="CK63" s="466">
        <v>0.74</v>
      </c>
      <c r="CL63" s="466">
        <v>0.67</v>
      </c>
      <c r="CM63" s="466"/>
    </row>
    <row r="64" spans="1:110" ht="20.100000000000001" customHeight="1">
      <c r="A64" s="766"/>
      <c r="B64" s="766"/>
      <c r="C64" s="1744" t="s">
        <v>4666</v>
      </c>
      <c r="D64" s="1744"/>
      <c r="E64" s="1744"/>
      <c r="F64" s="1744"/>
      <c r="G64" s="1744"/>
      <c r="H64" s="1744"/>
      <c r="I64" s="1744"/>
      <c r="J64" s="1744"/>
      <c r="K64" s="1744"/>
      <c r="L64" s="1744"/>
      <c r="M64" s="1744"/>
      <c r="N64" s="1744"/>
      <c r="O64" s="1744"/>
      <c r="P64" s="1744"/>
      <c r="Q64" s="1744"/>
      <c r="R64" s="1744"/>
      <c r="S64" s="1744"/>
      <c r="T64" s="1744"/>
      <c r="U64" s="1699" t="s">
        <v>6015</v>
      </c>
      <c r="V64" s="1699"/>
      <c r="W64" s="1699"/>
      <c r="X64" s="1699"/>
      <c r="Y64" s="1699"/>
      <c r="Z64" s="1699"/>
      <c r="AA64" s="1699"/>
      <c r="AB64" s="1699"/>
      <c r="AC64" s="1699"/>
      <c r="AD64" s="1699"/>
      <c r="AE64" s="1699"/>
      <c r="AF64" s="1699"/>
      <c r="AG64" s="1699"/>
      <c r="AH64" s="1699"/>
      <c r="AI64" s="1699"/>
      <c r="AJ64" s="1699"/>
      <c r="AK64" s="1699"/>
      <c r="AL64" s="1699"/>
      <c r="AW64" s="829" t="s">
        <v>1112</v>
      </c>
      <c r="AX64" s="830"/>
      <c r="AY64" s="830"/>
      <c r="AZ64" s="830"/>
      <c r="BA64" s="830"/>
      <c r="BB64" s="830"/>
      <c r="BC64" s="830"/>
      <c r="BD64" s="830"/>
      <c r="BE64" s="830"/>
      <c r="BF64" s="830"/>
      <c r="BG64" s="830"/>
      <c r="BH64" s="830"/>
      <c r="BI64" s="830"/>
      <c r="BJ64" s="830"/>
      <c r="BK64" s="830"/>
      <c r="BL64" s="830"/>
      <c r="BM64" s="830"/>
      <c r="BN64" s="830"/>
      <c r="BO64" s="831"/>
      <c r="BY64" s="466">
        <v>15</v>
      </c>
      <c r="BZ64" s="1770">
        <v>65</v>
      </c>
      <c r="CA64" s="466">
        <v>1.18</v>
      </c>
      <c r="CB64" s="466">
        <v>1.1399999999999999</v>
      </c>
      <c r="CC64" s="466">
        <v>1.1000000000000001</v>
      </c>
      <c r="CD64" s="466">
        <v>1.05</v>
      </c>
      <c r="CE64" s="466">
        <v>1</v>
      </c>
      <c r="CF64" s="466">
        <v>0.95</v>
      </c>
      <c r="CG64" s="466">
        <v>0.89</v>
      </c>
      <c r="CH64" s="466">
        <v>0.84</v>
      </c>
      <c r="CI64" s="467">
        <v>0.77</v>
      </c>
      <c r="CJ64" s="466">
        <v>0.71</v>
      </c>
      <c r="CK64" s="466">
        <v>0.63</v>
      </c>
      <c r="CL64" s="466">
        <v>0.55000000000000004</v>
      </c>
      <c r="CM64" s="466"/>
    </row>
    <row r="65" spans="1:94" ht="20.100000000000001" customHeight="1">
      <c r="A65" s="766"/>
      <c r="B65" s="766"/>
      <c r="C65" s="1744" t="s">
        <v>4667</v>
      </c>
      <c r="D65" s="1744"/>
      <c r="E65" s="1744"/>
      <c r="F65" s="1744"/>
      <c r="G65" s="1744"/>
      <c r="H65" s="1744"/>
      <c r="I65" s="1744"/>
      <c r="J65" s="1744"/>
      <c r="K65" s="1744"/>
      <c r="L65" s="1744"/>
      <c r="M65" s="1744"/>
      <c r="N65" s="1744"/>
      <c r="O65" s="1744"/>
      <c r="P65" s="1744"/>
      <c r="Q65" s="1744"/>
      <c r="R65" s="1744"/>
      <c r="S65" s="1744"/>
      <c r="T65" s="1744"/>
      <c r="U65" s="1699" t="s">
        <v>2961</v>
      </c>
      <c r="V65" s="1699"/>
      <c r="W65" s="1699"/>
      <c r="X65" s="1699"/>
      <c r="Y65" s="1699"/>
      <c r="Z65" s="1699"/>
      <c r="AA65" s="1699"/>
      <c r="AB65" s="1699"/>
      <c r="AC65" s="1699"/>
      <c r="AD65" s="1699"/>
      <c r="AE65" s="1699"/>
      <c r="AF65" s="1699"/>
      <c r="AG65" s="1699"/>
      <c r="AH65" s="1699"/>
      <c r="AI65" s="1699"/>
      <c r="AJ65" s="1699"/>
      <c r="AK65" s="1699"/>
      <c r="AL65" s="1699"/>
      <c r="AW65" s="829" t="s">
        <v>1113</v>
      </c>
      <c r="AX65" s="830"/>
      <c r="AY65" s="830"/>
      <c r="AZ65" s="830"/>
      <c r="BA65" s="830"/>
      <c r="BB65" s="830"/>
      <c r="BC65" s="830"/>
      <c r="BD65" s="830"/>
      <c r="BE65" s="830"/>
      <c r="BF65" s="830"/>
      <c r="BG65" s="830"/>
      <c r="BH65" s="830"/>
      <c r="BI65" s="830"/>
      <c r="BJ65" s="830"/>
      <c r="BK65" s="830"/>
      <c r="BL65" s="830"/>
      <c r="BM65" s="830"/>
      <c r="BN65" s="830"/>
      <c r="BO65" s="831"/>
      <c r="BY65" s="466">
        <v>25</v>
      </c>
      <c r="BZ65" s="1770"/>
      <c r="CA65" s="466">
        <v>1.32</v>
      </c>
      <c r="CB65" s="466">
        <v>1.27</v>
      </c>
      <c r="CC65" s="466">
        <v>1.22</v>
      </c>
      <c r="CD65" s="466">
        <v>1.17</v>
      </c>
      <c r="CE65" s="466">
        <v>1.1200000000000001</v>
      </c>
      <c r="CF65" s="466">
        <v>1.06</v>
      </c>
      <c r="CG65" s="466">
        <v>1</v>
      </c>
      <c r="CH65" s="466">
        <v>0.94</v>
      </c>
      <c r="CI65" s="467">
        <v>0.87</v>
      </c>
      <c r="CJ65" s="466">
        <v>0.79</v>
      </c>
      <c r="CK65" s="466">
        <v>0.71</v>
      </c>
      <c r="CL65" s="466">
        <v>0.61</v>
      </c>
      <c r="CM65" s="466"/>
    </row>
    <row r="66" spans="1:94" ht="20.100000000000001" customHeight="1">
      <c r="A66" s="766"/>
      <c r="B66" s="766"/>
      <c r="C66" s="1763" t="s">
        <v>4668</v>
      </c>
      <c r="D66" s="1763"/>
      <c r="E66" s="1763"/>
      <c r="F66" s="1763"/>
      <c r="G66" s="1763"/>
      <c r="H66" s="1763"/>
      <c r="I66" s="1763"/>
      <c r="J66" s="1763"/>
      <c r="K66" s="1763"/>
      <c r="L66" s="1763"/>
      <c r="M66" s="1763"/>
      <c r="N66" s="1763"/>
      <c r="O66" s="1763"/>
      <c r="P66" s="1763"/>
      <c r="Q66" s="1763"/>
      <c r="R66" s="1763"/>
      <c r="S66" s="1763"/>
      <c r="T66" s="1763"/>
      <c r="U66" s="1699" t="s">
        <v>4125</v>
      </c>
      <c r="V66" s="1699"/>
      <c r="W66" s="1699"/>
      <c r="X66" s="1699"/>
      <c r="Y66" s="1699"/>
      <c r="Z66" s="1699"/>
      <c r="AA66" s="1699"/>
      <c r="AB66" s="1699"/>
      <c r="AC66" s="1699"/>
      <c r="AD66" s="1699"/>
      <c r="AE66" s="1699"/>
      <c r="AF66" s="1699"/>
      <c r="AG66" s="1699"/>
      <c r="AH66" s="1699"/>
      <c r="AI66" s="1699"/>
      <c r="AJ66" s="1699"/>
      <c r="AK66" s="1699"/>
      <c r="AL66" s="1699"/>
      <c r="AW66" s="829" t="s">
        <v>1114</v>
      </c>
      <c r="AX66" s="830"/>
      <c r="AY66" s="830"/>
      <c r="AZ66" s="830"/>
      <c r="BA66" s="830"/>
      <c r="BB66" s="830"/>
      <c r="BC66" s="830"/>
      <c r="BD66" s="830"/>
      <c r="BE66" s="830"/>
      <c r="BF66" s="830"/>
      <c r="BG66" s="830"/>
      <c r="BH66" s="830"/>
      <c r="BI66" s="830"/>
      <c r="BJ66" s="830"/>
      <c r="BK66" s="830"/>
      <c r="BL66" s="830"/>
      <c r="BM66" s="830"/>
      <c r="BN66" s="830"/>
      <c r="BO66" s="831"/>
      <c r="BY66" s="466">
        <v>15</v>
      </c>
      <c r="BZ66" s="1770">
        <v>60</v>
      </c>
      <c r="CA66" s="466">
        <v>1.2</v>
      </c>
      <c r="CB66" s="466">
        <v>1.1599999999999999</v>
      </c>
      <c r="CC66" s="466">
        <v>1.1200000000000001</v>
      </c>
      <c r="CD66" s="466">
        <v>1.06</v>
      </c>
      <c r="CE66" s="466">
        <v>1</v>
      </c>
      <c r="CF66" s="466">
        <v>0.94</v>
      </c>
      <c r="CG66" s="466">
        <v>0.88</v>
      </c>
      <c r="CH66" s="466">
        <v>0.82</v>
      </c>
      <c r="CI66" s="467">
        <v>0.75</v>
      </c>
      <c r="CJ66" s="466">
        <v>0.67</v>
      </c>
      <c r="CK66" s="466">
        <v>0.56999999999999995</v>
      </c>
      <c r="CL66" s="466">
        <v>0.47</v>
      </c>
      <c r="CM66" s="466"/>
    </row>
    <row r="67" spans="1:94" ht="20.100000000000001" customHeight="1">
      <c r="A67" s="766"/>
      <c r="B67" s="766"/>
      <c r="C67" s="1763" t="s">
        <v>4671</v>
      </c>
      <c r="D67" s="1763"/>
      <c r="E67" s="1763"/>
      <c r="F67" s="1763"/>
      <c r="G67" s="1763"/>
      <c r="H67" s="1763"/>
      <c r="I67" s="1763"/>
      <c r="J67" s="1763"/>
      <c r="K67" s="1763"/>
      <c r="L67" s="1763"/>
      <c r="M67" s="1763"/>
      <c r="N67" s="1763"/>
      <c r="O67" s="1763"/>
      <c r="P67" s="1763"/>
      <c r="Q67" s="1763"/>
      <c r="R67" s="1763"/>
      <c r="S67" s="1763"/>
      <c r="T67" s="1763"/>
      <c r="U67" s="1699" t="s">
        <v>4673</v>
      </c>
      <c r="V67" s="1699"/>
      <c r="W67" s="1699"/>
      <c r="X67" s="1699"/>
      <c r="Y67" s="1699"/>
      <c r="Z67" s="1699"/>
      <c r="AA67" s="1699"/>
      <c r="AB67" s="1699"/>
      <c r="AC67" s="1699"/>
      <c r="AD67" s="1699"/>
      <c r="AE67" s="1699"/>
      <c r="AF67" s="1699"/>
      <c r="AG67" s="1699"/>
      <c r="AH67" s="1699"/>
      <c r="AI67" s="1699"/>
      <c r="AJ67" s="1699"/>
      <c r="AK67" s="1699"/>
      <c r="AL67" s="1699"/>
      <c r="AM67" s="846" t="s">
        <v>4673</v>
      </c>
      <c r="AN67" s="846" t="s">
        <v>4674</v>
      </c>
      <c r="AO67" s="846" t="s">
        <v>4675</v>
      </c>
      <c r="AW67" s="829" t="s">
        <v>1115</v>
      </c>
      <c r="AX67" s="830"/>
      <c r="AY67" s="830"/>
      <c r="AZ67" s="830"/>
      <c r="BA67" s="830"/>
      <c r="BB67" s="830"/>
      <c r="BC67" s="830"/>
      <c r="BD67" s="830"/>
      <c r="BE67" s="830"/>
      <c r="BF67" s="830"/>
      <c r="BG67" s="830"/>
      <c r="BH67" s="830"/>
      <c r="BI67" s="830"/>
      <c r="BJ67" s="830"/>
      <c r="BK67" s="830"/>
      <c r="BL67" s="830"/>
      <c r="BM67" s="830"/>
      <c r="BN67" s="830"/>
      <c r="BO67" s="831"/>
      <c r="BY67" s="466">
        <v>25</v>
      </c>
      <c r="BZ67" s="1770"/>
      <c r="CA67" s="466">
        <v>1.36</v>
      </c>
      <c r="CB67" s="466">
        <v>1.31</v>
      </c>
      <c r="CC67" s="466">
        <v>1.25</v>
      </c>
      <c r="CD67" s="466">
        <v>1.2</v>
      </c>
      <c r="CE67" s="466">
        <v>1.1299999999999999</v>
      </c>
      <c r="CF67" s="466">
        <v>1.07</v>
      </c>
      <c r="CG67" s="466">
        <v>1</v>
      </c>
      <c r="CH67" s="466">
        <v>0.93</v>
      </c>
      <c r="CI67" s="467">
        <v>0.85</v>
      </c>
      <c r="CJ67" s="466">
        <v>0.76</v>
      </c>
      <c r="CK67" s="466">
        <v>0.66</v>
      </c>
      <c r="CL67" s="466">
        <v>0.54</v>
      </c>
      <c r="CM67" s="466"/>
    </row>
    <row r="68" spans="1:94" ht="20.100000000000001" customHeight="1">
      <c r="A68" s="766"/>
      <c r="B68" s="766"/>
      <c r="C68" s="1763" t="s">
        <v>5884</v>
      </c>
      <c r="D68" s="1763"/>
      <c r="E68" s="1763"/>
      <c r="F68" s="1763"/>
      <c r="G68" s="1763"/>
      <c r="H68" s="1763"/>
      <c r="I68" s="1763"/>
      <c r="J68" s="1763"/>
      <c r="K68" s="1763"/>
      <c r="L68" s="1763"/>
      <c r="M68" s="1763"/>
      <c r="N68" s="1763"/>
      <c r="O68" s="1763"/>
      <c r="P68" s="1763"/>
      <c r="Q68" s="1763"/>
      <c r="R68" s="1763"/>
      <c r="S68" s="1763"/>
      <c r="T68" s="1763"/>
      <c r="U68" s="1699" t="s">
        <v>4153</v>
      </c>
      <c r="V68" s="1699"/>
      <c r="W68" s="1699"/>
      <c r="X68" s="1699"/>
      <c r="Y68" s="1699"/>
      <c r="Z68" s="1699"/>
      <c r="AA68" s="1699"/>
      <c r="AB68" s="1699"/>
      <c r="AC68" s="1699"/>
      <c r="AD68" s="1699"/>
      <c r="AE68" s="1699"/>
      <c r="AF68" s="1699"/>
      <c r="AG68" s="1699"/>
      <c r="AH68" s="1699"/>
      <c r="AI68" s="1699"/>
      <c r="AJ68" s="1699"/>
      <c r="AK68" s="1699"/>
      <c r="AL68" s="1699"/>
      <c r="AW68" s="829" t="s">
        <v>1116</v>
      </c>
      <c r="AX68" s="830"/>
      <c r="AY68" s="830"/>
      <c r="AZ68" s="830"/>
      <c r="BA68" s="830"/>
      <c r="BB68" s="830"/>
      <c r="BC68" s="830"/>
      <c r="BD68" s="830"/>
      <c r="BE68" s="830"/>
      <c r="BF68" s="830"/>
      <c r="BG68" s="830"/>
      <c r="BH68" s="830"/>
      <c r="BI68" s="830"/>
      <c r="BJ68" s="830"/>
      <c r="BK68" s="830"/>
      <c r="BL68" s="830"/>
      <c r="BM68" s="830"/>
      <c r="BN68" s="830"/>
      <c r="BO68" s="831"/>
      <c r="BY68" s="469"/>
      <c r="BZ68" s="469"/>
      <c r="CA68" s="469"/>
      <c r="CB68" s="469"/>
      <c r="CC68" s="469"/>
      <c r="CD68" s="469"/>
      <c r="CE68" s="469"/>
      <c r="CF68" s="469"/>
      <c r="CG68" s="469"/>
      <c r="CH68" s="469"/>
      <c r="CI68" s="470"/>
      <c r="CJ68" s="469"/>
      <c r="CK68" s="469"/>
      <c r="CL68" s="469"/>
      <c r="CM68" s="469"/>
    </row>
    <row r="69" spans="1:94" ht="20.100000000000001" customHeight="1">
      <c r="A69" s="766"/>
      <c r="B69" s="766"/>
      <c r="C69" s="1763" t="s">
        <v>4672</v>
      </c>
      <c r="D69" s="1763"/>
      <c r="E69" s="1763"/>
      <c r="F69" s="1763"/>
      <c r="G69" s="1763"/>
      <c r="H69" s="1763"/>
      <c r="I69" s="1763"/>
      <c r="J69" s="1763"/>
      <c r="K69" s="1763"/>
      <c r="L69" s="1763"/>
      <c r="M69" s="1763"/>
      <c r="N69" s="1763"/>
      <c r="O69" s="1763"/>
      <c r="P69" s="1763"/>
      <c r="Q69" s="1763"/>
      <c r="R69" s="1763"/>
      <c r="S69" s="1763"/>
      <c r="T69" s="1763"/>
      <c r="U69" s="1699">
        <v>10</v>
      </c>
      <c r="V69" s="1699"/>
      <c r="W69" s="1699"/>
      <c r="X69" s="1699"/>
      <c r="Y69" s="1699"/>
      <c r="Z69" s="1699"/>
      <c r="AA69" s="1699"/>
      <c r="AB69" s="1699"/>
      <c r="AC69" s="1699"/>
      <c r="AD69" s="1699"/>
      <c r="AE69" s="1699"/>
      <c r="AF69" s="1699"/>
      <c r="AG69" s="1699"/>
      <c r="AH69" s="1699"/>
      <c r="AI69" s="1699"/>
      <c r="AJ69" s="1699"/>
      <c r="AK69" s="1699"/>
      <c r="AL69" s="1699"/>
      <c r="BY69" s="458" t="s">
        <v>4845</v>
      </c>
      <c r="BZ69" s="471"/>
      <c r="CA69" s="471"/>
      <c r="CB69" s="471"/>
      <c r="CC69" s="471"/>
      <c r="CD69" s="471"/>
      <c r="CE69" s="471"/>
      <c r="CF69" s="471"/>
      <c r="CG69" s="471"/>
      <c r="CH69" s="469"/>
      <c r="CI69" s="470"/>
      <c r="CJ69" s="469"/>
      <c r="CK69" s="469"/>
      <c r="CL69" s="469"/>
      <c r="CM69" s="469"/>
    </row>
    <row r="70" spans="1:94" ht="20.100000000000001" customHeight="1">
      <c r="A70" s="766"/>
      <c r="B70" s="766"/>
      <c r="AW70" s="832" t="s">
        <v>1117</v>
      </c>
      <c r="AX70" s="830"/>
      <c r="AY70" s="830"/>
      <c r="AZ70" s="830"/>
      <c r="BA70" s="830"/>
      <c r="BB70" s="830"/>
      <c r="BC70" s="830"/>
      <c r="BD70" s="830"/>
      <c r="BE70" s="830"/>
      <c r="BF70" s="830"/>
      <c r="BG70" s="830"/>
      <c r="BH70" s="830"/>
      <c r="BI70" s="830"/>
      <c r="BJ70" s="830"/>
      <c r="BK70" s="830"/>
      <c r="BL70" s="830"/>
      <c r="BM70" s="830"/>
      <c r="BN70" s="830"/>
      <c r="BO70" s="831"/>
      <c r="BY70" s="1772" t="s">
        <v>4846</v>
      </c>
      <c r="BZ70" s="1772"/>
      <c r="CA70" s="1770" t="s">
        <v>4847</v>
      </c>
      <c r="CB70" s="1770"/>
      <c r="CC70" s="1770"/>
      <c r="CD70" s="1770"/>
      <c r="CE70" s="1770"/>
      <c r="CF70" s="1770"/>
      <c r="CG70" s="1770"/>
      <c r="CH70" s="469"/>
      <c r="CI70" s="470"/>
      <c r="CJ70" s="469"/>
      <c r="CK70" s="469"/>
      <c r="CL70" s="469"/>
      <c r="CM70" s="469"/>
    </row>
    <row r="71" spans="1:94" ht="20.100000000000001" customHeight="1">
      <c r="A71" s="766"/>
      <c r="B71" s="766"/>
      <c r="AW71" s="838" t="s">
        <v>1118</v>
      </c>
      <c r="BY71" s="1772"/>
      <c r="BZ71" s="1772"/>
      <c r="CA71" s="466">
        <v>1</v>
      </c>
      <c r="CB71" s="466">
        <v>2</v>
      </c>
      <c r="CC71" s="466">
        <v>3</v>
      </c>
      <c r="CD71" s="466">
        <v>4</v>
      </c>
      <c r="CE71" s="466">
        <v>5</v>
      </c>
      <c r="CF71" s="466">
        <v>6</v>
      </c>
      <c r="CG71" s="472" t="s">
        <v>4848</v>
      </c>
      <c r="CH71" s="469"/>
      <c r="CI71" s="470"/>
      <c r="CJ71" s="469"/>
      <c r="CK71" s="469"/>
      <c r="CL71" s="469"/>
      <c r="CM71" s="469"/>
    </row>
    <row r="72" spans="1:94" ht="20.100000000000001" customHeight="1">
      <c r="A72" s="766"/>
      <c r="B72" s="766"/>
      <c r="C72" s="512" t="s">
        <v>5181</v>
      </c>
      <c r="D72" s="439"/>
      <c r="E72" s="439"/>
      <c r="F72" s="439"/>
      <c r="G72" s="439"/>
      <c r="H72" s="439"/>
      <c r="I72" s="439"/>
      <c r="J72" s="439"/>
      <c r="K72" s="439"/>
      <c r="L72" s="439"/>
      <c r="M72" s="439"/>
      <c r="N72" s="439"/>
      <c r="O72" s="439"/>
      <c r="P72" s="439"/>
      <c r="Q72" s="439"/>
      <c r="R72" s="439"/>
      <c r="S72" s="439"/>
      <c r="T72" s="439"/>
      <c r="U72" s="439"/>
      <c r="V72" s="439"/>
      <c r="W72" s="439"/>
      <c r="X72" s="512" t="s">
        <v>5182</v>
      </c>
      <c r="Y72" s="439"/>
      <c r="Z72" s="439"/>
      <c r="AA72" s="439"/>
      <c r="AB72" s="439"/>
      <c r="AC72" s="439"/>
      <c r="AD72" s="439"/>
      <c r="AE72" s="439"/>
      <c r="AF72" s="439"/>
      <c r="AG72" s="439"/>
      <c r="AH72" s="439"/>
      <c r="AI72" s="439"/>
      <c r="AJ72" s="439"/>
      <c r="AK72" s="439"/>
      <c r="AL72" s="439"/>
      <c r="AM72" s="439"/>
      <c r="AN72" s="439"/>
      <c r="AO72" s="513"/>
      <c r="AW72" s="838" t="s">
        <v>1119</v>
      </c>
      <c r="BY72" s="1770">
        <v>100</v>
      </c>
      <c r="BZ72" s="1770"/>
      <c r="CA72" s="466">
        <v>1</v>
      </c>
      <c r="CB72" s="466">
        <v>0.9</v>
      </c>
      <c r="CC72" s="466">
        <v>0.85</v>
      </c>
      <c r="CD72" s="466">
        <v>0.8</v>
      </c>
      <c r="CE72" s="466">
        <v>0.78</v>
      </c>
      <c r="CF72" s="466">
        <v>0.75</v>
      </c>
      <c r="CG72" s="466">
        <v>0.7</v>
      </c>
      <c r="CH72" s="469"/>
      <c r="CI72" s="470"/>
      <c r="CJ72" s="469"/>
      <c r="CK72" s="469"/>
      <c r="CL72" s="469"/>
      <c r="CM72" s="469"/>
    </row>
    <row r="73" spans="1:94" ht="20.100000000000001" customHeight="1">
      <c r="A73" s="766"/>
      <c r="B73" s="766"/>
      <c r="C73" s="411" t="s">
        <v>540</v>
      </c>
      <c r="D73" s="462"/>
      <c r="E73" s="462"/>
      <c r="F73" s="462"/>
      <c r="G73" s="462"/>
      <c r="H73" s="462"/>
      <c r="I73" s="462"/>
      <c r="J73" s="462"/>
      <c r="K73" s="462"/>
      <c r="L73" s="462"/>
      <c r="M73" s="462"/>
      <c r="N73" s="462"/>
      <c r="O73" s="462"/>
      <c r="P73" s="462"/>
      <c r="Q73" s="462"/>
      <c r="R73" s="462"/>
      <c r="S73" s="462"/>
      <c r="T73" s="462"/>
      <c r="U73" s="462"/>
      <c r="V73" s="462"/>
      <c r="W73" s="462"/>
      <c r="X73" s="411" t="s">
        <v>6103</v>
      </c>
      <c r="Y73" s="462"/>
      <c r="Z73" s="462"/>
      <c r="AA73" s="462"/>
      <c r="AB73" s="462"/>
      <c r="AC73" s="462"/>
      <c r="AD73" s="462"/>
      <c r="AE73" s="462"/>
      <c r="AF73" s="462"/>
      <c r="AG73" s="462"/>
      <c r="AH73" s="462"/>
      <c r="AI73" s="462"/>
      <c r="AJ73" s="462"/>
      <c r="AK73" s="462"/>
      <c r="AL73" s="462"/>
      <c r="AM73" s="462"/>
      <c r="AN73" s="462"/>
      <c r="AO73" s="463"/>
      <c r="AW73" s="835" t="s">
        <v>2427</v>
      </c>
      <c r="BY73" s="1770">
        <v>200</v>
      </c>
      <c r="BZ73" s="1770"/>
      <c r="CA73" s="466">
        <v>1</v>
      </c>
      <c r="CB73" s="466">
        <v>0.92</v>
      </c>
      <c r="CC73" s="466">
        <v>0.87</v>
      </c>
      <c r="CD73" s="466">
        <v>0.84</v>
      </c>
      <c r="CE73" s="466">
        <v>0.82</v>
      </c>
      <c r="CF73" s="466">
        <v>0.81</v>
      </c>
      <c r="CG73" s="466">
        <v>0.8</v>
      </c>
      <c r="CH73" s="469"/>
      <c r="CI73" s="470"/>
      <c r="CJ73" s="469"/>
      <c r="CK73" s="469"/>
      <c r="CL73" s="469"/>
      <c r="CM73" s="469"/>
    </row>
    <row r="74" spans="1:94" ht="20.100000000000001" customHeight="1">
      <c r="A74" s="766"/>
      <c r="B74" s="766"/>
      <c r="C74" s="412" t="s">
        <v>5183</v>
      </c>
      <c r="D74" s="464"/>
      <c r="E74" s="464"/>
      <c r="F74" s="464"/>
      <c r="G74" s="464"/>
      <c r="H74" s="464"/>
      <c r="I74" s="464"/>
      <c r="J74" s="464"/>
      <c r="K74" s="464"/>
      <c r="L74" s="464"/>
      <c r="M74" s="464"/>
      <c r="N74" s="464"/>
      <c r="O74" s="464"/>
      <c r="P74" s="464"/>
      <c r="Q74" s="464"/>
      <c r="R74" s="464"/>
      <c r="S74" s="464"/>
      <c r="T74" s="464"/>
      <c r="U74" s="464"/>
      <c r="V74" s="464"/>
      <c r="W74" s="464"/>
      <c r="X74" s="411" t="s">
        <v>5232</v>
      </c>
      <c r="Y74" s="464"/>
      <c r="Z74" s="464"/>
      <c r="AA74" s="464"/>
      <c r="AB74" s="464"/>
      <c r="AC74" s="464"/>
      <c r="AD74" s="464"/>
      <c r="AE74" s="464"/>
      <c r="AF74" s="464"/>
      <c r="AG74" s="464"/>
      <c r="AH74" s="464"/>
      <c r="AI74" s="464"/>
      <c r="AJ74" s="464"/>
      <c r="AK74" s="464"/>
      <c r="AL74" s="464"/>
      <c r="AM74" s="464"/>
      <c r="AN74" s="464"/>
      <c r="AO74" s="465"/>
      <c r="AW74" s="835" t="s">
        <v>4244</v>
      </c>
      <c r="BY74" s="1770">
        <v>300</v>
      </c>
      <c r="BZ74" s="1770"/>
      <c r="CA74" s="466">
        <v>1</v>
      </c>
      <c r="CB74" s="466">
        <v>0.93</v>
      </c>
      <c r="CC74" s="466">
        <v>0.9</v>
      </c>
      <c r="CD74" s="466">
        <v>0.87</v>
      </c>
      <c r="CE74" s="466">
        <v>0.86</v>
      </c>
      <c r="CF74" s="466">
        <v>0.85</v>
      </c>
      <c r="CG74" s="466">
        <v>0.8</v>
      </c>
      <c r="CH74" s="469"/>
      <c r="CI74" s="470"/>
      <c r="CJ74" s="469"/>
      <c r="CK74" s="469"/>
      <c r="CL74" s="469"/>
      <c r="CM74" s="469"/>
      <c r="CN74" s="469"/>
      <c r="CO74" s="469"/>
      <c r="CP74" s="469"/>
    </row>
    <row r="75" spans="1:94" ht="20.100000000000001" customHeight="1">
      <c r="A75" s="766"/>
      <c r="B75" s="766"/>
      <c r="C75" s="412" t="s">
        <v>3788</v>
      </c>
      <c r="D75" s="464"/>
      <c r="E75" s="464"/>
      <c r="F75" s="464"/>
      <c r="G75" s="464"/>
      <c r="H75" s="464"/>
      <c r="I75" s="464"/>
      <c r="J75" s="464"/>
      <c r="K75" s="464"/>
      <c r="L75" s="464"/>
      <c r="M75" s="464"/>
      <c r="N75" s="464"/>
      <c r="O75" s="464"/>
      <c r="P75" s="464"/>
      <c r="Q75" s="464"/>
      <c r="R75" s="464"/>
      <c r="S75" s="464"/>
      <c r="T75" s="464"/>
      <c r="U75" s="464"/>
      <c r="V75" s="464"/>
      <c r="W75" s="464"/>
      <c r="X75" s="412" t="s">
        <v>6105</v>
      </c>
      <c r="Y75" s="464"/>
      <c r="Z75" s="464"/>
      <c r="AA75" s="464"/>
      <c r="AB75" s="464"/>
      <c r="AC75" s="464"/>
      <c r="AD75" s="464"/>
      <c r="AE75" s="464"/>
      <c r="AF75" s="464"/>
      <c r="AG75" s="464"/>
      <c r="AH75" s="464"/>
      <c r="AI75" s="464"/>
      <c r="AJ75" s="464"/>
      <c r="AK75" s="464"/>
      <c r="AL75" s="464"/>
      <c r="AM75" s="464"/>
      <c r="AN75" s="464"/>
      <c r="AO75" s="465"/>
      <c r="AW75" s="836" t="s">
        <v>903</v>
      </c>
      <c r="AX75" s="834"/>
      <c r="BY75" s="8"/>
      <c r="BZ75" s="8"/>
      <c r="CA75" s="473"/>
      <c r="CB75" s="473"/>
      <c r="CC75" s="473"/>
      <c r="CD75" s="473"/>
      <c r="CE75" s="473"/>
      <c r="CF75" s="473"/>
      <c r="CG75" s="473"/>
      <c r="CH75" s="469"/>
      <c r="CI75" s="470"/>
      <c r="CJ75" s="469"/>
      <c r="CK75" s="469"/>
      <c r="CL75" s="469"/>
      <c r="CM75" s="469"/>
      <c r="CN75" s="469"/>
      <c r="CO75" s="469"/>
      <c r="CP75" s="469"/>
    </row>
    <row r="76" spans="1:94" ht="20.100000000000001" customHeight="1">
      <c r="A76" s="766"/>
      <c r="B76" s="766"/>
      <c r="C76" s="412" t="s">
        <v>3789</v>
      </c>
      <c r="D76" s="464"/>
      <c r="E76" s="464"/>
      <c r="F76" s="464"/>
      <c r="G76" s="464"/>
      <c r="H76" s="464"/>
      <c r="I76" s="464"/>
      <c r="J76" s="464"/>
      <c r="K76" s="464"/>
      <c r="L76" s="464"/>
      <c r="M76" s="464"/>
      <c r="N76" s="464"/>
      <c r="O76" s="464"/>
      <c r="P76" s="464"/>
      <c r="Q76" s="464"/>
      <c r="R76" s="464"/>
      <c r="S76" s="464"/>
      <c r="T76" s="464"/>
      <c r="U76" s="464"/>
      <c r="V76" s="464"/>
      <c r="W76" s="464"/>
      <c r="X76" s="412" t="s">
        <v>2328</v>
      </c>
      <c r="Y76" s="464"/>
      <c r="Z76" s="464"/>
      <c r="AA76" s="464"/>
      <c r="AB76" s="464"/>
      <c r="AC76" s="464"/>
      <c r="AD76" s="464"/>
      <c r="AE76" s="464"/>
      <c r="AF76" s="464"/>
      <c r="AG76" s="464"/>
      <c r="AH76" s="464"/>
      <c r="AI76" s="464"/>
      <c r="AJ76" s="464"/>
      <c r="AK76" s="464"/>
      <c r="AL76" s="464"/>
      <c r="AM76" s="464"/>
      <c r="AN76" s="464"/>
      <c r="AO76" s="465"/>
      <c r="AW76" s="836" t="s">
        <v>6004</v>
      </c>
      <c r="AX76" s="834"/>
      <c r="BY76" s="414">
        <v>1</v>
      </c>
      <c r="BZ76" s="8">
        <v>2</v>
      </c>
      <c r="CA76" s="8">
        <v>3</v>
      </c>
      <c r="CB76" s="414">
        <v>4</v>
      </c>
      <c r="CC76" s="473">
        <v>5</v>
      </c>
      <c r="CD76" s="473">
        <v>6</v>
      </c>
      <c r="CE76" s="473">
        <v>7</v>
      </c>
      <c r="CF76" s="473">
        <v>8</v>
      </c>
      <c r="CG76" s="473">
        <v>9</v>
      </c>
      <c r="CH76" s="473">
        <v>10</v>
      </c>
      <c r="CI76" s="473">
        <v>11</v>
      </c>
      <c r="CJ76" s="473">
        <v>12</v>
      </c>
      <c r="CK76" s="473">
        <v>13</v>
      </c>
      <c r="CL76" s="473">
        <v>14</v>
      </c>
      <c r="CM76" s="469"/>
      <c r="CN76" s="469"/>
      <c r="CO76" s="469"/>
      <c r="CP76" s="469"/>
    </row>
    <row r="77" spans="1:94" ht="20.100000000000001" customHeight="1">
      <c r="A77" s="766"/>
      <c r="B77" s="766"/>
      <c r="C77" s="412" t="s">
        <v>2141</v>
      </c>
      <c r="D77" s="464"/>
      <c r="E77" s="464"/>
      <c r="F77" s="464"/>
      <c r="G77" s="464"/>
      <c r="H77" s="464"/>
      <c r="I77" s="464"/>
      <c r="J77" s="464"/>
      <c r="K77" s="464"/>
      <c r="L77" s="464"/>
      <c r="M77" s="464"/>
      <c r="N77" s="464"/>
      <c r="O77" s="464"/>
      <c r="P77" s="464"/>
      <c r="Q77" s="464"/>
      <c r="R77" s="464"/>
      <c r="S77" s="464"/>
      <c r="T77" s="464"/>
      <c r="U77" s="464"/>
      <c r="V77" s="464"/>
      <c r="W77" s="464"/>
      <c r="X77" s="412" t="s">
        <v>2327</v>
      </c>
      <c r="Y77" s="464"/>
      <c r="Z77" s="464"/>
      <c r="AA77" s="464"/>
      <c r="AB77" s="464"/>
      <c r="AC77" s="464"/>
      <c r="AD77" s="464"/>
      <c r="AE77" s="464"/>
      <c r="AF77" s="464"/>
      <c r="AG77" s="464"/>
      <c r="AH77" s="464"/>
      <c r="AI77" s="464"/>
      <c r="AJ77" s="464"/>
      <c r="AK77" s="464"/>
      <c r="AL77" s="464"/>
      <c r="AM77" s="464"/>
      <c r="AN77" s="464"/>
      <c r="AO77" s="465"/>
      <c r="AW77" s="837" t="s">
        <v>6005</v>
      </c>
      <c r="AX77" s="834"/>
      <c r="BY77" s="8"/>
      <c r="BZ77" s="8"/>
      <c r="CA77" s="1764" t="s">
        <v>5622</v>
      </c>
      <c r="CB77" s="1764" t="s">
        <v>805</v>
      </c>
      <c r="CC77" s="1764" t="s">
        <v>804</v>
      </c>
      <c r="CD77" s="1764" t="s">
        <v>16</v>
      </c>
      <c r="CE77" s="1764" t="s">
        <v>3471</v>
      </c>
      <c r="CF77" s="1764"/>
      <c r="CG77" s="1764"/>
      <c r="CH77" s="1764" t="s">
        <v>1708</v>
      </c>
      <c r="CI77" s="1764"/>
      <c r="CJ77" s="1764"/>
      <c r="CK77" s="1764" t="s">
        <v>4866</v>
      </c>
      <c r="CL77" s="1764" t="s">
        <v>813</v>
      </c>
      <c r="CM77" s="469"/>
      <c r="CN77" s="469"/>
      <c r="CO77" s="469"/>
      <c r="CP77" s="469"/>
    </row>
    <row r="78" spans="1:94" ht="20.100000000000001" customHeight="1">
      <c r="A78" s="766"/>
      <c r="B78" s="766"/>
      <c r="C78" s="412" t="s">
        <v>3790</v>
      </c>
      <c r="D78" s="464"/>
      <c r="E78" s="464"/>
      <c r="F78" s="464"/>
      <c r="G78" s="464"/>
      <c r="H78" s="464"/>
      <c r="I78" s="464"/>
      <c r="J78" s="464"/>
      <c r="K78" s="464"/>
      <c r="L78" s="464"/>
      <c r="M78" s="464"/>
      <c r="N78" s="464"/>
      <c r="O78" s="464"/>
      <c r="P78" s="464"/>
      <c r="Q78" s="464"/>
      <c r="R78" s="464"/>
      <c r="S78" s="464"/>
      <c r="T78" s="464"/>
      <c r="U78" s="464"/>
      <c r="V78" s="464"/>
      <c r="W78" s="464"/>
      <c r="X78" s="412" t="s">
        <v>6104</v>
      </c>
      <c r="Y78" s="464"/>
      <c r="Z78" s="464"/>
      <c r="AA78" s="464"/>
      <c r="AB78" s="464"/>
      <c r="AC78" s="464"/>
      <c r="AD78" s="464"/>
      <c r="AE78" s="464"/>
      <c r="AF78" s="464"/>
      <c r="AG78" s="464"/>
      <c r="AH78" s="464"/>
      <c r="AI78" s="464"/>
      <c r="AJ78" s="464"/>
      <c r="AK78" s="464"/>
      <c r="AL78" s="464"/>
      <c r="AM78" s="464"/>
      <c r="AN78" s="464"/>
      <c r="AO78" s="465"/>
      <c r="AW78" s="836" t="s">
        <v>6006</v>
      </c>
      <c r="AX78" s="834"/>
      <c r="BY78" s="8"/>
      <c r="BZ78" s="8"/>
      <c r="CA78" s="1765"/>
      <c r="CB78" s="1765"/>
      <c r="CC78" s="1765"/>
      <c r="CD78" s="1764"/>
      <c r="CE78" s="1764"/>
      <c r="CF78" s="1764"/>
      <c r="CG78" s="1764"/>
      <c r="CH78" s="1764"/>
      <c r="CI78" s="1764"/>
      <c r="CJ78" s="1764"/>
      <c r="CK78" s="1765"/>
      <c r="CL78" s="1765"/>
      <c r="CM78" s="469"/>
      <c r="CN78" s="469"/>
      <c r="CO78" s="469"/>
      <c r="CP78" s="469"/>
    </row>
    <row r="79" spans="1:94" ht="20.100000000000001" customHeight="1">
      <c r="A79" s="766"/>
      <c r="B79" s="766"/>
      <c r="C79" s="412"/>
      <c r="D79" s="464"/>
      <c r="E79" s="464"/>
      <c r="F79" s="464"/>
      <c r="G79" s="464"/>
      <c r="H79" s="464"/>
      <c r="I79" s="464"/>
      <c r="J79" s="464"/>
      <c r="K79" s="464"/>
      <c r="L79" s="464"/>
      <c r="M79" s="464"/>
      <c r="N79" s="464"/>
      <c r="O79" s="464"/>
      <c r="P79" s="464"/>
      <c r="Q79" s="464"/>
      <c r="R79" s="464"/>
      <c r="S79" s="464"/>
      <c r="T79" s="464"/>
      <c r="U79" s="464"/>
      <c r="V79" s="464"/>
      <c r="W79" s="464"/>
      <c r="X79" s="412" t="s">
        <v>2329</v>
      </c>
      <c r="Y79" s="464"/>
      <c r="Z79" s="464"/>
      <c r="AA79" s="464"/>
      <c r="AB79" s="464"/>
      <c r="AC79" s="464"/>
      <c r="AD79" s="464"/>
      <c r="AE79" s="464"/>
      <c r="AF79" s="464"/>
      <c r="AG79" s="464"/>
      <c r="AH79" s="464"/>
      <c r="AI79" s="464"/>
      <c r="AJ79" s="464"/>
      <c r="AK79" s="464"/>
      <c r="AL79" s="464"/>
      <c r="AM79" s="464"/>
      <c r="AN79" s="464"/>
      <c r="AO79" s="465"/>
      <c r="AW79" s="837" t="s">
        <v>6007</v>
      </c>
      <c r="AX79" s="834"/>
      <c r="BY79" s="8"/>
      <c r="BZ79" s="8"/>
      <c r="CA79" s="1766"/>
      <c r="CB79" s="1766"/>
      <c r="CC79" s="1766"/>
      <c r="CD79" s="1764"/>
      <c r="CE79" s="410" t="s">
        <v>4787</v>
      </c>
      <c r="CF79" s="410" t="s">
        <v>5800</v>
      </c>
      <c r="CG79" s="410" t="s">
        <v>5801</v>
      </c>
      <c r="CH79" s="9" t="s">
        <v>1709</v>
      </c>
      <c r="CI79" s="9" t="s">
        <v>1710</v>
      </c>
      <c r="CJ79" s="9" t="s">
        <v>1711</v>
      </c>
      <c r="CK79" s="1766"/>
      <c r="CL79" s="1766"/>
      <c r="CM79" s="469"/>
      <c r="CN79" s="469"/>
      <c r="CO79" s="469"/>
      <c r="CP79" s="469"/>
    </row>
    <row r="80" spans="1:94" ht="20.100000000000001" customHeight="1">
      <c r="A80" s="766"/>
      <c r="B80" s="766"/>
      <c r="C80" s="412"/>
      <c r="D80" s="464"/>
      <c r="E80" s="464"/>
      <c r="F80" s="464"/>
      <c r="G80" s="464"/>
      <c r="H80" s="464"/>
      <c r="I80" s="464"/>
      <c r="J80" s="464"/>
      <c r="K80" s="464"/>
      <c r="L80" s="464"/>
      <c r="M80" s="464"/>
      <c r="N80" s="464"/>
      <c r="O80" s="464"/>
      <c r="P80" s="464"/>
      <c r="Q80" s="464"/>
      <c r="R80" s="464"/>
      <c r="S80" s="464"/>
      <c r="T80" s="464"/>
      <c r="U80" s="464"/>
      <c r="V80" s="464"/>
      <c r="W80" s="464"/>
      <c r="X80" s="412" t="s">
        <v>5612</v>
      </c>
      <c r="Y80" s="464"/>
      <c r="Z80" s="464"/>
      <c r="AA80" s="464"/>
      <c r="AB80" s="464"/>
      <c r="AC80" s="464"/>
      <c r="AD80" s="464"/>
      <c r="AE80" s="464"/>
      <c r="AF80" s="464"/>
      <c r="AG80" s="464"/>
      <c r="AH80" s="464"/>
      <c r="AI80" s="464"/>
      <c r="AJ80" s="464"/>
      <c r="AK80" s="464"/>
      <c r="AL80" s="464"/>
      <c r="AM80" s="464"/>
      <c r="AN80" s="464"/>
      <c r="AO80" s="465"/>
      <c r="AW80" s="837" t="s">
        <v>6008</v>
      </c>
      <c r="AX80" s="834"/>
      <c r="BY80" s="1775" t="s">
        <v>1253</v>
      </c>
      <c r="BZ80" s="1776"/>
      <c r="CA80" s="473">
        <v>25</v>
      </c>
      <c r="CB80" s="414">
        <v>6.3</v>
      </c>
      <c r="CC80" s="473">
        <v>224</v>
      </c>
      <c r="CD80" s="473"/>
      <c r="CE80" s="474">
        <v>24.9</v>
      </c>
      <c r="CG80" s="473">
        <v>24.9</v>
      </c>
      <c r="CI80" s="414"/>
      <c r="CJ80" s="414">
        <v>87.2</v>
      </c>
      <c r="CK80" s="414">
        <v>0.72</v>
      </c>
      <c r="CL80" s="311">
        <v>180</v>
      </c>
      <c r="CM80" s="469"/>
      <c r="CN80" s="469"/>
      <c r="CO80" s="469"/>
      <c r="CP80" s="469"/>
    </row>
    <row r="81" spans="1:94" ht="20.100000000000001" customHeight="1">
      <c r="A81" s="766"/>
      <c r="B81" s="766"/>
      <c r="C81" s="413" t="s">
        <v>3805</v>
      </c>
      <c r="D81" s="468"/>
      <c r="E81" s="468"/>
      <c r="F81" s="468"/>
      <c r="G81" s="468"/>
      <c r="H81" s="468"/>
      <c r="I81" s="468"/>
      <c r="J81" s="468"/>
      <c r="K81" s="468"/>
      <c r="L81" s="468"/>
      <c r="M81" s="468"/>
      <c r="N81" s="468"/>
      <c r="O81" s="468"/>
      <c r="P81" s="468"/>
      <c r="Q81" s="468"/>
      <c r="R81" s="468"/>
      <c r="S81" s="468"/>
      <c r="T81" s="468"/>
      <c r="U81" s="468"/>
      <c r="V81" s="468"/>
      <c r="W81" s="468"/>
      <c r="X81" s="412" t="s">
        <v>4046</v>
      </c>
      <c r="Y81" s="464"/>
      <c r="Z81" s="464"/>
      <c r="AA81" s="464"/>
      <c r="AB81" s="464"/>
      <c r="AC81" s="464"/>
      <c r="AD81" s="464"/>
      <c r="AE81" s="464"/>
      <c r="AF81" s="464"/>
      <c r="AG81" s="464"/>
      <c r="AH81" s="464"/>
      <c r="AI81" s="464"/>
      <c r="AJ81" s="464"/>
      <c r="AK81" s="464"/>
      <c r="AL81" s="464"/>
      <c r="AM81" s="464"/>
      <c r="AN81" s="464"/>
      <c r="AO81" s="465"/>
      <c r="AW81" s="854" t="s">
        <v>6009</v>
      </c>
      <c r="AX81" s="834"/>
      <c r="BY81" s="1775" t="s">
        <v>1259</v>
      </c>
      <c r="BZ81" s="1776"/>
      <c r="CA81" s="473">
        <v>35</v>
      </c>
      <c r="CB81" s="414">
        <v>7.5</v>
      </c>
      <c r="CC81" s="473">
        <v>308</v>
      </c>
      <c r="CD81" s="473"/>
      <c r="CE81" s="474">
        <v>34.61</v>
      </c>
      <c r="CG81" s="414">
        <v>34.61</v>
      </c>
      <c r="CI81" s="414"/>
      <c r="CJ81" s="414">
        <v>87.2</v>
      </c>
      <c r="CK81" s="414">
        <v>0.51500000000000001</v>
      </c>
      <c r="CL81" s="311">
        <v>220</v>
      </c>
      <c r="CM81" s="469"/>
      <c r="CN81" s="469"/>
      <c r="CO81" s="469"/>
      <c r="CP81" s="469"/>
    </row>
    <row r="82" spans="1:94" ht="20.100000000000001" customHeight="1">
      <c r="A82" s="766"/>
      <c r="B82" s="766"/>
      <c r="C82" s="413"/>
      <c r="D82" s="468"/>
      <c r="E82" s="468"/>
      <c r="F82" s="468"/>
      <c r="G82" s="468"/>
      <c r="H82" s="468"/>
      <c r="I82" s="468"/>
      <c r="J82" s="468"/>
      <c r="K82" s="468"/>
      <c r="L82" s="468"/>
      <c r="M82" s="468"/>
      <c r="N82" s="468"/>
      <c r="O82" s="468"/>
      <c r="P82" s="468"/>
      <c r="Q82" s="468"/>
      <c r="R82" s="468"/>
      <c r="S82" s="468"/>
      <c r="T82" s="468"/>
      <c r="U82" s="468"/>
      <c r="V82" s="468"/>
      <c r="W82" s="468"/>
      <c r="X82" s="413" t="s">
        <v>1091</v>
      </c>
      <c r="Y82" s="468"/>
      <c r="Z82" s="468"/>
      <c r="AA82" s="468"/>
      <c r="AB82" s="468"/>
      <c r="AC82" s="468"/>
      <c r="AD82" s="468"/>
      <c r="AE82" s="468"/>
      <c r="AF82" s="468"/>
      <c r="AG82" s="468"/>
      <c r="AH82" s="468"/>
      <c r="AI82" s="468"/>
      <c r="AJ82" s="468"/>
      <c r="AK82" s="468"/>
      <c r="AL82" s="468"/>
      <c r="AM82" s="468"/>
      <c r="AN82" s="468"/>
      <c r="AO82" s="974"/>
      <c r="AW82" s="854"/>
      <c r="AX82" s="834"/>
      <c r="BY82" s="1775"/>
      <c r="BZ82" s="1776"/>
      <c r="CA82" s="473"/>
      <c r="CC82" s="473"/>
      <c r="CD82" s="473"/>
      <c r="CE82" s="474"/>
      <c r="CI82" s="414"/>
      <c r="CL82" s="311"/>
      <c r="CM82" s="469"/>
      <c r="CN82" s="469"/>
      <c r="CO82" s="469"/>
      <c r="CP82" s="469"/>
    </row>
    <row r="83" spans="1:94" ht="20.100000000000001" customHeight="1">
      <c r="A83" s="766"/>
      <c r="B83" s="766"/>
      <c r="C83" s="920" t="s">
        <v>3112</v>
      </c>
      <c r="D83" s="921"/>
      <c r="E83" s="921"/>
      <c r="F83" s="921"/>
      <c r="G83" s="921"/>
      <c r="H83" s="921">
        <v>3</v>
      </c>
      <c r="I83" s="921">
        <v>4</v>
      </c>
      <c r="J83" s="868"/>
      <c r="K83" s="869" t="s">
        <v>2078</v>
      </c>
      <c r="L83" s="869"/>
      <c r="M83" s="869"/>
      <c r="N83" s="869"/>
      <c r="O83" s="869"/>
      <c r="P83" s="869"/>
      <c r="Q83" s="868"/>
      <c r="R83" s="869" t="s">
        <v>2079</v>
      </c>
      <c r="S83" s="869"/>
      <c r="T83" s="869"/>
      <c r="U83" s="869"/>
      <c r="V83" s="869"/>
      <c r="W83" s="869"/>
      <c r="X83" s="913"/>
      <c r="AA83" s="914" t="s">
        <v>4209</v>
      </c>
      <c r="AB83" s="911"/>
      <c r="AC83" s="911"/>
      <c r="AD83" s="911"/>
      <c r="AE83" s="911"/>
      <c r="AF83" s="911"/>
      <c r="AG83" s="911"/>
      <c r="AH83" s="911"/>
      <c r="AI83" s="911"/>
      <c r="AJ83" s="911"/>
      <c r="AK83" s="911"/>
      <c r="AL83" s="911"/>
      <c r="AM83" s="911"/>
      <c r="AN83" s="911"/>
      <c r="AO83" s="911"/>
      <c r="AP83" s="830"/>
      <c r="AQ83" s="830"/>
      <c r="AR83" s="830"/>
      <c r="AS83" s="830"/>
      <c r="AT83" s="830"/>
      <c r="AU83" s="831"/>
      <c r="AW83" s="973" t="s">
        <v>2714</v>
      </c>
      <c r="AX83" s="834"/>
      <c r="BY83" s="1775" t="s">
        <v>1258</v>
      </c>
      <c r="BZ83" s="1776"/>
      <c r="CA83" s="473">
        <v>50</v>
      </c>
      <c r="CB83" s="414">
        <v>8.9</v>
      </c>
      <c r="CC83" s="473">
        <v>444</v>
      </c>
      <c r="CD83" s="473"/>
      <c r="CE83" s="474">
        <v>49.4</v>
      </c>
      <c r="CG83" s="414">
        <v>49.4</v>
      </c>
      <c r="CI83" s="414"/>
      <c r="CJ83" s="414">
        <v>87.2</v>
      </c>
      <c r="CK83" s="414">
        <v>0.36099999999999999</v>
      </c>
      <c r="CL83" s="311">
        <v>270</v>
      </c>
      <c r="CM83" s="469"/>
      <c r="CN83" s="469"/>
      <c r="CO83" s="469"/>
      <c r="CP83" s="469"/>
    </row>
    <row r="84" spans="1:94" ht="20.100000000000001" customHeight="1">
      <c r="A84" s="766"/>
      <c r="B84" s="766"/>
      <c r="C84" s="866" t="s">
        <v>3215</v>
      </c>
      <c r="D84" s="462"/>
      <c r="E84" s="462"/>
      <c r="F84" s="462"/>
      <c r="G84" s="462"/>
      <c r="H84" s="462"/>
      <c r="I84" s="462"/>
      <c r="J84" s="874">
        <v>1</v>
      </c>
      <c r="K84" s="870"/>
      <c r="L84" s="870"/>
      <c r="M84" s="870"/>
      <c r="N84" s="870"/>
      <c r="O84" s="870"/>
      <c r="P84" s="871"/>
      <c r="Q84" s="876">
        <v>1</v>
      </c>
      <c r="R84" s="870"/>
      <c r="S84" s="870"/>
      <c r="T84" s="870"/>
      <c r="U84" s="870"/>
      <c r="V84" s="870"/>
      <c r="W84" s="870"/>
      <c r="X84" s="871"/>
      <c r="AA84" s="840" t="s">
        <v>4216</v>
      </c>
      <c r="AB84" s="839"/>
      <c r="AC84" s="839"/>
      <c r="AD84" s="839"/>
      <c r="AE84" s="839"/>
      <c r="AF84" s="839"/>
      <c r="AG84" s="839"/>
      <c r="AH84" s="839"/>
      <c r="AI84" s="839"/>
      <c r="AJ84" s="839"/>
      <c r="AK84" s="839"/>
      <c r="AL84" s="839"/>
      <c r="AM84" s="839"/>
      <c r="AN84" s="839"/>
      <c r="AO84" s="839"/>
      <c r="AP84" s="839"/>
      <c r="AQ84" s="839"/>
      <c r="AR84" s="839"/>
      <c r="AS84" s="839"/>
      <c r="AT84" s="839"/>
      <c r="AU84" s="908"/>
      <c r="AW84" s="854" t="s">
        <v>6389</v>
      </c>
      <c r="AX84" s="834"/>
      <c r="BY84" s="1775" t="s">
        <v>1257</v>
      </c>
      <c r="BZ84" s="1776"/>
      <c r="CA84" s="473">
        <v>70</v>
      </c>
      <c r="CB84" s="414">
        <v>10.7</v>
      </c>
      <c r="CC84" s="473">
        <v>612</v>
      </c>
      <c r="CD84" s="473"/>
      <c r="CE84" s="474">
        <v>67.7</v>
      </c>
      <c r="CG84" s="414">
        <v>67.7</v>
      </c>
      <c r="CI84" s="414"/>
      <c r="CJ84" s="414">
        <v>87.2</v>
      </c>
      <c r="CK84" s="414">
        <v>0.27600000000000002</v>
      </c>
      <c r="CL84" s="311">
        <v>340</v>
      </c>
      <c r="CM84" s="469"/>
      <c r="CN84" s="469"/>
      <c r="CO84" s="469"/>
      <c r="CP84" s="469"/>
    </row>
    <row r="85" spans="1:94" ht="20.100000000000001" customHeight="1">
      <c r="A85" s="766"/>
      <c r="B85" s="766"/>
      <c r="C85" s="867" t="s">
        <v>3214</v>
      </c>
      <c r="D85" s="464"/>
      <c r="E85" s="464"/>
      <c r="F85" s="464"/>
      <c r="G85" s="464"/>
      <c r="H85" s="464"/>
      <c r="I85" s="464"/>
      <c r="J85" s="874">
        <v>1</v>
      </c>
      <c r="K85" s="872"/>
      <c r="L85" s="872"/>
      <c r="M85" s="872"/>
      <c r="N85" s="872"/>
      <c r="O85" s="872"/>
      <c r="P85" s="873"/>
      <c r="Q85" s="876">
        <v>1</v>
      </c>
      <c r="R85" s="872"/>
      <c r="S85" s="872"/>
      <c r="T85" s="872"/>
      <c r="U85" s="872"/>
      <c r="V85" s="872"/>
      <c r="W85" s="872"/>
      <c r="X85" s="873"/>
      <c r="AA85" s="838" t="s">
        <v>4217</v>
      </c>
      <c r="AU85" s="909"/>
      <c r="AW85" s="832" t="s">
        <v>1685</v>
      </c>
      <c r="AX85" s="830"/>
      <c r="AY85" s="830"/>
      <c r="AZ85" s="830"/>
      <c r="BA85" s="830"/>
      <c r="BB85" s="830"/>
      <c r="BC85" s="830"/>
      <c r="BD85" s="830"/>
      <c r="BE85" s="830"/>
      <c r="BF85" s="830"/>
      <c r="BG85" s="830"/>
      <c r="BH85" s="830"/>
      <c r="BI85" s="830"/>
      <c r="BJ85" s="830"/>
      <c r="BK85" s="830"/>
      <c r="BL85" s="830"/>
      <c r="BM85" s="830"/>
      <c r="BN85" s="830"/>
      <c r="BO85" s="830"/>
      <c r="BP85" s="831"/>
      <c r="BY85" s="1775" t="s">
        <v>1256</v>
      </c>
      <c r="BZ85" s="1776"/>
      <c r="CA85" s="473">
        <v>95</v>
      </c>
      <c r="CB85" s="414">
        <v>12.5</v>
      </c>
      <c r="CC85" s="473">
        <v>850</v>
      </c>
      <c r="CD85" s="473"/>
      <c r="CE85" s="474">
        <v>94</v>
      </c>
      <c r="CG85" s="414">
        <v>94</v>
      </c>
      <c r="CI85" s="414"/>
      <c r="CJ85" s="414">
        <v>87.2</v>
      </c>
      <c r="CK85" s="414">
        <v>0.191</v>
      </c>
      <c r="CL85" s="311">
        <v>415</v>
      </c>
      <c r="CM85" s="469"/>
      <c r="CN85" s="469"/>
      <c r="CO85" s="469"/>
      <c r="CP85" s="469"/>
    </row>
    <row r="86" spans="1:94" ht="20.100000000000001" customHeight="1">
      <c r="A86" s="766"/>
      <c r="B86" s="766"/>
      <c r="C86" s="867" t="s">
        <v>3213</v>
      </c>
      <c r="D86" s="464"/>
      <c r="E86" s="464"/>
      <c r="F86" s="464"/>
      <c r="G86" s="464"/>
      <c r="H86" s="464"/>
      <c r="I86" s="464"/>
      <c r="J86" s="874">
        <v>1</v>
      </c>
      <c r="K86" s="872"/>
      <c r="L86" s="872"/>
      <c r="M86" s="872"/>
      <c r="N86" s="872"/>
      <c r="O86" s="872"/>
      <c r="P86" s="873"/>
      <c r="Q86" s="876">
        <v>1</v>
      </c>
      <c r="R86" s="872"/>
      <c r="S86" s="872"/>
      <c r="T86" s="872"/>
      <c r="U86" s="872"/>
      <c r="V86" s="872"/>
      <c r="W86" s="872"/>
      <c r="X86" s="873"/>
      <c r="AA86" s="838" t="s">
        <v>4210</v>
      </c>
      <c r="AU86" s="909"/>
      <c r="AW86" s="847" t="s">
        <v>1681</v>
      </c>
      <c r="BY86" s="1775" t="s">
        <v>1255</v>
      </c>
      <c r="BZ86" s="1776"/>
      <c r="CA86" s="473">
        <v>120</v>
      </c>
      <c r="CB86" s="414">
        <v>14</v>
      </c>
      <c r="CC86" s="473">
        <v>1058</v>
      </c>
      <c r="CD86" s="473"/>
      <c r="CE86" s="474">
        <v>117</v>
      </c>
      <c r="CG86" s="414">
        <v>117</v>
      </c>
      <c r="CI86" s="414"/>
      <c r="CJ86" s="414">
        <v>87.2</v>
      </c>
      <c r="CK86" s="414">
        <v>0.154</v>
      </c>
      <c r="CL86" s="311">
        <v>485</v>
      </c>
      <c r="CM86" s="469"/>
      <c r="CN86" s="469"/>
      <c r="CO86" s="469"/>
      <c r="CP86" s="469"/>
    </row>
    <row r="87" spans="1:94" ht="20.100000000000001" customHeight="1">
      <c r="A87" s="766"/>
      <c r="B87" s="766"/>
      <c r="C87" s="867" t="s">
        <v>3216</v>
      </c>
      <c r="D87" s="464"/>
      <c r="E87" s="464"/>
      <c r="F87" s="464"/>
      <c r="G87" s="464"/>
      <c r="H87" s="464"/>
      <c r="I87" s="464"/>
      <c r="J87" s="874">
        <v>1</v>
      </c>
      <c r="K87" s="872"/>
      <c r="L87" s="872"/>
      <c r="M87" s="872"/>
      <c r="N87" s="872"/>
      <c r="O87" s="872"/>
      <c r="P87" s="873"/>
      <c r="Q87" s="876">
        <v>1</v>
      </c>
      <c r="R87" s="872"/>
      <c r="S87" s="872"/>
      <c r="T87" s="872"/>
      <c r="U87" s="872"/>
      <c r="V87" s="872"/>
      <c r="W87" s="872"/>
      <c r="X87" s="873"/>
      <c r="AA87" s="838"/>
      <c r="AU87" s="909"/>
      <c r="AW87" s="745" t="s">
        <v>1682</v>
      </c>
      <c r="BY87" s="1775" t="s">
        <v>1254</v>
      </c>
      <c r="BZ87" s="1776"/>
      <c r="CA87" s="473">
        <v>150</v>
      </c>
      <c r="CB87" s="414">
        <v>15.8</v>
      </c>
      <c r="CC87" s="473">
        <v>1339</v>
      </c>
      <c r="CD87" s="473"/>
      <c r="CE87" s="474">
        <v>145</v>
      </c>
      <c r="CG87" s="414">
        <v>145</v>
      </c>
      <c r="CI87" s="414"/>
      <c r="CJ87" s="414">
        <v>87.2</v>
      </c>
      <c r="CK87" s="414">
        <v>0.122</v>
      </c>
      <c r="CL87" s="311">
        <v>570</v>
      </c>
      <c r="CM87" s="469"/>
      <c r="CN87" s="469"/>
      <c r="CO87" s="469"/>
      <c r="CP87" s="469"/>
    </row>
    <row r="88" spans="1:94" ht="20.100000000000001" customHeight="1">
      <c r="A88" s="766"/>
      <c r="B88" s="766"/>
      <c r="C88" s="920" t="s">
        <v>358</v>
      </c>
      <c r="D88" s="921"/>
      <c r="E88" s="921"/>
      <c r="F88" s="921"/>
      <c r="G88" s="921"/>
      <c r="H88" s="921">
        <v>3</v>
      </c>
      <c r="I88" s="921">
        <v>4</v>
      </c>
      <c r="J88" s="868"/>
      <c r="K88" s="869" t="s">
        <v>2078</v>
      </c>
      <c r="L88" s="869"/>
      <c r="M88" s="869"/>
      <c r="N88" s="869"/>
      <c r="O88" s="869"/>
      <c r="P88" s="869"/>
      <c r="Q88" s="868"/>
      <c r="R88" s="869" t="s">
        <v>2079</v>
      </c>
      <c r="S88" s="869"/>
      <c r="T88" s="869"/>
      <c r="U88" s="869"/>
      <c r="V88" s="869"/>
      <c r="W88" s="869"/>
      <c r="X88" s="913"/>
      <c r="AA88" s="838"/>
      <c r="AU88" s="909"/>
      <c r="AW88" s="855" t="s">
        <v>1683</v>
      </c>
      <c r="BY88" s="1775"/>
      <c r="BZ88" s="1776"/>
      <c r="CA88" s="473"/>
      <c r="CC88" s="473"/>
      <c r="CD88" s="473"/>
      <c r="CH88" s="410"/>
      <c r="CI88" s="410"/>
      <c r="CJ88" s="410"/>
      <c r="CL88" s="311"/>
      <c r="CM88" s="469"/>
      <c r="CN88" s="469"/>
      <c r="CO88" s="469"/>
      <c r="CP88" s="469"/>
    </row>
    <row r="89" spans="1:94" ht="20.100000000000001" customHeight="1">
      <c r="A89" s="766"/>
      <c r="B89" s="766"/>
      <c r="C89" s="867" t="s">
        <v>2077</v>
      </c>
      <c r="D89" s="464"/>
      <c r="E89" s="464"/>
      <c r="F89" s="464"/>
      <c r="G89" s="464"/>
      <c r="H89" s="464"/>
      <c r="I89" s="464"/>
      <c r="J89" s="875">
        <f>'Khao sat'!H41</f>
        <v>9906.59</v>
      </c>
      <c r="K89" s="872"/>
      <c r="L89" s="872"/>
      <c r="M89" s="872"/>
      <c r="N89" s="872"/>
      <c r="O89" s="872"/>
      <c r="P89" s="873"/>
      <c r="Q89" s="972">
        <f>'Khao sat'!H18</f>
        <v>9433.0499999999993</v>
      </c>
      <c r="R89" s="872"/>
      <c r="S89" s="872"/>
      <c r="T89" s="872"/>
      <c r="U89" s="872"/>
      <c r="V89" s="872"/>
      <c r="W89" s="872"/>
      <c r="X89" s="873"/>
      <c r="AA89" s="910"/>
      <c r="AB89" s="911"/>
      <c r="AC89" s="911"/>
      <c r="AD89" s="911"/>
      <c r="AE89" s="911"/>
      <c r="AF89" s="911"/>
      <c r="AG89" s="911"/>
      <c r="AH89" s="911"/>
      <c r="AI89" s="911"/>
      <c r="AJ89" s="911"/>
      <c r="AK89" s="911"/>
      <c r="AL89" s="911"/>
      <c r="AM89" s="911"/>
      <c r="AN89" s="911"/>
      <c r="AO89" s="911"/>
      <c r="AP89" s="911"/>
      <c r="AQ89" s="911"/>
      <c r="AR89" s="911"/>
      <c r="AS89" s="911"/>
      <c r="AT89" s="911"/>
      <c r="AU89" s="912"/>
      <c r="AW89" s="832" t="s">
        <v>1684</v>
      </c>
      <c r="AX89" s="830"/>
      <c r="AY89" s="830"/>
      <c r="AZ89" s="830"/>
      <c r="BA89" s="830"/>
      <c r="BB89" s="830"/>
      <c r="BC89" s="830"/>
      <c r="BD89" s="830"/>
      <c r="BE89" s="830"/>
      <c r="BF89" s="830"/>
      <c r="BG89" s="830"/>
      <c r="BH89" s="830"/>
      <c r="BI89" s="830"/>
      <c r="BJ89" s="830"/>
      <c r="BK89" s="830"/>
      <c r="BL89" s="830"/>
      <c r="BM89" s="830"/>
      <c r="BN89" s="830"/>
      <c r="BO89" s="830"/>
      <c r="BP89" s="831"/>
      <c r="BY89" s="1775" t="s">
        <v>2364</v>
      </c>
      <c r="BZ89" s="1776"/>
      <c r="CA89" s="473">
        <v>50</v>
      </c>
      <c r="CB89" s="414">
        <v>9.6</v>
      </c>
      <c r="CC89" s="473">
        <v>195</v>
      </c>
      <c r="CD89" s="473"/>
      <c r="CE89" s="414">
        <v>48.2</v>
      </c>
      <c r="CF89" s="414">
        <v>8.0399999999999991</v>
      </c>
      <c r="CG89" s="474">
        <f>CE89+CF89</f>
        <v>56.24</v>
      </c>
      <c r="CH89" s="414">
        <v>26.5</v>
      </c>
      <c r="CI89" s="414">
        <v>77</v>
      </c>
      <c r="CK89" s="414">
        <v>0.59199999999999997</v>
      </c>
      <c r="CL89" s="311">
        <v>210</v>
      </c>
      <c r="CM89" s="469"/>
      <c r="CN89" s="469"/>
      <c r="CO89" s="469"/>
      <c r="CP89" s="469"/>
    </row>
    <row r="90" spans="1:94" ht="20.100000000000001" customHeight="1">
      <c r="A90" s="766"/>
      <c r="B90" s="766"/>
      <c r="C90" s="1033" t="s">
        <v>2076</v>
      </c>
      <c r="D90" s="1034"/>
      <c r="E90" s="1034"/>
      <c r="F90" s="1034"/>
      <c r="G90" s="1034"/>
      <c r="H90" s="1034"/>
      <c r="I90" s="1034"/>
      <c r="J90" s="1035">
        <v>4391591</v>
      </c>
      <c r="K90" s="1036"/>
      <c r="L90" s="1036"/>
      <c r="M90" s="1036"/>
      <c r="N90" s="1036"/>
      <c r="O90" s="1036"/>
      <c r="P90" s="1037"/>
      <c r="Q90" s="1035">
        <v>3970369</v>
      </c>
      <c r="R90" s="1036"/>
      <c r="S90" s="1036"/>
      <c r="T90" s="1036"/>
      <c r="U90" s="1036"/>
      <c r="V90" s="1036"/>
      <c r="W90" s="1036"/>
      <c r="X90" s="1037"/>
      <c r="AW90" s="856" t="s">
        <v>549</v>
      </c>
      <c r="BY90" s="1775" t="s">
        <v>2363</v>
      </c>
      <c r="BZ90" s="1776"/>
      <c r="CA90" s="473">
        <v>70</v>
      </c>
      <c r="CB90" s="414">
        <v>11.4</v>
      </c>
      <c r="CC90" s="473">
        <v>274</v>
      </c>
      <c r="CD90" s="473"/>
      <c r="CE90" s="414">
        <v>68</v>
      </c>
      <c r="CF90" s="414">
        <v>11.3</v>
      </c>
      <c r="CG90" s="474">
        <f t="shared" ref="CG90:CG96" si="3">CE90+CF90</f>
        <v>79.3</v>
      </c>
      <c r="CH90" s="414">
        <v>26.5</v>
      </c>
      <c r="CI90" s="414">
        <v>77</v>
      </c>
      <c r="CK90" s="414">
        <v>0.42</v>
      </c>
      <c r="CL90" s="311">
        <v>265</v>
      </c>
      <c r="CM90" s="469"/>
      <c r="CN90" s="469"/>
      <c r="CO90" s="469"/>
      <c r="CP90" s="469"/>
    </row>
    <row r="91" spans="1:94" ht="20.100000000000001" customHeight="1">
      <c r="A91" s="766"/>
      <c r="B91" s="766"/>
      <c r="AA91" s="832" t="s">
        <v>4211</v>
      </c>
      <c r="AB91" s="830"/>
      <c r="AC91" s="830"/>
      <c r="AD91" s="830"/>
      <c r="AE91" s="830"/>
      <c r="AF91" s="830"/>
      <c r="AG91" s="830"/>
      <c r="AH91" s="830"/>
      <c r="AI91" s="830"/>
      <c r="AJ91" s="830"/>
      <c r="AK91" s="830"/>
      <c r="AL91" s="830"/>
      <c r="AM91" s="830"/>
      <c r="AN91" s="830"/>
      <c r="AO91" s="830"/>
      <c r="AP91" s="830"/>
      <c r="AQ91" s="830"/>
      <c r="AR91" s="830"/>
      <c r="AS91" s="830"/>
      <c r="AT91" s="830"/>
      <c r="AU91" s="831"/>
      <c r="AW91" s="835" t="s">
        <v>550</v>
      </c>
      <c r="BY91" s="1775" t="s">
        <v>2362</v>
      </c>
      <c r="BZ91" s="1776"/>
      <c r="CA91" s="473">
        <v>95</v>
      </c>
      <c r="CB91" s="414">
        <v>13.5</v>
      </c>
      <c r="CC91" s="473">
        <v>384</v>
      </c>
      <c r="CD91" s="473"/>
      <c r="CE91" s="414">
        <v>91.7</v>
      </c>
      <c r="CF91" s="414">
        <v>15</v>
      </c>
      <c r="CG91" s="474">
        <f t="shared" si="3"/>
        <v>106.7</v>
      </c>
      <c r="CH91" s="414">
        <v>26.5</v>
      </c>
      <c r="CI91" s="414">
        <v>77</v>
      </c>
      <c r="CK91" s="414">
        <v>0.314</v>
      </c>
      <c r="CL91" s="311">
        <v>330</v>
      </c>
      <c r="CM91" s="469"/>
      <c r="CN91" s="469"/>
      <c r="CO91" s="469"/>
      <c r="CP91" s="469"/>
    </row>
    <row r="92" spans="1:94" ht="20.100000000000001" customHeight="1">
      <c r="A92" s="766"/>
      <c r="B92" s="766"/>
      <c r="AA92" s="840" t="s">
        <v>4212</v>
      </c>
      <c r="AB92" s="839"/>
      <c r="AC92" s="839"/>
      <c r="AD92" s="839"/>
      <c r="AE92" s="839"/>
      <c r="AF92" s="839"/>
      <c r="AG92" s="839"/>
      <c r="AH92" s="839"/>
      <c r="AI92" s="839"/>
      <c r="AJ92" s="839"/>
      <c r="AK92" s="839"/>
      <c r="AL92" s="839"/>
      <c r="AM92" s="839"/>
      <c r="AN92" s="839"/>
      <c r="AO92" s="839"/>
      <c r="AP92" s="839"/>
      <c r="AQ92" s="839"/>
      <c r="AR92" s="839"/>
      <c r="AS92" s="839"/>
      <c r="AT92" s="839"/>
      <c r="AU92" s="908"/>
      <c r="AW92" s="835" t="s">
        <v>551</v>
      </c>
      <c r="BY92" s="1775" t="s">
        <v>2361</v>
      </c>
      <c r="BZ92" s="1776"/>
      <c r="CA92" s="473">
        <v>120</v>
      </c>
      <c r="CB92" s="414">
        <v>15.2</v>
      </c>
      <c r="CC92" s="473">
        <v>471</v>
      </c>
      <c r="CD92" s="473"/>
      <c r="CE92" s="414">
        <v>118</v>
      </c>
      <c r="CF92" s="414">
        <v>18.8</v>
      </c>
      <c r="CG92" s="474">
        <f t="shared" si="3"/>
        <v>136.80000000000001</v>
      </c>
      <c r="CH92" s="414">
        <v>26.5</v>
      </c>
      <c r="CI92" s="414">
        <v>77</v>
      </c>
      <c r="CK92" s="414">
        <v>0.245</v>
      </c>
      <c r="CL92" s="311">
        <v>380</v>
      </c>
      <c r="CM92" s="469"/>
      <c r="CN92" s="469"/>
      <c r="CO92" s="469"/>
      <c r="CP92" s="469"/>
    </row>
    <row r="93" spans="1:94" ht="20.100000000000001" customHeight="1">
      <c r="A93" s="766"/>
      <c r="B93" s="766"/>
      <c r="AA93" s="838" t="s">
        <v>4213</v>
      </c>
      <c r="AU93" s="909"/>
      <c r="AW93" s="835" t="s">
        <v>552</v>
      </c>
      <c r="BY93" s="1775" t="s">
        <v>2360</v>
      </c>
      <c r="BZ93" s="1776"/>
      <c r="CA93" s="473">
        <v>150</v>
      </c>
      <c r="CB93" s="414">
        <v>16.8</v>
      </c>
      <c r="CC93" s="473">
        <v>554</v>
      </c>
      <c r="CD93" s="473"/>
      <c r="CE93" s="414">
        <v>148</v>
      </c>
      <c r="CF93" s="414">
        <v>18.8</v>
      </c>
      <c r="CG93" s="474">
        <f t="shared" si="3"/>
        <v>166.8</v>
      </c>
      <c r="CH93" s="414">
        <v>26.5</v>
      </c>
      <c r="CI93" s="414">
        <v>77</v>
      </c>
      <c r="CK93" s="414">
        <v>0.19500000000000001</v>
      </c>
      <c r="CL93" s="311">
        <v>445</v>
      </c>
      <c r="CM93" s="469"/>
      <c r="CN93" s="469"/>
      <c r="CO93" s="469"/>
      <c r="CP93" s="469"/>
    </row>
    <row r="94" spans="1:94" ht="20.100000000000001" customHeight="1">
      <c r="A94" s="766"/>
      <c r="B94" s="766"/>
      <c r="AA94" s="838"/>
      <c r="AU94" s="909"/>
      <c r="AW94" s="835" t="s">
        <v>553</v>
      </c>
      <c r="BY94" s="1775" t="s">
        <v>2359</v>
      </c>
      <c r="BZ94" s="1776"/>
      <c r="CA94" s="473">
        <v>185</v>
      </c>
      <c r="CB94" s="414">
        <v>18.8</v>
      </c>
      <c r="CC94" s="473">
        <v>705</v>
      </c>
      <c r="CD94" s="473"/>
      <c r="CE94" s="414">
        <v>187</v>
      </c>
      <c r="CF94" s="414">
        <v>24.2</v>
      </c>
      <c r="CG94" s="474">
        <f t="shared" si="3"/>
        <v>211.2</v>
      </c>
      <c r="CH94" s="414">
        <v>26.5</v>
      </c>
      <c r="CI94" s="414">
        <v>77</v>
      </c>
      <c r="CK94" s="414">
        <v>0.154</v>
      </c>
      <c r="CL94" s="311">
        <v>510</v>
      </c>
      <c r="CM94" s="469"/>
      <c r="CN94" s="469"/>
      <c r="CO94" s="469"/>
      <c r="CP94" s="469"/>
    </row>
    <row r="95" spans="1:94" ht="20.100000000000001" customHeight="1">
      <c r="A95" s="766"/>
      <c r="B95" s="766"/>
      <c r="AA95" s="838"/>
      <c r="AU95" s="909"/>
      <c r="AW95" s="835" t="s">
        <v>554</v>
      </c>
      <c r="BY95" s="1775" t="s">
        <v>2359</v>
      </c>
      <c r="BZ95" s="1776"/>
      <c r="CA95" s="473">
        <v>185</v>
      </c>
      <c r="CB95" s="414">
        <v>19.600000000000001</v>
      </c>
      <c r="CC95" s="473">
        <v>846</v>
      </c>
      <c r="CD95" s="473"/>
      <c r="CE95" s="414">
        <v>187</v>
      </c>
      <c r="CF95" s="414">
        <v>24.2</v>
      </c>
      <c r="CG95" s="474">
        <f t="shared" si="3"/>
        <v>211.2</v>
      </c>
      <c r="CH95" s="414">
        <v>26.5</v>
      </c>
      <c r="CI95" s="414">
        <v>77</v>
      </c>
      <c r="CK95" s="414">
        <v>0.154</v>
      </c>
      <c r="CL95" s="311">
        <v>510</v>
      </c>
      <c r="CM95" s="469"/>
      <c r="CN95" s="469"/>
      <c r="CO95" s="469"/>
      <c r="CP95" s="469"/>
    </row>
    <row r="96" spans="1:94" ht="20.100000000000001" customHeight="1">
      <c r="A96" s="766"/>
      <c r="B96" s="766"/>
      <c r="AA96" s="910"/>
      <c r="AB96" s="911"/>
      <c r="AC96" s="911"/>
      <c r="AD96" s="911"/>
      <c r="AE96" s="911"/>
      <c r="AF96" s="911"/>
      <c r="AG96" s="911"/>
      <c r="AH96" s="911"/>
      <c r="AI96" s="911"/>
      <c r="AJ96" s="911"/>
      <c r="AK96" s="911"/>
      <c r="AL96" s="911"/>
      <c r="AM96" s="911"/>
      <c r="AN96" s="911"/>
      <c r="AO96" s="911"/>
      <c r="AP96" s="911"/>
      <c r="AQ96" s="911"/>
      <c r="AR96" s="911"/>
      <c r="AS96" s="911"/>
      <c r="AT96" s="911"/>
      <c r="AU96" s="912"/>
      <c r="AW96" s="835" t="s">
        <v>3826</v>
      </c>
      <c r="BY96" s="1775" t="s">
        <v>2358</v>
      </c>
      <c r="BZ96" s="1776"/>
      <c r="CA96" s="473">
        <v>240</v>
      </c>
      <c r="CB96" s="414">
        <v>21.6</v>
      </c>
      <c r="CC96" s="473">
        <v>920</v>
      </c>
      <c r="CD96" s="473"/>
      <c r="CE96" s="414">
        <v>244</v>
      </c>
      <c r="CF96" s="414">
        <v>31.7</v>
      </c>
      <c r="CG96" s="474">
        <f t="shared" si="3"/>
        <v>275.7</v>
      </c>
      <c r="CH96" s="414">
        <v>26.5</v>
      </c>
      <c r="CI96" s="414">
        <v>77</v>
      </c>
      <c r="CK96" s="414">
        <v>0.11799999999999999</v>
      </c>
      <c r="CL96" s="311">
        <v>610</v>
      </c>
      <c r="CM96" s="469"/>
      <c r="CN96" s="469"/>
      <c r="CO96" s="469"/>
      <c r="CP96" s="469"/>
    </row>
    <row r="97" spans="1:94" ht="20.100000000000001" customHeight="1">
      <c r="A97" s="766"/>
      <c r="B97" s="766"/>
      <c r="AW97" s="855" t="s">
        <v>3827</v>
      </c>
      <c r="BY97" s="1775"/>
      <c r="BZ97" s="1776"/>
      <c r="CA97" s="473"/>
      <c r="CC97" s="473"/>
      <c r="CD97" s="473"/>
      <c r="CI97" s="414"/>
      <c r="CK97" s="469"/>
      <c r="CL97" s="469"/>
      <c r="CM97" s="469"/>
      <c r="CN97" s="469"/>
      <c r="CO97" s="469"/>
      <c r="CP97" s="469"/>
    </row>
    <row r="98" spans="1:94" ht="20.100000000000001" customHeight="1">
      <c r="A98" s="766"/>
      <c r="B98" s="766"/>
      <c r="AA98" s="832" t="s">
        <v>4214</v>
      </c>
      <c r="AB98" s="830"/>
      <c r="AC98" s="830"/>
      <c r="AD98" s="830"/>
      <c r="AE98" s="830"/>
      <c r="AF98" s="830"/>
      <c r="AG98" s="830"/>
      <c r="AH98" s="830"/>
      <c r="AI98" s="830"/>
      <c r="AJ98" s="830"/>
      <c r="AK98" s="830"/>
      <c r="AL98" s="830"/>
      <c r="AM98" s="830"/>
      <c r="AN98" s="830"/>
      <c r="AO98" s="830"/>
      <c r="AP98" s="830"/>
      <c r="AQ98" s="830"/>
      <c r="AR98" s="830"/>
      <c r="AS98" s="830"/>
      <c r="AT98" s="830"/>
      <c r="AU98" s="831"/>
      <c r="AW98" s="832" t="s">
        <v>3828</v>
      </c>
      <c r="AX98" s="830"/>
      <c r="AY98" s="830"/>
      <c r="AZ98" s="830"/>
      <c r="BA98" s="830"/>
      <c r="BB98" s="830"/>
      <c r="BC98" s="830"/>
      <c r="BD98" s="830"/>
      <c r="BE98" s="830"/>
      <c r="BF98" s="830"/>
      <c r="BG98" s="830"/>
      <c r="BH98" s="830"/>
      <c r="BI98" s="830"/>
      <c r="BJ98" s="830"/>
      <c r="BK98" s="830"/>
      <c r="BL98" s="830"/>
      <c r="BM98" s="830"/>
      <c r="BN98" s="830"/>
      <c r="BO98" s="831"/>
      <c r="BY98" s="1775" t="s">
        <v>2439</v>
      </c>
      <c r="BZ98" s="1776"/>
      <c r="CA98" s="473">
        <v>25</v>
      </c>
      <c r="CB98" s="414">
        <v>6.3</v>
      </c>
      <c r="CC98" s="473">
        <v>501</v>
      </c>
      <c r="CD98" s="473"/>
      <c r="CE98" s="474">
        <v>24.9</v>
      </c>
      <c r="CG98" s="473">
        <v>24.9</v>
      </c>
      <c r="CI98" s="414"/>
      <c r="CJ98" s="414">
        <v>87.2</v>
      </c>
      <c r="CK98" s="414">
        <v>0.72</v>
      </c>
      <c r="CL98" s="311">
        <v>180</v>
      </c>
      <c r="CM98" s="469"/>
      <c r="CN98" s="469"/>
      <c r="CO98" s="469"/>
      <c r="CP98" s="469"/>
    </row>
    <row r="99" spans="1:94" ht="20.100000000000001" customHeight="1">
      <c r="A99" s="766"/>
      <c r="B99" s="766"/>
      <c r="AA99" s="840" t="s">
        <v>4215</v>
      </c>
      <c r="AB99" s="839"/>
      <c r="AC99" s="839"/>
      <c r="AD99" s="839"/>
      <c r="AE99" s="839"/>
      <c r="AF99" s="839"/>
      <c r="AG99" s="839"/>
      <c r="AH99" s="839"/>
      <c r="AI99" s="839"/>
      <c r="AJ99" s="839"/>
      <c r="AK99" s="839"/>
      <c r="AL99" s="839"/>
      <c r="AM99" s="839"/>
      <c r="AN99" s="839"/>
      <c r="AO99" s="839"/>
      <c r="AP99" s="839"/>
      <c r="AQ99" s="839"/>
      <c r="AR99" s="839"/>
      <c r="AS99" s="839"/>
      <c r="AT99" s="839"/>
      <c r="AU99" s="908"/>
      <c r="AW99" s="856" t="s">
        <v>3829</v>
      </c>
      <c r="BY99" s="1775" t="s">
        <v>2440</v>
      </c>
      <c r="BZ99" s="1776"/>
      <c r="CA99" s="473">
        <v>35</v>
      </c>
      <c r="CB99" s="414">
        <v>7.5</v>
      </c>
      <c r="CC99" s="473">
        <v>615</v>
      </c>
      <c r="CD99" s="473"/>
      <c r="CE99" s="474">
        <v>34.61</v>
      </c>
      <c r="CG99" s="414">
        <v>34.61</v>
      </c>
      <c r="CI99" s="414"/>
      <c r="CJ99" s="414">
        <v>87.2</v>
      </c>
      <c r="CK99" s="414">
        <v>0.51500000000000001</v>
      </c>
      <c r="CL99" s="311">
        <v>220</v>
      </c>
      <c r="CM99" s="469"/>
      <c r="CN99" s="469"/>
      <c r="CO99" s="469"/>
      <c r="CP99" s="469"/>
    </row>
    <row r="100" spans="1:94" ht="20.100000000000001" customHeight="1">
      <c r="A100" s="766"/>
      <c r="B100" s="766"/>
      <c r="AA100" s="838" t="s">
        <v>1081</v>
      </c>
      <c r="AU100" s="909"/>
      <c r="AW100" s="835" t="s">
        <v>3830</v>
      </c>
      <c r="BY100" s="1775" t="s">
        <v>2441</v>
      </c>
      <c r="BZ100" s="1776"/>
      <c r="CA100" s="473">
        <v>50</v>
      </c>
      <c r="CB100" s="414">
        <v>8.9</v>
      </c>
      <c r="CC100" s="473">
        <v>768</v>
      </c>
      <c r="CD100" s="473"/>
      <c r="CE100" s="474">
        <v>49.4</v>
      </c>
      <c r="CG100" s="414">
        <v>49.4</v>
      </c>
      <c r="CI100" s="414"/>
      <c r="CJ100" s="414">
        <v>87.2</v>
      </c>
      <c r="CK100" s="414">
        <v>0.36099999999999999</v>
      </c>
      <c r="CL100" s="311">
        <v>270</v>
      </c>
    </row>
    <row r="101" spans="1:94" ht="20.100000000000001" customHeight="1">
      <c r="A101" s="766"/>
      <c r="B101" s="766"/>
      <c r="AA101" s="838"/>
      <c r="AU101" s="909"/>
      <c r="AW101" s="835" t="s">
        <v>2996</v>
      </c>
      <c r="BY101" s="1775" t="s">
        <v>2442</v>
      </c>
      <c r="BZ101" s="1776"/>
      <c r="CA101" s="473">
        <v>70</v>
      </c>
      <c r="CB101" s="414">
        <v>10.7</v>
      </c>
      <c r="CC101" s="473">
        <v>988</v>
      </c>
      <c r="CD101" s="473"/>
      <c r="CE101" s="474">
        <v>67.7</v>
      </c>
      <c r="CG101" s="414">
        <v>67.7</v>
      </c>
      <c r="CI101" s="414"/>
      <c r="CJ101" s="414">
        <v>87.2</v>
      </c>
      <c r="CK101" s="414">
        <v>0.27600000000000002</v>
      </c>
      <c r="CL101" s="311">
        <v>340</v>
      </c>
    </row>
    <row r="102" spans="1:94" ht="20.100000000000001" customHeight="1">
      <c r="A102" s="766"/>
      <c r="B102" s="766"/>
      <c r="AA102" s="838"/>
      <c r="AU102" s="909"/>
      <c r="AW102" s="835" t="s">
        <v>2997</v>
      </c>
      <c r="BY102" s="1775" t="s">
        <v>2443</v>
      </c>
      <c r="BZ102" s="1776"/>
      <c r="CA102" s="473">
        <v>95</v>
      </c>
      <c r="CB102" s="414">
        <v>12.5</v>
      </c>
      <c r="CC102" s="473">
        <v>1271</v>
      </c>
      <c r="CD102" s="473"/>
      <c r="CE102" s="474">
        <v>94</v>
      </c>
      <c r="CG102" s="414">
        <v>94</v>
      </c>
      <c r="CI102" s="414"/>
      <c r="CJ102" s="414">
        <v>87.2</v>
      </c>
      <c r="CK102" s="414">
        <v>0.191</v>
      </c>
      <c r="CL102" s="311">
        <v>415</v>
      </c>
    </row>
    <row r="103" spans="1:94" ht="20.100000000000001" customHeight="1">
      <c r="A103" s="766"/>
      <c r="B103" s="766"/>
      <c r="AA103" s="838"/>
      <c r="AU103" s="909"/>
      <c r="AW103" s="835" t="s">
        <v>2998</v>
      </c>
      <c r="BY103" s="1775" t="s">
        <v>2444</v>
      </c>
      <c r="BZ103" s="1776"/>
      <c r="CA103" s="473">
        <v>120</v>
      </c>
      <c r="CB103" s="414">
        <v>14</v>
      </c>
      <c r="CC103" s="473">
        <v>1536</v>
      </c>
      <c r="CD103" s="473"/>
      <c r="CE103" s="474">
        <v>117</v>
      </c>
      <c r="CG103" s="414">
        <v>117</v>
      </c>
      <c r="CI103" s="414"/>
      <c r="CJ103" s="414">
        <v>87.2</v>
      </c>
      <c r="CK103" s="414">
        <v>0.154</v>
      </c>
      <c r="CL103" s="311">
        <v>485</v>
      </c>
    </row>
    <row r="104" spans="1:94" ht="20.100000000000001" customHeight="1">
      <c r="A104" s="766"/>
      <c r="B104" s="766"/>
      <c r="AA104" s="910"/>
      <c r="AB104" s="911"/>
      <c r="AC104" s="911"/>
      <c r="AD104" s="911"/>
      <c r="AE104" s="911"/>
      <c r="AF104" s="911"/>
      <c r="AG104" s="911"/>
      <c r="AH104" s="911"/>
      <c r="AI104" s="911"/>
      <c r="AJ104" s="911"/>
      <c r="AK104" s="911"/>
      <c r="AL104" s="911"/>
      <c r="AM104" s="911"/>
      <c r="AN104" s="911"/>
      <c r="AO104" s="911"/>
      <c r="AP104" s="911"/>
      <c r="AQ104" s="911"/>
      <c r="AR104" s="911"/>
      <c r="AS104" s="911"/>
      <c r="AT104" s="911"/>
      <c r="AU104" s="912"/>
      <c r="AW104" s="835" t="s">
        <v>2999</v>
      </c>
      <c r="BY104" s="1775" t="s">
        <v>2445</v>
      </c>
      <c r="BZ104" s="1776"/>
      <c r="CA104" s="473">
        <v>150</v>
      </c>
      <c r="CB104" s="414">
        <v>15.8</v>
      </c>
      <c r="CC104" s="473">
        <v>1820</v>
      </c>
      <c r="CD104" s="473"/>
      <c r="CE104" s="474">
        <v>145</v>
      </c>
      <c r="CG104" s="414">
        <v>145</v>
      </c>
      <c r="CI104" s="414"/>
      <c r="CJ104" s="414">
        <v>87.2</v>
      </c>
      <c r="CK104" s="414">
        <v>0.122</v>
      </c>
      <c r="CL104" s="311">
        <v>570</v>
      </c>
    </row>
    <row r="105" spans="1:94" ht="20.100000000000001" customHeight="1">
      <c r="A105" s="766"/>
      <c r="B105" s="766"/>
      <c r="AW105" s="835" t="s">
        <v>1129</v>
      </c>
      <c r="BY105" s="1775" t="s">
        <v>2446</v>
      </c>
      <c r="BZ105" s="1776"/>
      <c r="CA105" s="473">
        <v>185</v>
      </c>
      <c r="CC105" s="473"/>
      <c r="CD105" s="473"/>
      <c r="CI105" s="414"/>
    </row>
    <row r="106" spans="1:94" ht="20.100000000000001" customHeight="1">
      <c r="A106" s="766"/>
      <c r="B106" s="766"/>
      <c r="AW106" s="835" t="s">
        <v>3003</v>
      </c>
      <c r="BY106" s="1775" t="s">
        <v>2447</v>
      </c>
      <c r="BZ106" s="1776"/>
      <c r="CA106" s="473">
        <v>240</v>
      </c>
      <c r="CC106" s="473"/>
      <c r="CD106" s="473"/>
      <c r="CI106" s="414"/>
    </row>
    <row r="107" spans="1:94" ht="20.100000000000001" customHeight="1">
      <c r="A107" s="766"/>
      <c r="B107" s="766"/>
      <c r="AW107" s="835" t="s">
        <v>3004</v>
      </c>
      <c r="BY107" s="1775"/>
      <c r="BZ107" s="1776"/>
      <c r="CA107" s="473"/>
      <c r="CC107" s="473"/>
      <c r="CD107" s="473"/>
      <c r="CI107" s="414"/>
    </row>
    <row r="108" spans="1:94" ht="20.100000000000001" customHeight="1">
      <c r="A108" s="766"/>
      <c r="B108" s="766"/>
      <c r="AW108" s="835" t="s">
        <v>2956</v>
      </c>
      <c r="BY108" s="1775" t="s">
        <v>2448</v>
      </c>
      <c r="BZ108" s="1776"/>
      <c r="CA108" s="473">
        <v>25</v>
      </c>
      <c r="CB108" s="414">
        <v>6.3</v>
      </c>
      <c r="CC108" s="473"/>
      <c r="CD108" s="473"/>
      <c r="CI108" s="414"/>
      <c r="CJ108" s="414">
        <v>26.5</v>
      </c>
    </row>
    <row r="109" spans="1:94" ht="20.100000000000001" customHeight="1">
      <c r="A109" s="766"/>
      <c r="B109" s="766"/>
      <c r="AW109" s="835" t="s">
        <v>2957</v>
      </c>
      <c r="BY109" s="1775" t="s">
        <v>2449</v>
      </c>
      <c r="BZ109" s="1776"/>
      <c r="CA109" s="473">
        <v>35</v>
      </c>
      <c r="CB109" s="414">
        <v>7.5</v>
      </c>
      <c r="CC109" s="473"/>
      <c r="CD109" s="473"/>
      <c r="CI109" s="414"/>
      <c r="CJ109" s="414">
        <v>26.5</v>
      </c>
    </row>
    <row r="110" spans="1:94" ht="20.100000000000001" customHeight="1">
      <c r="A110" s="766"/>
      <c r="B110" s="766"/>
      <c r="AW110" s="835" t="s">
        <v>2958</v>
      </c>
      <c r="BY110" s="1775" t="s">
        <v>2450</v>
      </c>
      <c r="BZ110" s="1776"/>
      <c r="CA110" s="473">
        <v>50</v>
      </c>
      <c r="CB110" s="414">
        <v>8.9</v>
      </c>
      <c r="CC110" s="473"/>
      <c r="CD110" s="473"/>
      <c r="CI110" s="414"/>
      <c r="CJ110" s="414">
        <v>26.5</v>
      </c>
    </row>
    <row r="111" spans="1:94" ht="20.100000000000001" customHeight="1">
      <c r="A111" s="766"/>
      <c r="B111" s="766"/>
      <c r="BY111" s="1775" t="s">
        <v>2451</v>
      </c>
      <c r="BZ111" s="1776"/>
      <c r="CA111" s="473">
        <v>70</v>
      </c>
      <c r="CB111" s="414">
        <v>10.7</v>
      </c>
      <c r="CC111" s="473"/>
      <c r="CD111" s="473"/>
      <c r="CI111" s="414"/>
      <c r="CJ111" s="414">
        <v>26.5</v>
      </c>
    </row>
    <row r="112" spans="1:94" ht="20.100000000000001" customHeight="1">
      <c r="A112" s="766"/>
      <c r="B112" s="766"/>
      <c r="AW112" s="832" t="s">
        <v>1126</v>
      </c>
      <c r="AX112" s="830"/>
      <c r="AY112" s="830"/>
      <c r="AZ112" s="830"/>
      <c r="BA112" s="830"/>
      <c r="BB112" s="830"/>
      <c r="BC112" s="830"/>
      <c r="BD112" s="830"/>
      <c r="BE112" s="830"/>
      <c r="BF112" s="830"/>
      <c r="BG112" s="830"/>
      <c r="BH112" s="830"/>
      <c r="BI112" s="830"/>
      <c r="BJ112" s="830"/>
      <c r="BK112" s="830"/>
      <c r="BL112" s="830"/>
      <c r="BM112" s="830"/>
      <c r="BN112" s="830"/>
      <c r="BO112" s="831"/>
      <c r="BY112" s="1775" t="s">
        <v>2452</v>
      </c>
      <c r="BZ112" s="1776"/>
      <c r="CA112" s="473">
        <v>95</v>
      </c>
      <c r="CB112" s="414">
        <v>12.5</v>
      </c>
      <c r="CC112" s="473"/>
      <c r="CD112" s="473"/>
      <c r="CI112" s="414"/>
      <c r="CJ112" s="414">
        <v>26.5</v>
      </c>
    </row>
    <row r="113" spans="1:88" ht="20.100000000000001" customHeight="1">
      <c r="A113" s="766"/>
      <c r="B113" s="766"/>
      <c r="AW113" s="840" t="s">
        <v>1127</v>
      </c>
      <c r="AX113" s="839"/>
      <c r="BY113" s="1775" t="s">
        <v>1277</v>
      </c>
      <c r="BZ113" s="1776"/>
      <c r="CA113" s="473">
        <v>120</v>
      </c>
      <c r="CB113" s="414">
        <v>14</v>
      </c>
      <c r="CC113" s="473"/>
      <c r="CD113" s="473"/>
      <c r="CI113" s="414"/>
      <c r="CJ113" s="414">
        <v>26.5</v>
      </c>
    </row>
    <row r="114" spans="1:88" ht="20.100000000000001" customHeight="1">
      <c r="A114" s="766"/>
      <c r="B114" s="766"/>
      <c r="AW114" s="838" t="s">
        <v>1128</v>
      </c>
      <c r="BY114" s="1775" t="s">
        <v>1278</v>
      </c>
      <c r="BZ114" s="1776"/>
      <c r="CA114" s="473">
        <v>150</v>
      </c>
      <c r="CB114" s="414">
        <v>15.8</v>
      </c>
      <c r="CC114" s="473"/>
      <c r="CD114" s="473"/>
      <c r="CI114" s="414"/>
      <c r="CJ114" s="414">
        <v>26.5</v>
      </c>
    </row>
    <row r="115" spans="1:88" ht="20.100000000000001" customHeight="1">
      <c r="A115" s="766"/>
      <c r="B115" s="766"/>
      <c r="BY115" s="1775" t="s">
        <v>1279</v>
      </c>
      <c r="BZ115" s="1776"/>
      <c r="CA115" s="473">
        <v>185</v>
      </c>
      <c r="CC115" s="473"/>
      <c r="CD115" s="473"/>
      <c r="CI115" s="414"/>
      <c r="CJ115" s="414">
        <v>26.5</v>
      </c>
    </row>
    <row r="116" spans="1:88" ht="20.100000000000001" customHeight="1">
      <c r="A116" s="766"/>
      <c r="B116" s="766"/>
      <c r="AW116" s="832" t="s">
        <v>6012</v>
      </c>
      <c r="AX116" s="830"/>
      <c r="AY116" s="830"/>
      <c r="AZ116" s="830"/>
      <c r="BA116" s="830"/>
      <c r="BB116" s="830"/>
      <c r="BC116" s="830"/>
      <c r="BD116" s="830"/>
      <c r="BE116" s="830"/>
      <c r="BF116" s="830"/>
      <c r="BG116" s="830"/>
      <c r="BH116" s="830"/>
      <c r="BI116" s="830"/>
      <c r="BJ116" s="830"/>
      <c r="BK116" s="830"/>
      <c r="BL116" s="830"/>
      <c r="BM116" s="830"/>
      <c r="BN116" s="830"/>
      <c r="BO116" s="831"/>
      <c r="BY116" s="1775" t="s">
        <v>1280</v>
      </c>
      <c r="BZ116" s="1776"/>
      <c r="CA116" s="473">
        <v>240</v>
      </c>
      <c r="CC116" s="473"/>
      <c r="CD116" s="473"/>
      <c r="CI116" s="414"/>
    </row>
    <row r="117" spans="1:88" ht="20.100000000000001" customHeight="1">
      <c r="A117" s="766"/>
      <c r="B117" s="766"/>
      <c r="AW117" s="745" t="s">
        <v>6015</v>
      </c>
      <c r="BY117" s="853" t="s">
        <v>1680</v>
      </c>
      <c r="BZ117" s="844"/>
      <c r="CA117" s="845"/>
      <c r="CB117" s="473"/>
      <c r="CC117" s="473"/>
      <c r="CD117" s="473"/>
      <c r="CE117" s="473"/>
      <c r="CF117" s="473"/>
      <c r="CH117" s="415"/>
      <c r="CI117" s="414"/>
    </row>
    <row r="118" spans="1:88" ht="20.100000000000001" customHeight="1">
      <c r="AW118" s="745" t="s">
        <v>6017</v>
      </c>
      <c r="BY118" s="838" t="s">
        <v>4272</v>
      </c>
      <c r="BZ118" s="8"/>
      <c r="CA118" s="473"/>
      <c r="CB118" s="473"/>
      <c r="CC118" s="473"/>
      <c r="CD118" s="473"/>
      <c r="CE118" s="473"/>
      <c r="CF118" s="473"/>
      <c r="CH118" s="415"/>
      <c r="CI118" s="414"/>
    </row>
    <row r="119" spans="1:88" ht="20.100000000000001" customHeight="1">
      <c r="AW119" s="745" t="s">
        <v>1289</v>
      </c>
      <c r="BY119" s="838" t="s">
        <v>4273</v>
      </c>
      <c r="BZ119" s="8"/>
      <c r="CA119" s="473"/>
      <c r="CB119" s="473"/>
      <c r="CC119" s="473"/>
      <c r="CD119" s="473"/>
      <c r="CE119" s="473"/>
      <c r="CF119" s="473"/>
      <c r="CH119" s="415"/>
      <c r="CI119" s="414"/>
    </row>
    <row r="120" spans="1:88" ht="20.100000000000001" customHeight="1">
      <c r="AW120" s="835" t="s">
        <v>1291</v>
      </c>
      <c r="BY120" s="838" t="s">
        <v>4274</v>
      </c>
      <c r="BZ120" s="8"/>
      <c r="CA120" s="473"/>
      <c r="CB120" s="473"/>
      <c r="CC120" s="473"/>
      <c r="CD120" s="473"/>
      <c r="CE120" s="473"/>
      <c r="CF120" s="473"/>
      <c r="CH120" s="415"/>
      <c r="CI120" s="414"/>
    </row>
    <row r="121" spans="1:88" ht="20.100000000000001" customHeight="1">
      <c r="AW121" s="835" t="s">
        <v>1293</v>
      </c>
      <c r="BY121" s="838" t="s">
        <v>3000</v>
      </c>
      <c r="BZ121" s="8"/>
      <c r="CA121" s="473"/>
      <c r="CB121" s="473"/>
      <c r="CC121" s="473"/>
      <c r="CD121" s="473"/>
      <c r="CE121" s="473"/>
      <c r="CF121" s="473"/>
      <c r="CH121" s="415"/>
      <c r="CI121" s="414"/>
    </row>
    <row r="122" spans="1:88" ht="20.100000000000001" customHeight="1">
      <c r="AW122" s="745" t="s">
        <v>5336</v>
      </c>
      <c r="BY122" s="838" t="s">
        <v>1281</v>
      </c>
      <c r="BZ122" s="8"/>
      <c r="CA122" s="473"/>
      <c r="CB122" s="473"/>
      <c r="CC122" s="473"/>
      <c r="CD122" s="473"/>
      <c r="CE122" s="473"/>
      <c r="CF122" s="473"/>
      <c r="CH122" s="415"/>
      <c r="CI122" s="414"/>
    </row>
    <row r="123" spans="1:88" ht="20.100000000000001" customHeight="1">
      <c r="AW123" s="745" t="s">
        <v>5337</v>
      </c>
      <c r="BY123" s="838" t="s">
        <v>1282</v>
      </c>
      <c r="BZ123" s="8"/>
      <c r="CA123" s="473"/>
      <c r="CB123" s="473"/>
      <c r="CC123" s="473"/>
      <c r="CD123" s="473"/>
      <c r="CE123" s="473"/>
      <c r="CF123" s="473"/>
      <c r="CH123" s="415"/>
      <c r="CI123" s="414"/>
    </row>
    <row r="124" spans="1:88" ht="20.100000000000001" customHeight="1">
      <c r="AW124" s="745" t="s">
        <v>5338</v>
      </c>
      <c r="BY124" s="838" t="s">
        <v>1283</v>
      </c>
      <c r="BZ124" s="8"/>
      <c r="CA124" s="473"/>
      <c r="CB124" s="473"/>
      <c r="CC124" s="473"/>
      <c r="CD124" s="473"/>
      <c r="CE124" s="473"/>
      <c r="CF124" s="473"/>
      <c r="CH124" s="415"/>
      <c r="CI124" s="414"/>
    </row>
    <row r="125" spans="1:88" ht="20.100000000000001" customHeight="1">
      <c r="AW125" s="837" t="s">
        <v>5339</v>
      </c>
      <c r="BY125" s="838" t="s">
        <v>71</v>
      </c>
      <c r="BZ125" s="8"/>
      <c r="CA125" s="473"/>
      <c r="CB125" s="473"/>
      <c r="CC125" s="473"/>
      <c r="CD125" s="473"/>
      <c r="CE125" s="473"/>
      <c r="CF125" s="473"/>
      <c r="CH125" s="415"/>
      <c r="CI125" s="414"/>
    </row>
    <row r="126" spans="1:88" ht="20.100000000000001" customHeight="1">
      <c r="AW126" s="837" t="s">
        <v>1719</v>
      </c>
      <c r="BY126" s="838" t="s">
        <v>72</v>
      </c>
      <c r="BZ126" s="8"/>
      <c r="CA126" s="473"/>
      <c r="CB126" s="473"/>
      <c r="CC126" s="473"/>
      <c r="CD126" s="473"/>
      <c r="CE126" s="473"/>
      <c r="CF126" s="473"/>
      <c r="CH126" s="415"/>
      <c r="CI126" s="414"/>
    </row>
    <row r="127" spans="1:88" ht="20.100000000000001" customHeight="1">
      <c r="AW127" s="841" t="s">
        <v>6214</v>
      </c>
      <c r="BY127" s="838" t="s">
        <v>73</v>
      </c>
      <c r="BZ127" s="8"/>
      <c r="CA127" s="473"/>
      <c r="CB127" s="473"/>
      <c r="CC127" s="473"/>
      <c r="CD127" s="473"/>
      <c r="CE127" s="473"/>
      <c r="CF127" s="473"/>
      <c r="CH127" s="415"/>
      <c r="CI127" s="414"/>
    </row>
    <row r="128" spans="1:88" ht="20.100000000000001" customHeight="1">
      <c r="AW128" s="842" t="s">
        <v>5335</v>
      </c>
      <c r="BY128" s="838" t="s">
        <v>74</v>
      </c>
      <c r="BZ128" s="8"/>
      <c r="CA128" s="473"/>
      <c r="CB128" s="473"/>
      <c r="CC128" s="473"/>
      <c r="CD128" s="473"/>
      <c r="CE128" s="473"/>
      <c r="CF128" s="473"/>
      <c r="CH128" s="415"/>
      <c r="CI128" s="414"/>
    </row>
    <row r="129" spans="49:91" ht="20.100000000000001" customHeight="1">
      <c r="BY129" s="838" t="s">
        <v>75</v>
      </c>
      <c r="BZ129" s="8"/>
      <c r="CA129" s="473"/>
      <c r="CB129" s="473"/>
      <c r="CC129" s="473"/>
      <c r="CD129" s="473"/>
      <c r="CE129" s="473"/>
      <c r="CF129" s="473"/>
      <c r="CH129" s="415"/>
      <c r="CI129" s="414"/>
    </row>
    <row r="130" spans="49:91" ht="20.100000000000001" customHeight="1">
      <c r="AW130" s="832" t="s">
        <v>4669</v>
      </c>
      <c r="AX130" s="830"/>
      <c r="AY130" s="830"/>
      <c r="AZ130" s="830"/>
      <c r="BA130" s="830"/>
      <c r="BB130" s="830"/>
      <c r="BC130" s="830"/>
      <c r="BD130" s="830"/>
      <c r="BE130" s="830"/>
      <c r="BF130" s="830"/>
      <c r="BG130" s="830"/>
      <c r="BH130" s="830"/>
      <c r="BI130" s="830"/>
      <c r="BJ130" s="830"/>
      <c r="BK130" s="830"/>
      <c r="BL130" s="830"/>
      <c r="BM130" s="830"/>
      <c r="BN130" s="830"/>
      <c r="BO130" s="830"/>
      <c r="BP130" s="830"/>
      <c r="BQ130" s="830"/>
      <c r="BR130" s="830"/>
      <c r="BS130" s="831"/>
      <c r="BY130" s="838" t="s">
        <v>76</v>
      </c>
      <c r="BZ130" s="8"/>
      <c r="CA130" s="473"/>
      <c r="CB130" s="473"/>
      <c r="CC130" s="473"/>
      <c r="CD130" s="473"/>
      <c r="CE130" s="473"/>
      <c r="CF130" s="473"/>
      <c r="CG130" s="473"/>
      <c r="CH130" s="469"/>
      <c r="CI130" s="470"/>
      <c r="CJ130" s="469"/>
      <c r="CK130" s="469"/>
      <c r="CL130" s="469"/>
      <c r="CM130" s="469"/>
    </row>
    <row r="131" spans="49:91" ht="20.100000000000001" customHeight="1">
      <c r="AW131" s="835" t="s">
        <v>2959</v>
      </c>
      <c r="BY131" s="838" t="s">
        <v>77</v>
      </c>
      <c r="BZ131" s="8"/>
      <c r="CA131" s="473"/>
      <c r="CB131" s="473"/>
      <c r="CC131" s="473"/>
      <c r="CD131" s="473"/>
      <c r="CE131" s="473"/>
      <c r="CF131" s="473"/>
      <c r="CG131" s="473"/>
      <c r="CH131" s="469"/>
      <c r="CI131" s="470"/>
      <c r="CJ131" s="469"/>
      <c r="CK131" s="469"/>
      <c r="CL131" s="469"/>
      <c r="CM131" s="469"/>
    </row>
    <row r="132" spans="49:91" ht="20.100000000000001" customHeight="1">
      <c r="AW132" s="835" t="s">
        <v>2960</v>
      </c>
      <c r="BX132" s="829"/>
      <c r="BY132" s="843" t="s">
        <v>473</v>
      </c>
      <c r="BZ132" s="844"/>
      <c r="CA132" s="845"/>
      <c r="CB132" s="473"/>
      <c r="CC132" s="848" t="s">
        <v>4676</v>
      </c>
      <c r="CD132" s="849"/>
      <c r="CE132" s="849"/>
      <c r="CF132" s="845"/>
      <c r="CG132" s="473"/>
      <c r="CH132" s="469"/>
      <c r="CI132" s="470"/>
      <c r="CJ132" s="469"/>
      <c r="CK132" s="469"/>
      <c r="CL132" s="469"/>
      <c r="CM132" s="469"/>
    </row>
    <row r="133" spans="49:91" ht="20.100000000000001" customHeight="1">
      <c r="AW133" s="835" t="s">
        <v>2961</v>
      </c>
      <c r="BY133" s="745" t="s">
        <v>5218</v>
      </c>
      <c r="BZ133" s="8"/>
      <c r="CA133" s="473"/>
      <c r="CB133" s="473"/>
      <c r="CC133" s="850" t="s">
        <v>4146</v>
      </c>
      <c r="CD133" s="473"/>
      <c r="CE133" s="473"/>
      <c r="CF133" s="473"/>
      <c r="CG133" s="473"/>
      <c r="CH133" s="469"/>
      <c r="CI133" s="470"/>
      <c r="CJ133" s="469"/>
      <c r="CK133" s="469"/>
      <c r="CL133" s="469"/>
      <c r="CM133" s="469"/>
    </row>
    <row r="134" spans="49:91" ht="20.100000000000001" customHeight="1">
      <c r="AW134" s="835" t="s">
        <v>2962</v>
      </c>
      <c r="BY134" s="745" t="s">
        <v>5220</v>
      </c>
      <c r="BZ134" s="8"/>
      <c r="CA134" s="473"/>
      <c r="CB134" s="473"/>
      <c r="CC134" s="851" t="s">
        <v>5952</v>
      </c>
      <c r="CD134" s="473"/>
      <c r="CE134" s="473"/>
      <c r="CF134" s="473"/>
      <c r="CG134" s="473"/>
      <c r="CH134" s="469"/>
      <c r="CI134" s="470"/>
      <c r="CJ134" s="469"/>
      <c r="CK134" s="469"/>
      <c r="CL134" s="469"/>
      <c r="CM134" s="469"/>
    </row>
    <row r="135" spans="49:91" ht="20.100000000000001" customHeight="1">
      <c r="AW135" s="835" t="s">
        <v>2963</v>
      </c>
      <c r="BY135" s="745" t="s">
        <v>4107</v>
      </c>
      <c r="BZ135" s="8"/>
      <c r="CA135" s="473"/>
      <c r="CB135" s="473"/>
      <c r="CC135" s="851" t="s">
        <v>4150</v>
      </c>
      <c r="CD135" s="473"/>
      <c r="CE135" s="473"/>
      <c r="CF135" s="473"/>
      <c r="CG135" s="473"/>
      <c r="CH135" s="469"/>
      <c r="CI135" s="470"/>
      <c r="CJ135" s="469"/>
      <c r="CK135" s="469"/>
      <c r="CL135" s="469"/>
      <c r="CM135" s="469"/>
    </row>
    <row r="136" spans="49:91" ht="20.100000000000001" customHeight="1">
      <c r="AW136" s="835" t="s">
        <v>2964</v>
      </c>
      <c r="BY136" s="745" t="s">
        <v>4109</v>
      </c>
      <c r="BZ136" s="8"/>
      <c r="CA136" s="473"/>
      <c r="CB136" s="473"/>
      <c r="CC136" s="851" t="s">
        <v>4147</v>
      </c>
      <c r="CD136" s="473"/>
      <c r="CE136" s="473"/>
      <c r="CF136" s="473"/>
      <c r="CG136" s="473"/>
      <c r="CH136" s="469"/>
      <c r="CI136" s="470"/>
      <c r="CJ136" s="469"/>
      <c r="CK136" s="469"/>
      <c r="CL136" s="469"/>
      <c r="CM136" s="469"/>
    </row>
    <row r="137" spans="49:91" ht="20.100000000000001" customHeight="1">
      <c r="AW137" s="835" t="s">
        <v>2965</v>
      </c>
      <c r="BY137" s="745" t="s">
        <v>4111</v>
      </c>
      <c r="BZ137" s="8"/>
      <c r="CA137" s="473"/>
      <c r="CB137" s="473"/>
      <c r="CC137" s="851" t="s">
        <v>5953</v>
      </c>
      <c r="CD137" s="473"/>
      <c r="CE137" s="473"/>
      <c r="CF137" s="473"/>
      <c r="CG137" s="473"/>
      <c r="CH137" s="469"/>
      <c r="CI137" s="470"/>
      <c r="CJ137" s="469"/>
      <c r="CK137" s="469"/>
      <c r="CL137" s="469"/>
      <c r="CM137" s="469"/>
    </row>
    <row r="138" spans="49:91" ht="20.100000000000001" customHeight="1">
      <c r="AW138" s="835" t="s">
        <v>364</v>
      </c>
      <c r="BY138" s="745" t="s">
        <v>4113</v>
      </c>
      <c r="BZ138" s="8"/>
      <c r="CA138" s="473"/>
      <c r="CB138" s="473"/>
      <c r="CC138" s="851" t="s">
        <v>4148</v>
      </c>
      <c r="CD138" s="473"/>
      <c r="CE138" s="473"/>
      <c r="CF138" s="473"/>
      <c r="CG138" s="473"/>
      <c r="CH138" s="469"/>
      <c r="CI138" s="470"/>
      <c r="CJ138" s="469"/>
      <c r="CK138" s="469"/>
      <c r="CL138" s="469"/>
      <c r="CM138" s="469"/>
    </row>
    <row r="139" spans="49:91" ht="20.100000000000001" customHeight="1">
      <c r="AW139" s="835" t="s">
        <v>365</v>
      </c>
      <c r="BY139" s="745" t="s">
        <v>4115</v>
      </c>
      <c r="BZ139" s="8"/>
      <c r="CA139" s="473"/>
      <c r="CB139" s="473"/>
      <c r="CC139" s="851" t="s">
        <v>4151</v>
      </c>
      <c r="CD139" s="473"/>
      <c r="CE139" s="473"/>
      <c r="CF139" s="473"/>
      <c r="CG139" s="473"/>
      <c r="CH139" s="469"/>
      <c r="CI139" s="470"/>
      <c r="CJ139" s="469"/>
      <c r="CK139" s="469"/>
      <c r="CL139" s="469"/>
      <c r="CM139" s="469"/>
    </row>
    <row r="140" spans="49:91" ht="20.100000000000001" customHeight="1">
      <c r="AW140" s="835" t="s">
        <v>366</v>
      </c>
      <c r="BY140" s="745" t="s">
        <v>4117</v>
      </c>
      <c r="BZ140" s="8"/>
      <c r="CA140" s="473"/>
      <c r="CB140" s="473"/>
      <c r="CC140" s="851" t="s">
        <v>4149</v>
      </c>
      <c r="CD140" s="473"/>
      <c r="CE140" s="473"/>
      <c r="CF140" s="473"/>
      <c r="CG140" s="473"/>
      <c r="CH140" s="469"/>
      <c r="CI140" s="470"/>
      <c r="CJ140" s="469"/>
      <c r="CK140" s="469"/>
      <c r="CL140" s="469"/>
      <c r="CM140" s="469"/>
    </row>
    <row r="141" spans="49:91" ht="20.100000000000001" customHeight="1">
      <c r="AW141" s="835" t="s">
        <v>367</v>
      </c>
      <c r="BY141" s="745" t="s">
        <v>4229</v>
      </c>
      <c r="BZ141" s="8"/>
      <c r="CA141" s="473"/>
      <c r="CB141" s="473"/>
      <c r="CC141" s="851" t="s">
        <v>5954</v>
      </c>
      <c r="CD141" s="473"/>
      <c r="CE141" s="473"/>
      <c r="CF141" s="473"/>
      <c r="CG141" s="473"/>
      <c r="CH141" s="469"/>
      <c r="CI141" s="470"/>
      <c r="CJ141" s="469"/>
      <c r="CK141" s="469"/>
      <c r="CL141" s="469"/>
      <c r="CM141" s="469"/>
    </row>
    <row r="142" spans="49:91" ht="20.100000000000001" customHeight="1">
      <c r="AW142" s="835" t="s">
        <v>368</v>
      </c>
      <c r="BY142" s="745" t="s">
        <v>4119</v>
      </c>
      <c r="BZ142" s="8"/>
      <c r="CA142" s="473"/>
      <c r="CB142" s="473"/>
      <c r="CC142" s="851" t="s">
        <v>5955</v>
      </c>
      <c r="CD142" s="473"/>
      <c r="CE142" s="473"/>
      <c r="CF142" s="473"/>
      <c r="CG142" s="473"/>
      <c r="CH142" s="469"/>
      <c r="CI142" s="470"/>
      <c r="CJ142" s="469"/>
      <c r="CK142" s="469"/>
      <c r="CL142" s="469"/>
      <c r="CM142" s="469"/>
    </row>
    <row r="143" spans="49:91" ht="20.100000000000001" customHeight="1">
      <c r="AW143" s="835" t="s">
        <v>369</v>
      </c>
      <c r="BY143" s="745" t="s">
        <v>4121</v>
      </c>
      <c r="BZ143" s="8"/>
      <c r="CA143" s="473"/>
      <c r="CB143" s="473"/>
      <c r="CC143" s="851" t="s">
        <v>5956</v>
      </c>
      <c r="CD143" s="473"/>
      <c r="CE143" s="473"/>
      <c r="CF143" s="473"/>
      <c r="CG143" s="473"/>
      <c r="CH143" s="469"/>
      <c r="CI143" s="470"/>
      <c r="CJ143" s="469"/>
      <c r="CK143" s="469"/>
      <c r="CL143" s="469"/>
      <c r="CM143" s="469"/>
    </row>
    <row r="144" spans="49:91" ht="20.100000000000001" customHeight="1">
      <c r="AW144" s="835" t="s">
        <v>370</v>
      </c>
      <c r="BY144" s="745" t="s">
        <v>4123</v>
      </c>
      <c r="BZ144" s="8"/>
      <c r="CA144" s="473"/>
      <c r="CB144" s="473"/>
      <c r="CC144" s="851" t="s">
        <v>5957</v>
      </c>
      <c r="CD144" s="473"/>
      <c r="CE144" s="473"/>
      <c r="CF144" s="473"/>
      <c r="CG144" s="473"/>
      <c r="CH144" s="469"/>
      <c r="CI144" s="470"/>
      <c r="CJ144" s="469"/>
      <c r="CK144" s="469"/>
      <c r="CL144" s="469"/>
      <c r="CM144" s="469"/>
    </row>
    <row r="145" spans="49:91" ht="20.100000000000001" customHeight="1">
      <c r="AW145" s="835" t="s">
        <v>371</v>
      </c>
      <c r="BY145" s="745" t="s">
        <v>4125</v>
      </c>
      <c r="BZ145" s="8"/>
      <c r="CA145" s="473"/>
      <c r="CB145" s="473"/>
      <c r="CC145" s="851" t="s">
        <v>4152</v>
      </c>
      <c r="CD145" s="473"/>
      <c r="CE145" s="473"/>
      <c r="CF145" s="473"/>
      <c r="CG145" s="473"/>
      <c r="CH145" s="469"/>
      <c r="CI145" s="470"/>
      <c r="CJ145" s="469"/>
      <c r="CK145" s="469"/>
      <c r="CL145" s="469"/>
      <c r="CM145" s="469"/>
    </row>
    <row r="146" spans="49:91" ht="20.100000000000001" customHeight="1">
      <c r="AW146" s="835" t="s">
        <v>372</v>
      </c>
      <c r="BY146" s="745" t="s">
        <v>1585</v>
      </c>
      <c r="BZ146" s="8"/>
      <c r="CA146" s="473"/>
      <c r="CB146" s="473"/>
      <c r="CC146" s="851" t="s">
        <v>4153</v>
      </c>
      <c r="CD146" s="473"/>
      <c r="CE146" s="473"/>
      <c r="CF146" s="473"/>
      <c r="CG146" s="473"/>
      <c r="CH146" s="469"/>
      <c r="CI146" s="470"/>
      <c r="CJ146" s="469"/>
      <c r="CK146" s="469"/>
      <c r="CL146" s="469"/>
      <c r="CM146" s="469"/>
    </row>
    <row r="147" spans="49:91" ht="20.100000000000001" customHeight="1">
      <c r="AW147" s="835" t="s">
        <v>373</v>
      </c>
      <c r="BY147" s="745" t="s">
        <v>518</v>
      </c>
      <c r="BZ147" s="8"/>
      <c r="CA147" s="473"/>
      <c r="CB147" s="473"/>
      <c r="CC147" s="851" t="s">
        <v>5958</v>
      </c>
      <c r="CD147" s="473"/>
      <c r="CE147" s="473"/>
      <c r="CF147" s="473"/>
      <c r="CG147" s="473"/>
      <c r="CH147" s="469"/>
      <c r="CI147" s="470"/>
      <c r="CJ147" s="469"/>
      <c r="CK147" s="469"/>
      <c r="CL147" s="469"/>
      <c r="CM147" s="469"/>
    </row>
    <row r="148" spans="49:91" ht="20.100000000000001" customHeight="1">
      <c r="AW148" s="835" t="s">
        <v>374</v>
      </c>
      <c r="BY148" s="745" t="s">
        <v>816</v>
      </c>
      <c r="BZ148" s="8"/>
      <c r="CA148" s="473"/>
      <c r="CB148" s="473"/>
      <c r="CC148" s="851" t="s">
        <v>4154</v>
      </c>
      <c r="CD148" s="473"/>
      <c r="CE148" s="473"/>
      <c r="CF148" s="473"/>
      <c r="CG148" s="473"/>
      <c r="CH148" s="469"/>
      <c r="CI148" s="470"/>
      <c r="CJ148" s="469"/>
      <c r="CK148" s="469"/>
      <c r="CL148" s="469"/>
      <c r="CM148" s="469"/>
    </row>
    <row r="149" spans="49:91" ht="20.100000000000001" customHeight="1">
      <c r="BY149" s="745" t="s">
        <v>818</v>
      </c>
      <c r="BZ149" s="8"/>
      <c r="CA149" s="473"/>
      <c r="CB149" s="473"/>
      <c r="CC149" s="851" t="s">
        <v>1869</v>
      </c>
      <c r="CD149" s="473"/>
      <c r="CE149" s="473"/>
      <c r="CF149" s="473"/>
      <c r="CG149" s="473"/>
      <c r="CH149" s="469"/>
      <c r="CI149" s="470"/>
      <c r="CJ149" s="469"/>
      <c r="CK149" s="469"/>
      <c r="CL149" s="469"/>
      <c r="CM149" s="469"/>
    </row>
    <row r="150" spans="49:91" ht="20.100000000000001" customHeight="1">
      <c r="BY150" s="745" t="s">
        <v>5587</v>
      </c>
      <c r="BZ150" s="8"/>
      <c r="CA150" s="473"/>
      <c r="CB150" s="473"/>
      <c r="CC150" s="851" t="s">
        <v>1870</v>
      </c>
      <c r="CD150" s="473"/>
      <c r="CE150" s="473"/>
      <c r="CF150" s="473"/>
      <c r="CG150" s="473"/>
      <c r="CH150" s="469"/>
      <c r="CI150" s="470"/>
      <c r="CJ150" s="469"/>
      <c r="CK150" s="469"/>
      <c r="CL150" s="469"/>
      <c r="CM150" s="469"/>
    </row>
    <row r="151" spans="49:91" ht="20.100000000000001" customHeight="1">
      <c r="BY151" s="745" t="s">
        <v>3141</v>
      </c>
      <c r="BZ151" s="8"/>
      <c r="CA151" s="473"/>
      <c r="CB151" s="473"/>
      <c r="CC151" s="851" t="s">
        <v>1871</v>
      </c>
      <c r="CD151" s="473"/>
      <c r="CE151" s="473"/>
      <c r="CF151" s="473"/>
      <c r="CG151" s="473"/>
      <c r="CH151" s="469"/>
      <c r="CI151" s="470"/>
      <c r="CJ151" s="469"/>
      <c r="CK151" s="469"/>
      <c r="CL151" s="469"/>
      <c r="CM151" s="469"/>
    </row>
    <row r="152" spans="49:91" ht="20.100000000000001" customHeight="1">
      <c r="BY152" s="745" t="s">
        <v>4670</v>
      </c>
      <c r="BZ152" s="8"/>
      <c r="CA152" s="473"/>
      <c r="CB152" s="473"/>
      <c r="CC152" s="851" t="s">
        <v>1677</v>
      </c>
      <c r="CD152" s="473"/>
      <c r="CE152" s="473"/>
      <c r="CF152" s="473"/>
      <c r="CG152" s="473"/>
      <c r="CH152" s="469"/>
      <c r="CI152" s="470"/>
      <c r="CJ152" s="469"/>
      <c r="CK152" s="469"/>
      <c r="CL152" s="469"/>
      <c r="CM152" s="469"/>
    </row>
    <row r="153" spans="49:91" ht="20.100000000000001" customHeight="1">
      <c r="BY153" s="745" t="s">
        <v>5593</v>
      </c>
      <c r="BZ153" s="8"/>
      <c r="CA153" s="473"/>
      <c r="CB153" s="473"/>
      <c r="CC153" s="851" t="s">
        <v>5959</v>
      </c>
      <c r="CD153" s="473"/>
      <c r="CE153" s="473"/>
      <c r="CF153" s="473"/>
      <c r="CG153" s="473"/>
      <c r="CH153" s="469"/>
      <c r="CI153" s="470"/>
      <c r="CJ153" s="469"/>
      <c r="CK153" s="469"/>
      <c r="CL153" s="469"/>
      <c r="CM153" s="469"/>
    </row>
    <row r="154" spans="49:91" ht="20.100000000000001" customHeight="1">
      <c r="BY154" s="745" t="s">
        <v>5595</v>
      </c>
      <c r="BZ154" s="8"/>
      <c r="CA154" s="473"/>
      <c r="CB154" s="473"/>
      <c r="CC154" s="851" t="s">
        <v>1678</v>
      </c>
      <c r="CD154" s="473"/>
      <c r="CE154" s="473"/>
      <c r="CF154" s="473"/>
      <c r="CG154" s="473"/>
      <c r="CH154" s="469"/>
      <c r="CI154" s="470"/>
      <c r="CJ154" s="469"/>
      <c r="CK154" s="469"/>
      <c r="CL154" s="469"/>
      <c r="CM154" s="469"/>
    </row>
    <row r="155" spans="49:91" ht="20.100000000000001" customHeight="1">
      <c r="BY155" s="852" t="s">
        <v>3922</v>
      </c>
      <c r="BZ155" s="8"/>
      <c r="CA155" s="473"/>
      <c r="CB155" s="473"/>
      <c r="CC155" s="851" t="s">
        <v>1679</v>
      </c>
      <c r="CD155" s="473"/>
      <c r="CE155" s="473"/>
      <c r="CF155" s="473"/>
      <c r="CG155" s="473"/>
      <c r="CH155" s="469"/>
      <c r="CI155" s="470"/>
      <c r="CJ155" s="469"/>
      <c r="CK155" s="469"/>
      <c r="CL155" s="469"/>
      <c r="CM155" s="469"/>
    </row>
    <row r="156" spans="49:91" ht="20.100000000000001" customHeight="1">
      <c r="BY156" s="748"/>
      <c r="BZ156" s="8"/>
      <c r="CA156" s="473"/>
      <c r="CB156" s="473"/>
      <c r="CC156" s="851" t="s">
        <v>5960</v>
      </c>
      <c r="CD156" s="473"/>
      <c r="CE156" s="473"/>
      <c r="CF156" s="473"/>
      <c r="CG156" s="473"/>
      <c r="CH156" s="469"/>
      <c r="CI156" s="470"/>
      <c r="CJ156" s="469"/>
      <c r="CK156" s="469"/>
      <c r="CL156" s="469"/>
      <c r="CM156" s="469"/>
    </row>
    <row r="157" spans="49:91" ht="20.100000000000001" customHeight="1">
      <c r="BY157" s="8"/>
      <c r="BZ157" s="8"/>
      <c r="CA157" s="473"/>
      <c r="CB157" s="473"/>
      <c r="CC157" s="473"/>
      <c r="CD157" s="473"/>
      <c r="CE157" s="473"/>
      <c r="CF157" s="473"/>
      <c r="CG157" s="473"/>
      <c r="CH157" s="469"/>
      <c r="CI157" s="470"/>
      <c r="CJ157" s="469"/>
      <c r="CK157" s="469"/>
      <c r="CL157" s="469"/>
      <c r="CM157" s="469"/>
    </row>
    <row r="158" spans="49:91" ht="20.100000000000001" customHeight="1">
      <c r="BY158" s="8"/>
      <c r="BZ158" s="8"/>
      <c r="CA158" s="473"/>
      <c r="CB158" s="473"/>
      <c r="CC158" s="473"/>
      <c r="CD158" s="473"/>
      <c r="CE158" s="473"/>
      <c r="CF158" s="473"/>
      <c r="CG158" s="473"/>
      <c r="CH158" s="469"/>
      <c r="CI158" s="470"/>
      <c r="CJ158" s="469"/>
      <c r="CK158" s="469"/>
      <c r="CL158" s="469"/>
      <c r="CM158" s="469"/>
    </row>
    <row r="159" spans="49:91" ht="20.100000000000001" customHeight="1">
      <c r="BY159" s="8"/>
      <c r="BZ159" s="8"/>
      <c r="CA159" s="473"/>
      <c r="CB159" s="473"/>
      <c r="CC159" s="473"/>
      <c r="CD159" s="473"/>
      <c r="CE159" s="473"/>
      <c r="CF159" s="473"/>
      <c r="CG159" s="473"/>
      <c r="CH159" s="469"/>
      <c r="CI159" s="470"/>
      <c r="CJ159" s="469"/>
      <c r="CK159" s="469"/>
      <c r="CL159" s="469"/>
      <c r="CM159" s="469"/>
    </row>
    <row r="160" spans="49:91" ht="20.100000000000001" customHeight="1">
      <c r="BY160" s="8"/>
      <c r="BZ160" s="8"/>
      <c r="CA160" s="473"/>
      <c r="CB160" s="473"/>
      <c r="CC160" s="473"/>
      <c r="CD160" s="473"/>
      <c r="CE160" s="473"/>
      <c r="CF160" s="473"/>
      <c r="CG160" s="473"/>
      <c r="CH160" s="469"/>
      <c r="CI160" s="470"/>
      <c r="CJ160" s="469"/>
      <c r="CK160" s="469"/>
      <c r="CL160" s="469"/>
      <c r="CM160" s="469"/>
    </row>
    <row r="161" spans="77:91" ht="20.100000000000001" customHeight="1">
      <c r="BY161" s="904" t="s">
        <v>1092</v>
      </c>
      <c r="BZ161" s="8"/>
      <c r="CA161" s="473"/>
      <c r="CB161" s="473"/>
      <c r="CC161" s="473"/>
      <c r="CD161" s="473"/>
      <c r="CE161" s="473"/>
      <c r="CF161" s="473"/>
      <c r="CG161" s="473"/>
      <c r="CH161" s="469"/>
      <c r="CI161" s="470"/>
      <c r="CJ161" s="469"/>
      <c r="CK161" s="469"/>
      <c r="CL161" s="469"/>
      <c r="CM161" s="469"/>
    </row>
    <row r="162" spans="77:91" ht="20.100000000000001" customHeight="1">
      <c r="BY162" s="903" t="s">
        <v>6135</v>
      </c>
      <c r="BZ162" s="8"/>
      <c r="CA162" s="473"/>
      <c r="CB162" s="473"/>
      <c r="CC162" s="473"/>
      <c r="CD162" s="473"/>
      <c r="CE162" s="473"/>
      <c r="CF162" s="906" t="s">
        <v>1657</v>
      </c>
      <c r="CG162" s="473"/>
      <c r="CH162" s="469"/>
      <c r="CI162" s="470"/>
      <c r="CJ162" s="469"/>
      <c r="CK162" s="469"/>
      <c r="CL162" s="469"/>
      <c r="CM162" s="469"/>
    </row>
    <row r="163" spans="77:91" ht="20.100000000000001" customHeight="1">
      <c r="BY163" s="903" t="s">
        <v>6131</v>
      </c>
      <c r="BZ163" s="8"/>
      <c r="CA163" s="473"/>
      <c r="CB163" s="903" t="s">
        <v>6133</v>
      </c>
      <c r="CC163" s="473"/>
      <c r="CD163" s="473"/>
      <c r="CE163" s="473"/>
      <c r="CF163" s="902"/>
      <c r="CG163" s="473"/>
      <c r="CH163" s="469"/>
      <c r="CI163" s="470"/>
      <c r="CJ163" s="469"/>
      <c r="CK163" s="469"/>
      <c r="CL163" s="469"/>
      <c r="CM163" s="469"/>
    </row>
    <row r="164" spans="77:91" ht="20.100000000000001" customHeight="1">
      <c r="BY164" s="902" t="s">
        <v>1094</v>
      </c>
      <c r="BZ164" s="905">
        <v>1.9</v>
      </c>
      <c r="CA164" s="473" t="s">
        <v>6170</v>
      </c>
      <c r="CB164" s="905" t="s">
        <v>6134</v>
      </c>
      <c r="CC164" s="902">
        <v>1.5</v>
      </c>
      <c r="CD164" s="473"/>
      <c r="CE164" s="473"/>
      <c r="CF164" s="905" t="s">
        <v>6134</v>
      </c>
      <c r="CG164" s="902">
        <v>1.4</v>
      </c>
      <c r="CH164" s="469"/>
      <c r="CI164" s="470"/>
      <c r="CJ164" s="469"/>
      <c r="CK164" s="469"/>
      <c r="CL164" s="469"/>
      <c r="CM164" s="469"/>
    </row>
    <row r="165" spans="77:91" ht="20.100000000000001" customHeight="1">
      <c r="BY165" s="902" t="s">
        <v>6132</v>
      </c>
      <c r="BZ165" s="905">
        <v>1.6</v>
      </c>
      <c r="CA165" s="473" t="s">
        <v>6170</v>
      </c>
      <c r="CB165" s="473"/>
      <c r="CC165" s="473"/>
      <c r="CD165" s="473"/>
      <c r="CE165" s="473"/>
      <c r="CF165" s="473"/>
      <c r="CG165" s="473"/>
      <c r="CH165" s="469"/>
      <c r="CI165" s="470"/>
      <c r="CJ165" s="469"/>
      <c r="CK165" s="469"/>
      <c r="CL165" s="469"/>
      <c r="CM165" s="469"/>
    </row>
    <row r="166" spans="77:91" ht="20.100000000000001" customHeight="1">
      <c r="BY166" s="902" t="s">
        <v>6171</v>
      </c>
      <c r="BZ166" s="905">
        <v>0.8</v>
      </c>
      <c r="CA166" s="473" t="s">
        <v>6170</v>
      </c>
      <c r="CB166" s="473"/>
      <c r="CC166" s="473"/>
      <c r="CD166" s="473"/>
      <c r="CE166" s="473"/>
      <c r="CF166" s="473"/>
      <c r="CG166" s="473"/>
      <c r="CH166" s="469"/>
      <c r="CI166" s="470"/>
      <c r="CJ166" s="469"/>
      <c r="CK166" s="469"/>
      <c r="CL166" s="469"/>
      <c r="CM166" s="469"/>
    </row>
    <row r="167" spans="77:91" ht="20.100000000000001" customHeight="1">
      <c r="BY167" s="8"/>
      <c r="BZ167" s="8"/>
      <c r="CA167" s="473"/>
      <c r="CB167" s="473"/>
      <c r="CC167" s="473"/>
      <c r="CD167" s="473"/>
      <c r="CE167" s="473"/>
      <c r="CF167" s="473"/>
      <c r="CG167" s="473"/>
      <c r="CH167" s="469"/>
      <c r="CI167" s="470"/>
      <c r="CJ167" s="469"/>
      <c r="CK167" s="469"/>
      <c r="CL167" s="469"/>
      <c r="CM167" s="469"/>
    </row>
    <row r="168" spans="77:91" ht="20.100000000000001" customHeight="1">
      <c r="BY168" s="903" t="s">
        <v>5515</v>
      </c>
      <c r="BZ168" s="8"/>
      <c r="CA168" s="473"/>
      <c r="CB168" s="473"/>
      <c r="CC168" s="473"/>
      <c r="CD168" s="473"/>
      <c r="CE168" s="473"/>
      <c r="CF168" s="906" t="s">
        <v>1658</v>
      </c>
      <c r="CG168" s="473"/>
      <c r="CH168" s="469"/>
      <c r="CI168" s="470"/>
      <c r="CJ168" s="469"/>
      <c r="CK168" s="469"/>
      <c r="CL168" s="469"/>
      <c r="CM168" s="469"/>
    </row>
    <row r="169" spans="77:91" ht="20.100000000000001" customHeight="1">
      <c r="BY169" s="902" t="s">
        <v>1094</v>
      </c>
      <c r="BZ169" s="905">
        <v>0.54</v>
      </c>
      <c r="CA169" s="473" t="s">
        <v>6170</v>
      </c>
      <c r="CB169" s="473"/>
      <c r="CC169" s="473"/>
      <c r="CD169" s="473"/>
      <c r="CE169" s="473"/>
      <c r="CF169" s="905" t="s">
        <v>6134</v>
      </c>
      <c r="CG169" s="902">
        <v>1.5</v>
      </c>
      <c r="CH169" s="469"/>
      <c r="CI169" s="470"/>
      <c r="CJ169" s="469"/>
      <c r="CK169" s="469"/>
      <c r="CL169" s="469"/>
      <c r="CM169" s="469"/>
    </row>
    <row r="170" spans="77:91" ht="20.100000000000001" customHeight="1">
      <c r="BY170" s="902" t="s">
        <v>1656</v>
      </c>
      <c r="BZ170" s="905">
        <v>0.5</v>
      </c>
      <c r="CA170" s="473" t="s">
        <v>6170</v>
      </c>
      <c r="CB170" s="473"/>
      <c r="CC170" s="473"/>
      <c r="CD170" s="473"/>
      <c r="CE170" s="473"/>
      <c r="CF170" s="473"/>
      <c r="CG170" s="473"/>
      <c r="CH170" s="469"/>
      <c r="CI170" s="470"/>
      <c r="CJ170" s="469"/>
      <c r="CK170" s="469"/>
      <c r="CL170" s="469"/>
      <c r="CM170" s="469"/>
    </row>
    <row r="171" spans="77:91" ht="20.100000000000001" customHeight="1">
      <c r="BY171" s="903" t="s">
        <v>6168</v>
      </c>
      <c r="BZ171" s="8"/>
      <c r="CA171" s="473"/>
      <c r="CB171" s="473"/>
      <c r="CC171" s="473"/>
      <c r="CD171" s="473"/>
      <c r="CE171" s="473"/>
      <c r="CF171" s="473"/>
      <c r="CG171" s="473"/>
      <c r="CH171" s="469"/>
      <c r="CI171" s="470"/>
      <c r="CJ171" s="469"/>
      <c r="CK171" s="469"/>
      <c r="CL171" s="469"/>
      <c r="CM171" s="469"/>
    </row>
    <row r="172" spans="77:91" ht="20.100000000000001" customHeight="1">
      <c r="BY172" s="903" t="s">
        <v>1093</v>
      </c>
      <c r="BZ172" s="8"/>
      <c r="CA172" s="473"/>
      <c r="CB172" s="903" t="s">
        <v>6179</v>
      </c>
      <c r="CC172" s="473"/>
      <c r="CD172" s="473"/>
      <c r="CE172" s="473"/>
      <c r="CF172" s="473"/>
      <c r="CG172" s="473"/>
      <c r="CH172" s="469"/>
      <c r="CI172" s="470"/>
      <c r="CJ172" s="469"/>
      <c r="CK172" s="469"/>
      <c r="CL172" s="469"/>
      <c r="CM172" s="469"/>
    </row>
    <row r="173" spans="77:91" ht="20.100000000000001" customHeight="1">
      <c r="BY173" s="902" t="s">
        <v>6169</v>
      </c>
      <c r="BZ173" s="905">
        <v>7.2</v>
      </c>
      <c r="CA173" s="473" t="s">
        <v>6170</v>
      </c>
      <c r="CB173" s="905" t="s">
        <v>6134</v>
      </c>
      <c r="CC173" s="902">
        <v>3.5</v>
      </c>
      <c r="CD173" s="473" t="s">
        <v>3893</v>
      </c>
      <c r="CE173" s="473"/>
      <c r="CF173" s="473"/>
      <c r="CG173" s="473"/>
      <c r="CH173" s="469"/>
      <c r="CI173" s="470"/>
      <c r="CJ173" s="469"/>
      <c r="CK173" s="469"/>
      <c r="CL173" s="469"/>
      <c r="CM173" s="469"/>
    </row>
    <row r="174" spans="77:91" ht="20.100000000000001" customHeight="1">
      <c r="BY174" s="902" t="s">
        <v>6172</v>
      </c>
      <c r="BZ174" s="905">
        <v>4.05</v>
      </c>
      <c r="CA174" s="473" t="s">
        <v>6170</v>
      </c>
      <c r="CB174" s="905" t="s">
        <v>6134</v>
      </c>
      <c r="CC174" s="907">
        <v>1</v>
      </c>
      <c r="CD174" s="473" t="s">
        <v>6180</v>
      </c>
      <c r="CE174" s="473"/>
      <c r="CF174" s="473"/>
      <c r="CG174" s="473"/>
      <c r="CH174" s="469"/>
      <c r="CI174" s="470"/>
      <c r="CJ174" s="469"/>
      <c r="CK174" s="469"/>
      <c r="CL174" s="469"/>
      <c r="CM174" s="469"/>
    </row>
    <row r="175" spans="77:91" ht="20.100000000000001" customHeight="1">
      <c r="BY175" s="902" t="s">
        <v>6173</v>
      </c>
      <c r="BZ175" s="905">
        <v>2.7</v>
      </c>
      <c r="CA175" s="473" t="s">
        <v>6170</v>
      </c>
      <c r="CB175" s="473"/>
      <c r="CC175" s="473"/>
      <c r="CD175" s="473"/>
      <c r="CE175" s="473"/>
      <c r="CF175" s="473"/>
      <c r="CG175" s="473"/>
      <c r="CH175" s="469"/>
      <c r="CI175" s="470"/>
      <c r="CJ175" s="469"/>
      <c r="CK175" s="469"/>
      <c r="CL175" s="469"/>
      <c r="CM175" s="469"/>
    </row>
    <row r="176" spans="77:91" ht="20.100000000000001" customHeight="1">
      <c r="BY176" s="902" t="s">
        <v>6174</v>
      </c>
      <c r="BZ176" s="905">
        <v>7.2</v>
      </c>
      <c r="CA176" s="473" t="s">
        <v>6170</v>
      </c>
      <c r="CB176" s="473"/>
      <c r="CC176" s="473"/>
      <c r="CD176" s="473"/>
      <c r="CE176" s="473"/>
      <c r="CF176" s="473"/>
      <c r="CG176" s="473"/>
      <c r="CH176" s="469"/>
      <c r="CI176" s="470"/>
      <c r="CJ176" s="469"/>
      <c r="CK176" s="469"/>
      <c r="CL176" s="469"/>
      <c r="CM176" s="469"/>
    </row>
    <row r="177" spans="77:91" ht="20.100000000000001" customHeight="1">
      <c r="BY177" s="902" t="s">
        <v>6175</v>
      </c>
      <c r="BZ177" s="905">
        <v>2.1</v>
      </c>
      <c r="CA177" s="473" t="s">
        <v>6170</v>
      </c>
      <c r="CB177" s="473"/>
      <c r="CC177" s="473"/>
      <c r="CD177" s="473"/>
      <c r="CE177" s="473"/>
      <c r="CF177" s="473"/>
      <c r="CG177" s="473"/>
      <c r="CH177" s="469"/>
      <c r="CI177" s="470"/>
      <c r="CJ177" s="469"/>
      <c r="CK177" s="469"/>
      <c r="CL177" s="469"/>
      <c r="CM177" s="469"/>
    </row>
    <row r="178" spans="77:91" ht="20.100000000000001" customHeight="1">
      <c r="BY178" s="902" t="s">
        <v>6176</v>
      </c>
      <c r="BZ178" s="905">
        <v>1.89</v>
      </c>
      <c r="CA178" s="473" t="s">
        <v>6170</v>
      </c>
      <c r="CB178" s="473"/>
      <c r="CC178" s="473"/>
      <c r="CD178" s="473"/>
      <c r="CE178" s="473"/>
      <c r="CF178" s="473"/>
      <c r="CG178" s="473"/>
      <c r="CH178" s="469"/>
      <c r="CI178" s="470"/>
      <c r="CJ178" s="469"/>
      <c r="CK178" s="469"/>
      <c r="CL178" s="469"/>
      <c r="CM178" s="469"/>
    </row>
    <row r="179" spans="77:91" ht="20.100000000000001" customHeight="1">
      <c r="BY179" s="902" t="s">
        <v>6177</v>
      </c>
      <c r="BZ179" s="905">
        <v>1.6</v>
      </c>
      <c r="CA179" s="473" t="s">
        <v>6170</v>
      </c>
      <c r="CB179" s="473"/>
      <c r="CC179" s="473"/>
      <c r="CD179" s="473"/>
      <c r="CE179" s="473"/>
      <c r="CF179" s="473"/>
      <c r="CG179" s="473"/>
      <c r="CH179" s="469"/>
      <c r="CI179" s="470"/>
      <c r="CJ179" s="469"/>
      <c r="CK179" s="469"/>
      <c r="CL179" s="469"/>
      <c r="CM179" s="469"/>
    </row>
    <row r="180" spans="77:91" ht="20.100000000000001" customHeight="1">
      <c r="BY180" s="902" t="s">
        <v>6178</v>
      </c>
      <c r="BZ180" s="905">
        <v>1.45</v>
      </c>
      <c r="CA180" s="473" t="s">
        <v>6170</v>
      </c>
      <c r="CB180" s="473"/>
      <c r="CC180" s="473"/>
      <c r="CD180" s="473"/>
      <c r="CE180" s="473"/>
      <c r="CF180" s="473"/>
      <c r="CG180" s="473"/>
      <c r="CH180" s="469"/>
      <c r="CI180" s="470"/>
      <c r="CJ180" s="469"/>
      <c r="CK180" s="469"/>
      <c r="CL180" s="469"/>
      <c r="CM180" s="469"/>
    </row>
    <row r="181" spans="77:91" ht="20.100000000000001" customHeight="1">
      <c r="BY181" s="8"/>
      <c r="BZ181" s="8"/>
      <c r="CA181" s="473"/>
      <c r="CB181" s="473"/>
      <c r="CC181" s="473"/>
      <c r="CD181" s="473"/>
      <c r="CE181" s="473"/>
      <c r="CF181" s="473"/>
      <c r="CG181" s="473"/>
      <c r="CH181" s="469"/>
      <c r="CI181" s="470"/>
      <c r="CJ181" s="469"/>
      <c r="CK181" s="469"/>
      <c r="CL181" s="469"/>
      <c r="CM181" s="469"/>
    </row>
    <row r="182" spans="77:91" ht="20.100000000000001" customHeight="1">
      <c r="BY182" s="8"/>
      <c r="BZ182" s="8"/>
      <c r="CA182" s="473"/>
      <c r="CB182" s="473"/>
      <c r="CC182" s="473"/>
      <c r="CD182" s="473"/>
      <c r="CE182" s="473"/>
      <c r="CF182" s="473"/>
      <c r="CG182" s="473"/>
      <c r="CH182" s="469"/>
      <c r="CI182" s="470"/>
      <c r="CJ182" s="469"/>
      <c r="CK182" s="469"/>
      <c r="CL182" s="469"/>
      <c r="CM182" s="469"/>
    </row>
    <row r="183" spans="77:91" ht="20.100000000000001" customHeight="1">
      <c r="BY183" s="8"/>
      <c r="BZ183" s="8"/>
      <c r="CA183" s="473"/>
      <c r="CB183" s="473"/>
      <c r="CC183" s="473"/>
      <c r="CD183" s="473"/>
      <c r="CE183" s="473"/>
      <c r="CF183" s="473"/>
      <c r="CG183" s="473"/>
      <c r="CH183" s="469"/>
      <c r="CI183" s="470"/>
      <c r="CJ183" s="469"/>
      <c r="CK183" s="469"/>
      <c r="CL183" s="469"/>
      <c r="CM183" s="469"/>
    </row>
    <row r="184" spans="77:91" ht="20.100000000000001" customHeight="1">
      <c r="BY184" s="8"/>
      <c r="BZ184" s="8"/>
      <c r="CA184" s="473"/>
      <c r="CB184" s="473"/>
      <c r="CC184" s="473"/>
      <c r="CD184" s="473"/>
      <c r="CE184" s="473"/>
      <c r="CF184" s="473"/>
      <c r="CG184" s="473"/>
      <c r="CH184" s="469"/>
      <c r="CI184" s="470"/>
      <c r="CJ184" s="469"/>
      <c r="CK184" s="469"/>
      <c r="CL184" s="469"/>
      <c r="CM184" s="469"/>
    </row>
    <row r="185" spans="77:91" ht="20.100000000000001" customHeight="1">
      <c r="BY185" s="8"/>
      <c r="BZ185" s="8"/>
      <c r="CA185" s="473"/>
      <c r="CB185" s="473"/>
      <c r="CC185" s="473"/>
      <c r="CD185" s="473"/>
      <c r="CE185" s="473"/>
      <c r="CF185" s="473"/>
      <c r="CG185" s="473"/>
      <c r="CH185" s="469"/>
      <c r="CI185" s="470"/>
      <c r="CJ185" s="469"/>
      <c r="CK185" s="469"/>
      <c r="CL185" s="469"/>
      <c r="CM185" s="469"/>
    </row>
    <row r="186" spans="77:91" ht="20.100000000000001" customHeight="1">
      <c r="BY186" s="8"/>
      <c r="BZ186" s="8"/>
      <c r="CA186" s="473"/>
      <c r="CB186" s="473"/>
      <c r="CC186" s="473"/>
      <c r="CD186" s="473"/>
      <c r="CE186" s="473"/>
      <c r="CF186" s="473"/>
      <c r="CG186" s="473"/>
      <c r="CH186" s="469"/>
      <c r="CI186" s="470"/>
      <c r="CJ186" s="469"/>
      <c r="CK186" s="469"/>
      <c r="CL186" s="469"/>
      <c r="CM186" s="469"/>
    </row>
    <row r="187" spans="77:91" ht="20.100000000000001" customHeight="1">
      <c r="BY187" s="8"/>
      <c r="BZ187" s="8"/>
      <c r="CA187" s="473"/>
      <c r="CB187" s="473"/>
      <c r="CC187" s="473"/>
      <c r="CD187" s="473"/>
      <c r="CE187" s="473"/>
      <c r="CF187" s="473"/>
      <c r="CG187" s="473"/>
      <c r="CH187" s="469"/>
      <c r="CI187" s="470"/>
      <c r="CJ187" s="469"/>
      <c r="CK187" s="469"/>
      <c r="CL187" s="469"/>
      <c r="CM187" s="469"/>
    </row>
    <row r="188" spans="77:91" ht="20.100000000000001" customHeight="1">
      <c r="BY188" s="8"/>
      <c r="BZ188" s="8"/>
      <c r="CA188" s="473"/>
      <c r="CB188" s="473"/>
      <c r="CC188" s="473"/>
      <c r="CD188" s="473"/>
      <c r="CE188" s="473"/>
      <c r="CF188" s="473"/>
      <c r="CG188" s="473"/>
      <c r="CH188" s="469"/>
      <c r="CI188" s="470"/>
      <c r="CJ188" s="469"/>
      <c r="CK188" s="469"/>
      <c r="CL188" s="469"/>
      <c r="CM188" s="469"/>
    </row>
    <row r="189" spans="77:91" ht="20.100000000000001" customHeight="1">
      <c r="BY189" s="8"/>
      <c r="BZ189" s="8"/>
      <c r="CA189" s="473"/>
      <c r="CB189" s="473"/>
      <c r="CC189" s="473"/>
      <c r="CD189" s="473"/>
      <c r="CE189" s="473"/>
      <c r="CF189" s="473"/>
      <c r="CG189" s="473"/>
      <c r="CH189" s="469"/>
      <c r="CI189" s="470"/>
      <c r="CJ189" s="469"/>
      <c r="CK189" s="469"/>
      <c r="CL189" s="469"/>
      <c r="CM189" s="469"/>
    </row>
    <row r="190" spans="77:91" ht="20.100000000000001" customHeight="1">
      <c r="BY190" s="8"/>
      <c r="BZ190" s="8"/>
      <c r="CA190" s="473"/>
      <c r="CB190" s="473"/>
      <c r="CC190" s="473"/>
      <c r="CD190" s="473"/>
      <c r="CE190" s="473"/>
      <c r="CF190" s="473"/>
      <c r="CG190" s="473"/>
      <c r="CH190" s="469"/>
      <c r="CI190" s="470"/>
      <c r="CJ190" s="469"/>
      <c r="CK190" s="469"/>
      <c r="CL190" s="469"/>
      <c r="CM190" s="469"/>
    </row>
    <row r="191" spans="77:91" ht="20.100000000000001" customHeight="1">
      <c r="BY191" s="8"/>
      <c r="BZ191" s="8"/>
      <c r="CA191" s="473"/>
      <c r="CB191" s="473"/>
      <c r="CC191" s="473"/>
      <c r="CD191" s="473"/>
      <c r="CE191" s="473"/>
      <c r="CF191" s="473"/>
      <c r="CG191" s="473"/>
      <c r="CH191" s="469"/>
      <c r="CI191" s="470"/>
      <c r="CJ191" s="469"/>
      <c r="CK191" s="469"/>
      <c r="CL191" s="469"/>
      <c r="CM191" s="469"/>
    </row>
    <row r="192" spans="77:91" ht="20.100000000000001" customHeight="1">
      <c r="BY192" s="8"/>
      <c r="BZ192" s="8"/>
      <c r="CA192" s="473"/>
      <c r="CB192" s="473"/>
      <c r="CC192" s="473"/>
      <c r="CD192" s="473"/>
      <c r="CE192" s="473"/>
      <c r="CF192" s="473"/>
      <c r="CG192" s="473"/>
      <c r="CH192" s="469"/>
      <c r="CI192" s="470"/>
      <c r="CJ192" s="469"/>
      <c r="CK192" s="469"/>
      <c r="CL192" s="469"/>
      <c r="CM192" s="469"/>
    </row>
    <row r="193" spans="77:91" ht="20.100000000000001" customHeight="1">
      <c r="BY193" s="8"/>
      <c r="BZ193" s="8"/>
      <c r="CA193" s="473"/>
      <c r="CB193" s="473"/>
      <c r="CC193" s="473"/>
      <c r="CD193" s="473"/>
      <c r="CE193" s="473"/>
      <c r="CF193" s="473"/>
      <c r="CG193" s="473"/>
      <c r="CH193" s="469"/>
      <c r="CI193" s="470"/>
      <c r="CJ193" s="469"/>
      <c r="CK193" s="469"/>
      <c r="CL193" s="469"/>
      <c r="CM193" s="469"/>
    </row>
    <row r="194" spans="77:91" ht="20.100000000000001" customHeight="1">
      <c r="BY194" s="8"/>
      <c r="BZ194" s="8"/>
      <c r="CA194" s="473"/>
      <c r="CB194" s="473"/>
      <c r="CC194" s="473"/>
      <c r="CD194" s="473"/>
      <c r="CE194" s="473"/>
      <c r="CF194" s="473"/>
      <c r="CG194" s="473"/>
      <c r="CH194" s="469"/>
      <c r="CI194" s="470"/>
      <c r="CJ194" s="469"/>
      <c r="CK194" s="469"/>
      <c r="CL194" s="469"/>
      <c r="CM194" s="469"/>
    </row>
    <row r="195" spans="77:91" ht="20.100000000000001" customHeight="1">
      <c r="BY195" s="8"/>
      <c r="BZ195" s="8"/>
      <c r="CA195" s="473"/>
      <c r="CB195" s="473"/>
      <c r="CC195" s="473"/>
      <c r="CD195" s="473"/>
      <c r="CE195" s="473"/>
      <c r="CF195" s="473"/>
      <c r="CG195" s="473"/>
      <c r="CH195" s="469"/>
      <c r="CI195" s="470"/>
      <c r="CJ195" s="469"/>
      <c r="CK195" s="469"/>
      <c r="CL195" s="469"/>
      <c r="CM195" s="469"/>
    </row>
    <row r="196" spans="77:91" ht="20.100000000000001" customHeight="1">
      <c r="BY196" s="8"/>
      <c r="BZ196" s="8"/>
      <c r="CA196" s="473"/>
      <c r="CB196" s="473"/>
      <c r="CC196" s="473"/>
      <c r="CD196" s="473"/>
      <c r="CE196" s="473"/>
      <c r="CF196" s="473"/>
      <c r="CG196" s="473"/>
      <c r="CH196" s="469"/>
      <c r="CI196" s="470"/>
      <c r="CJ196" s="469"/>
      <c r="CK196" s="469"/>
      <c r="CL196" s="469"/>
      <c r="CM196" s="469"/>
    </row>
    <row r="197" spans="77:91" ht="20.100000000000001" customHeight="1">
      <c r="BY197" s="8"/>
      <c r="BZ197" s="8"/>
      <c r="CA197" s="473"/>
      <c r="CB197" s="473"/>
      <c r="CC197" s="473"/>
      <c r="CD197" s="473"/>
      <c r="CE197" s="473"/>
      <c r="CF197" s="473"/>
      <c r="CG197" s="473"/>
      <c r="CH197" s="469"/>
      <c r="CI197" s="470"/>
      <c r="CJ197" s="469"/>
      <c r="CK197" s="469"/>
      <c r="CL197" s="469"/>
      <c r="CM197" s="469"/>
    </row>
    <row r="198" spans="77:91" ht="20.100000000000001" customHeight="1">
      <c r="BY198" s="8"/>
      <c r="BZ198" s="8"/>
      <c r="CA198" s="473"/>
      <c r="CB198" s="473"/>
      <c r="CC198" s="473"/>
      <c r="CD198" s="473"/>
      <c r="CE198" s="473"/>
      <c r="CF198" s="473"/>
      <c r="CG198" s="473"/>
      <c r="CH198" s="469"/>
      <c r="CI198" s="470"/>
      <c r="CJ198" s="469"/>
      <c r="CK198" s="469"/>
      <c r="CL198" s="469"/>
      <c r="CM198" s="469"/>
    </row>
    <row r="199" spans="77:91" ht="20.100000000000001" customHeight="1">
      <c r="BY199" s="8"/>
      <c r="BZ199" s="8"/>
      <c r="CA199" s="473"/>
      <c r="CB199" s="473"/>
      <c r="CC199" s="473"/>
      <c r="CD199" s="473"/>
      <c r="CE199" s="473"/>
      <c r="CF199" s="473"/>
      <c r="CG199" s="473"/>
      <c r="CH199" s="469"/>
      <c r="CI199" s="470"/>
      <c r="CJ199" s="469"/>
      <c r="CK199" s="469"/>
      <c r="CL199" s="469"/>
      <c r="CM199" s="469"/>
    </row>
    <row r="200" spans="77:91" ht="20.100000000000001" customHeight="1">
      <c r="BY200" s="8"/>
      <c r="BZ200" s="8"/>
      <c r="CA200" s="473"/>
      <c r="CB200" s="473"/>
      <c r="CC200" s="473"/>
      <c r="CD200" s="473"/>
      <c r="CE200" s="473"/>
      <c r="CF200" s="473"/>
      <c r="CG200" s="473"/>
      <c r="CH200" s="469"/>
      <c r="CI200" s="470"/>
      <c r="CJ200" s="469"/>
      <c r="CK200" s="469"/>
      <c r="CL200" s="469"/>
      <c r="CM200" s="469"/>
    </row>
    <row r="201" spans="77:91" ht="20.100000000000001" customHeight="1">
      <c r="BY201" s="8"/>
      <c r="BZ201" s="8"/>
      <c r="CA201" s="473"/>
      <c r="CB201" s="473"/>
      <c r="CC201" s="473"/>
      <c r="CD201" s="473"/>
      <c r="CE201" s="473"/>
      <c r="CF201" s="473"/>
      <c r="CG201" s="473"/>
      <c r="CH201" s="469"/>
      <c r="CI201" s="470"/>
      <c r="CJ201" s="469"/>
      <c r="CK201" s="469"/>
      <c r="CL201" s="469"/>
      <c r="CM201" s="469"/>
    </row>
    <row r="202" spans="77:91" ht="20.100000000000001" customHeight="1">
      <c r="BY202" s="8"/>
      <c r="BZ202" s="8"/>
      <c r="CA202" s="473"/>
      <c r="CB202" s="473"/>
      <c r="CC202" s="473"/>
      <c r="CD202" s="473"/>
      <c r="CE202" s="473"/>
      <c r="CF202" s="473"/>
      <c r="CG202" s="473"/>
      <c r="CH202" s="469"/>
      <c r="CI202" s="470"/>
      <c r="CJ202" s="469"/>
      <c r="CK202" s="469"/>
      <c r="CL202" s="469"/>
      <c r="CM202" s="469"/>
    </row>
    <row r="203" spans="77:91" ht="20.100000000000001" customHeight="1">
      <c r="BY203" s="8"/>
      <c r="BZ203" s="8"/>
      <c r="CA203" s="473"/>
      <c r="CB203" s="473"/>
      <c r="CC203" s="473"/>
      <c r="CD203" s="473"/>
      <c r="CE203" s="473"/>
      <c r="CF203" s="473"/>
      <c r="CG203" s="473"/>
      <c r="CH203" s="469"/>
      <c r="CI203" s="470"/>
      <c r="CJ203" s="469"/>
      <c r="CK203" s="469"/>
      <c r="CL203" s="469"/>
      <c r="CM203" s="469"/>
    </row>
    <row r="204" spans="77:91" ht="20.100000000000001" customHeight="1">
      <c r="BY204" s="8"/>
      <c r="BZ204" s="8"/>
      <c r="CA204" s="473"/>
      <c r="CB204" s="473"/>
      <c r="CC204" s="473"/>
      <c r="CD204" s="473"/>
      <c r="CE204" s="473"/>
      <c r="CF204" s="473"/>
      <c r="CG204" s="473"/>
      <c r="CH204" s="469"/>
      <c r="CI204" s="470"/>
      <c r="CJ204" s="469"/>
      <c r="CK204" s="469"/>
      <c r="CL204" s="469"/>
      <c r="CM204" s="469"/>
    </row>
    <row r="205" spans="77:91" ht="20.100000000000001" customHeight="1">
      <c r="BY205" s="8"/>
      <c r="BZ205" s="8"/>
      <c r="CA205" s="473"/>
      <c r="CB205" s="473"/>
      <c r="CC205" s="473"/>
      <c r="CD205" s="473"/>
      <c r="CE205" s="473"/>
      <c r="CF205" s="473"/>
      <c r="CG205" s="473"/>
      <c r="CH205" s="469"/>
      <c r="CI205" s="470"/>
      <c r="CJ205" s="469"/>
      <c r="CK205" s="469"/>
      <c r="CL205" s="469"/>
      <c r="CM205" s="469"/>
    </row>
    <row r="206" spans="77:91" ht="20.100000000000001" customHeight="1">
      <c r="BY206" s="469"/>
      <c r="BZ206" s="469"/>
      <c r="CA206" s="469"/>
      <c r="CB206" s="469"/>
      <c r="CC206" s="469"/>
      <c r="CD206" s="469"/>
      <c r="CE206" s="469"/>
      <c r="CF206" s="469"/>
      <c r="CG206" s="469"/>
      <c r="CH206" s="469"/>
      <c r="CI206" s="470"/>
      <c r="CJ206" s="469"/>
      <c r="CK206" s="469"/>
      <c r="CL206" s="469"/>
      <c r="CM206" s="469"/>
    </row>
  </sheetData>
  <mergeCells count="450">
    <mergeCell ref="AU34:AV34"/>
    <mergeCell ref="AU36:AV36"/>
    <mergeCell ref="AU35:AV35"/>
    <mergeCell ref="C34:T34"/>
    <mergeCell ref="C36:T36"/>
    <mergeCell ref="CK2:CK3"/>
    <mergeCell ref="CG2:CG3"/>
    <mergeCell ref="CH2:CH3"/>
    <mergeCell ref="CI2:CI3"/>
    <mergeCell ref="CJ2:CJ3"/>
    <mergeCell ref="BR29:BU29"/>
    <mergeCell ref="BR34:BU34"/>
    <mergeCell ref="AW29:BM29"/>
    <mergeCell ref="AU33:AV33"/>
    <mergeCell ref="BN30:BQ30"/>
    <mergeCell ref="BN29:BQ29"/>
    <mergeCell ref="AU30:AV30"/>
    <mergeCell ref="AU31:AV31"/>
    <mergeCell ref="AU32:AV32"/>
    <mergeCell ref="AU29:AV29"/>
    <mergeCell ref="C16:T16"/>
    <mergeCell ref="U27:AL27"/>
    <mergeCell ref="U22:AL22"/>
    <mergeCell ref="U28:AL28"/>
    <mergeCell ref="DC37:DD37"/>
    <mergeCell ref="DC38:DD38"/>
    <mergeCell ref="DC39:DD39"/>
    <mergeCell ref="DC43:DD43"/>
    <mergeCell ref="DC41:DD41"/>
    <mergeCell ref="DC42:DD42"/>
    <mergeCell ref="DC32:DD32"/>
    <mergeCell ref="DC34:DD34"/>
    <mergeCell ref="DC33:DD33"/>
    <mergeCell ref="DC50:DD50"/>
    <mergeCell ref="DC35:DD35"/>
    <mergeCell ref="CX45:CY45"/>
    <mergeCell ref="CX50:CY50"/>
    <mergeCell ref="DC48:DD48"/>
    <mergeCell ref="DC49:DD49"/>
    <mergeCell ref="DC47:DD47"/>
    <mergeCell ref="CX41:CY41"/>
    <mergeCell ref="BL46:BP46"/>
    <mergeCell ref="BL45:BP45"/>
    <mergeCell ref="DC40:DD40"/>
    <mergeCell ref="CX49:CY49"/>
    <mergeCell ref="CT47:CU47"/>
    <mergeCell ref="CX43:CY43"/>
    <mergeCell ref="DC45:DD45"/>
    <mergeCell ref="CT37:CU37"/>
    <mergeCell ref="CT39:CU39"/>
    <mergeCell ref="CX37:CY37"/>
    <mergeCell ref="CX35:CY35"/>
    <mergeCell ref="DC46:DD46"/>
    <mergeCell ref="CI50:CL50"/>
    <mergeCell ref="CI47:CL47"/>
    <mergeCell ref="CI42:CL42"/>
    <mergeCell ref="CI37:CL37"/>
    <mergeCell ref="CD4:CD6"/>
    <mergeCell ref="AW45:BF45"/>
    <mergeCell ref="DB27:DB28"/>
    <mergeCell ref="AW33:BM33"/>
    <mergeCell ref="CX31:CY31"/>
    <mergeCell ref="DC27:DD28"/>
    <mergeCell ref="DC29:DD29"/>
    <mergeCell ref="BN31:BQ31"/>
    <mergeCell ref="AW41:BF41"/>
    <mergeCell ref="AW30:BM30"/>
    <mergeCell ref="AW28:BM28"/>
    <mergeCell ref="AW27:BM27"/>
    <mergeCell ref="AW43:BF43"/>
    <mergeCell ref="AW44:BF44"/>
    <mergeCell ref="BG45:BJ45"/>
    <mergeCell ref="BG44:BJ44"/>
    <mergeCell ref="BN27:BQ27"/>
    <mergeCell ref="BN28:BQ28"/>
    <mergeCell ref="BG42:BJ42"/>
    <mergeCell ref="BG41:BJ41"/>
    <mergeCell ref="AW40:BJ40"/>
    <mergeCell ref="BQ40:BU40"/>
    <mergeCell ref="DC44:DD44"/>
    <mergeCell ref="DC36:DD36"/>
    <mergeCell ref="U32:AL32"/>
    <mergeCell ref="DC30:DD30"/>
    <mergeCell ref="DC31:DD31"/>
    <mergeCell ref="C2:T2"/>
    <mergeCell ref="C5:T5"/>
    <mergeCell ref="C3:T4"/>
    <mergeCell ref="C6:H10"/>
    <mergeCell ref="I8:T8"/>
    <mergeCell ref="I9:T9"/>
    <mergeCell ref="I10:T10"/>
    <mergeCell ref="I7:T7"/>
    <mergeCell ref="I6:T6"/>
    <mergeCell ref="C11:T11"/>
    <mergeCell ref="U10:AC10"/>
    <mergeCell ref="AD10:AL10"/>
    <mergeCell ref="C18:T18"/>
    <mergeCell ref="C13:T13"/>
    <mergeCell ref="U11:AL11"/>
    <mergeCell ref="C12:T12"/>
    <mergeCell ref="C15:T15"/>
    <mergeCell ref="C14:T14"/>
    <mergeCell ref="C17:T17"/>
    <mergeCell ref="CN1:CQ2"/>
    <mergeCell ref="C19:T19"/>
    <mergeCell ref="AU27:AV27"/>
    <mergeCell ref="U21:AL21"/>
    <mergeCell ref="C23:T23"/>
    <mergeCell ref="U23:AL23"/>
    <mergeCell ref="C27:T27"/>
    <mergeCell ref="C22:T22"/>
    <mergeCell ref="C21:T21"/>
    <mergeCell ref="C24:T24"/>
    <mergeCell ref="U24:AL24"/>
    <mergeCell ref="C26:T26"/>
    <mergeCell ref="U26:AL26"/>
    <mergeCell ref="AJ16:BE16"/>
    <mergeCell ref="AJ15:BE15"/>
    <mergeCell ref="C20:T20"/>
    <mergeCell ref="U20:AL20"/>
    <mergeCell ref="AM18:AQ18"/>
    <mergeCell ref="W18:AL18"/>
    <mergeCell ref="U16:AD16"/>
    <mergeCell ref="U19:AL19"/>
    <mergeCell ref="U18:V18"/>
    <mergeCell ref="AE16:AI16"/>
    <mergeCell ref="AU37:AV37"/>
    <mergeCell ref="U41:AL41"/>
    <mergeCell ref="AU38:AV38"/>
    <mergeCell ref="U51:AL51"/>
    <mergeCell ref="U42:AL42"/>
    <mergeCell ref="U48:AL48"/>
    <mergeCell ref="U46:AL46"/>
    <mergeCell ref="U47:AL47"/>
    <mergeCell ref="U45:AL45"/>
    <mergeCell ref="U50:AL50"/>
    <mergeCell ref="U37:AL37"/>
    <mergeCell ref="BR27:BU27"/>
    <mergeCell ref="AW42:BF42"/>
    <mergeCell ref="BR30:BU30"/>
    <mergeCell ref="AW32:BM32"/>
    <mergeCell ref="AW31:BM31"/>
    <mergeCell ref="AW34:BM34"/>
    <mergeCell ref="AW36:BM36"/>
    <mergeCell ref="AW35:BM35"/>
    <mergeCell ref="BR32:BU32"/>
    <mergeCell ref="BN32:BQ32"/>
    <mergeCell ref="BN33:BQ33"/>
    <mergeCell ref="BN34:BQ34"/>
    <mergeCell ref="BR35:BU35"/>
    <mergeCell ref="BR37:BU37"/>
    <mergeCell ref="BN35:BQ35"/>
    <mergeCell ref="BR36:BU36"/>
    <mergeCell ref="BN36:BQ36"/>
    <mergeCell ref="BN37:BQ37"/>
    <mergeCell ref="BQ41:BU41"/>
    <mergeCell ref="BN38:BQ38"/>
    <mergeCell ref="BR38:BU38"/>
    <mergeCell ref="BQ49:BU49"/>
    <mergeCell ref="BQ52:BU52"/>
    <mergeCell ref="BQ51:BU51"/>
    <mergeCell ref="BQ45:BU45"/>
    <mergeCell ref="BL44:BP44"/>
    <mergeCell ref="BL51:BP51"/>
    <mergeCell ref="BL40:BP40"/>
    <mergeCell ref="AW38:BM38"/>
    <mergeCell ref="BL42:BP42"/>
    <mergeCell ref="AW46:BF46"/>
    <mergeCell ref="AW47:BF47"/>
    <mergeCell ref="AW48:BF48"/>
    <mergeCell ref="BG48:BJ48"/>
    <mergeCell ref="BG47:BJ47"/>
    <mergeCell ref="BQ42:BU42"/>
    <mergeCell ref="BL43:BP43"/>
    <mergeCell ref="BQ46:BU46"/>
    <mergeCell ref="BG46:BJ46"/>
    <mergeCell ref="CX48:CY48"/>
    <mergeCell ref="CT46:CU46"/>
    <mergeCell ref="CX46:CY46"/>
    <mergeCell ref="CT45:CU45"/>
    <mergeCell ref="CT44:CU44"/>
    <mergeCell ref="CX47:CY47"/>
    <mergeCell ref="CI45:CL45"/>
    <mergeCell ref="CT48:CU48"/>
    <mergeCell ref="CI46:CL46"/>
    <mergeCell ref="CX44:CY44"/>
    <mergeCell ref="CI48:CL48"/>
    <mergeCell ref="CM55:CM60"/>
    <mergeCell ref="CK55:CK60"/>
    <mergeCell ref="CL55:CL60"/>
    <mergeCell ref="CT50:CU50"/>
    <mergeCell ref="CT49:CU49"/>
    <mergeCell ref="CI31:CL31"/>
    <mergeCell ref="CI33:CL33"/>
    <mergeCell ref="CI32:CL32"/>
    <mergeCell ref="CI36:CL36"/>
    <mergeCell ref="CI40:CL40"/>
    <mergeCell ref="CJ55:CJ60"/>
    <mergeCell ref="CI55:CI60"/>
    <mergeCell ref="CA54:CL54"/>
    <mergeCell ref="CI49:CL49"/>
    <mergeCell ref="CI44:CL44"/>
    <mergeCell ref="CT43:CU43"/>
    <mergeCell ref="CT42:CU42"/>
    <mergeCell ref="CT38:CU38"/>
    <mergeCell ref="CI41:CL41"/>
    <mergeCell ref="CI43:CL43"/>
    <mergeCell ref="BZ42:CA42"/>
    <mergeCell ref="BZ43:CA43"/>
    <mergeCell ref="BZ41:CA41"/>
    <mergeCell ref="CI38:CL38"/>
    <mergeCell ref="CX32:CY32"/>
    <mergeCell ref="CT30:CU30"/>
    <mergeCell ref="CT28:CU28"/>
    <mergeCell ref="CT29:CU29"/>
    <mergeCell ref="CX29:CY29"/>
    <mergeCell ref="CX30:CY30"/>
    <mergeCell ref="CX28:CY28"/>
    <mergeCell ref="CX38:CY38"/>
    <mergeCell ref="CT22:CU22"/>
    <mergeCell ref="CX22:CY22"/>
    <mergeCell ref="CT31:CU31"/>
    <mergeCell ref="CT32:CU32"/>
    <mergeCell ref="CT33:CU33"/>
    <mergeCell ref="CT27:DA27"/>
    <mergeCell ref="CX42:CY42"/>
    <mergeCell ref="CX33:CY33"/>
    <mergeCell ref="CT40:CU40"/>
    <mergeCell ref="CT41:CU41"/>
    <mergeCell ref="CX34:CY34"/>
    <mergeCell ref="CX36:CY36"/>
    <mergeCell ref="CX40:CY40"/>
    <mergeCell ref="CI34:CL34"/>
    <mergeCell ref="CI35:CL35"/>
    <mergeCell ref="CT34:CU34"/>
    <mergeCell ref="CT36:CU36"/>
    <mergeCell ref="CT35:CU35"/>
    <mergeCell ref="CI39:CL39"/>
    <mergeCell ref="CX39:CY39"/>
    <mergeCell ref="BZ3:CA3"/>
    <mergeCell ref="BZ4:BZ6"/>
    <mergeCell ref="BZ7:BZ9"/>
    <mergeCell ref="BZ10:BZ12"/>
    <mergeCell ref="BZ35:CA35"/>
    <mergeCell ref="CB14:CC14"/>
    <mergeCell ref="CR27:CS27"/>
    <mergeCell ref="CD13:CD15"/>
    <mergeCell ref="CI28:CL28"/>
    <mergeCell ref="BZ32:CA32"/>
    <mergeCell ref="CI30:CL30"/>
    <mergeCell ref="CI29:CL29"/>
    <mergeCell ref="CF27:CG27"/>
    <mergeCell ref="BZ29:CA29"/>
    <mergeCell ref="BY27:CA28"/>
    <mergeCell ref="BZ30:CA30"/>
    <mergeCell ref="CH27:CH28"/>
    <mergeCell ref="CB3:CC3"/>
    <mergeCell ref="CB8:CC8"/>
    <mergeCell ref="CD7:CD9"/>
    <mergeCell ref="CB7:CC7"/>
    <mergeCell ref="CB6:CC6"/>
    <mergeCell ref="CD10:CD12"/>
    <mergeCell ref="CB11:CC11"/>
    <mergeCell ref="CB4:CC4"/>
    <mergeCell ref="BZ38:CA38"/>
    <mergeCell ref="BZ40:CA40"/>
    <mergeCell ref="BZ39:CA39"/>
    <mergeCell ref="CB10:CC10"/>
    <mergeCell ref="CB9:CC9"/>
    <mergeCell ref="CB13:CC13"/>
    <mergeCell ref="BZ34:CA34"/>
    <mergeCell ref="BZ37:CA37"/>
    <mergeCell ref="CB12:CC12"/>
    <mergeCell ref="CB15:CC15"/>
    <mergeCell ref="BZ33:CA33"/>
    <mergeCell ref="BZ13:BZ15"/>
    <mergeCell ref="CB5:CC5"/>
    <mergeCell ref="BZ31:CA31"/>
    <mergeCell ref="BY116:BZ116"/>
    <mergeCell ref="BY112:BZ112"/>
    <mergeCell ref="BY113:BZ113"/>
    <mergeCell ref="BY114:BZ114"/>
    <mergeCell ref="BY115:BZ115"/>
    <mergeCell ref="BY110:BZ110"/>
    <mergeCell ref="BY111:BZ111"/>
    <mergeCell ref="BY109:BZ109"/>
    <mergeCell ref="BY107:BZ107"/>
    <mergeCell ref="BY108:BZ108"/>
    <mergeCell ref="BY89:BZ89"/>
    <mergeCell ref="BY92:BZ92"/>
    <mergeCell ref="BY95:BZ95"/>
    <mergeCell ref="BZ47:CA47"/>
    <mergeCell ref="BZ45:CA45"/>
    <mergeCell ref="U55:AL55"/>
    <mergeCell ref="U56:AL56"/>
    <mergeCell ref="C67:T67"/>
    <mergeCell ref="C69:T69"/>
    <mergeCell ref="BY83:BZ83"/>
    <mergeCell ref="BY94:BZ94"/>
    <mergeCell ref="BY93:BZ93"/>
    <mergeCell ref="BY88:BZ88"/>
    <mergeCell ref="BY80:BZ80"/>
    <mergeCell ref="BY81:BZ81"/>
    <mergeCell ref="BY87:BZ87"/>
    <mergeCell ref="BY85:BZ85"/>
    <mergeCell ref="BY86:BZ86"/>
    <mergeCell ref="BY84:BZ84"/>
    <mergeCell ref="BY73:BZ73"/>
    <mergeCell ref="BY74:BZ74"/>
    <mergeCell ref="BY37:BY50"/>
    <mergeCell ref="BQ50:BU50"/>
    <mergeCell ref="BL48:BP48"/>
    <mergeCell ref="BY33:BY36"/>
    <mergeCell ref="BY82:BZ82"/>
    <mergeCell ref="BZ66:BZ67"/>
    <mergeCell ref="BZ36:CA36"/>
    <mergeCell ref="BZ48:CA48"/>
    <mergeCell ref="BZ46:CA46"/>
    <mergeCell ref="BZ49:CA49"/>
    <mergeCell ref="BY29:BY32"/>
    <mergeCell ref="BZ44:CA44"/>
    <mergeCell ref="BY101:BZ101"/>
    <mergeCell ref="BY102:BZ102"/>
    <mergeCell ref="BY103:BZ103"/>
    <mergeCell ref="BY104:BZ104"/>
    <mergeCell ref="BY106:BZ106"/>
    <mergeCell ref="BY90:BZ90"/>
    <mergeCell ref="BY91:BZ91"/>
    <mergeCell ref="BY100:BZ100"/>
    <mergeCell ref="BY99:BZ99"/>
    <mergeCell ref="BY97:BZ97"/>
    <mergeCell ref="BY98:BZ98"/>
    <mergeCell ref="BY105:BZ105"/>
    <mergeCell ref="BY96:BZ96"/>
    <mergeCell ref="CL77:CL79"/>
    <mergeCell ref="CH77:CJ78"/>
    <mergeCell ref="CC77:CC79"/>
    <mergeCell ref="CD77:CD79"/>
    <mergeCell ref="CE77:CG78"/>
    <mergeCell ref="CE55:CE60"/>
    <mergeCell ref="CA55:CA60"/>
    <mergeCell ref="CK77:CK79"/>
    <mergeCell ref="BZ50:CA50"/>
    <mergeCell ref="CH55:CH60"/>
    <mergeCell ref="CD55:CD60"/>
    <mergeCell ref="CF55:CF60"/>
    <mergeCell ref="CG55:CG60"/>
    <mergeCell ref="CB55:CB60"/>
    <mergeCell ref="CB77:CB79"/>
    <mergeCell ref="CA77:CA79"/>
    <mergeCell ref="BZ54:BZ60"/>
    <mergeCell ref="CA70:CG70"/>
    <mergeCell ref="CC55:CC60"/>
    <mergeCell ref="BY70:BZ71"/>
    <mergeCell ref="BY72:BZ72"/>
    <mergeCell ref="BY54:BY60"/>
    <mergeCell ref="BZ61:BZ62"/>
    <mergeCell ref="BZ64:BZ65"/>
    <mergeCell ref="U69:AL69"/>
    <mergeCell ref="C65:T65"/>
    <mergeCell ref="U65:AL65"/>
    <mergeCell ref="C64:T64"/>
    <mergeCell ref="U64:AL64"/>
    <mergeCell ref="C62:T62"/>
    <mergeCell ref="U61:AL61"/>
    <mergeCell ref="C59:T59"/>
    <mergeCell ref="C68:T68"/>
    <mergeCell ref="C60:T60"/>
    <mergeCell ref="U60:AL60"/>
    <mergeCell ref="U62:AL62"/>
    <mergeCell ref="C61:T61"/>
    <mergeCell ref="U66:AL66"/>
    <mergeCell ref="C66:T66"/>
    <mergeCell ref="C49:T49"/>
    <mergeCell ref="C58:T58"/>
    <mergeCell ref="U58:AL58"/>
    <mergeCell ref="C50:T50"/>
    <mergeCell ref="C53:T53"/>
    <mergeCell ref="U53:AL53"/>
    <mergeCell ref="C51:T51"/>
    <mergeCell ref="U54:AL54"/>
    <mergeCell ref="U49:AL49"/>
    <mergeCell ref="C54:T54"/>
    <mergeCell ref="U30:AL30"/>
    <mergeCell ref="U29:AL29"/>
    <mergeCell ref="C45:T45"/>
    <mergeCell ref="C48:T48"/>
    <mergeCell ref="C46:T46"/>
    <mergeCell ref="C28:T28"/>
    <mergeCell ref="C33:T33"/>
    <mergeCell ref="C32:T32"/>
    <mergeCell ref="C35:T35"/>
    <mergeCell ref="C37:T37"/>
    <mergeCell ref="C40:T40"/>
    <mergeCell ref="C41:T42"/>
    <mergeCell ref="C47:T47"/>
    <mergeCell ref="U40:AL40"/>
    <mergeCell ref="U43:AL43"/>
    <mergeCell ref="C43:T43"/>
    <mergeCell ref="C39:T39"/>
    <mergeCell ref="C44:T44"/>
    <mergeCell ref="U44:AL44"/>
    <mergeCell ref="C30:T30"/>
    <mergeCell ref="U34:AL34"/>
    <mergeCell ref="U35:AL35"/>
    <mergeCell ref="C29:T29"/>
    <mergeCell ref="C31:T31"/>
    <mergeCell ref="AJ2:AL2"/>
    <mergeCell ref="U13:BE13"/>
    <mergeCell ref="U15:AD15"/>
    <mergeCell ref="AE15:AI15"/>
    <mergeCell ref="U2:AC2"/>
    <mergeCell ref="U14:BE14"/>
    <mergeCell ref="AS2:AU2"/>
    <mergeCell ref="U3:BX3"/>
    <mergeCell ref="U4:BX4"/>
    <mergeCell ref="U5:BX5"/>
    <mergeCell ref="U12:AL12"/>
    <mergeCell ref="AD7:AL7"/>
    <mergeCell ref="U6:AC6"/>
    <mergeCell ref="AD6:AL6"/>
    <mergeCell ref="U7:AC7"/>
    <mergeCell ref="U8:AC8"/>
    <mergeCell ref="AD8:AL8"/>
    <mergeCell ref="U9:AC9"/>
    <mergeCell ref="AD9:AL9"/>
    <mergeCell ref="AU28:AV28"/>
    <mergeCell ref="AR18:BE18"/>
    <mergeCell ref="U17:BE17"/>
    <mergeCell ref="U39:AL39"/>
    <mergeCell ref="U36:AL36"/>
    <mergeCell ref="U67:AL67"/>
    <mergeCell ref="U68:AL68"/>
    <mergeCell ref="BR31:BU31"/>
    <mergeCell ref="BR33:BU33"/>
    <mergeCell ref="U33:AL33"/>
    <mergeCell ref="U31:AL31"/>
    <mergeCell ref="U59:AL59"/>
    <mergeCell ref="BR28:BU28"/>
    <mergeCell ref="BL41:BP41"/>
    <mergeCell ref="BL49:BP49"/>
    <mergeCell ref="BL47:BP47"/>
    <mergeCell ref="BL50:BP50"/>
    <mergeCell ref="AW37:BM37"/>
    <mergeCell ref="BG43:BJ43"/>
    <mergeCell ref="BL52:BP52"/>
    <mergeCell ref="BQ43:BU43"/>
    <mergeCell ref="BQ44:BU44"/>
    <mergeCell ref="BQ47:BU47"/>
    <mergeCell ref="BQ48:BU48"/>
  </mergeCells>
  <phoneticPr fontId="75" type="noConversion"/>
  <dataValidations xWindow="188" yWindow="272" count="38">
    <dataValidation type="list" allowBlank="1" showInputMessage="1" showErrorMessage="1" prompt="Sét                =    70 (Ωm)_x000a_vườn, ruộng =     30 (Ωm)_x000a_đất đen         =     20 (Ωm)_x000a_đá vôi            = 2000 (Ωm)_x000a_đất vàng       =   250 (Ωm)_x000a_sét vôi           = 2000 (Ωm)_x000a_cát khô          =   500 (Ωm)_x000a_đất than bùn =     10 (Ωm)" sqref="U33:AL33" xr:uid="{00000000-0002-0000-0000-000000000000}">
      <formula1>BG$41:$BG$48</formula1>
    </dataValidation>
    <dataValidation type="list" allowBlank="1" showInputMessage="1" showErrorMessage="1" sqref="U45:AL45" xr:uid="{00000000-0002-0000-0000-000001000000}">
      <formula1>$AO$45:$AP$45</formula1>
    </dataValidation>
    <dataValidation type="list" allowBlank="1" showInputMessage="1" showErrorMessage="1" sqref="U46:AL47" xr:uid="{00000000-0002-0000-0000-000002000000}">
      <formula1>$BY$80:$BY$116</formula1>
    </dataValidation>
    <dataValidation type="list" allowBlank="1" showInputMessage="1" showErrorMessage="1" sqref="U48:AL48" xr:uid="{00000000-0002-0000-0000-000003000000}">
      <formula1>$CE$4:$CE$7</formula1>
    </dataValidation>
    <dataValidation type="list" allowBlank="1" showInputMessage="1" showErrorMessage="1" sqref="U49:AL49" xr:uid="{00000000-0002-0000-0000-000004000000}">
      <formula1>$CL$4:$CL$7</formula1>
    </dataValidation>
    <dataValidation type="list" allowBlank="1" showInputMessage="1" showErrorMessage="1" sqref="U50:AL50" xr:uid="{00000000-0002-0000-0000-000005000000}">
      <formula1>$CS$5:$CS$17</formula1>
    </dataValidation>
    <dataValidation type="list" allowBlank="1" showInputMessage="1" showErrorMessage="1" sqref="U29:AL29" xr:uid="{00000000-0002-0000-0000-000006000000}">
      <formula1>$BZ$29:$BZ$50</formula1>
    </dataValidation>
    <dataValidation allowBlank="1" showInputMessage="1" showErrorMessage="1" prompt="CHỮ IN HOA" sqref="W18:AL18 AR18:BE18 U13:BE13 U3:U4 V4:BX4" xr:uid="{00000000-0002-0000-0000-000007000000}"/>
    <dataValidation allowBlank="1" showInputMessage="1" showErrorMessage="1" prompt="Chữ thường" sqref="U14:BE14 U19:AL19 AJ16:BE16 U5:BX5" xr:uid="{00000000-0002-0000-0000-000008000000}"/>
    <dataValidation type="list" allowBlank="1" showInputMessage="1" showErrorMessage="1" sqref="U18:V18" xr:uid="{00000000-0002-0000-0000-000009000000}">
      <formula1>$BF$18:$BG$18</formula1>
    </dataValidation>
    <dataValidation type="list" allowBlank="1" showInputMessage="1" showErrorMessage="1" sqref="U27" xr:uid="{00000000-0002-0000-0000-00000A000000}">
      <formula1>$AW$28:$AW$38</formula1>
    </dataValidation>
    <dataValidation type="list" allowBlank="1" showInputMessage="1" showErrorMessage="1" sqref="U11:AL11" xr:uid="{00000000-0002-0000-0000-00000B000000}">
      <formula1>$AN$11:$AO$11</formula1>
    </dataValidation>
    <dataValidation type="list" allowBlank="1" showInputMessage="1" showErrorMessage="1" sqref="U12:AL12" xr:uid="{00000000-0002-0000-0000-00000C000000}">
      <formula1>$AN$12:$AO$12</formula1>
    </dataValidation>
    <dataValidation allowBlank="1" showInputMessage="1" showErrorMessage="1" prompt="Sách Thiết Kế Cấp Điện - NXB KH&amp;KT_x000a_PL IV.14 - trng 290" sqref="CO28:CQ28" xr:uid="{00000000-0002-0000-0000-00000D000000}"/>
    <dataValidation allowBlank="1" showInputMessage="1" showErrorMessage="1" prompt="Nếu chỉ 1 khoảng trụ: NHẬP = 0" sqref="U42:AL42" xr:uid="{00000000-0002-0000-0000-00000E000000}"/>
    <dataValidation type="list" allowBlank="1" showInputMessage="1" showErrorMessage="1" prompt="Chữ thường" sqref="U20:AL20" xr:uid="{00000000-0002-0000-0000-00000F000000}">
      <formula1>$C$73:$C$81</formula1>
    </dataValidation>
    <dataValidation type="list" allowBlank="1" showInputMessage="1" showErrorMessage="1" prompt="Chữ thường" sqref="U21:AL21" xr:uid="{00000000-0002-0000-0000-000010000000}">
      <formula1>$X$73:$X$82</formula1>
    </dataValidation>
    <dataValidation allowBlank="1" showInputMessage="1" showErrorMessage="1" prompt="Chữ Thường" sqref="U22:AL24" xr:uid="{00000000-0002-0000-0000-000011000000}"/>
    <dataValidation type="list" allowBlank="1" showInputMessage="1" showErrorMessage="1" sqref="U39:AL39" xr:uid="{00000000-0002-0000-0000-000012000000}">
      <formula1>$AW$51:$AW$52</formula1>
    </dataValidation>
    <dataValidation type="list" allowBlank="1" showInputMessage="1" showErrorMessage="1" sqref="U54:AL54" xr:uid="{00000000-0002-0000-0000-000013000000}">
      <formula1>$AW$55:$AW$57</formula1>
    </dataValidation>
    <dataValidation type="list" allowBlank="1" showInputMessage="1" showErrorMessage="1" sqref="U55:AL55" xr:uid="{00000000-0002-0000-0000-000014000000}">
      <formula1>$BY$118:$BY$131</formula1>
    </dataValidation>
    <dataValidation type="list" allowBlank="1" showInputMessage="1" showErrorMessage="1" sqref="U56:AL56" xr:uid="{00000000-0002-0000-0000-000015000000}">
      <formula1>$BY$89:$BY$96</formula1>
    </dataValidation>
    <dataValidation type="list" allowBlank="1" showInputMessage="1" showErrorMessage="1" sqref="U26:AL26" xr:uid="{00000000-0002-0000-0000-000016000000}">
      <formula1>$AW$60:$AW$68</formula1>
    </dataValidation>
    <dataValidation type="list" allowBlank="1" showInputMessage="1" showErrorMessage="1" sqref="U58:AL58" xr:uid="{00000000-0002-0000-0000-000017000000}">
      <formula1>$AW$71:$AW$72</formula1>
    </dataValidation>
    <dataValidation type="list" allowBlank="1" showInputMessage="1" showErrorMessage="1" sqref="U59:AL59" xr:uid="{00000000-0002-0000-0000-000018000000}">
      <formula1>$AW$73:$AW$84</formula1>
    </dataValidation>
    <dataValidation type="list" allowBlank="1" showInputMessage="1" showErrorMessage="1" sqref="U60:AL60" xr:uid="{00000000-0002-0000-0000-000019000000}">
      <formula1>$AW$86:$AW$88</formula1>
    </dataValidation>
    <dataValidation type="list" allowBlank="1" showInputMessage="1" showErrorMessage="1" sqref="U61:AL61" xr:uid="{00000000-0002-0000-0000-00001A000000}">
      <formula1>$AW$90:$AW$110</formula1>
    </dataValidation>
    <dataValidation type="list" allowBlank="1" showInputMessage="1" showErrorMessage="1" sqref="U62:AL62" xr:uid="{00000000-0002-0000-0000-00001B000000}">
      <formula1>$AW$113:$AW$114</formula1>
    </dataValidation>
    <dataValidation type="list" allowBlank="1" showInputMessage="1" showErrorMessage="1" sqref="U64:AL64" xr:uid="{00000000-0002-0000-0000-00001C000000}">
      <formula1>$AW$117:$AW$128</formula1>
    </dataValidation>
    <dataValidation type="list" allowBlank="1" showInputMessage="1" showErrorMessage="1" sqref="U65:AL65" xr:uid="{00000000-0002-0000-0000-00001D000000}">
      <formula1>$AW$131:$AW$148</formula1>
    </dataValidation>
    <dataValidation type="list" allowBlank="1" showInputMessage="1" showErrorMessage="1" sqref="U66:AL66" xr:uid="{00000000-0002-0000-0000-00001E000000}">
      <formula1>$BY$133:$BY$156</formula1>
    </dataValidation>
    <dataValidation type="list" allowBlank="1" showInputMessage="1" showErrorMessage="1" sqref="U67:AL67" xr:uid="{00000000-0002-0000-0000-00001F000000}">
      <formula1>$AM$67:$AP$67</formula1>
    </dataValidation>
    <dataValidation type="list" allowBlank="1" showInputMessage="1" showErrorMessage="1" sqref="U68:AL68" xr:uid="{00000000-0002-0000-0000-000020000000}">
      <formula1>$CC$133:$CC$160</formula1>
    </dataValidation>
    <dataValidation type="list" allowBlank="1" showInputMessage="1" showErrorMessage="1" sqref="C29:T29" xr:uid="{00000000-0002-0000-0000-000021000000}">
      <formula1>$AA$99:$AA$104</formula1>
    </dataValidation>
    <dataValidation type="list" allowBlank="1" showInputMessage="1" showErrorMessage="1" sqref="C39:T39" xr:uid="{00000000-0002-0000-0000-000022000000}">
      <formula1>$AA$84:$AA$89</formula1>
    </dataValidation>
    <dataValidation type="list" allowBlank="1" showInputMessage="1" showErrorMessage="1" sqref="C54:T54" xr:uid="{00000000-0002-0000-0000-000023000000}">
      <formula1>$AA$92:$AA$96</formula1>
    </dataValidation>
    <dataValidation type="list" allowBlank="1" showInputMessage="1" showErrorMessage="1" sqref="AJ2:AL2" xr:uid="{00000000-0002-0000-0000-000024000000}">
      <formula1>$H$83:$I$83</formula1>
    </dataValidation>
    <dataValidation type="list" allowBlank="1" showInputMessage="1" showErrorMessage="1" sqref="AS2:AU2" xr:uid="{00000000-0002-0000-0000-000025000000}">
      <formula1>$H$88:$I$88</formula1>
    </dataValidation>
  </dataValidations>
  <pageMargins left="0" right="0" top="0" bottom="0" header="0.51181102362204722" footer="0.51181102362204722"/>
  <pageSetup paperSize="9" scale="22" orientation="portrait" r:id="rId1"/>
  <headerFooter alignWithMargins="0"/>
  <cellWatches>
    <cellWatch r="U21"/>
    <cellWatch r="U66"/>
    <cellWatch r="C29"/>
  </cellWatche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3">
    <tabColor indexed="42"/>
  </sheetPr>
  <dimension ref="B1:M35"/>
  <sheetViews>
    <sheetView showZeros="0" workbookViewId="0">
      <selection activeCell="C10" sqref="C10:D10"/>
    </sheetView>
  </sheetViews>
  <sheetFormatPr defaultColWidth="0" defaultRowHeight="15" customHeight="1" zeroHeight="1"/>
  <cols>
    <col min="1" max="1" width="3.33203125" style="85" customWidth="1"/>
    <col min="2" max="2" width="4.83203125" style="87" customWidth="1"/>
    <col min="3" max="3" width="36.1640625" style="85" customWidth="1"/>
    <col min="4" max="4" width="9.5" style="85" customWidth="1"/>
    <col min="5" max="5" width="34.83203125" style="85" customWidth="1"/>
    <col min="6" max="8" width="12.83203125" style="85" customWidth="1"/>
    <col min="9" max="10" width="14.83203125" style="85" customWidth="1"/>
    <col min="11" max="11" width="7.83203125" style="85" customWidth="1"/>
    <col min="12" max="16384" width="0" style="85" hidden="1"/>
  </cols>
  <sheetData>
    <row r="1" spans="2:13"/>
    <row r="2" spans="2:13" ht="18.75">
      <c r="B2" s="2009" t="s">
        <v>273</v>
      </c>
      <c r="C2" s="2009"/>
      <c r="D2" s="2009"/>
      <c r="E2" s="2009"/>
      <c r="F2" s="2009"/>
      <c r="G2" s="2009"/>
      <c r="H2" s="2009"/>
      <c r="I2" s="2009"/>
      <c r="J2" s="2009"/>
    </row>
    <row r="3" spans="2:13" ht="15.75">
      <c r="B3" s="2030" t="s">
        <v>488</v>
      </c>
      <c r="C3" s="2030"/>
      <c r="D3" s="2030"/>
      <c r="E3" s="2030"/>
      <c r="F3" s="2030"/>
      <c r="G3" s="2030"/>
      <c r="H3" s="2030"/>
      <c r="I3" s="2030"/>
      <c r="J3" s="2030"/>
      <c r="K3" s="106"/>
      <c r="L3" s="106"/>
      <c r="M3" s="106"/>
    </row>
    <row r="4" spans="2:13" ht="15.75">
      <c r="B4" s="1249"/>
      <c r="C4" s="160"/>
      <c r="D4" s="160"/>
      <c r="E4" s="161"/>
      <c r="F4" s="161"/>
      <c r="G4" s="161"/>
      <c r="H4" s="161"/>
      <c r="I4" s="161"/>
      <c r="J4" s="545"/>
    </row>
    <row r="5" spans="2:13">
      <c r="B5" s="2034" t="s">
        <v>6345</v>
      </c>
      <c r="C5" s="2034" t="s">
        <v>1097</v>
      </c>
      <c r="D5" s="2034" t="s">
        <v>1098</v>
      </c>
      <c r="E5" s="2034" t="s">
        <v>5017</v>
      </c>
      <c r="F5" s="2031" t="s">
        <v>268</v>
      </c>
      <c r="G5" s="2032"/>
      <c r="H5" s="2033"/>
      <c r="I5" s="2034" t="s">
        <v>5676</v>
      </c>
      <c r="J5" s="2034" t="s">
        <v>6346</v>
      </c>
    </row>
    <row r="6" spans="2:13" ht="24">
      <c r="B6" s="2035"/>
      <c r="C6" s="2035"/>
      <c r="D6" s="2035"/>
      <c r="E6" s="2035"/>
      <c r="F6" s="551" t="s">
        <v>2565</v>
      </c>
      <c r="G6" s="551" t="s">
        <v>2566</v>
      </c>
      <c r="H6" s="551" t="s">
        <v>6346</v>
      </c>
      <c r="I6" s="2035"/>
      <c r="J6" s="2035"/>
    </row>
    <row r="7" spans="2:13">
      <c r="B7" s="165" t="s">
        <v>5284</v>
      </c>
      <c r="C7" s="166" t="s">
        <v>3148</v>
      </c>
      <c r="D7" s="546" t="s">
        <v>5020</v>
      </c>
      <c r="E7" s="1097" t="s">
        <v>4867</v>
      </c>
      <c r="F7" s="1140">
        <f>SUM(F8:F12)</f>
        <v>248547462</v>
      </c>
      <c r="G7" s="1140">
        <f>SUM(G8:G12)</f>
        <v>0</v>
      </c>
      <c r="H7" s="1140">
        <f>SUM(H8:H12)</f>
        <v>248547462</v>
      </c>
      <c r="I7" s="1140">
        <f>SUM(I8:I12)</f>
        <v>0</v>
      </c>
      <c r="J7" s="1140">
        <f>SUM(J8:J12)</f>
        <v>248547462</v>
      </c>
    </row>
    <row r="8" spans="2:13">
      <c r="B8" s="168">
        <v>1</v>
      </c>
      <c r="C8" s="1062" t="s">
        <v>3149</v>
      </c>
      <c r="D8" s="168" t="s">
        <v>3302</v>
      </c>
      <c r="E8" s="169" t="s">
        <v>272</v>
      </c>
      <c r="F8" s="1141">
        <f>ROUND('II.1.5.nc+mtcTA'!J50+'II.1.5.nc+mtcTA'!L50,0)</f>
        <v>141325779</v>
      </c>
      <c r="G8" s="1141"/>
      <c r="H8" s="1152">
        <f t="shared" ref="H8:H18" si="0">SUM(F8:G8)</f>
        <v>141325779</v>
      </c>
      <c r="I8" s="1152"/>
      <c r="J8" s="1152">
        <f t="shared" ref="J8:J18" si="1">SUM(H8:I8)</f>
        <v>141325779</v>
      </c>
    </row>
    <row r="9" spans="2:13">
      <c r="B9" s="169">
        <v>2</v>
      </c>
      <c r="C9" s="1099" t="s">
        <v>3150</v>
      </c>
      <c r="D9" s="169" t="s">
        <v>3303</v>
      </c>
      <c r="E9" s="169" t="s">
        <v>272</v>
      </c>
      <c r="F9" s="1308">
        <f>ROUND('II.1.5.nc+mtcTA'!M50,0)</f>
        <v>103118853</v>
      </c>
      <c r="G9" s="1151"/>
      <c r="H9" s="1152">
        <f t="shared" si="0"/>
        <v>103118853</v>
      </c>
      <c r="I9" s="1152"/>
      <c r="J9" s="1152">
        <f t="shared" si="1"/>
        <v>103118853</v>
      </c>
    </row>
    <row r="10" spans="2:13">
      <c r="B10" s="169"/>
      <c r="C10" s="1099"/>
      <c r="D10" s="169"/>
      <c r="E10" s="547" t="s">
        <v>3625</v>
      </c>
      <c r="F10" s="1263"/>
      <c r="G10" s="1166"/>
      <c r="H10" s="1167">
        <f t="shared" si="0"/>
        <v>0</v>
      </c>
      <c r="I10" s="1167"/>
      <c r="J10" s="1167">
        <f t="shared" si="1"/>
        <v>0</v>
      </c>
    </row>
    <row r="11" spans="2:13">
      <c r="B11" s="169">
        <v>3</v>
      </c>
      <c r="C11" s="1099" t="s">
        <v>5251</v>
      </c>
      <c r="D11" s="169" t="s">
        <v>5022</v>
      </c>
      <c r="E11" s="169" t="s">
        <v>272</v>
      </c>
      <c r="F11" s="1308">
        <f>ROUND('II.1.5.nc+mtcTA'!N50,0)</f>
        <v>4102830</v>
      </c>
      <c r="G11" s="1151"/>
      <c r="H11" s="1152">
        <f t="shared" si="0"/>
        <v>4102830</v>
      </c>
      <c r="I11" s="1152"/>
      <c r="J11" s="1152">
        <f t="shared" si="1"/>
        <v>4102830</v>
      </c>
    </row>
    <row r="12" spans="2:13">
      <c r="B12" s="169"/>
      <c r="C12" s="1099"/>
      <c r="D12" s="169"/>
      <c r="E12" s="547" t="s">
        <v>3625</v>
      </c>
      <c r="F12" s="1263"/>
      <c r="G12" s="1166"/>
      <c r="H12" s="1171">
        <f t="shared" si="0"/>
        <v>0</v>
      </c>
      <c r="I12" s="1167"/>
      <c r="J12" s="1167">
        <f t="shared" si="1"/>
        <v>0</v>
      </c>
    </row>
    <row r="13" spans="2:13">
      <c r="B13" s="170" t="s">
        <v>1233</v>
      </c>
      <c r="C13" s="171" t="s">
        <v>5252</v>
      </c>
      <c r="D13" s="170" t="s">
        <v>5023</v>
      </c>
      <c r="E13" s="170" t="s">
        <v>5253</v>
      </c>
      <c r="F13" s="1144">
        <f>ROUND(5.5%*F7,0)</f>
        <v>13670110</v>
      </c>
      <c r="G13" s="1144">
        <f>ROUND(5.5%*G7,0)</f>
        <v>0</v>
      </c>
      <c r="H13" s="1169">
        <f t="shared" si="0"/>
        <v>13670110</v>
      </c>
      <c r="I13" s="1152"/>
      <c r="J13" s="1169">
        <f t="shared" si="1"/>
        <v>13670110</v>
      </c>
    </row>
    <row r="14" spans="2:13">
      <c r="B14" s="167"/>
      <c r="C14" s="171" t="s">
        <v>5254</v>
      </c>
      <c r="D14" s="169" t="s">
        <v>5019</v>
      </c>
      <c r="E14" s="552" t="s">
        <v>5255</v>
      </c>
      <c r="F14" s="1176">
        <f>ROUND(F7+F13,0)</f>
        <v>262217572</v>
      </c>
      <c r="G14" s="1176">
        <f>ROUND(G7+G13,0)</f>
        <v>0</v>
      </c>
      <c r="H14" s="1152">
        <f t="shared" si="0"/>
        <v>262217572</v>
      </c>
      <c r="I14" s="1177"/>
      <c r="J14" s="1152">
        <f t="shared" si="1"/>
        <v>262217572</v>
      </c>
    </row>
    <row r="15" spans="2:13">
      <c r="B15" s="170" t="s">
        <v>4085</v>
      </c>
      <c r="C15" s="171" t="s">
        <v>4060</v>
      </c>
      <c r="D15" s="170" t="s">
        <v>4061</v>
      </c>
      <c r="E15" s="170" t="s">
        <v>5662</v>
      </c>
      <c r="F15" s="1144">
        <f>ROUND(6%*(F7+F13),0)</f>
        <v>15733054</v>
      </c>
      <c r="G15" s="1144">
        <f>ROUND(6%*(G7+G13),0)</f>
        <v>0</v>
      </c>
      <c r="H15" s="1169">
        <f t="shared" si="0"/>
        <v>15733054</v>
      </c>
      <c r="I15" s="1152"/>
      <c r="J15" s="1169">
        <f t="shared" si="1"/>
        <v>15733054</v>
      </c>
    </row>
    <row r="16" spans="2:13">
      <c r="B16" s="173"/>
      <c r="C16" s="174" t="s">
        <v>4063</v>
      </c>
      <c r="D16" s="175" t="s">
        <v>5866</v>
      </c>
      <c r="E16" s="170" t="s">
        <v>4064</v>
      </c>
      <c r="F16" s="1144">
        <f>ROUND(F7+F13+F15,0)</f>
        <v>277950626</v>
      </c>
      <c r="G16" s="1144">
        <f>ROUND(G7+G13+G15,0)</f>
        <v>0</v>
      </c>
      <c r="H16" s="1169">
        <f t="shared" si="0"/>
        <v>277950626</v>
      </c>
      <c r="I16" s="1152"/>
      <c r="J16" s="1169">
        <f t="shared" si="1"/>
        <v>277950626</v>
      </c>
    </row>
    <row r="17" spans="2:10">
      <c r="B17" s="170" t="s">
        <v>4065</v>
      </c>
      <c r="C17" s="171" t="s">
        <v>4066</v>
      </c>
      <c r="D17" s="176" t="s">
        <v>4098</v>
      </c>
      <c r="E17" s="170" t="s">
        <v>5867</v>
      </c>
      <c r="F17" s="1144">
        <f>ROUND(F16*10%,0)</f>
        <v>27795063</v>
      </c>
      <c r="G17" s="1144">
        <f>ROUND(G16*10%,0)</f>
        <v>0</v>
      </c>
      <c r="H17" s="1169">
        <f t="shared" si="0"/>
        <v>27795063</v>
      </c>
      <c r="I17" s="1152"/>
      <c r="J17" s="1169">
        <f t="shared" si="1"/>
        <v>27795063</v>
      </c>
    </row>
    <row r="18" spans="2:10">
      <c r="B18" s="167"/>
      <c r="C18" s="171" t="s">
        <v>5148</v>
      </c>
      <c r="D18" s="175" t="s">
        <v>4099</v>
      </c>
      <c r="E18" s="177" t="s">
        <v>5868</v>
      </c>
      <c r="F18" s="1146">
        <f>ROUND(F16+F17,0)</f>
        <v>305745689</v>
      </c>
      <c r="G18" s="1146">
        <f>ROUND(G16+G17,0)</f>
        <v>0</v>
      </c>
      <c r="H18" s="1169">
        <f t="shared" si="0"/>
        <v>305745689</v>
      </c>
      <c r="I18" s="1174"/>
      <c r="J18" s="1178">
        <f t="shared" si="1"/>
        <v>305745689</v>
      </c>
    </row>
    <row r="19" spans="2:10">
      <c r="B19" s="178"/>
      <c r="C19" s="179"/>
      <c r="D19" s="180"/>
      <c r="E19" s="181"/>
      <c r="F19" s="181"/>
      <c r="G19" s="181"/>
      <c r="H19" s="181"/>
      <c r="I19" s="181"/>
      <c r="J19" s="548"/>
    </row>
    <row r="20" spans="2:10">
      <c r="B20" s="1250"/>
      <c r="C20" s="183"/>
      <c r="D20" s="183"/>
      <c r="E20" s="183"/>
      <c r="F20" s="183"/>
      <c r="G20" s="183"/>
      <c r="H20" s="183"/>
      <c r="I20" s="183"/>
      <c r="J20" s="183"/>
    </row>
    <row r="21" spans="2:10" hidden="1">
      <c r="B21" s="87" t="s">
        <v>993</v>
      </c>
    </row>
    <row r="22" spans="2:10" hidden="1">
      <c r="B22" s="87" t="s">
        <v>3797</v>
      </c>
    </row>
    <row r="23" spans="2:10" hidden="1">
      <c r="B23" s="87" t="s">
        <v>1251</v>
      </c>
      <c r="C23" s="877">
        <f>IF(NL!AJ2="","",IF(NL!AJ2=3,NL!J85,IF(NL!AJ2=4,NL!Q85)))</f>
        <v>1</v>
      </c>
    </row>
    <row r="24" spans="2:10" hidden="1">
      <c r="B24" s="87" t="s">
        <v>1251</v>
      </c>
      <c r="C24" s="917">
        <f>IF(NL!AJ2="","",IF(NL!AJ2=3,NL!J87,IF(NL!AJ2=4,NL!Q87)))</f>
        <v>1</v>
      </c>
    </row>
    <row r="26" spans="2:10"/>
    <row r="27" spans="2:10"/>
    <row r="28" spans="2:10"/>
    <row r="29" spans="2:10"/>
    <row r="30" spans="2:10"/>
    <row r="31" spans="2:10"/>
    <row r="32" spans="2:10"/>
    <row r="33"/>
    <row r="34"/>
    <row r="35"/>
  </sheetData>
  <sheetProtection password="E3F0" sheet="1" objects="1" scenarios="1"/>
  <mergeCells count="9">
    <mergeCell ref="B2:J2"/>
    <mergeCell ref="B3:J3"/>
    <mergeCell ref="B5:B6"/>
    <mergeCell ref="C5:C6"/>
    <mergeCell ref="D5:D6"/>
    <mergeCell ref="E5:E6"/>
    <mergeCell ref="F5:H5"/>
    <mergeCell ref="I5:I6"/>
    <mergeCell ref="J5:J6"/>
  </mergeCells>
  <phoneticPr fontId="152" type="noConversion"/>
  <printOptions horizontalCentered="1"/>
  <pageMargins left="0.19685039370078741" right="0.19685039370078741" top="0.39370078740157483" bottom="0.39370078740157483" header="0.19685039370078741" footer="0.19685039370078741"/>
  <pageSetup paperSize="9" firstPageNumber="32" orientation="landscape" blackAndWhite="1"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indexed="42"/>
  </sheetPr>
  <dimension ref="B1:M35"/>
  <sheetViews>
    <sheetView showZeros="0" workbookViewId="0">
      <selection activeCell="C10" sqref="C10:D10"/>
    </sheetView>
  </sheetViews>
  <sheetFormatPr defaultColWidth="0" defaultRowHeight="0" customHeight="1" zeroHeight="1"/>
  <cols>
    <col min="1" max="1" width="1.83203125" style="85" customWidth="1"/>
    <col min="2" max="2" width="4.83203125" style="87" customWidth="1"/>
    <col min="3" max="3" width="37" style="85" customWidth="1"/>
    <col min="4" max="4" width="10.5" style="85" customWidth="1"/>
    <col min="5" max="5" width="32.83203125" style="85" customWidth="1"/>
    <col min="6" max="8" width="12.83203125" style="85" customWidth="1"/>
    <col min="9" max="9" width="14.83203125" style="85" customWidth="1"/>
    <col min="10" max="10" width="15.83203125" style="85" customWidth="1"/>
    <col min="11" max="11" width="11.5" style="85" customWidth="1"/>
    <col min="12" max="16384" width="0" style="85" hidden="1"/>
  </cols>
  <sheetData>
    <row r="1" spans="2:13" ht="15"/>
    <row r="2" spans="2:13" ht="18.75">
      <c r="B2" s="2009" t="s">
        <v>4385</v>
      </c>
      <c r="C2" s="2009"/>
      <c r="D2" s="2009"/>
      <c r="E2" s="2009"/>
      <c r="F2" s="2009"/>
      <c r="G2" s="2009"/>
      <c r="H2" s="2009"/>
      <c r="I2" s="2009"/>
      <c r="J2" s="2009"/>
    </row>
    <row r="3" spans="2:13" ht="15.75">
      <c r="B3" s="2030" t="s">
        <v>488</v>
      </c>
      <c r="C3" s="2030"/>
      <c r="D3" s="2030"/>
      <c r="E3" s="2030"/>
      <c r="F3" s="2030"/>
      <c r="G3" s="2030"/>
      <c r="H3" s="2030"/>
      <c r="I3" s="2030"/>
      <c r="J3" s="2030"/>
      <c r="K3" s="106"/>
      <c r="L3" s="106"/>
      <c r="M3" s="106"/>
    </row>
    <row r="4" spans="2:13" ht="15.75">
      <c r="B4" s="1249"/>
      <c r="C4" s="160"/>
      <c r="D4" s="160"/>
      <c r="E4" s="161"/>
      <c r="F4" s="161"/>
      <c r="G4" s="161"/>
      <c r="H4" s="161"/>
      <c r="I4" s="161"/>
      <c r="J4" s="162"/>
    </row>
    <row r="5" spans="2:13" ht="15" customHeight="1">
      <c r="B5" s="2036" t="s">
        <v>6345</v>
      </c>
      <c r="C5" s="2036" t="s">
        <v>1097</v>
      </c>
      <c r="D5" s="2036" t="s">
        <v>1098</v>
      </c>
      <c r="E5" s="2036" t="s">
        <v>5017</v>
      </c>
      <c r="F5" s="2038" t="s">
        <v>268</v>
      </c>
      <c r="G5" s="2039"/>
      <c r="H5" s="2040"/>
      <c r="I5" s="2041" t="s">
        <v>2567</v>
      </c>
      <c r="J5" s="2041" t="s">
        <v>6346</v>
      </c>
    </row>
    <row r="6" spans="2:13" ht="27" customHeight="1">
      <c r="B6" s="2037"/>
      <c r="C6" s="2037"/>
      <c r="D6" s="2037"/>
      <c r="E6" s="2037"/>
      <c r="F6" s="163" t="s">
        <v>2565</v>
      </c>
      <c r="G6" s="163" t="s">
        <v>2566</v>
      </c>
      <c r="H6" s="209" t="s">
        <v>6346</v>
      </c>
      <c r="I6" s="2042"/>
      <c r="J6" s="2042"/>
    </row>
    <row r="7" spans="2:13" ht="15">
      <c r="B7" s="164" t="s">
        <v>176</v>
      </c>
      <c r="C7" s="164" t="s">
        <v>4275</v>
      </c>
      <c r="D7" s="164" t="s">
        <v>4276</v>
      </c>
      <c r="E7" s="164" t="s">
        <v>5860</v>
      </c>
      <c r="F7" s="164" t="s">
        <v>5861</v>
      </c>
      <c r="G7" s="164" t="s">
        <v>5862</v>
      </c>
      <c r="H7" s="164" t="s">
        <v>1525</v>
      </c>
      <c r="I7" s="164" t="s">
        <v>5864</v>
      </c>
      <c r="J7" s="164" t="s">
        <v>3453</v>
      </c>
    </row>
    <row r="8" spans="2:13" ht="15">
      <c r="B8" s="165" t="s">
        <v>5284</v>
      </c>
      <c r="C8" s="166" t="s">
        <v>3148</v>
      </c>
      <c r="D8" s="546" t="s">
        <v>5020</v>
      </c>
      <c r="E8" s="1097" t="s">
        <v>4867</v>
      </c>
      <c r="F8" s="1140">
        <f>SUM(F9:F13)</f>
        <v>346081268</v>
      </c>
      <c r="G8" s="1140">
        <f>SUM(G9:G13)</f>
        <v>0</v>
      </c>
      <c r="H8" s="1140">
        <f>SUM(H9:H13)</f>
        <v>346081268</v>
      </c>
      <c r="I8" s="1140">
        <f>SUM(I9:I13)</f>
        <v>0</v>
      </c>
      <c r="J8" s="1140">
        <f>SUM(J9:J13)</f>
        <v>346081268</v>
      </c>
    </row>
    <row r="9" spans="2:13" ht="15">
      <c r="B9" s="168">
        <v>1</v>
      </c>
      <c r="C9" s="1062" t="s">
        <v>3149</v>
      </c>
      <c r="D9" s="168" t="s">
        <v>3302</v>
      </c>
      <c r="E9" s="168" t="s">
        <v>272</v>
      </c>
      <c r="F9" s="1148">
        <f>ROUND('II.1.5.nc+mtcTA'!L51,0)</f>
        <v>6834866</v>
      </c>
      <c r="G9" s="1148">
        <v>0</v>
      </c>
      <c r="H9" s="1148">
        <f t="shared" ref="H9:H19" si="0">SUM(F9:G9)</f>
        <v>6834866</v>
      </c>
      <c r="I9" s="1148">
        <v>0</v>
      </c>
      <c r="J9" s="1148">
        <f t="shared" ref="J9:J19" si="1">SUM(H9:I9)</f>
        <v>6834866</v>
      </c>
    </row>
    <row r="10" spans="2:13" ht="15">
      <c r="B10" s="169">
        <v>2</v>
      </c>
      <c r="C10" s="1099" t="s">
        <v>3150</v>
      </c>
      <c r="D10" s="169" t="s">
        <v>3303</v>
      </c>
      <c r="E10" s="169" t="s">
        <v>3626</v>
      </c>
      <c r="F10" s="1309">
        <f>ROUND(90%*'II.1.5.nc+mtcTA'!M51,0)</f>
        <v>328055862</v>
      </c>
      <c r="G10" s="1149"/>
      <c r="H10" s="1149">
        <f t="shared" si="0"/>
        <v>328055862</v>
      </c>
      <c r="I10" s="1149"/>
      <c r="J10" s="1149">
        <f t="shared" si="1"/>
        <v>328055862</v>
      </c>
    </row>
    <row r="11" spans="2:13" ht="15">
      <c r="B11" s="169"/>
      <c r="C11" s="1099"/>
      <c r="D11" s="169"/>
      <c r="E11" s="547" t="s">
        <v>2570</v>
      </c>
      <c r="F11" s="1143"/>
      <c r="G11" s="1143"/>
      <c r="H11" s="1143">
        <f t="shared" si="0"/>
        <v>0</v>
      </c>
      <c r="I11" s="1143"/>
      <c r="J11" s="1143">
        <f t="shared" si="1"/>
        <v>0</v>
      </c>
    </row>
    <row r="12" spans="2:13" ht="15">
      <c r="B12" s="169">
        <v>3</v>
      </c>
      <c r="C12" s="1099" t="s">
        <v>5251</v>
      </c>
      <c r="D12" s="169" t="s">
        <v>5022</v>
      </c>
      <c r="E12" s="169" t="s">
        <v>272</v>
      </c>
      <c r="F12" s="1149">
        <f>ROUND('II.1.5.nc+mtcTA'!N51,0)</f>
        <v>11190540</v>
      </c>
      <c r="G12" s="1149"/>
      <c r="H12" s="1149">
        <f t="shared" si="0"/>
        <v>11190540</v>
      </c>
      <c r="I12" s="1149"/>
      <c r="J12" s="1149">
        <f t="shared" si="1"/>
        <v>11190540</v>
      </c>
    </row>
    <row r="13" spans="2:13" ht="15">
      <c r="B13" s="169"/>
      <c r="C13" s="1099"/>
      <c r="D13" s="169"/>
      <c r="E13" s="547" t="s">
        <v>2570</v>
      </c>
      <c r="F13" s="1143"/>
      <c r="G13" s="1143"/>
      <c r="H13" s="1143">
        <f t="shared" si="0"/>
        <v>0</v>
      </c>
      <c r="I13" s="1143"/>
      <c r="J13" s="1143">
        <f t="shared" si="1"/>
        <v>0</v>
      </c>
    </row>
    <row r="14" spans="2:13" ht="15">
      <c r="B14" s="170" t="s">
        <v>1233</v>
      </c>
      <c r="C14" s="171" t="s">
        <v>5252</v>
      </c>
      <c r="D14" s="170" t="s">
        <v>5023</v>
      </c>
      <c r="E14" s="170" t="s">
        <v>5869</v>
      </c>
      <c r="F14" s="1144">
        <f>ROUND(65%*F10,0)</f>
        <v>213236310</v>
      </c>
      <c r="G14" s="1144">
        <f>ROUND(65%*G10,0)</f>
        <v>0</v>
      </c>
      <c r="H14" s="1144">
        <f t="shared" si="0"/>
        <v>213236310</v>
      </c>
      <c r="I14" s="1144">
        <f>ROUND(65%*I10,0)</f>
        <v>0</v>
      </c>
      <c r="J14" s="1144">
        <f t="shared" si="1"/>
        <v>213236310</v>
      </c>
    </row>
    <row r="15" spans="2:13" ht="15">
      <c r="B15" s="167"/>
      <c r="C15" s="171" t="s">
        <v>5254</v>
      </c>
      <c r="D15" s="169" t="s">
        <v>5019</v>
      </c>
      <c r="E15" s="172" t="s">
        <v>5255</v>
      </c>
      <c r="F15" s="1150">
        <f>ROUND(F8+F14,0)</f>
        <v>559317578</v>
      </c>
      <c r="G15" s="1150">
        <f>ROUND(G8+G14,0)</f>
        <v>0</v>
      </c>
      <c r="H15" s="1150">
        <f t="shared" si="0"/>
        <v>559317578</v>
      </c>
      <c r="I15" s="1149">
        <f>I8+I14</f>
        <v>0</v>
      </c>
      <c r="J15" s="1149">
        <f t="shared" si="1"/>
        <v>559317578</v>
      </c>
    </row>
    <row r="16" spans="2:13" ht="15">
      <c r="B16" s="170" t="s">
        <v>4085</v>
      </c>
      <c r="C16" s="171" t="s">
        <v>4060</v>
      </c>
      <c r="D16" s="170" t="s">
        <v>4061</v>
      </c>
      <c r="E16" s="170" t="s">
        <v>4062</v>
      </c>
      <c r="F16" s="1144">
        <f>ROUND(6%*(F8+F14),0)</f>
        <v>33559055</v>
      </c>
      <c r="G16" s="1144">
        <f>ROUND(6%*(G8+G14),0)</f>
        <v>0</v>
      </c>
      <c r="H16" s="1144">
        <f t="shared" si="0"/>
        <v>33559055</v>
      </c>
      <c r="I16" s="1144">
        <f>6%*(I8+I14)</f>
        <v>0</v>
      </c>
      <c r="J16" s="1144">
        <f t="shared" si="1"/>
        <v>33559055</v>
      </c>
    </row>
    <row r="17" spans="2:10" ht="15">
      <c r="B17" s="173"/>
      <c r="C17" s="174" t="s">
        <v>4063</v>
      </c>
      <c r="D17" s="175" t="s">
        <v>5866</v>
      </c>
      <c r="E17" s="170" t="s">
        <v>4064</v>
      </c>
      <c r="F17" s="1144">
        <f>ROUND(F8+F14+F16,0)</f>
        <v>592876633</v>
      </c>
      <c r="G17" s="1144">
        <f>ROUND(G8+G14+G16,0)</f>
        <v>0</v>
      </c>
      <c r="H17" s="1144">
        <f t="shared" si="0"/>
        <v>592876633</v>
      </c>
      <c r="I17" s="1144">
        <f>I8+I14+I16</f>
        <v>0</v>
      </c>
      <c r="J17" s="1144">
        <f t="shared" si="1"/>
        <v>592876633</v>
      </c>
    </row>
    <row r="18" spans="2:10" ht="15">
      <c r="B18" s="170" t="s">
        <v>4065</v>
      </c>
      <c r="C18" s="171" t="s">
        <v>4066</v>
      </c>
      <c r="D18" s="176" t="s">
        <v>4098</v>
      </c>
      <c r="E18" s="170" t="s">
        <v>5867</v>
      </c>
      <c r="F18" s="1144">
        <f>ROUND(F17*10%,0)</f>
        <v>59287663</v>
      </c>
      <c r="G18" s="1144">
        <f>ROUND(G17*10%,0)</f>
        <v>0</v>
      </c>
      <c r="H18" s="1144">
        <f t="shared" si="0"/>
        <v>59287663</v>
      </c>
      <c r="I18" s="1144">
        <f>I17*10%</f>
        <v>0</v>
      </c>
      <c r="J18" s="1144">
        <f t="shared" si="1"/>
        <v>59287663</v>
      </c>
    </row>
    <row r="19" spans="2:10" ht="15">
      <c r="B19" s="167"/>
      <c r="C19" s="171" t="s">
        <v>5148</v>
      </c>
      <c r="D19" s="175" t="s">
        <v>4099</v>
      </c>
      <c r="E19" s="177" t="s">
        <v>5868</v>
      </c>
      <c r="F19" s="1146">
        <f>ROUND(F17+F18,0)</f>
        <v>652164296</v>
      </c>
      <c r="G19" s="1146">
        <f>ROUND(G17+G18,0)</f>
        <v>0</v>
      </c>
      <c r="H19" s="1146">
        <f t="shared" si="0"/>
        <v>652164296</v>
      </c>
      <c r="I19" s="1147">
        <f>I17+I18</f>
        <v>0</v>
      </c>
      <c r="J19" s="1147">
        <f t="shared" si="1"/>
        <v>652164296</v>
      </c>
    </row>
    <row r="20" spans="2:10" ht="15">
      <c r="B20" s="178"/>
      <c r="C20" s="179"/>
      <c r="D20" s="180"/>
      <c r="E20" s="181"/>
      <c r="F20" s="181"/>
      <c r="G20" s="181"/>
      <c r="H20" s="181"/>
      <c r="I20" s="181"/>
      <c r="J20" s="182"/>
    </row>
    <row r="21" spans="2:10" ht="15">
      <c r="B21" s="1250"/>
      <c r="C21" s="183"/>
      <c r="D21" s="183"/>
      <c r="E21" s="183"/>
      <c r="F21" s="183"/>
      <c r="G21" s="183"/>
      <c r="H21" s="183"/>
      <c r="I21" s="183"/>
      <c r="J21" s="183"/>
    </row>
    <row r="22" spans="2:10" ht="15" hidden="1">
      <c r="B22" s="87" t="s">
        <v>993</v>
      </c>
    </row>
    <row r="23" spans="2:10" ht="15" hidden="1">
      <c r="B23" s="87" t="s">
        <v>3797</v>
      </c>
    </row>
    <row r="24" spans="2:10" ht="15" hidden="1">
      <c r="B24" s="87" t="s">
        <v>1251</v>
      </c>
      <c r="C24" s="772">
        <f>'II.1.1.vlTA'!C28</f>
        <v>0</v>
      </c>
    </row>
    <row r="25" spans="2:10" ht="15" hidden="1">
      <c r="B25" s="87" t="s">
        <v>1251</v>
      </c>
      <c r="C25" s="773">
        <f>'II.1.1.vlTA'!C29</f>
        <v>0</v>
      </c>
    </row>
    <row r="26" spans="2:10" ht="15" hidden="1"/>
    <row r="27" spans="2:10" ht="15"/>
    <row r="28" spans="2:10" ht="15"/>
    <row r="29" spans="2:10" ht="15"/>
    <row r="30" spans="2:10" ht="15"/>
    <row r="31" spans="2:10" ht="15"/>
    <row r="32" spans="2:10" ht="15" customHeight="1"/>
    <row r="33" ht="15" customHeight="1"/>
    <row r="34" ht="15" customHeight="1"/>
    <row r="35" ht="15" customHeight="1"/>
  </sheetData>
  <sheetProtection password="E3F0" sheet="1" objects="1" scenarios="1"/>
  <mergeCells count="9">
    <mergeCell ref="B2:J2"/>
    <mergeCell ref="B3:J3"/>
    <mergeCell ref="B5:B6"/>
    <mergeCell ref="C5:C6"/>
    <mergeCell ref="D5:D6"/>
    <mergeCell ref="E5:E6"/>
    <mergeCell ref="F5:H5"/>
    <mergeCell ref="I5:I6"/>
    <mergeCell ref="J5:J6"/>
  </mergeCells>
  <phoneticPr fontId="152" type="noConversion"/>
  <printOptions horizontalCentered="1"/>
  <pageMargins left="0.19685039370078741" right="0.19685039370078741" top="0.39370078740157483" bottom="0.39370078740157483" header="0.19685039370078741" footer="0.19685039370078741"/>
  <pageSetup paperSize="9" firstPageNumber="32" orientation="landscape" blackAndWhite="1"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indexed="42"/>
  </sheetPr>
  <dimension ref="B1:M35"/>
  <sheetViews>
    <sheetView showGridLines="0" showZeros="0" showRuler="0" view="pageLayout" zoomScaleNormal="100" workbookViewId="0">
      <selection activeCell="C10" sqref="C10:D10"/>
    </sheetView>
  </sheetViews>
  <sheetFormatPr defaultColWidth="0" defaultRowHeight="15" customHeight="1" zeroHeight="1"/>
  <cols>
    <col min="1" max="1" width="1.83203125" style="85" customWidth="1"/>
    <col min="2" max="2" width="4.83203125" style="87" customWidth="1"/>
    <col min="3" max="3" width="37" style="85" customWidth="1"/>
    <col min="4" max="4" width="10.5" style="85" customWidth="1"/>
    <col min="5" max="5" width="32.83203125" style="85" customWidth="1"/>
    <col min="6" max="8" width="12.83203125" style="85" customWidth="1"/>
    <col min="9" max="10" width="15.83203125" style="85" customWidth="1"/>
    <col min="11" max="11" width="3.1640625" style="85" customWidth="1"/>
    <col min="12" max="16384" width="0" style="85" hidden="1"/>
  </cols>
  <sheetData>
    <row r="1" spans="2:13"/>
    <row r="2" spans="2:13" ht="18.75">
      <c r="B2" s="2009" t="s">
        <v>274</v>
      </c>
      <c r="C2" s="2009"/>
      <c r="D2" s="2009"/>
      <c r="E2" s="2009"/>
      <c r="F2" s="2009"/>
      <c r="G2" s="2009"/>
      <c r="H2" s="2009"/>
      <c r="I2" s="2009"/>
      <c r="J2" s="2009"/>
    </row>
    <row r="3" spans="2:13" ht="15.75">
      <c r="B3" s="2030" t="s">
        <v>488</v>
      </c>
      <c r="C3" s="2030"/>
      <c r="D3" s="2030"/>
      <c r="E3" s="2030"/>
      <c r="F3" s="2030"/>
      <c r="G3" s="2030"/>
      <c r="H3" s="2030"/>
      <c r="I3" s="2030"/>
      <c r="J3" s="2030"/>
      <c r="K3" s="106"/>
      <c r="L3" s="106"/>
      <c r="M3" s="106"/>
    </row>
    <row r="4" spans="2:13" ht="15.75">
      <c r="B4" s="1249"/>
      <c r="C4" s="160"/>
      <c r="D4" s="160"/>
      <c r="E4" s="161"/>
      <c r="F4" s="161"/>
      <c r="G4" s="161"/>
      <c r="H4" s="161"/>
      <c r="I4" s="161"/>
      <c r="J4" s="162"/>
    </row>
    <row r="5" spans="2:13" ht="15" customHeight="1">
      <c r="B5" s="2036" t="s">
        <v>6345</v>
      </c>
      <c r="C5" s="2036" t="s">
        <v>1097</v>
      </c>
      <c r="D5" s="2036" t="s">
        <v>1098</v>
      </c>
      <c r="E5" s="2036" t="s">
        <v>5017</v>
      </c>
      <c r="F5" s="2038" t="s">
        <v>268</v>
      </c>
      <c r="G5" s="2039"/>
      <c r="H5" s="2040"/>
      <c r="I5" s="2041" t="s">
        <v>2567</v>
      </c>
      <c r="J5" s="2041" t="s">
        <v>6346</v>
      </c>
    </row>
    <row r="6" spans="2:13" ht="27" customHeight="1">
      <c r="B6" s="2037"/>
      <c r="C6" s="2037"/>
      <c r="D6" s="2037"/>
      <c r="E6" s="2037"/>
      <c r="F6" s="163" t="s">
        <v>2565</v>
      </c>
      <c r="G6" s="163" t="s">
        <v>2566</v>
      </c>
      <c r="H6" s="209" t="s">
        <v>6346</v>
      </c>
      <c r="I6" s="2043"/>
      <c r="J6" s="2042"/>
    </row>
    <row r="7" spans="2:13">
      <c r="B7" s="164" t="s">
        <v>176</v>
      </c>
      <c r="C7" s="164" t="s">
        <v>4275</v>
      </c>
      <c r="D7" s="164" t="s">
        <v>4276</v>
      </c>
      <c r="E7" s="164" t="s">
        <v>5860</v>
      </c>
      <c r="F7" s="164" t="s">
        <v>5861</v>
      </c>
      <c r="G7" s="164" t="s">
        <v>5862</v>
      </c>
      <c r="H7" s="164" t="s">
        <v>1525</v>
      </c>
      <c r="I7" s="164" t="s">
        <v>5864</v>
      </c>
      <c r="J7" s="164" t="s">
        <v>3453</v>
      </c>
    </row>
    <row r="8" spans="2:13">
      <c r="B8" s="165" t="s">
        <v>5284</v>
      </c>
      <c r="C8" s="166" t="s">
        <v>3148</v>
      </c>
      <c r="D8" s="184" t="s">
        <v>5020</v>
      </c>
      <c r="E8" s="1097" t="s">
        <v>4867</v>
      </c>
      <c r="F8" s="1140">
        <f>SUM(F9:F13)</f>
        <v>79918272</v>
      </c>
      <c r="G8" s="1140">
        <f>SUM(G9:G13)</f>
        <v>0</v>
      </c>
      <c r="H8" s="1140">
        <f>SUM(H9:H13)</f>
        <v>79918272</v>
      </c>
      <c r="I8" s="1140">
        <f>SUM(I9:I13)</f>
        <v>0</v>
      </c>
      <c r="J8" s="1140">
        <f>SUM(J9:J13)</f>
        <v>79918272</v>
      </c>
    </row>
    <row r="9" spans="2:13">
      <c r="B9" s="168">
        <v>1</v>
      </c>
      <c r="C9" s="1062" t="s">
        <v>3149</v>
      </c>
      <c r="D9" s="168" t="s">
        <v>3302</v>
      </c>
      <c r="E9" s="168" t="s">
        <v>272</v>
      </c>
      <c r="F9" s="1148">
        <f>ROUND('II.1.5.nc+mtcTA'!L52,0)</f>
        <v>2643721</v>
      </c>
      <c r="G9" s="1148">
        <v>0</v>
      </c>
      <c r="H9" s="1148">
        <f t="shared" ref="H9:H19" si="0">SUM(F9:G9)</f>
        <v>2643721</v>
      </c>
      <c r="I9" s="1149">
        <v>0</v>
      </c>
      <c r="J9" s="1148">
        <f t="shared" ref="J9:J19" si="1">SUM(H9:I9)</f>
        <v>2643721</v>
      </c>
    </row>
    <row r="10" spans="2:13">
      <c r="B10" s="169">
        <v>2</v>
      </c>
      <c r="C10" s="1099" t="s">
        <v>3150</v>
      </c>
      <c r="D10" s="169" t="s">
        <v>3303</v>
      </c>
      <c r="E10" s="169" t="s">
        <v>3626</v>
      </c>
      <c r="F10" s="1309">
        <f>ROUND(90%*'II.1.5.nc+mtcTA'!M52,0)</f>
        <v>65967785</v>
      </c>
      <c r="G10" s="1149"/>
      <c r="H10" s="1149">
        <f t="shared" si="0"/>
        <v>65967785</v>
      </c>
      <c r="I10" s="1149"/>
      <c r="J10" s="1149">
        <f t="shared" si="1"/>
        <v>65967785</v>
      </c>
    </row>
    <row r="11" spans="2:13">
      <c r="B11" s="169"/>
      <c r="C11" s="1099"/>
      <c r="D11" s="169"/>
      <c r="E11" s="547" t="s">
        <v>2570</v>
      </c>
      <c r="F11" s="1143"/>
      <c r="G11" s="1143"/>
      <c r="H11" s="1143">
        <f t="shared" si="0"/>
        <v>0</v>
      </c>
      <c r="I11" s="1143"/>
      <c r="J11" s="1143">
        <f t="shared" si="1"/>
        <v>0</v>
      </c>
    </row>
    <row r="12" spans="2:13">
      <c r="B12" s="169">
        <v>3</v>
      </c>
      <c r="C12" s="1099" t="s">
        <v>5251</v>
      </c>
      <c r="D12" s="169" t="s">
        <v>5022</v>
      </c>
      <c r="E12" s="169" t="s">
        <v>272</v>
      </c>
      <c r="F12" s="1149">
        <f>ROUND('II.1.5.nc+mtcTA'!N52,0)</f>
        <v>11306766</v>
      </c>
      <c r="G12" s="1149"/>
      <c r="H12" s="1149">
        <f t="shared" si="0"/>
        <v>11306766</v>
      </c>
      <c r="I12" s="1149"/>
      <c r="J12" s="1149">
        <f t="shared" si="1"/>
        <v>11306766</v>
      </c>
    </row>
    <row r="13" spans="2:13">
      <c r="B13" s="169"/>
      <c r="C13" s="1099"/>
      <c r="D13" s="169"/>
      <c r="E13" s="547" t="s">
        <v>2570</v>
      </c>
      <c r="F13" s="1143"/>
      <c r="G13" s="1143"/>
      <c r="H13" s="1143">
        <f t="shared" si="0"/>
        <v>0</v>
      </c>
      <c r="I13" s="1143"/>
      <c r="J13" s="1143">
        <f t="shared" si="1"/>
        <v>0</v>
      </c>
    </row>
    <row r="14" spans="2:13">
      <c r="B14" s="170" t="s">
        <v>1233</v>
      </c>
      <c r="C14" s="171" t="s">
        <v>5252</v>
      </c>
      <c r="D14" s="170" t="s">
        <v>5023</v>
      </c>
      <c r="E14" s="170" t="s">
        <v>5869</v>
      </c>
      <c r="F14" s="1144">
        <f>ROUND(65%*F10,0)</f>
        <v>42879060</v>
      </c>
      <c r="G14" s="1144">
        <f>ROUND(65%*G10,0)</f>
        <v>0</v>
      </c>
      <c r="H14" s="1144">
        <f t="shared" si="0"/>
        <v>42879060</v>
      </c>
      <c r="I14" s="1144">
        <f>ROUND(65%*I10,0)</f>
        <v>0</v>
      </c>
      <c r="J14" s="1144">
        <f t="shared" si="1"/>
        <v>42879060</v>
      </c>
    </row>
    <row r="15" spans="2:13">
      <c r="B15" s="167"/>
      <c r="C15" s="171" t="s">
        <v>5254</v>
      </c>
      <c r="D15" s="169" t="s">
        <v>5019</v>
      </c>
      <c r="E15" s="172" t="s">
        <v>5255</v>
      </c>
      <c r="F15" s="1150">
        <f>ROUND(F8+F14,0)</f>
        <v>122797332</v>
      </c>
      <c r="G15" s="1150">
        <f>ROUND(G8+G14,0)</f>
        <v>0</v>
      </c>
      <c r="H15" s="1150">
        <f t="shared" si="0"/>
        <v>122797332</v>
      </c>
      <c r="I15" s="1149">
        <f>I8+I14</f>
        <v>0</v>
      </c>
      <c r="J15" s="1149">
        <f t="shared" si="1"/>
        <v>122797332</v>
      </c>
    </row>
    <row r="16" spans="2:13">
      <c r="B16" s="170" t="s">
        <v>4085</v>
      </c>
      <c r="C16" s="171" t="s">
        <v>4060</v>
      </c>
      <c r="D16" s="170" t="s">
        <v>4061</v>
      </c>
      <c r="E16" s="170" t="s">
        <v>4062</v>
      </c>
      <c r="F16" s="1144">
        <f>ROUND(6%*(F8+F14),0)</f>
        <v>7367840</v>
      </c>
      <c r="G16" s="1144">
        <f>ROUND(6%*(G8+G14),0)</f>
        <v>0</v>
      </c>
      <c r="H16" s="1144">
        <f t="shared" si="0"/>
        <v>7367840</v>
      </c>
      <c r="I16" s="1144">
        <f>6%*(I8+I14)</f>
        <v>0</v>
      </c>
      <c r="J16" s="1144">
        <f t="shared" si="1"/>
        <v>7367840</v>
      </c>
    </row>
    <row r="17" spans="2:10">
      <c r="B17" s="173"/>
      <c r="C17" s="174" t="s">
        <v>4063</v>
      </c>
      <c r="D17" s="175" t="s">
        <v>5866</v>
      </c>
      <c r="E17" s="170" t="s">
        <v>4064</v>
      </c>
      <c r="F17" s="1144">
        <f>ROUND(F8+F14+F16,0)</f>
        <v>130165172</v>
      </c>
      <c r="G17" s="1144">
        <f>ROUND(G8+G14+G16,0)</f>
        <v>0</v>
      </c>
      <c r="H17" s="1144">
        <f t="shared" si="0"/>
        <v>130165172</v>
      </c>
      <c r="I17" s="1144">
        <f>I8+I14+I16</f>
        <v>0</v>
      </c>
      <c r="J17" s="1144">
        <f t="shared" si="1"/>
        <v>130165172</v>
      </c>
    </row>
    <row r="18" spans="2:10">
      <c r="B18" s="170" t="s">
        <v>4065</v>
      </c>
      <c r="C18" s="171" t="s">
        <v>4066</v>
      </c>
      <c r="D18" s="176" t="s">
        <v>4098</v>
      </c>
      <c r="E18" s="170" t="s">
        <v>5867</v>
      </c>
      <c r="F18" s="1144">
        <f>ROUND(F17*10%,0)</f>
        <v>13016517</v>
      </c>
      <c r="G18" s="1144">
        <f>ROUND(G17*10%,0)</f>
        <v>0</v>
      </c>
      <c r="H18" s="1144">
        <f t="shared" si="0"/>
        <v>13016517</v>
      </c>
      <c r="I18" s="1144">
        <f>I17*10%</f>
        <v>0</v>
      </c>
      <c r="J18" s="1144">
        <f t="shared" si="1"/>
        <v>13016517</v>
      </c>
    </row>
    <row r="19" spans="2:10">
      <c r="B19" s="167"/>
      <c r="C19" s="171" t="s">
        <v>5148</v>
      </c>
      <c r="D19" s="175" t="s">
        <v>4099</v>
      </c>
      <c r="E19" s="177" t="s">
        <v>5868</v>
      </c>
      <c r="F19" s="1146">
        <f>ROUND(F17+F18,0)</f>
        <v>143181689</v>
      </c>
      <c r="G19" s="1146">
        <f>ROUND(G17+G18,0)</f>
        <v>0</v>
      </c>
      <c r="H19" s="1146">
        <f t="shared" si="0"/>
        <v>143181689</v>
      </c>
      <c r="I19" s="1147">
        <f>I17+I18</f>
        <v>0</v>
      </c>
      <c r="J19" s="1147">
        <f t="shared" si="1"/>
        <v>143181689</v>
      </c>
    </row>
    <row r="20" spans="2:10">
      <c r="B20" s="178"/>
      <c r="C20" s="179"/>
      <c r="D20" s="180"/>
      <c r="E20" s="181"/>
      <c r="F20" s="181"/>
      <c r="G20" s="181"/>
      <c r="H20" s="181"/>
      <c r="I20" s="181"/>
      <c r="J20" s="182"/>
    </row>
    <row r="21" spans="2:10">
      <c r="B21" s="1250"/>
      <c r="C21" s="183"/>
      <c r="D21" s="183"/>
      <c r="E21" s="183"/>
      <c r="F21" s="183"/>
      <c r="G21" s="183"/>
      <c r="H21" s="183"/>
      <c r="I21" s="183"/>
      <c r="J21" s="183"/>
    </row>
    <row r="22" spans="2:10" hidden="1">
      <c r="B22" s="87" t="s">
        <v>993</v>
      </c>
    </row>
    <row r="23" spans="2:10" hidden="1">
      <c r="B23" s="87" t="s">
        <v>3797</v>
      </c>
    </row>
    <row r="24" spans="2:10" hidden="1">
      <c r="B24" s="87" t="s">
        <v>1251</v>
      </c>
      <c r="C24" s="772">
        <f>'II.1.1.vlTA'!C28</f>
        <v>0</v>
      </c>
    </row>
    <row r="25" spans="2:10" hidden="1">
      <c r="B25" s="87" t="s">
        <v>1251</v>
      </c>
      <c r="C25" s="773">
        <f>'II.1.1.vlTA'!C29</f>
        <v>0</v>
      </c>
    </row>
    <row r="27" spans="2:10"/>
    <row r="28" spans="2:10"/>
    <row r="29" spans="2:10"/>
    <row r="30" spans="2:10"/>
    <row r="31" spans="2:10"/>
    <row r="32" spans="2:10" ht="15" customHeight="1"/>
    <row r="33" ht="15" customHeight="1"/>
    <row r="34" ht="15" customHeight="1"/>
    <row r="35" ht="15" customHeight="1"/>
  </sheetData>
  <sheetProtection password="E3F0" sheet="1" objects="1" scenarios="1"/>
  <mergeCells count="9">
    <mergeCell ref="B2:J2"/>
    <mergeCell ref="B3:J3"/>
    <mergeCell ref="F5:H5"/>
    <mergeCell ref="I5:I6"/>
    <mergeCell ref="B5:B6"/>
    <mergeCell ref="C5:C6"/>
    <mergeCell ref="D5:D6"/>
    <mergeCell ref="E5:E6"/>
    <mergeCell ref="J5:J6"/>
  </mergeCells>
  <phoneticPr fontId="0" type="noConversion"/>
  <printOptions horizontalCentered="1"/>
  <pageMargins left="0.19685039370078741" right="0.19685039370078741" top="0.39370078740157483" bottom="0.39370078740157483" header="0.19685039370078741" footer="0.19685039370078741"/>
  <pageSetup paperSize="9" firstPageNumber="32" orientation="landscape" blackAndWhite="1" useFirstPageNumber="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42"/>
  </sheetPr>
  <dimension ref="A1:N103"/>
  <sheetViews>
    <sheetView showGridLines="0" showZeros="0" showRuler="0" view="pageLayout" topLeftCell="A16" zoomScaleNormal="100" workbookViewId="0">
      <selection activeCell="C10" sqref="C10:D10"/>
    </sheetView>
  </sheetViews>
  <sheetFormatPr defaultColWidth="0" defaultRowHeight="15" zeroHeight="1"/>
  <cols>
    <col min="1" max="1" width="4.83203125" style="1240" customWidth="1"/>
    <col min="2" max="2" width="45.83203125" style="185" customWidth="1"/>
    <col min="3" max="3" width="8.83203125" style="185" customWidth="1"/>
    <col min="4" max="4" width="6.83203125" style="197" customWidth="1"/>
    <col min="5" max="5" width="12.83203125" style="197" customWidth="1"/>
    <col min="6" max="6" width="10.83203125" style="197" hidden="1" customWidth="1"/>
    <col min="7" max="7" width="11.83203125" style="197" customWidth="1"/>
    <col min="8" max="8" width="12.83203125" style="197" customWidth="1"/>
    <col min="9" max="9" width="10.83203125" style="197" customWidth="1"/>
    <col min="10" max="10" width="12.83203125" style="197" customWidth="1"/>
    <col min="11" max="11" width="10.83203125" style="197" hidden="1" customWidth="1"/>
    <col min="12" max="12" width="10.83203125" style="197" customWidth="1"/>
    <col min="13" max="13" width="12.83203125" style="197" customWidth="1"/>
    <col min="14" max="14" width="10.83203125" style="197" customWidth="1"/>
    <col min="15" max="15" width="1.6640625" style="185" customWidth="1"/>
    <col min="16" max="16384" width="0" style="185" hidden="1"/>
  </cols>
  <sheetData>
    <row r="1" spans="1:14"/>
    <row r="2" spans="1:14" ht="18.75">
      <c r="A2" s="2051" t="s">
        <v>4386</v>
      </c>
      <c r="B2" s="2051"/>
      <c r="C2" s="2051"/>
      <c r="D2" s="2051"/>
      <c r="E2" s="2051"/>
      <c r="F2" s="2051"/>
      <c r="G2" s="2051"/>
      <c r="H2" s="2051"/>
      <c r="I2" s="2051"/>
      <c r="J2" s="2051"/>
      <c r="K2" s="2051"/>
      <c r="L2" s="2051"/>
      <c r="M2" s="2051"/>
      <c r="N2" s="2051"/>
    </row>
    <row r="3" spans="1:14" ht="15.75">
      <c r="A3" s="2052" t="s">
        <v>488</v>
      </c>
      <c r="B3" s="2052"/>
      <c r="C3" s="2052"/>
      <c r="D3" s="2052"/>
      <c r="E3" s="2052"/>
      <c r="F3" s="2052"/>
      <c r="G3" s="2052"/>
      <c r="H3" s="2052"/>
      <c r="I3" s="2052"/>
      <c r="J3" s="2052"/>
      <c r="K3" s="2052"/>
      <c r="L3" s="2052"/>
      <c r="M3" s="2052"/>
      <c r="N3" s="2052"/>
    </row>
    <row r="4" spans="1:14">
      <c r="A4" s="1251"/>
      <c r="B4" s="186"/>
      <c r="C4" s="186"/>
      <c r="D4" s="187"/>
      <c r="E4" s="187"/>
      <c r="F4" s="187"/>
      <c r="G4" s="187"/>
      <c r="H4" s="187"/>
      <c r="I4" s="187"/>
      <c r="J4" s="187"/>
      <c r="K4" s="187"/>
      <c r="L4" s="187"/>
      <c r="M4" s="187"/>
      <c r="N4" s="187"/>
    </row>
    <row r="5" spans="1:14">
      <c r="A5" s="2053" t="s">
        <v>375</v>
      </c>
      <c r="B5" s="2053" t="s">
        <v>175</v>
      </c>
      <c r="C5" s="2053" t="s">
        <v>86</v>
      </c>
      <c r="D5" s="2056" t="s">
        <v>174</v>
      </c>
      <c r="E5" s="236" t="s">
        <v>87</v>
      </c>
      <c r="F5" s="237"/>
      <c r="G5" s="237"/>
      <c r="H5" s="238"/>
      <c r="I5" s="239"/>
      <c r="J5" s="236" t="s">
        <v>88</v>
      </c>
      <c r="K5" s="237"/>
      <c r="L5" s="237"/>
      <c r="M5" s="238"/>
      <c r="N5" s="239"/>
    </row>
    <row r="6" spans="1:14" ht="27.95" customHeight="1">
      <c r="A6" s="2054"/>
      <c r="B6" s="2055"/>
      <c r="C6" s="2054"/>
      <c r="D6" s="2057"/>
      <c r="E6" s="240" t="s">
        <v>5443</v>
      </c>
      <c r="F6" s="240" t="s">
        <v>2080</v>
      </c>
      <c r="G6" s="240" t="s">
        <v>5444</v>
      </c>
      <c r="H6" s="240" t="s">
        <v>89</v>
      </c>
      <c r="I6" s="241" t="s">
        <v>3308</v>
      </c>
      <c r="J6" s="240" t="s">
        <v>5443</v>
      </c>
      <c r="K6" s="240" t="s">
        <v>2080</v>
      </c>
      <c r="L6" s="240" t="s">
        <v>5444</v>
      </c>
      <c r="M6" s="240" t="s">
        <v>89</v>
      </c>
      <c r="N6" s="241" t="s">
        <v>3308</v>
      </c>
    </row>
    <row r="7" spans="1:14">
      <c r="A7" s="242" t="s">
        <v>176</v>
      </c>
      <c r="B7" s="242" t="s">
        <v>4275</v>
      </c>
      <c r="C7" s="242" t="s">
        <v>4276</v>
      </c>
      <c r="D7" s="242" t="s">
        <v>5860</v>
      </c>
      <c r="E7" s="242" t="s">
        <v>5861</v>
      </c>
      <c r="F7" s="242" t="s">
        <v>5862</v>
      </c>
      <c r="G7" s="242" t="s">
        <v>5863</v>
      </c>
      <c r="H7" s="242" t="s">
        <v>5864</v>
      </c>
      <c r="I7" s="242" t="s">
        <v>1250</v>
      </c>
      <c r="J7" s="243" t="s">
        <v>5445</v>
      </c>
      <c r="K7" s="243" t="s">
        <v>5446</v>
      </c>
      <c r="L7" s="243" t="s">
        <v>5447</v>
      </c>
      <c r="M7" s="243" t="s">
        <v>5448</v>
      </c>
      <c r="N7" s="243" t="s">
        <v>149</v>
      </c>
    </row>
    <row r="8" spans="1:14" ht="15" customHeight="1">
      <c r="A8" s="244" t="s">
        <v>5284</v>
      </c>
      <c r="B8" s="245" t="str">
        <f>VLOOKUP($A8,'II.1.6.chitietDDTT'!$B$9:$R$2187,4,FALSE)</f>
        <v>PHẦN XÂY DỰNG</v>
      </c>
      <c r="C8" s="246">
        <f>VLOOKUP($A8,'II.1.6.chitietDDTT'!$B$9:$R$2187,5,FALSE)</f>
        <v>0</v>
      </c>
      <c r="D8" s="246">
        <f>VLOOKUP($A8,'II.1.6.chitietDDTT'!$B$9:$R$2187,6,FALSE)</f>
        <v>0</v>
      </c>
      <c r="E8" s="227">
        <f>VLOOKUP($A8,'II.1.6.chitietDDTT'!$B$9:$R$2187,12,FALSE)</f>
        <v>0</v>
      </c>
      <c r="F8" s="227">
        <f>VLOOKUP($A8,'II.1.6.chitietDDTT'!$B$9:$R$2187,13,FALSE)</f>
        <v>0</v>
      </c>
      <c r="G8" s="227"/>
      <c r="H8" s="227">
        <f>VLOOKUP($A8,'II.1.6.chitietDDTT'!$B$9:$R$2187,14,FALSE)</f>
        <v>0</v>
      </c>
      <c r="I8" s="227">
        <f>VLOOKUP($A8,'II.1.6.chitietDDTT'!$B$9:$R$2187,15,FALSE)</f>
        <v>0</v>
      </c>
      <c r="J8" s="227">
        <f t="shared" ref="J8:K10" si="0">ROUND($D8*E8,0)</f>
        <v>0</v>
      </c>
      <c r="K8" s="227">
        <f t="shared" si="0"/>
        <v>0</v>
      </c>
      <c r="L8" s="227"/>
      <c r="M8" s="227">
        <f t="shared" ref="M8:N10" si="1">ROUND($D8*H8,0)</f>
        <v>0</v>
      </c>
      <c r="N8" s="227">
        <f t="shared" si="1"/>
        <v>0</v>
      </c>
    </row>
    <row r="9" spans="1:14" ht="15" customHeight="1">
      <c r="A9" s="1252" t="s">
        <v>1909</v>
      </c>
      <c r="B9" s="247" t="str">
        <f>VLOOKUP($A9,'II.1.6.chitietDDTT'!$B$9:$R$2187,4,FALSE)</f>
        <v>Trụ 16m ghép - Móng M200 (1,8x1,6x1,2)m3 tim 0,42m</v>
      </c>
      <c r="C9" s="248" t="str">
        <f>VLOOKUP($A9,'II.1.6.chitietDDTT'!$B$9:$R$2187,5,FALSE)</f>
        <v>móng</v>
      </c>
      <c r="D9" s="248">
        <f>VLOOKUP($A9,'II.1.6.chitietDDTT'!$B$9:$R$2187,6,FALSE)</f>
        <v>2</v>
      </c>
      <c r="E9" s="227">
        <f>VLOOKUP($A9,'II.1.6.chitietDDTT'!$B$9:$R$2187,13,FALSE)</f>
        <v>3509705</v>
      </c>
      <c r="F9" s="227">
        <f>VLOOKUP($A9,'II.1.6.chitietDDTT'!$B$9:$R$2187,14,FALSE)</f>
        <v>0</v>
      </c>
      <c r="G9" s="227">
        <f>VLOOKUP($A9,'II.1.6.chitietDDTT'!$B$9:$R$2187,15,FALSE)</f>
        <v>0</v>
      </c>
      <c r="H9" s="227">
        <f>VLOOKUP($A9,'II.1.6.chitietDDTT'!$B$9:$R$2187,16,FALSE)</f>
        <v>2450940</v>
      </c>
      <c r="I9" s="227">
        <f>VLOOKUP($A9,'II.1.6.chitietDDTT'!$B$9:$R$2187,17,FALSE)</f>
        <v>138370</v>
      </c>
      <c r="J9" s="227">
        <f t="shared" si="0"/>
        <v>7019410</v>
      </c>
      <c r="K9" s="227">
        <f t="shared" si="0"/>
        <v>0</v>
      </c>
      <c r="L9" s="227">
        <f t="shared" ref="L9:L16" si="2">ROUND($D9*G9,0)</f>
        <v>0</v>
      </c>
      <c r="M9" s="227">
        <f t="shared" si="1"/>
        <v>4901880</v>
      </c>
      <c r="N9" s="227">
        <f t="shared" si="1"/>
        <v>276740</v>
      </c>
    </row>
    <row r="10" spans="1:14" ht="15" customHeight="1">
      <c r="A10" s="1252" t="s">
        <v>1910</v>
      </c>
      <c r="B10" s="247" t="str">
        <f>VLOOKUP($A10,'II.1.6.chitietDDTT'!$B$9:$R$2187,4,FALSE)</f>
        <v>Trụ 16m đơn - Móng bêtông M200 (1,6x1,6x1,2)m3</v>
      </c>
      <c r="C10" s="248" t="str">
        <f>VLOOKUP($A10,'II.1.6.chitietDDTT'!$B$9:$R$2187,5,FALSE)</f>
        <v>móng</v>
      </c>
      <c r="D10" s="248">
        <f>VLOOKUP($A10,'II.1.6.chitietDDTT'!$B$9:$R$2187,6,FALSE)</f>
        <v>18</v>
      </c>
      <c r="E10" s="227">
        <f>VLOOKUP($A10,'II.1.6.chitietDDTT'!$B$9:$R$2187,13,FALSE)</f>
        <v>3196312</v>
      </c>
      <c r="F10" s="227">
        <f>VLOOKUP($A10,'II.1.6.chitietDDTT'!$B$9:$R$2187,14,FALSE)</f>
        <v>0</v>
      </c>
      <c r="G10" s="227">
        <f>VLOOKUP($A10,'II.1.6.chitietDDTT'!$B$9:$R$2187,15,FALSE)</f>
        <v>0</v>
      </c>
      <c r="H10" s="227">
        <f>VLOOKUP($A10,'II.1.6.chitietDDTT'!$B$9:$R$2187,16,FALSE)</f>
        <v>2190813</v>
      </c>
      <c r="I10" s="227">
        <f>VLOOKUP($A10,'II.1.6.chitietDDTT'!$B$9:$R$2187,17,FALSE)</f>
        <v>124890</v>
      </c>
      <c r="J10" s="227">
        <f t="shared" si="0"/>
        <v>57533616</v>
      </c>
      <c r="K10" s="227">
        <f t="shared" si="0"/>
        <v>0</v>
      </c>
      <c r="L10" s="227">
        <f t="shared" si="2"/>
        <v>0</v>
      </c>
      <c r="M10" s="227">
        <f t="shared" si="1"/>
        <v>39434634</v>
      </c>
      <c r="N10" s="227">
        <f t="shared" si="1"/>
        <v>2248020</v>
      </c>
    </row>
    <row r="11" spans="1:14" ht="15" customHeight="1">
      <c r="A11" s="1252" t="s">
        <v>3921</v>
      </c>
      <c r="B11" s="247" t="str">
        <f>VLOOKUP($A11,'II.1.6.chitietDDTT'!$B$9:$R$2187,4,FALSE)</f>
        <v>Trụ 14m ghép - Móng bêtông M200 (1,6x1,4x1)m3</v>
      </c>
      <c r="C11" s="248" t="str">
        <f>VLOOKUP($A11,'II.1.6.chitietDDTT'!$B$9:$R$2187,5,FALSE)</f>
        <v>móng</v>
      </c>
      <c r="D11" s="248">
        <f>VLOOKUP($A11,'II.1.6.chitietDDTT'!$B$9:$R$2187,6,FALSE)</f>
        <v>10</v>
      </c>
      <c r="E11" s="227">
        <f>VLOOKUP($A11,'II.1.6.chitietDDTT'!$B$9:$R$2187,13,FALSE)</f>
        <v>2358406</v>
      </c>
      <c r="F11" s="227">
        <f>VLOOKUP($A11,'II.1.6.chitietDDTT'!$B$9:$R$2187,14,FALSE)</f>
        <v>0</v>
      </c>
      <c r="G11" s="227">
        <f>VLOOKUP($A11,'II.1.6.chitietDDTT'!$B$9:$R$2187,15,FALSE)</f>
        <v>0</v>
      </c>
      <c r="H11" s="227">
        <f>VLOOKUP($A11,'II.1.6.chitietDDTT'!$B$9:$R$2187,16,FALSE)</f>
        <v>1394617</v>
      </c>
      <c r="I11" s="227">
        <f>VLOOKUP($A11,'II.1.6.chitietDDTT'!$B$9:$R$2187,17,FALSE)</f>
        <v>86662</v>
      </c>
      <c r="J11" s="227">
        <f t="shared" ref="J11:K13" si="3">ROUND($D11*E11,0)</f>
        <v>23584060</v>
      </c>
      <c r="K11" s="227">
        <f t="shared" si="3"/>
        <v>0</v>
      </c>
      <c r="L11" s="227">
        <f t="shared" si="2"/>
        <v>0</v>
      </c>
      <c r="M11" s="227">
        <f t="shared" ref="M11:N13" si="4">ROUND($D11*H11,0)</f>
        <v>13946170</v>
      </c>
      <c r="N11" s="227">
        <f t="shared" si="4"/>
        <v>866620</v>
      </c>
    </row>
    <row r="12" spans="1:14" ht="15" customHeight="1">
      <c r="A12" s="1252" t="s">
        <v>4619</v>
      </c>
      <c r="B12" s="247" t="str">
        <f>VLOOKUP($A12,'II.1.6.chitietDDTT'!$B$9:$R$2187,4,FALSE)</f>
        <v>Trụ 14m - Móng bêtông M200 (1,4x1,4x1)m3</v>
      </c>
      <c r="C12" s="248" t="str">
        <f>VLOOKUP($A12,'II.1.6.chitietDDTT'!$B$9:$R$2187,5,FALSE)</f>
        <v>móng</v>
      </c>
      <c r="D12" s="248">
        <f>VLOOKUP($A12,'II.1.6.chitietDDTT'!$B$9:$R$2187,6,FALSE)</f>
        <v>9</v>
      </c>
      <c r="E12" s="227">
        <f>VLOOKUP($A12,'II.1.6.chitietDDTT'!$B$9:$R$2187,13,FALSE)</f>
        <v>2055677</v>
      </c>
      <c r="F12" s="227">
        <f>VLOOKUP($A12,'II.1.6.chitietDDTT'!$B$9:$R$2187,14,FALSE)</f>
        <v>0</v>
      </c>
      <c r="G12" s="227">
        <f>VLOOKUP($A12,'II.1.6.chitietDDTT'!$B$9:$R$2187,15,FALSE)</f>
        <v>0</v>
      </c>
      <c r="H12" s="227">
        <f>VLOOKUP($A12,'II.1.6.chitietDDTT'!$B$9:$R$2187,16,FALSE)</f>
        <v>1240931</v>
      </c>
      <c r="I12" s="227">
        <f>VLOOKUP($A12,'II.1.6.chitietDDTT'!$B$9:$R$2187,17,FALSE)</f>
        <v>79050</v>
      </c>
      <c r="J12" s="227">
        <f t="shared" si="3"/>
        <v>18501093</v>
      </c>
      <c r="K12" s="227">
        <f t="shared" si="3"/>
        <v>0</v>
      </c>
      <c r="L12" s="227">
        <f t="shared" si="2"/>
        <v>0</v>
      </c>
      <c r="M12" s="227">
        <f t="shared" si="4"/>
        <v>11168379</v>
      </c>
      <c r="N12" s="227">
        <f t="shared" si="4"/>
        <v>711450</v>
      </c>
    </row>
    <row r="13" spans="1:14" ht="15" customHeight="1">
      <c r="A13" s="1252" t="s">
        <v>4584</v>
      </c>
      <c r="B13" s="247" t="str">
        <f>VLOOKUP($A13,'II.1.6.chitietDDTT'!$B$9:$R$2187,4,FALSE)</f>
        <v>Móng 14ba</v>
      </c>
      <c r="C13" s="248" t="str">
        <f>VLOOKUP($A13,'II.1.6.chitietDDTT'!$B$9:$R$2187,5,FALSE)</f>
        <v>móng</v>
      </c>
      <c r="D13" s="248">
        <f>VLOOKUP($A13,'II.1.6.chitietDDTT'!$B$9:$R$2187,6,FALSE)</f>
        <v>18</v>
      </c>
      <c r="E13" s="227">
        <f>VLOOKUP($A13,'II.1.6.chitietDDTT'!$B$9:$R$2187,13,FALSE)</f>
        <v>1272200</v>
      </c>
      <c r="F13" s="227">
        <f>VLOOKUP($A13,'II.1.6.chitietDDTT'!$B$9:$R$2187,14,FALSE)</f>
        <v>0</v>
      </c>
      <c r="G13" s="227">
        <f>VLOOKUP($A13,'II.1.6.chitietDDTT'!$B$9:$R$2187,15,FALSE)</f>
        <v>0</v>
      </c>
      <c r="H13" s="227">
        <f>VLOOKUP($A13,'II.1.6.chitietDDTT'!$B$9:$R$2187,16,FALSE)</f>
        <v>1337287</v>
      </c>
      <c r="I13" s="227">
        <f>VLOOKUP($A13,'II.1.6.chitietDDTT'!$B$9:$R$2187,17,FALSE)</f>
        <v>0</v>
      </c>
      <c r="J13" s="227">
        <f t="shared" si="3"/>
        <v>22899600</v>
      </c>
      <c r="K13" s="227">
        <f t="shared" si="3"/>
        <v>0</v>
      </c>
      <c r="L13" s="227">
        <f t="shared" si="2"/>
        <v>0</v>
      </c>
      <c r="M13" s="227">
        <f t="shared" si="4"/>
        <v>24071166</v>
      </c>
      <c r="N13" s="227">
        <f t="shared" si="4"/>
        <v>0</v>
      </c>
    </row>
    <row r="14" spans="1:14" ht="15" customHeight="1">
      <c r="A14" s="1252" t="s">
        <v>5929</v>
      </c>
      <c r="B14" s="247" t="str">
        <f>VLOOKUP($A14,'II.1.6.chitietDDTT'!$B$9:$R$2187,4,FALSE)</f>
        <v>Móng neo chằng trụ 14m</v>
      </c>
      <c r="C14" s="248" t="str">
        <f>VLOOKUP($A14,'II.1.6.chitietDDTT'!$B$9:$R$2187,5,FALSE)</f>
        <v>bộ</v>
      </c>
      <c r="D14" s="248">
        <f>VLOOKUP($A14,'II.1.6.chitietDDTT'!$B$9:$R$2187,6,FALSE)</f>
        <v>4</v>
      </c>
      <c r="E14" s="227">
        <f>VLOOKUP($A14,'II.1.6.chitietDDTT'!$B$9:$R$2187,13,FALSE)</f>
        <v>842000</v>
      </c>
      <c r="F14" s="227">
        <f>VLOOKUP($A14,'II.1.6.chitietDDTT'!$B$9:$R$2187,14,FALSE)</f>
        <v>0</v>
      </c>
      <c r="G14" s="227">
        <f>VLOOKUP($A14,'II.1.6.chitietDDTT'!$B$9:$R$2187,15,FALSE)</f>
        <v>0</v>
      </c>
      <c r="H14" s="227">
        <f>VLOOKUP($A14,'II.1.6.chitietDDTT'!$B$9:$R$2187,16,FALSE)</f>
        <v>600022</v>
      </c>
      <c r="I14" s="227">
        <f>VLOOKUP($A14,'II.1.6.chitietDDTT'!$B$9:$R$2187,17,FALSE)</f>
        <v>0</v>
      </c>
      <c r="J14" s="227">
        <f t="shared" ref="J14:K16" si="5">ROUND($D14*E14,0)</f>
        <v>3368000</v>
      </c>
      <c r="K14" s="227">
        <f t="shared" si="5"/>
        <v>0</v>
      </c>
      <c r="L14" s="227">
        <f t="shared" si="2"/>
        <v>0</v>
      </c>
      <c r="M14" s="227">
        <f t="shared" ref="M14:N16" si="6">ROUND($D14*H14,0)</f>
        <v>2400088</v>
      </c>
      <c r="N14" s="227">
        <f t="shared" si="6"/>
        <v>0</v>
      </c>
    </row>
    <row r="15" spans="1:14" ht="15" customHeight="1">
      <c r="A15" s="1252" t="s">
        <v>5791</v>
      </c>
      <c r="B15" s="247" t="str">
        <f>VLOOKUP($A15,'II.1.6.chitietDDTT'!$B$9:$R$2187,4,FALSE)</f>
        <v>Móng neo chằng trụ 16,20m</v>
      </c>
      <c r="C15" s="248" t="str">
        <f>VLOOKUP($A15,'II.1.6.chitietDDTT'!$B$9:$R$2187,5,FALSE)</f>
        <v>bộ</v>
      </c>
      <c r="D15" s="248">
        <f>VLOOKUP($A15,'II.1.6.chitietDDTT'!$B$9:$R$2187,6,FALSE)</f>
        <v>10</v>
      </c>
      <c r="E15" s="227">
        <f>VLOOKUP($A15,'II.1.6.chitietDDTT'!$B$9:$R$2187,13,FALSE)</f>
        <v>842000</v>
      </c>
      <c r="F15" s="227">
        <f>VLOOKUP($A15,'II.1.6.chitietDDTT'!$B$9:$R$2187,14,FALSE)</f>
        <v>0</v>
      </c>
      <c r="G15" s="227">
        <f>VLOOKUP($A15,'II.1.6.chitietDDTT'!$B$9:$R$2187,15,FALSE)</f>
        <v>0</v>
      </c>
      <c r="H15" s="227">
        <f>VLOOKUP($A15,'II.1.6.chitietDDTT'!$B$9:$R$2187,16,FALSE)</f>
        <v>600022</v>
      </c>
      <c r="I15" s="227">
        <f>VLOOKUP($A15,'II.1.6.chitietDDTT'!$B$9:$R$2187,17,FALSE)</f>
        <v>0</v>
      </c>
      <c r="J15" s="227">
        <f t="shared" si="5"/>
        <v>8420000</v>
      </c>
      <c r="K15" s="227">
        <f t="shared" si="5"/>
        <v>0</v>
      </c>
      <c r="L15" s="227">
        <f t="shared" si="2"/>
        <v>0</v>
      </c>
      <c r="M15" s="227">
        <f t="shared" si="6"/>
        <v>6000220</v>
      </c>
      <c r="N15" s="227">
        <f t="shared" si="6"/>
        <v>0</v>
      </c>
    </row>
    <row r="16" spans="1:14" ht="15" customHeight="1">
      <c r="A16" s="1252" t="s">
        <v>1831</v>
      </c>
      <c r="B16" s="247" t="str">
        <f>VLOOKUP($A16,'II.1.6.chitietDDTT'!$B$9:$R$2187,4,FALSE)</f>
        <v>Đào, đắp rãnh tiếp địa</v>
      </c>
      <c r="C16" s="248" t="str">
        <f>VLOOKUP($A16,'II.1.6.chitietDDTT'!$B$9:$R$2187,5,FALSE)</f>
        <v>bộ</v>
      </c>
      <c r="D16" s="248">
        <f>VLOOKUP($A16,'II.1.6.chitietDDTT'!$B$9:$R$2187,6,FALSE)</f>
        <v>18</v>
      </c>
      <c r="E16" s="227">
        <f>VLOOKUP($A16,'II.1.6.chitietDDTT'!$B$9:$R$2187,13,FALSE)</f>
        <v>0</v>
      </c>
      <c r="F16" s="227">
        <f>VLOOKUP($A16,'II.1.6.chitietDDTT'!$B$9:$R$2187,14,FALSE)</f>
        <v>0</v>
      </c>
      <c r="G16" s="227">
        <f>VLOOKUP($A16,'II.1.6.chitietDDTT'!$B$9:$R$2187,15,FALSE)</f>
        <v>0</v>
      </c>
      <c r="H16" s="227">
        <f>VLOOKUP($A16,'II.1.6.chitietDDTT'!$B$9:$R$2187,16,FALSE)</f>
        <v>66462</v>
      </c>
      <c r="I16" s="227">
        <f>VLOOKUP($A16,'II.1.6.chitietDDTT'!$B$9:$R$2187,17,FALSE)</f>
        <v>0</v>
      </c>
      <c r="J16" s="227">
        <f t="shared" si="5"/>
        <v>0</v>
      </c>
      <c r="K16" s="227">
        <f t="shared" si="5"/>
        <v>0</v>
      </c>
      <c r="L16" s="227">
        <f t="shared" si="2"/>
        <v>0</v>
      </c>
      <c r="M16" s="227">
        <f t="shared" si="6"/>
        <v>1196316</v>
      </c>
      <c r="N16" s="227">
        <f t="shared" si="6"/>
        <v>0</v>
      </c>
    </row>
    <row r="17" spans="1:14" ht="15" customHeight="1">
      <c r="A17" s="249" t="s">
        <v>1233</v>
      </c>
      <c r="B17" s="250" t="str">
        <f>VLOOKUP($A17,'II.1.6.chitietDDTT'!$B$9:$R$2187,4,FALSE)</f>
        <v>PHẦN VẬT LIỆU</v>
      </c>
      <c r="C17" s="248">
        <f>VLOOKUP($A17,'II.1.6.chitietDDTT'!$B$9:$R$2187,5,FALSE)</f>
        <v>0</v>
      </c>
      <c r="D17" s="248">
        <f>VLOOKUP($A17,'II.1.6.chitietDDTT'!$B$9:$R$2187,6,FALSE)</f>
        <v>0</v>
      </c>
      <c r="E17" s="227">
        <f>VLOOKUP($A17,'II.1.6.chitietDDTT'!$B$9:$R$2187,13,FALSE)</f>
        <v>0</v>
      </c>
      <c r="F17" s="227">
        <f>VLOOKUP($A17,'II.1.6.chitietDDTT'!$B$9:$R$2187,14,FALSE)</f>
        <v>0</v>
      </c>
      <c r="G17" s="227">
        <f>VLOOKUP($A17,'II.1.6.chitietDDTT'!$B$9:$R$2187,15,FALSE)</f>
        <v>0</v>
      </c>
      <c r="H17" s="227">
        <f>VLOOKUP($A17,'II.1.6.chitietDDTT'!$B$9:$R$2187,16,FALSE)</f>
        <v>0</v>
      </c>
      <c r="I17" s="227">
        <f>VLOOKUP($A17,'II.1.6.chitietDDTT'!$B$9:$R$2187,17,FALSE)</f>
        <v>0</v>
      </c>
      <c r="J17" s="227">
        <f t="shared" ref="J17:N18" si="7">ROUND($D17*E17,0)</f>
        <v>0</v>
      </c>
      <c r="K17" s="227">
        <f t="shared" si="7"/>
        <v>0</v>
      </c>
      <c r="L17" s="227">
        <f t="shared" si="7"/>
        <v>0</v>
      </c>
      <c r="M17" s="227">
        <f t="shared" si="7"/>
        <v>0</v>
      </c>
      <c r="N17" s="227">
        <f t="shared" si="7"/>
        <v>0</v>
      </c>
    </row>
    <row r="18" spans="1:14" ht="15" customHeight="1">
      <c r="A18" s="196" t="s">
        <v>1911</v>
      </c>
      <c r="B18" s="247" t="str">
        <f>VLOOKUP($A18,'II.1.6.chitietDDTT'!$B$9:$R$2187,4,FALSE)</f>
        <v>Trụ BTLT 16m</v>
      </c>
      <c r="C18" s="248" t="str">
        <f>VLOOKUP($A18,'II.1.6.chitietDDTT'!$B$9:$R$2187,5,FALSE)</f>
        <v>trụ</v>
      </c>
      <c r="D18" s="248">
        <f>VLOOKUP($A18,'II.1.6.chitietDDTT'!$B$9:$R$2187,6,FALSE)</f>
        <v>22</v>
      </c>
      <c r="E18" s="227">
        <f>VLOOKUP($A18,'II.1.6.chitietDDTT'!$B$9:$R$2187,13,FALSE)</f>
        <v>13283000</v>
      </c>
      <c r="F18" s="227">
        <f>VLOOKUP($A18,'II.1.6.chitietDDTT'!$B$9:$R$2187,14,FALSE)</f>
        <v>0</v>
      </c>
      <c r="G18" s="227">
        <f>VLOOKUP($A18,'II.1.6.chitietDDTT'!$B$9:$R$2187,15,FALSE)</f>
        <v>29500</v>
      </c>
      <c r="H18" s="227">
        <f>VLOOKUP($A18,'II.1.6.chitietDDTT'!$B$9:$R$2187,16,FALSE)</f>
        <v>1581800</v>
      </c>
      <c r="I18" s="227">
        <f>VLOOKUP($A18,'II.1.6.chitietDDTT'!$B$9:$R$2187,17,FALSE)</f>
        <v>0</v>
      </c>
      <c r="J18" s="227">
        <f t="shared" si="7"/>
        <v>292226000</v>
      </c>
      <c r="K18" s="227">
        <f t="shared" si="7"/>
        <v>0</v>
      </c>
      <c r="L18" s="227">
        <f t="shared" si="7"/>
        <v>649000</v>
      </c>
      <c r="M18" s="227">
        <f t="shared" si="7"/>
        <v>34799600</v>
      </c>
      <c r="N18" s="227">
        <f t="shared" si="7"/>
        <v>0</v>
      </c>
    </row>
    <row r="19" spans="1:14" ht="15" customHeight="1">
      <c r="A19" s="196" t="s">
        <v>3851</v>
      </c>
      <c r="B19" s="247" t="str">
        <f>VLOOKUP($A19,'II.1.6.chitietDDTT'!$B$9:$R$2187,4,FALSE)</f>
        <v>Trụ BTLT 14m</v>
      </c>
      <c r="C19" s="248" t="str">
        <f>VLOOKUP($A19,'II.1.6.chitietDDTT'!$B$9:$R$2187,5,FALSE)</f>
        <v>trụ</v>
      </c>
      <c r="D19" s="248">
        <f>VLOOKUP($A19,'II.1.6.chitietDDTT'!$B$9:$R$2187,6,FALSE)</f>
        <v>32</v>
      </c>
      <c r="E19" s="227">
        <f>VLOOKUP($A19,'II.1.6.chitietDDTT'!$B$9:$R$2187,13,FALSE)</f>
        <v>5961000</v>
      </c>
      <c r="F19" s="227">
        <f>VLOOKUP($A19,'II.1.6.chitietDDTT'!$B$9:$R$2187,14,FALSE)</f>
        <v>0</v>
      </c>
      <c r="G19" s="227">
        <f>VLOOKUP($A19,'II.1.6.chitietDDTT'!$B$9:$R$2187,15,FALSE)</f>
        <v>26000</v>
      </c>
      <c r="H19" s="227">
        <f>VLOOKUP($A19,'II.1.6.chitietDDTT'!$B$9:$R$2187,16,FALSE)</f>
        <v>1454200</v>
      </c>
      <c r="I19" s="227">
        <f>VLOOKUP($A19,'II.1.6.chitietDDTT'!$B$9:$R$2187,17,FALSE)</f>
        <v>0</v>
      </c>
      <c r="J19" s="227">
        <f t="shared" ref="J19:N21" si="8">ROUND($D19*E19,0)</f>
        <v>190752000</v>
      </c>
      <c r="K19" s="227">
        <f t="shared" si="8"/>
        <v>0</v>
      </c>
      <c r="L19" s="227">
        <f t="shared" si="8"/>
        <v>832000</v>
      </c>
      <c r="M19" s="227">
        <f t="shared" si="8"/>
        <v>46534400</v>
      </c>
      <c r="N19" s="227">
        <f t="shared" si="8"/>
        <v>0</v>
      </c>
    </row>
    <row r="20" spans="1:14" ht="15" customHeight="1">
      <c r="A20" s="196" t="s">
        <v>3619</v>
      </c>
      <c r="B20" s="247" t="str">
        <f>VLOOKUP($A20,'II.1.6.chitietDDTT'!$B$9:$R$2187,4,FALSE)</f>
        <v>Trụ BTLT 14m</v>
      </c>
      <c r="C20" s="248" t="str">
        <f>VLOOKUP($A20,'II.1.6.chitietDDTT'!$B$9:$R$2187,5,FALSE)</f>
        <v>trụ</v>
      </c>
      <c r="D20" s="248">
        <f>VLOOKUP($A20,'II.1.6.chitietDDTT'!$B$9:$R$2187,6,FALSE)</f>
        <v>8</v>
      </c>
      <c r="E20" s="227">
        <f>VLOOKUP($A20,'II.1.6.chitietDDTT'!$B$9:$R$2187,13,FALSE)</f>
        <v>5961000</v>
      </c>
      <c r="F20" s="227">
        <f>VLOOKUP($A20,'II.1.6.chitietDDTT'!$B$9:$R$2187,14,FALSE)</f>
        <v>0</v>
      </c>
      <c r="G20" s="227">
        <f>VLOOKUP($A20,'II.1.6.chitietDDTT'!$B$9:$R$2187,15,FALSE)</f>
        <v>26000</v>
      </c>
      <c r="H20" s="227">
        <f>VLOOKUP($A20,'II.1.6.chitietDDTT'!$B$9:$R$2187,16,FALSE)</f>
        <v>580800</v>
      </c>
      <c r="I20" s="227">
        <f>VLOOKUP($A20,'II.1.6.chitietDDTT'!$B$9:$R$2187,17,FALSE)</f>
        <v>204861</v>
      </c>
      <c r="J20" s="227">
        <f t="shared" si="8"/>
        <v>47688000</v>
      </c>
      <c r="K20" s="227">
        <f t="shared" si="8"/>
        <v>0</v>
      </c>
      <c r="L20" s="227">
        <f t="shared" si="8"/>
        <v>208000</v>
      </c>
      <c r="M20" s="227">
        <f t="shared" si="8"/>
        <v>4646400</v>
      </c>
      <c r="N20" s="227">
        <f t="shared" si="8"/>
        <v>1638888</v>
      </c>
    </row>
    <row r="21" spans="1:14" ht="15" customHeight="1">
      <c r="A21" s="196" t="s">
        <v>3620</v>
      </c>
      <c r="B21" s="247" t="str">
        <f>VLOOKUP($A21,'II.1.6.chitietDDTT'!$B$9:$R$2187,4,FALSE)</f>
        <v>Bộ đà U120K dài 3m tháp trụ</v>
      </c>
      <c r="C21" s="248" t="str">
        <f>VLOOKUP($A21,'II.1.6.chitietDDTT'!$B$9:$R$2187,5,FALSE)</f>
        <v>bộ</v>
      </c>
      <c r="D21" s="248">
        <f>VLOOKUP($A21,'II.1.6.chitietDDTT'!$B$9:$R$2187,6,FALSE)</f>
        <v>1</v>
      </c>
      <c r="E21" s="227">
        <f>VLOOKUP($A21,'II.1.6.chitietDDTT'!$B$9:$R$2187,13,FALSE)</f>
        <v>2480000</v>
      </c>
      <c r="F21" s="227">
        <f>VLOOKUP($A21,'II.1.6.chitietDDTT'!$B$9:$R$2187,14,FALSE)</f>
        <v>0</v>
      </c>
      <c r="G21" s="227">
        <f>VLOOKUP($A21,'II.1.6.chitietDDTT'!$B$9:$R$2187,15,FALSE)</f>
        <v>0</v>
      </c>
      <c r="H21" s="227">
        <f>VLOOKUP($A21,'II.1.6.chitietDDTT'!$B$9:$R$2187,16,FALSE)</f>
        <v>691038</v>
      </c>
      <c r="I21" s="227">
        <f>VLOOKUP($A21,'II.1.6.chitietDDTT'!$B$9:$R$2187,17,FALSE)</f>
        <v>0</v>
      </c>
      <c r="J21" s="227">
        <f t="shared" si="8"/>
        <v>2480000</v>
      </c>
      <c r="K21" s="227">
        <f t="shared" si="8"/>
        <v>0</v>
      </c>
      <c r="L21" s="227">
        <f t="shared" si="8"/>
        <v>0</v>
      </c>
      <c r="M21" s="227">
        <f t="shared" si="8"/>
        <v>691038</v>
      </c>
      <c r="N21" s="227">
        <f t="shared" si="8"/>
        <v>0</v>
      </c>
    </row>
    <row r="22" spans="1:14" ht="15" customHeight="1">
      <c r="A22" s="196" t="s">
        <v>2573</v>
      </c>
      <c r="B22" s="247" t="str">
        <f>VLOOKUP($A22,'II.1.6.chitietDDTT'!$B$9:$R$2187,4,FALSE)</f>
        <v>Bộ đà 4,2K (trụ 20m tim 1,8m)</v>
      </c>
      <c r="C22" s="248" t="str">
        <f>VLOOKUP($A22,'II.1.6.chitietDDTT'!$B$9:$R$2187,5,FALSE)</f>
        <v>bộ</v>
      </c>
      <c r="D22" s="248">
        <f>VLOOKUP($A22,'II.1.6.chitietDDTT'!$B$9:$R$2187,6,FALSE)</f>
        <v>2</v>
      </c>
      <c r="E22" s="227">
        <f>VLOOKUP($A22,'II.1.6.chitietDDTT'!$B$9:$R$2187,13,FALSE)</f>
        <v>3161400</v>
      </c>
      <c r="F22" s="227">
        <f>VLOOKUP($A22,'II.1.6.chitietDDTT'!$B$9:$R$2187,14,FALSE)</f>
        <v>0</v>
      </c>
      <c r="G22" s="227">
        <f>VLOOKUP($A22,'II.1.6.chitietDDTT'!$B$9:$R$2187,15,FALSE)</f>
        <v>0</v>
      </c>
      <c r="H22" s="227">
        <f>VLOOKUP($A22,'II.1.6.chitietDDTT'!$B$9:$R$2187,16,FALSE)</f>
        <v>935652</v>
      </c>
      <c r="I22" s="227">
        <f>VLOOKUP($A22,'II.1.6.chitietDDTT'!$B$9:$R$2187,17,FALSE)</f>
        <v>0</v>
      </c>
      <c r="J22" s="227">
        <f t="shared" ref="J22:J30" si="9">ROUND($D22*E22,0)</f>
        <v>6322800</v>
      </c>
      <c r="K22" s="227">
        <f t="shared" ref="K22:K30" si="10">ROUND($D22*F22,0)</f>
        <v>0</v>
      </c>
      <c r="L22" s="227">
        <f t="shared" ref="L22:L30" si="11">ROUND($D22*G22,0)</f>
        <v>0</v>
      </c>
      <c r="M22" s="227">
        <f t="shared" ref="M22:M30" si="12">ROUND($D22*H22,0)</f>
        <v>1871304</v>
      </c>
      <c r="N22" s="227">
        <f t="shared" ref="N22:N30" si="13">ROUND($D22*I22,0)</f>
        <v>0</v>
      </c>
    </row>
    <row r="23" spans="1:14" ht="15" customHeight="1">
      <c r="A23" s="196" t="s">
        <v>2576</v>
      </c>
      <c r="B23" s="247" t="str">
        <f>VLOOKUP($A23,'II.1.6.chitietDDTT'!$B$9:$R$2187,4,FALSE)</f>
        <v>Bộ đà 4,2K (trụ 20m tim 1,8m) sdl</v>
      </c>
      <c r="C23" s="248" t="str">
        <f>VLOOKUP($A23,'II.1.6.chitietDDTT'!$B$9:$R$2187,5,FALSE)</f>
        <v>bộ</v>
      </c>
      <c r="D23" s="248">
        <f>VLOOKUP($A23,'II.1.6.chitietDDTT'!$B$9:$R$2187,6,FALSE)</f>
        <v>2</v>
      </c>
      <c r="E23" s="227">
        <f>VLOOKUP($A23,'II.1.6.chitietDDTT'!$B$9:$R$2187,13,FALSE)</f>
        <v>260400</v>
      </c>
      <c r="F23" s="227">
        <f>VLOOKUP($A23,'II.1.6.chitietDDTT'!$B$9:$R$2187,14,FALSE)</f>
        <v>0</v>
      </c>
      <c r="G23" s="227">
        <f>VLOOKUP($A23,'II.1.6.chitietDDTT'!$B$9:$R$2187,15,FALSE)</f>
        <v>0</v>
      </c>
      <c r="H23" s="227">
        <f>VLOOKUP($A23,'II.1.6.chitietDDTT'!$B$9:$R$2187,16,FALSE)</f>
        <v>935652</v>
      </c>
      <c r="I23" s="227">
        <f>VLOOKUP($A23,'II.1.6.chitietDDTT'!$B$9:$R$2187,17,FALSE)</f>
        <v>0</v>
      </c>
      <c r="J23" s="227">
        <f t="shared" si="9"/>
        <v>520800</v>
      </c>
      <c r="K23" s="227">
        <f t="shared" si="10"/>
        <v>0</v>
      </c>
      <c r="L23" s="227">
        <f t="shared" si="11"/>
        <v>0</v>
      </c>
      <c r="M23" s="227">
        <f t="shared" si="12"/>
        <v>1871304</v>
      </c>
      <c r="N23" s="227">
        <f t="shared" si="13"/>
        <v>0</v>
      </c>
    </row>
    <row r="24" spans="1:14" ht="15" customHeight="1">
      <c r="A24" s="196" t="s">
        <v>2577</v>
      </c>
      <c r="B24" s="247" t="str">
        <f>VLOOKUP($A24,'II.1.6.chitietDDTT'!$B$9:$R$2187,4,FALSE)</f>
        <v>Bộ đà 24K</v>
      </c>
      <c r="C24" s="248" t="str">
        <f>VLOOKUP($A24,'II.1.6.chitietDDTT'!$B$9:$R$2187,5,FALSE)</f>
        <v>bộ</v>
      </c>
      <c r="D24" s="248">
        <f>VLOOKUP($A24,'II.1.6.chitietDDTT'!$B$9:$R$2187,6,FALSE)</f>
        <v>23</v>
      </c>
      <c r="E24" s="227">
        <f>VLOOKUP($A24,'II.1.6.chitietDDTT'!$B$9:$R$2187,13,FALSE)</f>
        <v>1580700</v>
      </c>
      <c r="F24" s="227">
        <f>VLOOKUP($A24,'II.1.6.chitietDDTT'!$B$9:$R$2187,14,FALSE)</f>
        <v>0</v>
      </c>
      <c r="G24" s="227">
        <f>VLOOKUP($A24,'II.1.6.chitietDDTT'!$B$9:$R$2187,15,FALSE)</f>
        <v>0</v>
      </c>
      <c r="H24" s="227">
        <f>VLOOKUP($A24,'II.1.6.chitietDDTT'!$B$9:$R$2187,16,FALSE)</f>
        <v>691038</v>
      </c>
      <c r="I24" s="227">
        <f>VLOOKUP($A24,'II.1.6.chitietDDTT'!$B$9:$R$2187,17,FALSE)</f>
        <v>0</v>
      </c>
      <c r="J24" s="227">
        <f t="shared" si="9"/>
        <v>36356100</v>
      </c>
      <c r="K24" s="227">
        <f t="shared" si="10"/>
        <v>0</v>
      </c>
      <c r="L24" s="227">
        <f t="shared" si="11"/>
        <v>0</v>
      </c>
      <c r="M24" s="227">
        <f t="shared" si="12"/>
        <v>15893874</v>
      </c>
      <c r="N24" s="227">
        <f t="shared" si="13"/>
        <v>0</v>
      </c>
    </row>
    <row r="25" spans="1:14" ht="15" customHeight="1">
      <c r="A25" s="196" t="s">
        <v>2742</v>
      </c>
      <c r="B25" s="247" t="str">
        <f>VLOOKUP($A25,'II.1.6.chitietDDTT'!$B$9:$R$2187,4,FALSE)</f>
        <v>Bộ đà 24K (sdl)</v>
      </c>
      <c r="C25" s="248" t="str">
        <f>VLOOKUP($A25,'II.1.6.chitietDDTT'!$B$9:$R$2187,5,FALSE)</f>
        <v>bộ</v>
      </c>
      <c r="D25" s="248">
        <f>VLOOKUP($A25,'II.1.6.chitietDDTT'!$B$9:$R$2187,6,FALSE)</f>
        <v>16</v>
      </c>
      <c r="E25" s="227">
        <f>VLOOKUP($A25,'II.1.6.chitietDDTT'!$B$9:$R$2187,13,FALSE)</f>
        <v>130200</v>
      </c>
      <c r="F25" s="227">
        <f>VLOOKUP($A25,'II.1.6.chitietDDTT'!$B$9:$R$2187,14,FALSE)</f>
        <v>0</v>
      </c>
      <c r="G25" s="227">
        <f>VLOOKUP($A25,'II.1.6.chitietDDTT'!$B$9:$R$2187,15,FALSE)</f>
        <v>0</v>
      </c>
      <c r="H25" s="227">
        <f>VLOOKUP($A25,'II.1.6.chitietDDTT'!$B$9:$R$2187,16,FALSE)</f>
        <v>691038</v>
      </c>
      <c r="I25" s="227">
        <f>VLOOKUP($A25,'II.1.6.chitietDDTT'!$B$9:$R$2187,17,FALSE)</f>
        <v>0</v>
      </c>
      <c r="J25" s="227">
        <f t="shared" si="9"/>
        <v>2083200</v>
      </c>
      <c r="K25" s="227">
        <f t="shared" si="10"/>
        <v>0</v>
      </c>
      <c r="L25" s="227">
        <f t="shared" si="11"/>
        <v>0</v>
      </c>
      <c r="M25" s="227">
        <f t="shared" si="12"/>
        <v>11056608</v>
      </c>
      <c r="N25" s="227">
        <f t="shared" si="13"/>
        <v>0</v>
      </c>
    </row>
    <row r="26" spans="1:14" ht="15" customHeight="1">
      <c r="A26" s="196" t="s">
        <v>4620</v>
      </c>
      <c r="B26" s="247" t="str">
        <f>VLOOKUP($A26,'II.1.6.chitietDDTT'!$B$9:$R$2187,4,FALSE)</f>
        <v>Bộ đà 24Đ</v>
      </c>
      <c r="C26" s="248" t="str">
        <f>VLOOKUP($A26,'II.1.6.chitietDDTT'!$B$9:$R$2187,5,FALSE)</f>
        <v>bộ</v>
      </c>
      <c r="D26" s="248">
        <f>VLOOKUP($A26,'II.1.6.chitietDDTT'!$B$9:$R$2187,6,FALSE)</f>
        <v>51</v>
      </c>
      <c r="E26" s="227">
        <f>VLOOKUP($A26,'II.1.6.chitietDDTT'!$B$9:$R$2187,13,FALSE)</f>
        <v>788850</v>
      </c>
      <c r="F26" s="227">
        <f>VLOOKUP($A26,'II.1.6.chitietDDTT'!$B$9:$R$2187,14,FALSE)</f>
        <v>0</v>
      </c>
      <c r="G26" s="227">
        <f>VLOOKUP($A26,'II.1.6.chitietDDTT'!$B$9:$R$2187,15,FALSE)</f>
        <v>0</v>
      </c>
      <c r="H26" s="227">
        <f>VLOOKUP($A26,'II.1.6.chitietDDTT'!$B$9:$R$2187,16,FALSE)</f>
        <v>259904</v>
      </c>
      <c r="I26" s="227">
        <f>VLOOKUP($A26,'II.1.6.chitietDDTT'!$B$9:$R$2187,17,FALSE)</f>
        <v>0</v>
      </c>
      <c r="J26" s="227">
        <f t="shared" si="9"/>
        <v>40231350</v>
      </c>
      <c r="K26" s="227">
        <f t="shared" si="10"/>
        <v>0</v>
      </c>
      <c r="L26" s="227">
        <f t="shared" si="11"/>
        <v>0</v>
      </c>
      <c r="M26" s="227">
        <f t="shared" si="12"/>
        <v>13255104</v>
      </c>
      <c r="N26" s="227">
        <f t="shared" si="13"/>
        <v>0</v>
      </c>
    </row>
    <row r="27" spans="1:14" ht="15" customHeight="1">
      <c r="A27" s="196" t="s">
        <v>5932</v>
      </c>
      <c r="B27" s="247" t="str">
        <f>VLOOKUP($A27,'II.1.6.chitietDDTT'!$B$9:$R$2187,4,FALSE)</f>
        <v>Bộ đà 24Đ (sdl)</v>
      </c>
      <c r="C27" s="248" t="str">
        <f>VLOOKUP($A27,'II.1.6.chitietDDTT'!$B$9:$R$2187,5,FALSE)</f>
        <v>bộ</v>
      </c>
      <c r="D27" s="248">
        <f>VLOOKUP($A27,'II.1.6.chitietDDTT'!$B$9:$R$2187,6,FALSE)</f>
        <v>26</v>
      </c>
      <c r="E27" s="227">
        <f>VLOOKUP($A27,'II.1.6.chitietDDTT'!$B$9:$R$2187,13,FALSE)</f>
        <v>63600</v>
      </c>
      <c r="F27" s="227">
        <f>VLOOKUP($A27,'II.1.6.chitietDDTT'!$B$9:$R$2187,14,FALSE)</f>
        <v>0</v>
      </c>
      <c r="G27" s="227">
        <f>VLOOKUP($A27,'II.1.6.chitietDDTT'!$B$9:$R$2187,15,FALSE)</f>
        <v>0</v>
      </c>
      <c r="H27" s="227">
        <f>VLOOKUP($A27,'II.1.6.chitietDDTT'!$B$9:$R$2187,16,FALSE)</f>
        <v>259904</v>
      </c>
      <c r="I27" s="227">
        <f>VLOOKUP($A27,'II.1.6.chitietDDTT'!$B$9:$R$2187,17,FALSE)</f>
        <v>0</v>
      </c>
      <c r="J27" s="227">
        <f t="shared" si="9"/>
        <v>1653600</v>
      </c>
      <c r="K27" s="227">
        <f t="shared" si="10"/>
        <v>0</v>
      </c>
      <c r="L27" s="227">
        <f t="shared" si="11"/>
        <v>0</v>
      </c>
      <c r="M27" s="227">
        <f t="shared" si="12"/>
        <v>6757504</v>
      </c>
      <c r="N27" s="227">
        <f t="shared" si="13"/>
        <v>0</v>
      </c>
    </row>
    <row r="28" spans="1:14" ht="15" customHeight="1">
      <c r="A28" s="196" t="s">
        <v>5933</v>
      </c>
      <c r="B28" s="247" t="str">
        <f>VLOOKUP($A28,'II.1.6.chitietDDTT'!$B$9:$R$2187,4,FALSE)</f>
        <v>Bộ Chân sứ đỉnh đơn (T) dài 870mm</v>
      </c>
      <c r="C28" s="248" t="str">
        <f>VLOOKUP($A28,'II.1.6.chitietDDTT'!$B$9:$R$2187,5,FALSE)</f>
        <v>bộ</v>
      </c>
      <c r="D28" s="248">
        <f>VLOOKUP($A28,'II.1.6.chitietDDTT'!$B$9:$R$2187,6,FALSE)</f>
        <v>16</v>
      </c>
      <c r="E28" s="227">
        <f>VLOOKUP($A28,'II.1.6.chitietDDTT'!$B$9:$R$2187,13,FALSE)</f>
        <v>134000</v>
      </c>
      <c r="F28" s="227">
        <f>VLOOKUP($A28,'II.1.6.chitietDDTT'!$B$9:$R$2187,14,FALSE)</f>
        <v>0</v>
      </c>
      <c r="G28" s="227">
        <f>VLOOKUP($A28,'II.1.6.chitietDDTT'!$B$9:$R$2187,15,FALSE)</f>
        <v>0</v>
      </c>
      <c r="H28" s="227">
        <f>VLOOKUP($A28,'II.1.6.chitietDDTT'!$B$9:$R$2187,16,FALSE)</f>
        <v>155942</v>
      </c>
      <c r="I28" s="227">
        <f>VLOOKUP($A28,'II.1.6.chitietDDTT'!$B$9:$R$2187,17,FALSE)</f>
        <v>0</v>
      </c>
      <c r="J28" s="227">
        <f t="shared" si="9"/>
        <v>2144000</v>
      </c>
      <c r="K28" s="227">
        <f t="shared" si="10"/>
        <v>0</v>
      </c>
      <c r="L28" s="227">
        <f t="shared" si="11"/>
        <v>0</v>
      </c>
      <c r="M28" s="227">
        <f t="shared" si="12"/>
        <v>2495072</v>
      </c>
      <c r="N28" s="227">
        <f t="shared" si="13"/>
        <v>0</v>
      </c>
    </row>
    <row r="29" spans="1:14" ht="15" customHeight="1">
      <c r="A29" s="196" t="s">
        <v>712</v>
      </c>
      <c r="B29" s="247" t="str">
        <f>VLOOKUP($A29,'II.1.6.chitietDDTT'!$B$9:$R$2187,4,FALSE)</f>
        <v>Bộ Chân sứ đỉnh kép (C) dài 870mm</v>
      </c>
      <c r="C29" s="248" t="str">
        <f>VLOOKUP($A29,'II.1.6.chitietDDTT'!$B$9:$R$2187,5,FALSE)</f>
        <v>bộ</v>
      </c>
      <c r="D29" s="248">
        <f>VLOOKUP($A29,'II.1.6.chitietDDTT'!$B$9:$R$2187,6,FALSE)</f>
        <v>5</v>
      </c>
      <c r="E29" s="227">
        <f>VLOOKUP($A29,'II.1.6.chitietDDTT'!$B$9:$R$2187,13,FALSE)</f>
        <v>237200</v>
      </c>
      <c r="F29" s="227">
        <f>VLOOKUP($A29,'II.1.6.chitietDDTT'!$B$9:$R$2187,14,FALSE)</f>
        <v>0</v>
      </c>
      <c r="G29" s="227">
        <f>VLOOKUP($A29,'II.1.6.chitietDDTT'!$B$9:$R$2187,15,FALSE)</f>
        <v>0</v>
      </c>
      <c r="H29" s="227">
        <f>VLOOKUP($A29,'II.1.6.chitietDDTT'!$B$9:$R$2187,16,FALSE)</f>
        <v>311884</v>
      </c>
      <c r="I29" s="227">
        <f>VLOOKUP($A29,'II.1.6.chitietDDTT'!$B$9:$R$2187,17,FALSE)</f>
        <v>0</v>
      </c>
      <c r="J29" s="227">
        <f t="shared" si="9"/>
        <v>1186000</v>
      </c>
      <c r="K29" s="227">
        <f t="shared" si="10"/>
        <v>0</v>
      </c>
      <c r="L29" s="227">
        <f t="shared" si="11"/>
        <v>0</v>
      </c>
      <c r="M29" s="227">
        <f t="shared" si="12"/>
        <v>1559420</v>
      </c>
      <c r="N29" s="227">
        <f t="shared" si="13"/>
        <v>0</v>
      </c>
    </row>
    <row r="30" spans="1:14" ht="15" customHeight="1">
      <c r="A30" s="196" t="s">
        <v>1798</v>
      </c>
      <c r="B30" s="247" t="str">
        <f>VLOOKUP($A30,'II.1.6.chitietDDTT'!$B$9:$R$2187,4,FALSE)</f>
        <v>Bộ đà đỡ FCO, LA trạm 1 pha</v>
      </c>
      <c r="C30" s="248" t="str">
        <f>VLOOKUP($A30,'II.1.6.chitietDDTT'!$B$9:$R$2187,5,FALSE)</f>
        <v>bộ</v>
      </c>
      <c r="D30" s="248">
        <f>VLOOKUP($A30,'II.1.6.chitietDDTT'!$B$9:$R$2187,6,FALSE)</f>
        <v>2</v>
      </c>
      <c r="E30" s="227">
        <f>VLOOKUP($A30,'II.1.6.chitietDDTT'!$B$9:$R$2187,13,FALSE)</f>
        <v>190400</v>
      </c>
      <c r="F30" s="227">
        <f>VLOOKUP($A30,'II.1.6.chitietDDTT'!$B$9:$R$2187,14,FALSE)</f>
        <v>0</v>
      </c>
      <c r="G30" s="227">
        <f>VLOOKUP($A30,'II.1.6.chitietDDTT'!$B$9:$R$2187,15,FALSE)</f>
        <v>2511</v>
      </c>
      <c r="H30" s="227">
        <f>VLOOKUP($A30,'II.1.6.chitietDDTT'!$B$9:$R$2187,16,FALSE)</f>
        <v>121000</v>
      </c>
      <c r="I30" s="227">
        <f>VLOOKUP($A30,'II.1.6.chitietDDTT'!$B$9:$R$2187,17,FALSE)</f>
        <v>0</v>
      </c>
      <c r="J30" s="227">
        <f t="shared" si="9"/>
        <v>380800</v>
      </c>
      <c r="K30" s="227">
        <f t="shared" si="10"/>
        <v>0</v>
      </c>
      <c r="L30" s="227">
        <f t="shared" si="11"/>
        <v>5022</v>
      </c>
      <c r="M30" s="227">
        <f t="shared" si="12"/>
        <v>242000</v>
      </c>
      <c r="N30" s="227">
        <f t="shared" si="13"/>
        <v>0</v>
      </c>
    </row>
    <row r="31" spans="1:14" ht="15" customHeight="1">
      <c r="A31" s="196" t="s">
        <v>1799</v>
      </c>
      <c r="B31" s="247" t="str">
        <f>VLOOKUP($A31,'II.1.6.chitietDDTT'!$B$9:$R$2187,4,FALSE)</f>
        <v>Bảng tên nhánh</v>
      </c>
      <c r="C31" s="248" t="str">
        <f>VLOOKUP($A31,'II.1.6.chitietDDTT'!$B$9:$R$2187,5,FALSE)</f>
        <v>bộ</v>
      </c>
      <c r="D31" s="248">
        <f>VLOOKUP($A31,'II.1.6.chitietDDTT'!$B$9:$R$2187,6,FALSE)</f>
        <v>2</v>
      </c>
      <c r="E31" s="227">
        <f>VLOOKUP($A31,'II.1.6.chitietDDTT'!$B$9:$R$2187,13,FALSE)</f>
        <v>82700</v>
      </c>
      <c r="F31" s="227">
        <f>VLOOKUP($A31,'II.1.6.chitietDDTT'!$B$9:$R$2187,14,FALSE)</f>
        <v>0</v>
      </c>
      <c r="G31" s="227">
        <f>VLOOKUP($A31,'II.1.6.chitietDDTT'!$B$9:$R$2187,15,FALSE)</f>
        <v>0</v>
      </c>
      <c r="H31" s="227">
        <f>VLOOKUP($A31,'II.1.6.chitietDDTT'!$B$9:$R$2187,16,FALSE)</f>
        <v>44000</v>
      </c>
      <c r="I31" s="227">
        <f>VLOOKUP($A31,'II.1.6.chitietDDTT'!$B$9:$R$2187,17,FALSE)</f>
        <v>0</v>
      </c>
      <c r="J31" s="227">
        <f t="shared" ref="J31:J38" si="14">ROUND($D31*E31,0)</f>
        <v>165400</v>
      </c>
      <c r="K31" s="227">
        <f t="shared" ref="K31:K38" si="15">ROUND($D31*F31,0)</f>
        <v>0</v>
      </c>
      <c r="L31" s="227">
        <f t="shared" ref="L31:L38" si="16">ROUND($D31*G31,0)</f>
        <v>0</v>
      </c>
      <c r="M31" s="227">
        <f t="shared" ref="M31:M38" si="17">ROUND($D31*H31,0)</f>
        <v>88000</v>
      </c>
      <c r="N31" s="227">
        <f t="shared" ref="N31:N38" si="18">ROUND($D31*I31,0)</f>
        <v>0</v>
      </c>
    </row>
    <row r="32" spans="1:14" ht="15" customHeight="1">
      <c r="A32" s="196" t="s">
        <v>1832</v>
      </c>
      <c r="B32" s="247" t="str">
        <f>VLOOKUP($A32,'II.1.6.chitietDDTT'!$B$9:$R$2187,4,FALSE)</f>
        <v>Bộ dây chằng xuống trụ 14m</v>
      </c>
      <c r="C32" s="248" t="str">
        <f>VLOOKUP($A32,'II.1.6.chitietDDTT'!$B$9:$R$2187,5,FALSE)</f>
        <v>bộ</v>
      </c>
      <c r="D32" s="248">
        <f>VLOOKUP($A32,'II.1.6.chitietDDTT'!$B$9:$R$2187,6,FALSE)</f>
        <v>1</v>
      </c>
      <c r="E32" s="227">
        <f>VLOOKUP($A32,'II.1.6.chitietDDTT'!$B$9:$R$2187,13,FALSE)</f>
        <v>1004256</v>
      </c>
      <c r="F32" s="227">
        <f>VLOOKUP($A32,'II.1.6.chitietDDTT'!$B$9:$R$2187,14,FALSE)</f>
        <v>0</v>
      </c>
      <c r="G32" s="227">
        <f>VLOOKUP($A32,'II.1.6.chitietDDTT'!$B$9:$R$2187,15,FALSE)</f>
        <v>0</v>
      </c>
      <c r="H32" s="227">
        <f>VLOOKUP($A32,'II.1.6.chitietDDTT'!$B$9:$R$2187,16,FALSE)</f>
        <v>99000</v>
      </c>
      <c r="I32" s="227">
        <f>VLOOKUP($A32,'II.1.6.chitietDDTT'!$B$9:$R$2187,17,FALSE)</f>
        <v>0</v>
      </c>
      <c r="J32" s="227">
        <f t="shared" si="14"/>
        <v>1004256</v>
      </c>
      <c r="K32" s="227">
        <f t="shared" si="15"/>
        <v>0</v>
      </c>
      <c r="L32" s="227">
        <f t="shared" si="16"/>
        <v>0</v>
      </c>
      <c r="M32" s="227">
        <f t="shared" si="17"/>
        <v>99000</v>
      </c>
      <c r="N32" s="227">
        <f t="shared" si="18"/>
        <v>0</v>
      </c>
    </row>
    <row r="33" spans="1:14" ht="15" customHeight="1">
      <c r="A33" s="196" t="s">
        <v>1833</v>
      </c>
      <c r="B33" s="247" t="str">
        <f>VLOOKUP($A33,'II.1.6.chitietDDTT'!$B$9:$R$2187,4,FALSE)</f>
        <v>Bộ dây chằng hẹp trụ 14m</v>
      </c>
      <c r="C33" s="248" t="str">
        <f>VLOOKUP($A33,'II.1.6.chitietDDTT'!$B$9:$R$2187,5,FALSE)</f>
        <v>bộ</v>
      </c>
      <c r="D33" s="248">
        <f>VLOOKUP($A33,'II.1.6.chitietDDTT'!$B$9:$R$2187,6,FALSE)</f>
        <v>3</v>
      </c>
      <c r="E33" s="227">
        <f>VLOOKUP($A33,'II.1.6.chitietDDTT'!$B$9:$R$2187,13,FALSE)</f>
        <v>1389370</v>
      </c>
      <c r="F33" s="227">
        <f>VLOOKUP($A33,'II.1.6.chitietDDTT'!$B$9:$R$2187,14,FALSE)</f>
        <v>0</v>
      </c>
      <c r="G33" s="227">
        <f>VLOOKUP($A33,'II.1.6.chitietDDTT'!$B$9:$R$2187,15,FALSE)</f>
        <v>0</v>
      </c>
      <c r="H33" s="227">
        <f>VLOOKUP($A33,'II.1.6.chitietDDTT'!$B$9:$R$2187,16,FALSE)</f>
        <v>99000</v>
      </c>
      <c r="I33" s="227">
        <f>VLOOKUP($A33,'II.1.6.chitietDDTT'!$B$9:$R$2187,17,FALSE)</f>
        <v>0</v>
      </c>
      <c r="J33" s="227">
        <f t="shared" si="14"/>
        <v>4168110</v>
      </c>
      <c r="K33" s="227">
        <f t="shared" si="15"/>
        <v>0</v>
      </c>
      <c r="L33" s="227">
        <f t="shared" si="16"/>
        <v>0</v>
      </c>
      <c r="M33" s="227">
        <f t="shared" si="17"/>
        <v>297000</v>
      </c>
      <c r="N33" s="227">
        <f t="shared" si="18"/>
        <v>0</v>
      </c>
    </row>
    <row r="34" spans="1:14" ht="15" customHeight="1">
      <c r="A34" s="196" t="s">
        <v>1834</v>
      </c>
      <c r="B34" s="247" t="str">
        <f>VLOOKUP($A34,'II.1.6.chitietDDTT'!$B$9:$R$2187,4,FALSE)</f>
        <v>Bộ dây chằng xuống trụ 16m đơn</v>
      </c>
      <c r="C34" s="248" t="str">
        <f>VLOOKUP($A34,'II.1.6.chitietDDTT'!$B$9:$R$2187,5,FALSE)</f>
        <v>bộ</v>
      </c>
      <c r="D34" s="248">
        <f>VLOOKUP($A34,'II.1.6.chitietDDTT'!$B$9:$R$2187,6,FALSE)</f>
        <v>0</v>
      </c>
      <c r="E34" s="227">
        <f>VLOOKUP($A34,'II.1.6.chitietDDTT'!$B$9:$R$2187,13,FALSE)</f>
        <v>1457700</v>
      </c>
      <c r="F34" s="227">
        <f>VLOOKUP($A34,'II.1.6.chitietDDTT'!$B$9:$R$2187,14,FALSE)</f>
        <v>0</v>
      </c>
      <c r="G34" s="227">
        <f>VLOOKUP($A34,'II.1.6.chitietDDTT'!$B$9:$R$2187,15,FALSE)</f>
        <v>0</v>
      </c>
      <c r="H34" s="227">
        <f>VLOOKUP($A34,'II.1.6.chitietDDTT'!$B$9:$R$2187,16,FALSE)</f>
        <v>99000</v>
      </c>
      <c r="I34" s="227">
        <f>VLOOKUP($A34,'II.1.6.chitietDDTT'!$B$9:$R$2187,17,FALSE)</f>
        <v>0</v>
      </c>
      <c r="J34" s="227">
        <f t="shared" si="14"/>
        <v>0</v>
      </c>
      <c r="K34" s="227">
        <f t="shared" si="15"/>
        <v>0</v>
      </c>
      <c r="L34" s="227">
        <f t="shared" si="16"/>
        <v>0</v>
      </c>
      <c r="M34" s="227">
        <f t="shared" si="17"/>
        <v>0</v>
      </c>
      <c r="N34" s="227">
        <f t="shared" si="18"/>
        <v>0</v>
      </c>
    </row>
    <row r="35" spans="1:14" ht="15" customHeight="1">
      <c r="A35" s="196" t="s">
        <v>1842</v>
      </c>
      <c r="B35" s="247" t="str">
        <f>VLOOKUP($A35,'II.1.6.chitietDDTT'!$B$9:$R$2187,4,FALSE)</f>
        <v>Bộ dây chằng xuống trụ 20m đơn</v>
      </c>
      <c r="C35" s="248" t="str">
        <f>VLOOKUP($A35,'II.1.6.chitietDDTT'!$B$9:$R$2187,5,FALSE)</f>
        <v>bộ</v>
      </c>
      <c r="D35" s="248">
        <f>VLOOKUP($A35,'II.1.6.chitietDDTT'!$B$9:$R$2187,6,FALSE)</f>
        <v>4</v>
      </c>
      <c r="E35" s="227">
        <f>VLOOKUP($A35,'II.1.6.chitietDDTT'!$B$9:$R$2187,13,FALSE)</f>
        <v>1579800</v>
      </c>
      <c r="F35" s="227">
        <f>VLOOKUP($A35,'II.1.6.chitietDDTT'!$B$9:$R$2187,14,FALSE)</f>
        <v>0</v>
      </c>
      <c r="G35" s="227">
        <f>VLOOKUP($A35,'II.1.6.chitietDDTT'!$B$9:$R$2187,15,FALSE)</f>
        <v>0</v>
      </c>
      <c r="H35" s="227">
        <f>VLOOKUP($A35,'II.1.6.chitietDDTT'!$B$9:$R$2187,16,FALSE)</f>
        <v>99000</v>
      </c>
      <c r="I35" s="227">
        <f>VLOOKUP($A35,'II.1.6.chitietDDTT'!$B$9:$R$2187,17,FALSE)</f>
        <v>0</v>
      </c>
      <c r="J35" s="227">
        <f t="shared" si="14"/>
        <v>6319200</v>
      </c>
      <c r="K35" s="227">
        <f t="shared" si="15"/>
        <v>0</v>
      </c>
      <c r="L35" s="227">
        <f t="shared" si="16"/>
        <v>0</v>
      </c>
      <c r="M35" s="227">
        <f t="shared" si="17"/>
        <v>396000</v>
      </c>
      <c r="N35" s="227">
        <f t="shared" si="18"/>
        <v>0</v>
      </c>
    </row>
    <row r="36" spans="1:14" ht="15" customHeight="1">
      <c r="A36" s="196" t="s">
        <v>1843</v>
      </c>
      <c r="B36" s="247" t="str">
        <f>VLOOKUP($A36,'II.1.6.chitietDDTT'!$B$9:$R$2187,4,FALSE)</f>
        <v>Bộ dây chằng xuống trụ 16m kép</v>
      </c>
      <c r="C36" s="248" t="str">
        <f>VLOOKUP($A36,'II.1.6.chitietDDTT'!$B$9:$R$2187,5,FALSE)</f>
        <v>bộ</v>
      </c>
      <c r="D36" s="248">
        <f>VLOOKUP($A36,'II.1.6.chitietDDTT'!$B$9:$R$2187,6,FALSE)</f>
        <v>6</v>
      </c>
      <c r="E36" s="227">
        <f>VLOOKUP($A36,'II.1.6.chitietDDTT'!$B$9:$R$2187,13,FALSE)</f>
        <v>4108500</v>
      </c>
      <c r="F36" s="227">
        <f>VLOOKUP($A36,'II.1.6.chitietDDTT'!$B$9:$R$2187,14,FALSE)</f>
        <v>0</v>
      </c>
      <c r="G36" s="227">
        <f>VLOOKUP($A36,'II.1.6.chitietDDTT'!$B$9:$R$2187,15,FALSE)</f>
        <v>0</v>
      </c>
      <c r="H36" s="227">
        <f>VLOOKUP($A36,'II.1.6.chitietDDTT'!$B$9:$R$2187,16,FALSE)</f>
        <v>297000</v>
      </c>
      <c r="I36" s="227">
        <f>VLOOKUP($A36,'II.1.6.chitietDDTT'!$B$9:$R$2187,17,FALSE)</f>
        <v>0</v>
      </c>
      <c r="J36" s="227">
        <f t="shared" si="14"/>
        <v>24651000</v>
      </c>
      <c r="K36" s="227">
        <f t="shared" si="15"/>
        <v>0</v>
      </c>
      <c r="L36" s="227">
        <f t="shared" si="16"/>
        <v>0</v>
      </c>
      <c r="M36" s="227">
        <f t="shared" si="17"/>
        <v>1782000</v>
      </c>
      <c r="N36" s="227">
        <f t="shared" si="18"/>
        <v>0</v>
      </c>
    </row>
    <row r="37" spans="1:14" ht="15" customHeight="1">
      <c r="A37" s="196" t="s">
        <v>1847</v>
      </c>
      <c r="B37" s="247" t="str">
        <f>VLOOKUP($A37,'II.1.6.chitietDDTT'!$B$9:$R$2187,4,FALSE)</f>
        <v>Bộ tiếp địa trụ 14m (có tiếp địa thân trụ)</v>
      </c>
      <c r="C37" s="248" t="str">
        <f>VLOOKUP($A37,'II.1.6.chitietDDTT'!$B$9:$R$2187,5,FALSE)</f>
        <v>bộ</v>
      </c>
      <c r="D37" s="248">
        <f>VLOOKUP($A37,'II.1.6.chitietDDTT'!$B$9:$R$2187,6,FALSE)</f>
        <v>18</v>
      </c>
      <c r="E37" s="227">
        <f>VLOOKUP($A37,'II.1.6.chitietDDTT'!$B$9:$R$2187,13,FALSE)</f>
        <v>1345300</v>
      </c>
      <c r="F37" s="227">
        <f>VLOOKUP($A37,'II.1.6.chitietDDTT'!$B$9:$R$2187,14,FALSE)</f>
        <v>0</v>
      </c>
      <c r="G37" s="227">
        <f>VLOOKUP($A37,'II.1.6.chitietDDTT'!$B$9:$R$2187,15,FALSE)</f>
        <v>12429</v>
      </c>
      <c r="H37" s="227">
        <f>VLOOKUP($A37,'II.1.6.chitietDDTT'!$B$9:$R$2187,16,FALSE)</f>
        <v>288007</v>
      </c>
      <c r="I37" s="227">
        <f>VLOOKUP($A37,'II.1.6.chitietDDTT'!$B$9:$R$2187,17,FALSE)</f>
        <v>44428</v>
      </c>
      <c r="J37" s="227">
        <f t="shared" si="14"/>
        <v>24215400</v>
      </c>
      <c r="K37" s="227">
        <f t="shared" si="15"/>
        <v>0</v>
      </c>
      <c r="L37" s="227">
        <f t="shared" si="16"/>
        <v>223722</v>
      </c>
      <c r="M37" s="227">
        <f t="shared" si="17"/>
        <v>5184126</v>
      </c>
      <c r="N37" s="227">
        <f t="shared" si="18"/>
        <v>799704</v>
      </c>
    </row>
    <row r="38" spans="1:14" ht="15" customHeight="1">
      <c r="A38" s="196" t="s">
        <v>1850</v>
      </c>
      <c r="B38" s="247" t="str">
        <f>VLOOKUP($A38,'II.1.6.chitietDDTT'!$B$9:$R$2187,4,FALSE)</f>
        <v>Phần dây, sứ và phụ kiện</v>
      </c>
      <c r="C38" s="248" t="str">
        <f>VLOOKUP($A38,'II.1.6.chitietDDTT'!$B$9:$R$2187,5,FALSE)</f>
        <v>Trọn bộ</v>
      </c>
      <c r="D38" s="248">
        <f>VLOOKUP($A38,'II.1.6.chitietDDTT'!$B$9:$R$2187,6,FALSE)</f>
        <v>1</v>
      </c>
      <c r="E38" s="227">
        <f>VLOOKUP($A38,'II.1.6.chitietDDTT'!$B$9:$R$2187,13,FALSE)</f>
        <v>1800925367</v>
      </c>
      <c r="F38" s="227">
        <f>VLOOKUP($A38,'II.1.6.chitietDDTT'!$B$9:$R$2187,14,FALSE)</f>
        <v>0</v>
      </c>
      <c r="G38" s="227">
        <f>VLOOKUP($A38,'II.1.6.chitietDDTT'!$B$9:$R$2187,15,FALSE)</f>
        <v>1751436</v>
      </c>
      <c r="H38" s="227">
        <f>VLOOKUP($A38,'II.1.6.chitietDDTT'!$B$9:$R$2187,16,FALSE)</f>
        <v>108182986</v>
      </c>
      <c r="I38" s="227">
        <f>VLOOKUP($A38,'II.1.6.chitietDDTT'!$B$9:$R$2187,17,FALSE)</f>
        <v>3397113</v>
      </c>
      <c r="J38" s="227">
        <f t="shared" si="14"/>
        <v>1800925367</v>
      </c>
      <c r="K38" s="227">
        <f t="shared" si="15"/>
        <v>0</v>
      </c>
      <c r="L38" s="227">
        <f t="shared" si="16"/>
        <v>1751436</v>
      </c>
      <c r="M38" s="227">
        <f t="shared" si="17"/>
        <v>108182986</v>
      </c>
      <c r="N38" s="227">
        <f t="shared" si="18"/>
        <v>3397113</v>
      </c>
    </row>
    <row r="39" spans="1:14">
      <c r="A39" s="1095" t="s">
        <v>4085</v>
      </c>
      <c r="B39" s="1474" t="str">
        <f>VLOOKUP($A39,'II.1.6.chitietDDTT'!$B$9:$R$2187,4,FALSE)</f>
        <v>PHẦN THIẾT BỊ</v>
      </c>
      <c r="C39" s="248" t="str">
        <f>VLOOKUP($A39,'II.1.6.chitietDDTT'!$B$9:$R$2187,5,FALSE)</f>
        <v>Trọn bộ</v>
      </c>
      <c r="D39" s="248">
        <f>VLOOKUP($A39,'II.1.6.chitietDDTT'!$B$9:$R$2187,6,FALSE)</f>
        <v>1</v>
      </c>
      <c r="E39" s="227">
        <f>VLOOKUP($A39,'II.1.6.chitietDDTT'!$B$9:$R$2187,13,FALSE)</f>
        <v>70040000</v>
      </c>
      <c r="F39" s="227">
        <f>VLOOKUP($A39,'II.1.6.chitietDDTT'!$B$9:$R$2187,14,FALSE)</f>
        <v>0</v>
      </c>
      <c r="G39" s="227">
        <f>VLOOKUP($A39,'II.1.6.chitietDDTT'!$B$9:$R$2187,15,FALSE)</f>
        <v>1673441</v>
      </c>
      <c r="H39" s="227">
        <f>VLOOKUP($A39,'II.1.6.chitietDDTT'!$B$9:$R$2187,16,FALSE)</f>
        <v>44308212</v>
      </c>
      <c r="I39" s="227">
        <f>VLOOKUP($A39,'II.1.6.chitietDDTT'!$B$9:$R$2187,17,FALSE)</f>
        <v>5951931</v>
      </c>
      <c r="J39" s="227">
        <f t="shared" ref="J39:N42" si="19">ROUND($D39*E39,0)</f>
        <v>70040000</v>
      </c>
      <c r="K39" s="227">
        <f t="shared" si="19"/>
        <v>0</v>
      </c>
      <c r="L39" s="227">
        <f t="shared" si="19"/>
        <v>1673441</v>
      </c>
      <c r="M39" s="227">
        <f t="shared" si="19"/>
        <v>44308212</v>
      </c>
      <c r="N39" s="227">
        <f t="shared" si="19"/>
        <v>5951931</v>
      </c>
    </row>
    <row r="40" spans="1:14" ht="15" customHeight="1">
      <c r="A40" s="249" t="s">
        <v>4065</v>
      </c>
      <c r="B40" s="250" t="str">
        <f>VLOOKUP($A40,'II.1.6.chitietDDTT'!$B$9:$R$2187,4,FALSE)</f>
        <v>PHẦN THÁO DỠ VẬT LIỆU</v>
      </c>
      <c r="C40" s="248">
        <f>VLOOKUP($A40,'II.1.6.chitietDDTT'!$B$9:$R$2187,5,FALSE)</f>
        <v>0</v>
      </c>
      <c r="D40" s="248">
        <f>VLOOKUP($A40,'II.1.6.chitietDDTT'!$B$9:$R$2187,6,FALSE)</f>
        <v>0</v>
      </c>
      <c r="E40" s="227">
        <f>VLOOKUP($A40,'II.1.6.chitietDDTT'!$B$9:$R$2187,13,FALSE)</f>
        <v>0</v>
      </c>
      <c r="F40" s="227">
        <f>VLOOKUP($A40,'II.1.6.chitietDDTT'!$B$9:$R$2187,14,FALSE)</f>
        <v>0</v>
      </c>
      <c r="G40" s="227">
        <f>VLOOKUP($A40,'II.1.6.chitietDDTT'!$B$9:$R$2187,15,FALSE)</f>
        <v>0</v>
      </c>
      <c r="H40" s="227">
        <f>VLOOKUP($A40,'II.1.6.chitietDDTT'!$B$9:$R$2187,16,FALSE)</f>
        <v>0</v>
      </c>
      <c r="I40" s="227">
        <f>VLOOKUP($A40,'II.1.6.chitietDDTT'!$B$9:$R$2187,17,FALSE)</f>
        <v>0</v>
      </c>
      <c r="J40" s="227">
        <f t="shared" si="19"/>
        <v>0</v>
      </c>
      <c r="K40" s="227">
        <f t="shared" si="19"/>
        <v>0</v>
      </c>
      <c r="L40" s="227">
        <f t="shared" si="19"/>
        <v>0</v>
      </c>
      <c r="M40" s="227">
        <f t="shared" si="19"/>
        <v>0</v>
      </c>
      <c r="N40" s="227">
        <f t="shared" si="19"/>
        <v>0</v>
      </c>
    </row>
    <row r="41" spans="1:14" ht="15" customHeight="1">
      <c r="A41" s="196" t="s">
        <v>2170</v>
      </c>
      <c r="B41" s="247" t="str">
        <f>VLOOKUP($A41,'II.1.6.chitietDDTT'!$B$9:$R$2187,4,FALSE)</f>
        <v>Trụ BTLT 14m</v>
      </c>
      <c r="C41" s="248" t="str">
        <f>VLOOKUP($A41,'II.1.6.chitietDDTT'!$B$9:$R$2187,5,FALSE)</f>
        <v>trụ</v>
      </c>
      <c r="D41" s="248">
        <f>VLOOKUP($A41,'II.1.6.chitietDDTT'!$B$9:$R$2187,6,FALSE)</f>
        <v>18</v>
      </c>
      <c r="E41" s="227">
        <f>VLOOKUP($A41,'II.1.6.chitietDDTT'!$B$9:$R$2187,13,FALSE)</f>
        <v>0</v>
      </c>
      <c r="F41" s="227">
        <f>VLOOKUP($A41,'II.1.6.chitietDDTT'!$B$9:$R$2187,14,FALSE)</f>
        <v>0</v>
      </c>
      <c r="G41" s="227">
        <f>VLOOKUP($A41,'II.1.6.chitietDDTT'!$B$9:$R$2187,15,FALSE)</f>
        <v>11875</v>
      </c>
      <c r="H41" s="227">
        <f>VLOOKUP($A41,'II.1.6.chitietDDTT'!$B$9:$R$2187,16,FALSE)</f>
        <v>1091412</v>
      </c>
      <c r="I41" s="227">
        <f>VLOOKUP($A41,'II.1.6.chitietDDTT'!$B$9:$R$2187,17,FALSE)</f>
        <v>0</v>
      </c>
      <c r="J41" s="227">
        <f t="shared" si="19"/>
        <v>0</v>
      </c>
      <c r="K41" s="227">
        <f t="shared" si="19"/>
        <v>0</v>
      </c>
      <c r="L41" s="227">
        <f t="shared" si="19"/>
        <v>213750</v>
      </c>
      <c r="M41" s="227">
        <f t="shared" si="19"/>
        <v>19645416</v>
      </c>
      <c r="N41" s="227">
        <f t="shared" si="19"/>
        <v>0</v>
      </c>
    </row>
    <row r="42" spans="1:14" ht="15" customHeight="1">
      <c r="A42" s="196" t="s">
        <v>3416</v>
      </c>
      <c r="B42" s="247" t="str">
        <f>VLOOKUP($A42,'II.1.6.chitietDDTT'!$B$9:$R$2187,4,FALSE)</f>
        <v>Bộ đà U120K dài 3m tháp trụ</v>
      </c>
      <c r="C42" s="248" t="str">
        <f>VLOOKUP($A42,'II.1.6.chitietDDTT'!$B$9:$R$2187,5,FALSE)</f>
        <v>bộ</v>
      </c>
      <c r="D42" s="248">
        <f>VLOOKUP($A42,'II.1.6.chitietDDTT'!$B$9:$R$2187,6,FALSE)</f>
        <v>17</v>
      </c>
      <c r="E42" s="227">
        <f>VLOOKUP($A42,'II.1.6.chitietDDTT'!$B$9:$R$2187,13,FALSE)</f>
        <v>0</v>
      </c>
      <c r="F42" s="227">
        <f>VLOOKUP($A42,'II.1.6.chitietDDTT'!$B$9:$R$2187,14,FALSE)</f>
        <v>0</v>
      </c>
      <c r="G42" s="227">
        <f>VLOOKUP($A42,'II.1.6.chitietDDTT'!$B$9:$R$2187,15,FALSE)</f>
        <v>0</v>
      </c>
      <c r="H42" s="227">
        <f>VLOOKUP($A42,'II.1.6.chitietDDTT'!$B$9:$R$2187,16,FALSE)</f>
        <v>379766</v>
      </c>
      <c r="I42" s="227">
        <f>VLOOKUP($A42,'II.1.6.chitietDDTT'!$B$9:$R$2187,17,FALSE)</f>
        <v>0</v>
      </c>
      <c r="J42" s="227">
        <f t="shared" si="19"/>
        <v>0</v>
      </c>
      <c r="K42" s="227">
        <f t="shared" si="19"/>
        <v>0</v>
      </c>
      <c r="L42" s="227">
        <f t="shared" si="19"/>
        <v>0</v>
      </c>
      <c r="M42" s="227">
        <f t="shared" si="19"/>
        <v>6456022</v>
      </c>
      <c r="N42" s="227">
        <f t="shared" si="19"/>
        <v>0</v>
      </c>
    </row>
    <row r="43" spans="1:14" ht="15" customHeight="1">
      <c r="A43" s="196" t="s">
        <v>3417</v>
      </c>
      <c r="B43" s="247" t="str">
        <f>VLOOKUP($A43,'II.1.6.chitietDDTT'!$B$9:$R$2187,4,FALSE)</f>
        <v>Bộ đà 4,2K (trụ 20m Pi - tim 1,8m) sdl</v>
      </c>
      <c r="C43" s="248" t="str">
        <f>VLOOKUP($A43,'II.1.6.chitietDDTT'!$B$9:$R$2187,5,FALSE)</f>
        <v>bộ</v>
      </c>
      <c r="D43" s="248">
        <f>VLOOKUP($A43,'II.1.6.chitietDDTT'!$B$9:$R$2187,6,FALSE)</f>
        <v>2</v>
      </c>
      <c r="E43" s="227">
        <f>VLOOKUP($A43,'II.1.6.chitietDDTT'!$B$9:$R$2187,13,FALSE)</f>
        <v>0</v>
      </c>
      <c r="F43" s="227">
        <f>VLOOKUP($A43,'II.1.6.chitietDDTT'!$B$9:$R$2187,14,FALSE)</f>
        <v>0</v>
      </c>
      <c r="G43" s="227">
        <f>VLOOKUP($A43,'II.1.6.chitietDDTT'!$B$9:$R$2187,15,FALSE)</f>
        <v>0</v>
      </c>
      <c r="H43" s="227">
        <f>VLOOKUP($A43,'II.1.6.chitietDDTT'!$B$9:$R$2187,16,FALSE)</f>
        <v>379766</v>
      </c>
      <c r="I43" s="227">
        <f>VLOOKUP($A43,'II.1.6.chitietDDTT'!$B$9:$R$2187,17,FALSE)</f>
        <v>0</v>
      </c>
      <c r="J43" s="227">
        <f t="shared" ref="J43:J48" si="20">ROUND($D43*E43,0)</f>
        <v>0</v>
      </c>
      <c r="K43" s="227">
        <f t="shared" ref="K43:K48" si="21">ROUND($D43*F43,0)</f>
        <v>0</v>
      </c>
      <c r="L43" s="227">
        <f t="shared" ref="L43:L48" si="22">ROUND($D43*G43,0)</f>
        <v>0</v>
      </c>
      <c r="M43" s="227">
        <f t="shared" ref="M43:M48" si="23">ROUND($D43*H43,0)</f>
        <v>759532</v>
      </c>
      <c r="N43" s="227">
        <f t="shared" ref="N43:N48" si="24">ROUND($D43*I43,0)</f>
        <v>0</v>
      </c>
    </row>
    <row r="44" spans="1:14" ht="15" customHeight="1">
      <c r="A44" s="196" t="s">
        <v>3418</v>
      </c>
      <c r="B44" s="247" t="str">
        <f>VLOOKUP($A44,'II.1.6.chitietDDTT'!$B$9:$R$2187,4,FALSE)</f>
        <v>Bộ đà 24K</v>
      </c>
      <c r="C44" s="248" t="str">
        <f>VLOOKUP($A44,'II.1.6.chitietDDTT'!$B$9:$R$2187,5,FALSE)</f>
        <v>bộ</v>
      </c>
      <c r="D44" s="248">
        <f>VLOOKUP($A44,'II.1.6.chitietDDTT'!$B$9:$R$2187,6,FALSE)</f>
        <v>16</v>
      </c>
      <c r="E44" s="227">
        <f>VLOOKUP($A44,'II.1.6.chitietDDTT'!$B$9:$R$2187,13,FALSE)</f>
        <v>0</v>
      </c>
      <c r="F44" s="227">
        <f>VLOOKUP($A44,'II.1.6.chitietDDTT'!$B$9:$R$2187,14,FALSE)</f>
        <v>0</v>
      </c>
      <c r="G44" s="227">
        <f>VLOOKUP($A44,'II.1.6.chitietDDTT'!$B$9:$R$2187,15,FALSE)</f>
        <v>0</v>
      </c>
      <c r="H44" s="227">
        <f>VLOOKUP($A44,'II.1.6.chitietDDTT'!$B$9:$R$2187,16,FALSE)</f>
        <v>189883</v>
      </c>
      <c r="I44" s="227">
        <f>VLOOKUP($A44,'II.1.6.chitietDDTT'!$B$9:$R$2187,17,FALSE)</f>
        <v>0</v>
      </c>
      <c r="J44" s="227">
        <f t="shared" si="20"/>
        <v>0</v>
      </c>
      <c r="K44" s="227">
        <f t="shared" si="21"/>
        <v>0</v>
      </c>
      <c r="L44" s="227">
        <f t="shared" si="22"/>
        <v>0</v>
      </c>
      <c r="M44" s="227">
        <f t="shared" si="23"/>
        <v>3038128</v>
      </c>
      <c r="N44" s="227">
        <f t="shared" si="24"/>
        <v>0</v>
      </c>
    </row>
    <row r="45" spans="1:14" ht="15" customHeight="1">
      <c r="A45" s="196" t="s">
        <v>3419</v>
      </c>
      <c r="B45" s="247" t="str">
        <f>VLOOKUP($A45,'II.1.6.chitietDDTT'!$B$9:$R$2187,4,FALSE)</f>
        <v>Bộ đà 24Đ</v>
      </c>
      <c r="C45" s="248" t="str">
        <f>VLOOKUP($A45,'II.1.6.chitietDDTT'!$B$9:$R$2187,5,FALSE)</f>
        <v>bộ</v>
      </c>
      <c r="D45" s="248">
        <f>VLOOKUP($A45,'II.1.6.chitietDDTT'!$B$9:$R$2187,6,FALSE)</f>
        <v>26</v>
      </c>
      <c r="E45" s="227">
        <f>VLOOKUP($A45,'II.1.6.chitietDDTT'!$B$9:$R$2187,13,FALSE)</f>
        <v>0</v>
      </c>
      <c r="F45" s="227">
        <f>VLOOKUP($A45,'II.1.6.chitietDDTT'!$B$9:$R$2187,14,FALSE)</f>
        <v>0</v>
      </c>
      <c r="G45" s="227">
        <f>VLOOKUP($A45,'II.1.6.chitietDDTT'!$B$9:$R$2187,15,FALSE)</f>
        <v>0</v>
      </c>
      <c r="H45" s="227">
        <f>VLOOKUP($A45,'II.1.6.chitietDDTT'!$B$9:$R$2187,16,FALSE)</f>
        <v>140348</v>
      </c>
      <c r="I45" s="227">
        <f>VLOOKUP($A45,'II.1.6.chitietDDTT'!$B$9:$R$2187,17,FALSE)</f>
        <v>0</v>
      </c>
      <c r="J45" s="227">
        <f t="shared" si="20"/>
        <v>0</v>
      </c>
      <c r="K45" s="227">
        <f t="shared" si="21"/>
        <v>0</v>
      </c>
      <c r="L45" s="227">
        <f t="shared" si="22"/>
        <v>0</v>
      </c>
      <c r="M45" s="227">
        <f t="shared" si="23"/>
        <v>3649048</v>
      </c>
      <c r="N45" s="227">
        <f t="shared" si="24"/>
        <v>0</v>
      </c>
    </row>
    <row r="46" spans="1:14" ht="15" customHeight="1">
      <c r="A46" s="196" t="s">
        <v>3420</v>
      </c>
      <c r="B46" s="247" t="str">
        <f>VLOOKUP($A46,'II.1.6.chitietDDTT'!$B$9:$R$2187,4,FALSE)</f>
        <v>Bộ dây chằng xuống trụ 14m tháp sắt</v>
      </c>
      <c r="C46" s="248" t="str">
        <f>VLOOKUP($A46,'II.1.6.chitietDDTT'!$B$9:$R$2187,5,FALSE)</f>
        <v>bộ</v>
      </c>
      <c r="D46" s="248">
        <f>VLOOKUP($A46,'II.1.6.chitietDDTT'!$B$9:$R$2187,6,FALSE)</f>
        <v>6</v>
      </c>
      <c r="E46" s="227">
        <f>VLOOKUP($A46,'II.1.6.chitietDDTT'!$B$9:$R$2187,13,FALSE)</f>
        <v>0</v>
      </c>
      <c r="F46" s="227">
        <f>VLOOKUP($A46,'II.1.6.chitietDDTT'!$B$9:$R$2187,14,FALSE)</f>
        <v>0</v>
      </c>
      <c r="G46" s="227">
        <f>VLOOKUP($A46,'II.1.6.chitietDDTT'!$B$9:$R$2187,15,FALSE)</f>
        <v>0</v>
      </c>
      <c r="H46" s="227">
        <f>VLOOKUP($A46,'II.1.6.chitietDDTT'!$B$9:$R$2187,16,FALSE)</f>
        <v>297000</v>
      </c>
      <c r="I46" s="227">
        <f>VLOOKUP($A46,'II.1.6.chitietDDTT'!$B$9:$R$2187,17,FALSE)</f>
        <v>0</v>
      </c>
      <c r="J46" s="227">
        <f t="shared" si="20"/>
        <v>0</v>
      </c>
      <c r="K46" s="227">
        <f t="shared" si="21"/>
        <v>0</v>
      </c>
      <c r="L46" s="227">
        <f t="shared" si="22"/>
        <v>0</v>
      </c>
      <c r="M46" s="227">
        <f t="shared" si="23"/>
        <v>1782000</v>
      </c>
      <c r="N46" s="227">
        <f t="shared" si="24"/>
        <v>0</v>
      </c>
    </row>
    <row r="47" spans="1:14" ht="15" customHeight="1">
      <c r="A47" s="196" t="s">
        <v>3421</v>
      </c>
      <c r="B47" s="247" t="str">
        <f>VLOOKUP($A47,'II.1.6.chitietDDTT'!$B$9:$R$2187,4,FALSE)</f>
        <v>Bộ đà đỡ FCO, LA, Tụ bù, Recloser…</v>
      </c>
      <c r="C47" s="248" t="str">
        <f>VLOOKUP($A47,'II.1.6.chitietDDTT'!$B$9:$R$2187,5,FALSE)</f>
        <v>bộ</v>
      </c>
      <c r="D47" s="248">
        <f>VLOOKUP($A47,'II.1.6.chitietDDTT'!$B$9:$R$2187,6,FALSE)</f>
        <v>18</v>
      </c>
      <c r="E47" s="227">
        <f>VLOOKUP($A47,'II.1.6.chitietDDTT'!$B$9:$R$2187,13,FALSE)</f>
        <v>0</v>
      </c>
      <c r="F47" s="227">
        <f>VLOOKUP($A47,'II.1.6.chitietDDTT'!$B$9:$R$2187,14,FALSE)</f>
        <v>0</v>
      </c>
      <c r="G47" s="227">
        <f>VLOOKUP($A47,'II.1.6.chitietDDTT'!$B$9:$R$2187,15,FALSE)</f>
        <v>2511</v>
      </c>
      <c r="H47" s="227">
        <f>VLOOKUP($A47,'II.1.6.chitietDDTT'!$B$9:$R$2187,16,FALSE)</f>
        <v>240394</v>
      </c>
      <c r="I47" s="227">
        <f>VLOOKUP($A47,'II.1.6.chitietDDTT'!$B$9:$R$2187,17,FALSE)</f>
        <v>0</v>
      </c>
      <c r="J47" s="227">
        <f t="shared" si="20"/>
        <v>0</v>
      </c>
      <c r="K47" s="227">
        <f t="shared" si="21"/>
        <v>0</v>
      </c>
      <c r="L47" s="227">
        <f t="shared" si="22"/>
        <v>45198</v>
      </c>
      <c r="M47" s="227">
        <f t="shared" si="23"/>
        <v>4327092</v>
      </c>
      <c r="N47" s="227">
        <f t="shared" si="24"/>
        <v>0</v>
      </c>
    </row>
    <row r="48" spans="1:14" ht="15" customHeight="1">
      <c r="A48" s="196" t="s">
        <v>1845</v>
      </c>
      <c r="B48" s="247" t="str">
        <f>VLOOKUP($A48,'II.1.6.chitietDDTT'!$B$9:$R$2187,4,FALSE)</f>
        <v>Phần dây, sứ và phụ kiện</v>
      </c>
      <c r="C48" s="248" t="str">
        <f>VLOOKUP($A48,'II.1.6.chitietDDTT'!$B$9:$R$2187,5,FALSE)</f>
        <v>Trọn bộ</v>
      </c>
      <c r="D48" s="248">
        <f>VLOOKUP($A48,'II.1.6.chitietDDTT'!$B$9:$R$2187,6,FALSE)</f>
        <v>1</v>
      </c>
      <c r="E48" s="227">
        <f>VLOOKUP($A48,'II.1.6.chitietDDTT'!$B$9:$R$2187,13,FALSE)</f>
        <v>0</v>
      </c>
      <c r="F48" s="227">
        <f>VLOOKUP($A48,'II.1.6.chitietDDTT'!$B$9:$R$2187,14,FALSE)</f>
        <v>0</v>
      </c>
      <c r="G48" s="227">
        <f>VLOOKUP($A48,'II.1.6.chitietDDTT'!$B$9:$R$2187,15,FALSE)</f>
        <v>1936458</v>
      </c>
      <c r="H48" s="227">
        <f>VLOOKUP($A48,'II.1.6.chitietDDTT'!$B$9:$R$2187,16,FALSE)</f>
        <v>38157208</v>
      </c>
      <c r="I48" s="227">
        <f>VLOOKUP($A48,'II.1.6.chitietDDTT'!$B$9:$R$2187,17,FALSE)</f>
        <v>0</v>
      </c>
      <c r="J48" s="227">
        <f t="shared" si="20"/>
        <v>0</v>
      </c>
      <c r="K48" s="227">
        <f t="shared" si="21"/>
        <v>0</v>
      </c>
      <c r="L48" s="227">
        <f t="shared" si="22"/>
        <v>1936458</v>
      </c>
      <c r="M48" s="227">
        <f t="shared" si="23"/>
        <v>38157208</v>
      </c>
      <c r="N48" s="227">
        <f t="shared" si="24"/>
        <v>0</v>
      </c>
    </row>
    <row r="49" spans="1:14">
      <c r="A49" s="1377" t="s">
        <v>173</v>
      </c>
      <c r="B49" s="1378" t="str">
        <f>VLOOKUP($A49,'II.1.6.chitietDDTT'!$B$9:$R$2187,4,FALSE)</f>
        <v>PHẦN THÁO DỠ THIẾT BỊ</v>
      </c>
      <c r="C49" s="248" t="str">
        <f>VLOOKUP($A49,'II.1.6.chitietDDTT'!$B$9:$R$2187,5,FALSE)</f>
        <v>Trọn bộ</v>
      </c>
      <c r="D49" s="248">
        <f>VLOOKUP($A49,'II.1.6.chitietDDTT'!$B$9:$R$2187,6,FALSE)</f>
        <v>1</v>
      </c>
      <c r="E49" s="227">
        <f>VLOOKUP($A49,'II.1.6.chitietDDTT'!$B$9:$R$2187,13,FALSE)</f>
        <v>0</v>
      </c>
      <c r="F49" s="227">
        <f>VLOOKUP($A49,'II.1.6.chitietDDTT'!$B$9:$R$2187,14,FALSE)</f>
        <v>0</v>
      </c>
      <c r="G49" s="227">
        <f>VLOOKUP($A49,'II.1.6.chitietDDTT'!$B$9:$R$2187,15,FALSE)</f>
        <v>970280</v>
      </c>
      <c r="H49" s="227">
        <f>VLOOKUP($A49,'II.1.6.chitietDDTT'!$B$9:$R$2187,16,FALSE)</f>
        <v>28989327</v>
      </c>
      <c r="I49" s="227">
        <f>VLOOKUP($A49,'II.1.6.chitietDDTT'!$B$9:$R$2187,17,FALSE)</f>
        <v>5354835</v>
      </c>
      <c r="J49" s="227">
        <f>ROUND($D49*E49,0)</f>
        <v>0</v>
      </c>
      <c r="K49" s="227">
        <f>ROUND($D49*F49,0)</f>
        <v>0</v>
      </c>
      <c r="L49" s="227">
        <f>ROUND($D49*G49,0)</f>
        <v>970280</v>
      </c>
      <c r="M49" s="227">
        <f>ROUND($D49*H49,0)</f>
        <v>28989327</v>
      </c>
      <c r="N49" s="227">
        <f>ROUND($D49*I49,0)</f>
        <v>5354835</v>
      </c>
    </row>
    <row r="50" spans="1:14">
      <c r="A50" s="2044" t="s">
        <v>6346</v>
      </c>
      <c r="B50" s="2045"/>
      <c r="C50" s="2048" t="s">
        <v>151</v>
      </c>
      <c r="D50" s="2049"/>
      <c r="E50" s="2049"/>
      <c r="F50" s="2049"/>
      <c r="G50" s="2049"/>
      <c r="H50" s="2049"/>
      <c r="I50" s="2050"/>
      <c r="J50" s="1155">
        <f>SUM(J9:J16)</f>
        <v>141325779</v>
      </c>
      <c r="K50" s="1155">
        <f>SUM(K9:K16)</f>
        <v>0</v>
      </c>
      <c r="L50" s="1155">
        <f>SUM(L9:L16)</f>
        <v>0</v>
      </c>
      <c r="M50" s="1155">
        <f>SUM(M9:M16)</f>
        <v>103118853</v>
      </c>
      <c r="N50" s="1155">
        <f>SUM(N9:N16)</f>
        <v>4102830</v>
      </c>
    </row>
    <row r="51" spans="1:14" ht="15" customHeight="1">
      <c r="A51" s="2044"/>
      <c r="B51" s="2045"/>
      <c r="C51" s="2048" t="s">
        <v>265</v>
      </c>
      <c r="D51" s="2049"/>
      <c r="E51" s="2049"/>
      <c r="F51" s="2049"/>
      <c r="G51" s="2049"/>
      <c r="H51" s="2049"/>
      <c r="I51" s="2050"/>
      <c r="J51" s="1155">
        <f>SUM(J18:J38,J41:J49)</f>
        <v>2485473383</v>
      </c>
      <c r="K51" s="1155">
        <f>SUM(K18:K38,K41:K49)</f>
        <v>0</v>
      </c>
      <c r="L51" s="1155">
        <f>SUM(L18:L38,L41:L49)</f>
        <v>6834866</v>
      </c>
      <c r="M51" s="1155">
        <f>SUM(M18:M38,M41:M49)</f>
        <v>364506513</v>
      </c>
      <c r="N51" s="1155">
        <f>SUM(N18:N38,N41:N49)</f>
        <v>11190540</v>
      </c>
    </row>
    <row r="52" spans="1:14">
      <c r="A52" s="2046"/>
      <c r="B52" s="2047"/>
      <c r="C52" s="2048" t="s">
        <v>266</v>
      </c>
      <c r="D52" s="2049"/>
      <c r="E52" s="2049"/>
      <c r="F52" s="2049"/>
      <c r="G52" s="2049"/>
      <c r="H52" s="2049"/>
      <c r="I52" s="2050"/>
      <c r="J52" s="1155">
        <f>SUM(J39,J49)</f>
        <v>70040000</v>
      </c>
      <c r="K52" s="1155">
        <f>SUM(K39,K49)</f>
        <v>0</v>
      </c>
      <c r="L52" s="1155">
        <f>SUM(L39,L49)</f>
        <v>2643721</v>
      </c>
      <c r="M52" s="1155">
        <f>SUM(M39,M49)</f>
        <v>73297539</v>
      </c>
      <c r="N52" s="1155">
        <f>SUM(N39,N49)</f>
        <v>11306766</v>
      </c>
    </row>
    <row r="53" spans="1:14" s="85" customFormat="1">
      <c r="A53" s="87"/>
      <c r="B53" s="183"/>
      <c r="C53" s="183"/>
      <c r="D53" s="183"/>
      <c r="E53" s="183"/>
      <c r="F53" s="183"/>
      <c r="G53" s="183"/>
      <c r="H53" s="183"/>
      <c r="I53" s="183"/>
      <c r="J53" s="183"/>
      <c r="K53" s="183"/>
      <c r="L53" s="183"/>
      <c r="M53" s="183"/>
    </row>
    <row r="54" spans="1:14" s="85" customFormat="1">
      <c r="A54" s="121" t="s">
        <v>2572</v>
      </c>
    </row>
    <row r="55" spans="1:14" s="85" customFormat="1">
      <c r="A55" s="137" t="str">
        <f>"*Đơn giá nhân công, máy thi công được cập nhập theo quy định tại Thông tư 05/2016/BXD ngày 10/03/2016 "&amp;IF(NL!AJ2=3,"(Vùng III, Lttv = 2,000,000 vnđ)","(Vùng IV, Lttv = 1,9000,000đ)")</f>
        <v>*Đơn giá nhân công, máy thi công được cập nhập theo quy định tại Thông tư 05/2016/BXD ngày 10/03/2016 (Vùng III, Lttv = 2,000,000 vnđ)</v>
      </c>
    </row>
    <row r="56" spans="1:14"/>
    <row r="57" spans="1:14"/>
    <row r="58" spans="1:14"/>
    <row r="59" spans="1:14"/>
    <row r="60" spans="1:14"/>
    <row r="61" spans="1:14"/>
    <row r="62" spans="1:14"/>
    <row r="63" spans="1:14"/>
    <row r="64" spans="1:1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sheetData>
  <sheetProtection deleteRows="0"/>
  <mergeCells count="10">
    <mergeCell ref="A50:B52"/>
    <mergeCell ref="C52:I52"/>
    <mergeCell ref="C51:I51"/>
    <mergeCell ref="A2:N2"/>
    <mergeCell ref="A3:N3"/>
    <mergeCell ref="A5:A6"/>
    <mergeCell ref="B5:B6"/>
    <mergeCell ref="C5:C6"/>
    <mergeCell ref="D5:D6"/>
    <mergeCell ref="C50:I50"/>
  </mergeCells>
  <phoneticPr fontId="0" type="noConversion"/>
  <printOptions horizontalCentered="1"/>
  <pageMargins left="0.19685039370078741" right="0.19685039370078741" top="0.39370078740157483" bottom="0.31496062992125984" header="0.19685039370078741" footer="0.19685039370078741"/>
  <pageSetup paperSize="9" scale="95" firstPageNumber="32" orientation="landscape" blackAndWhite="1" useFirstPageNumber="1"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indexed="42"/>
  </sheetPr>
  <dimension ref="A2:IV366"/>
  <sheetViews>
    <sheetView showGridLines="0" showZeros="0" showRuler="0" topLeftCell="A223" zoomScale="93" zoomScaleNormal="93" zoomScaleSheetLayoutView="100" workbookViewId="0">
      <selection activeCell="C10" sqref="C10:D10"/>
    </sheetView>
  </sheetViews>
  <sheetFormatPr defaultColWidth="0" defaultRowHeight="15" outlineLevelCol="1"/>
  <cols>
    <col min="1" max="1" width="15.33203125" style="1116" customWidth="1"/>
    <col min="2" max="2" width="5.83203125" style="1240" customWidth="1"/>
    <col min="3" max="3" width="9.83203125" style="185" customWidth="1"/>
    <col min="4" max="4" width="10.83203125" style="185" hidden="1" customWidth="1" outlineLevel="1"/>
    <col min="5" max="5" width="52.83203125" style="185" customWidth="1" collapsed="1"/>
    <col min="6" max="6" width="9.83203125" style="185" customWidth="1"/>
    <col min="7" max="7" width="6.83203125" style="1218" customWidth="1"/>
    <col min="8" max="8" width="6.83203125" style="197" hidden="1" customWidth="1" outlineLevel="1"/>
    <col min="9" max="9" width="11.83203125" style="197" customWidth="1" collapsed="1"/>
    <col min="10" max="10" width="9.83203125" style="197" hidden="1" customWidth="1"/>
    <col min="11" max="11" width="11.83203125" style="197" customWidth="1"/>
    <col min="12" max="12" width="13.83203125" style="197" customWidth="1"/>
    <col min="13" max="13" width="9.83203125" style="197" customWidth="1"/>
    <col min="14" max="14" width="13.83203125" style="197" customWidth="1"/>
    <col min="15" max="15" width="9.83203125" style="197" hidden="1" customWidth="1"/>
    <col min="16" max="17" width="11.83203125" style="197" customWidth="1"/>
    <col min="18" max="18" width="10.83203125" style="197" customWidth="1"/>
    <col min="19" max="19" width="0.33203125" style="185" customWidth="1"/>
    <col min="20" max="16384" width="9" style="185" hidden="1"/>
  </cols>
  <sheetData>
    <row r="2" spans="1:255" ht="18.75">
      <c r="A2" s="469"/>
      <c r="B2" s="2051" t="s">
        <v>5661</v>
      </c>
      <c r="C2" s="2051"/>
      <c r="D2" s="2051"/>
      <c r="E2" s="2051"/>
      <c r="F2" s="2051"/>
      <c r="G2" s="2051"/>
      <c r="H2" s="2051"/>
      <c r="I2" s="2051"/>
      <c r="J2" s="2051"/>
      <c r="K2" s="2051"/>
      <c r="L2" s="2051"/>
      <c r="M2" s="2051"/>
      <c r="N2" s="2051"/>
      <c r="O2" s="2051"/>
      <c r="P2" s="2051"/>
      <c r="Q2" s="2051"/>
      <c r="R2" s="2051"/>
    </row>
    <row r="3" spans="1:255" ht="15.75">
      <c r="A3" s="469"/>
      <c r="B3" s="2052" t="s">
        <v>488</v>
      </c>
      <c r="C3" s="2052"/>
      <c r="D3" s="2052"/>
      <c r="E3" s="2052"/>
      <c r="F3" s="2052"/>
      <c r="G3" s="2052"/>
      <c r="H3" s="2052"/>
      <c r="I3" s="2052"/>
      <c r="J3" s="2052"/>
      <c r="K3" s="2052"/>
      <c r="L3" s="2052"/>
      <c r="M3" s="2052"/>
      <c r="N3" s="2052"/>
      <c r="O3" s="2052"/>
      <c r="P3" s="2052"/>
      <c r="Q3" s="2052"/>
      <c r="R3" s="2052"/>
    </row>
    <row r="4" spans="1:255">
      <c r="A4" s="469"/>
      <c r="B4" s="1251"/>
      <c r="C4" s="186"/>
      <c r="D4" s="186"/>
      <c r="E4" s="186"/>
      <c r="F4" s="186"/>
      <c r="G4" s="1213"/>
      <c r="H4" s="187"/>
      <c r="I4" s="187"/>
      <c r="J4" s="187"/>
      <c r="K4" s="187"/>
      <c r="L4" s="187"/>
      <c r="M4" s="187"/>
      <c r="N4" s="187"/>
      <c r="O4" s="187"/>
      <c r="P4" s="187"/>
      <c r="Q4" s="187"/>
      <c r="R4" s="187"/>
    </row>
    <row r="5" spans="1:255" ht="15.75" customHeight="1">
      <c r="A5" s="469"/>
      <c r="B5" s="2053" t="s">
        <v>375</v>
      </c>
      <c r="C5" s="2053" t="s">
        <v>418</v>
      </c>
      <c r="D5" s="2061" t="s">
        <v>376</v>
      </c>
      <c r="E5" s="2053" t="s">
        <v>175</v>
      </c>
      <c r="F5" s="2053" t="s">
        <v>86</v>
      </c>
      <c r="G5" s="2056" t="s">
        <v>174</v>
      </c>
      <c r="H5" s="2059" t="s">
        <v>3890</v>
      </c>
      <c r="I5" s="188" t="s">
        <v>87</v>
      </c>
      <c r="J5" s="189"/>
      <c r="K5" s="189"/>
      <c r="L5" s="190"/>
      <c r="M5" s="191"/>
      <c r="N5" s="188" t="s">
        <v>88</v>
      </c>
      <c r="O5" s="189"/>
      <c r="P5" s="189"/>
      <c r="Q5" s="190"/>
      <c r="R5" s="191"/>
      <c r="S5" s="1219"/>
      <c r="T5" s="1220"/>
      <c r="U5" s="1220"/>
      <c r="V5" s="1220"/>
      <c r="W5" s="1220"/>
      <c r="X5" s="1220"/>
      <c r="Y5" s="1220"/>
      <c r="Z5" s="1220"/>
      <c r="AA5" s="1220"/>
      <c r="AB5" s="1220"/>
      <c r="AC5" s="1220"/>
      <c r="AD5" s="1220"/>
      <c r="AE5" s="1220"/>
      <c r="AF5" s="1220"/>
      <c r="AG5" s="1220"/>
      <c r="AH5" s="1220"/>
      <c r="AI5" s="1220"/>
      <c r="AJ5" s="1220"/>
      <c r="AK5" s="1220"/>
      <c r="AL5" s="1220"/>
      <c r="AM5" s="1220"/>
      <c r="AN5" s="1220"/>
      <c r="AO5" s="1220"/>
      <c r="AP5" s="1220"/>
      <c r="AQ5" s="1220"/>
      <c r="AR5" s="1220"/>
      <c r="AS5" s="1220"/>
      <c r="AT5" s="1220"/>
      <c r="AU5" s="1220"/>
      <c r="AV5" s="1220"/>
      <c r="AW5" s="1220"/>
      <c r="AX5" s="1220"/>
      <c r="AY5" s="1220"/>
      <c r="AZ5" s="1220"/>
      <c r="BA5" s="1220"/>
      <c r="BB5" s="1220"/>
      <c r="BC5" s="1220"/>
      <c r="BD5" s="1220"/>
      <c r="BE5" s="1220"/>
      <c r="BF5" s="1220"/>
      <c r="BG5" s="1220"/>
      <c r="BH5" s="1220"/>
      <c r="BI5" s="1220"/>
      <c r="BJ5" s="1220"/>
      <c r="BK5" s="1220"/>
      <c r="BL5" s="1220"/>
      <c r="BM5" s="1220"/>
      <c r="BN5" s="1220"/>
      <c r="BO5" s="1220"/>
      <c r="BP5" s="1220"/>
      <c r="BQ5" s="1220"/>
      <c r="BR5" s="1220"/>
      <c r="BS5" s="1220"/>
      <c r="BT5" s="1220"/>
      <c r="BU5" s="1220"/>
      <c r="BV5" s="1220"/>
      <c r="BW5" s="1220"/>
      <c r="BX5" s="1220"/>
      <c r="BY5" s="1220"/>
      <c r="BZ5" s="1220"/>
      <c r="CA5" s="1220"/>
      <c r="CB5" s="1220"/>
      <c r="CC5" s="1220"/>
      <c r="CD5" s="1220"/>
      <c r="CE5" s="1220"/>
      <c r="CF5" s="1220"/>
      <c r="CG5" s="1220"/>
      <c r="CH5" s="1220"/>
      <c r="CI5" s="1220"/>
      <c r="CJ5" s="1220"/>
      <c r="CK5" s="1220"/>
      <c r="CL5" s="1220"/>
      <c r="CM5" s="1220"/>
      <c r="CN5" s="1220"/>
      <c r="CO5" s="1220"/>
      <c r="CP5" s="1220"/>
      <c r="CQ5" s="1220"/>
      <c r="CR5" s="1220"/>
      <c r="CS5" s="1220"/>
      <c r="CT5" s="1220"/>
      <c r="CU5" s="1220"/>
      <c r="CV5" s="1220"/>
      <c r="CW5" s="1220"/>
      <c r="CX5" s="1220"/>
      <c r="CY5" s="1220"/>
      <c r="CZ5" s="1220"/>
      <c r="DA5" s="1220"/>
      <c r="DB5" s="1220"/>
      <c r="DC5" s="1220"/>
      <c r="DD5" s="1220"/>
      <c r="DE5" s="1220"/>
      <c r="DF5" s="1220"/>
      <c r="DG5" s="1220"/>
      <c r="DH5" s="1220"/>
      <c r="DI5" s="1220"/>
      <c r="DJ5" s="1220"/>
      <c r="DK5" s="1220"/>
      <c r="DL5" s="1220"/>
      <c r="DM5" s="1220"/>
      <c r="DN5" s="1220"/>
      <c r="DO5" s="1220"/>
      <c r="DP5" s="1220"/>
      <c r="DQ5" s="1220"/>
      <c r="DR5" s="1220"/>
      <c r="DS5" s="1220"/>
      <c r="DT5" s="1220"/>
      <c r="DU5" s="1220"/>
      <c r="DV5" s="1220"/>
      <c r="DW5" s="1220"/>
      <c r="DX5" s="1220"/>
      <c r="DY5" s="1220"/>
      <c r="DZ5" s="1220"/>
      <c r="EA5" s="1220"/>
      <c r="EB5" s="1220"/>
      <c r="EC5" s="1220"/>
      <c r="ED5" s="1220"/>
      <c r="EE5" s="1220"/>
      <c r="EF5" s="1220"/>
      <c r="EG5" s="1220"/>
      <c r="EH5" s="1220"/>
      <c r="EI5" s="1220"/>
      <c r="EJ5" s="1220"/>
      <c r="EK5" s="1220"/>
      <c r="EL5" s="1220"/>
      <c r="EM5" s="1220"/>
      <c r="EN5" s="1220"/>
      <c r="EO5" s="1220"/>
      <c r="EP5" s="1220"/>
      <c r="EQ5" s="1220"/>
      <c r="ER5" s="1220"/>
      <c r="ES5" s="1220"/>
      <c r="ET5" s="1220"/>
      <c r="EU5" s="1220"/>
      <c r="EV5" s="1220"/>
      <c r="EW5" s="1220"/>
      <c r="EX5" s="1220"/>
      <c r="EY5" s="1220"/>
      <c r="EZ5" s="1220"/>
      <c r="FA5" s="1220"/>
      <c r="FB5" s="1220"/>
      <c r="FC5" s="1220"/>
      <c r="FD5" s="1220"/>
      <c r="FE5" s="1220"/>
      <c r="FF5" s="1220"/>
      <c r="FG5" s="1220"/>
      <c r="FH5" s="1220"/>
      <c r="FI5" s="1220"/>
      <c r="FJ5" s="1220"/>
      <c r="FK5" s="1220"/>
      <c r="FL5" s="1220"/>
      <c r="FM5" s="1220"/>
      <c r="FN5" s="1220"/>
      <c r="FO5" s="1220"/>
      <c r="FP5" s="1220"/>
      <c r="FQ5" s="1220"/>
      <c r="FR5" s="1220"/>
      <c r="FS5" s="1220"/>
      <c r="FT5" s="1220"/>
      <c r="FU5" s="1220"/>
      <c r="FV5" s="1220"/>
      <c r="FW5" s="1220"/>
      <c r="FX5" s="1220"/>
      <c r="FY5" s="1220"/>
      <c r="FZ5" s="1220"/>
      <c r="GA5" s="1220"/>
      <c r="GB5" s="1220"/>
      <c r="GC5" s="1220"/>
      <c r="GD5" s="1220"/>
      <c r="GE5" s="1220"/>
      <c r="GF5" s="1220"/>
      <c r="GG5" s="1220"/>
      <c r="GH5" s="1220"/>
      <c r="GI5" s="1220"/>
      <c r="GJ5" s="1220"/>
      <c r="GK5" s="1220"/>
      <c r="GL5" s="1220"/>
      <c r="GM5" s="1220"/>
      <c r="GN5" s="1220"/>
      <c r="GO5" s="1220"/>
      <c r="GP5" s="1220"/>
      <c r="GQ5" s="1220"/>
      <c r="GR5" s="1220"/>
      <c r="GS5" s="1220"/>
      <c r="GT5" s="1220"/>
      <c r="GU5" s="1220"/>
      <c r="GV5" s="1220"/>
      <c r="GW5" s="1220"/>
      <c r="GX5" s="1220"/>
      <c r="GY5" s="1220"/>
      <c r="GZ5" s="1220"/>
      <c r="HA5" s="1220"/>
      <c r="HB5" s="1220"/>
      <c r="HC5" s="1220"/>
      <c r="HD5" s="1220"/>
      <c r="HE5" s="1220"/>
      <c r="HF5" s="1220"/>
      <c r="HG5" s="1220"/>
      <c r="HH5" s="1220"/>
      <c r="HI5" s="1220"/>
      <c r="HJ5" s="1220"/>
      <c r="HK5" s="1220"/>
      <c r="HL5" s="1220"/>
      <c r="HM5" s="1220"/>
      <c r="HN5" s="1220"/>
      <c r="HO5" s="1220"/>
      <c r="HP5" s="1220"/>
      <c r="HQ5" s="1220"/>
      <c r="HR5" s="1220"/>
      <c r="HS5" s="1220"/>
      <c r="HT5" s="1220"/>
      <c r="HU5" s="1220"/>
      <c r="HV5" s="1220"/>
      <c r="HW5" s="1220"/>
      <c r="HX5" s="1220"/>
      <c r="HY5" s="1220"/>
      <c r="HZ5" s="1220"/>
      <c r="IA5" s="1220"/>
      <c r="IB5" s="1220"/>
      <c r="IC5" s="1220"/>
      <c r="ID5" s="1220"/>
      <c r="IE5" s="1220"/>
      <c r="IF5" s="1220"/>
      <c r="IG5" s="1220"/>
      <c r="IH5" s="1220"/>
      <c r="II5" s="1220"/>
      <c r="IJ5" s="1220"/>
      <c r="IK5" s="1220"/>
      <c r="IL5" s="1220"/>
      <c r="IM5" s="1220"/>
      <c r="IN5" s="1220"/>
      <c r="IO5" s="1220"/>
      <c r="IP5" s="1220"/>
      <c r="IQ5" s="1220"/>
      <c r="IR5" s="1220"/>
      <c r="IS5" s="1220"/>
      <c r="IT5" s="1220"/>
      <c r="IU5" s="1221"/>
    </row>
    <row r="6" spans="1:255" ht="28.5" customHeight="1">
      <c r="A6" s="469"/>
      <c r="B6" s="2055"/>
      <c r="C6" s="2055"/>
      <c r="D6" s="2062"/>
      <c r="E6" s="2055"/>
      <c r="F6" s="2055"/>
      <c r="G6" s="2058"/>
      <c r="H6" s="2060"/>
      <c r="I6" s="192" t="s">
        <v>5443</v>
      </c>
      <c r="J6" s="192" t="s">
        <v>2080</v>
      </c>
      <c r="K6" s="192" t="s">
        <v>5444</v>
      </c>
      <c r="L6" s="192" t="s">
        <v>89</v>
      </c>
      <c r="M6" s="193" t="s">
        <v>3308</v>
      </c>
      <c r="N6" s="192" t="s">
        <v>5443</v>
      </c>
      <c r="O6" s="192" t="s">
        <v>2080</v>
      </c>
      <c r="P6" s="192" t="s">
        <v>267</v>
      </c>
      <c r="Q6" s="192" t="s">
        <v>89</v>
      </c>
      <c r="R6" s="193" t="s">
        <v>3308</v>
      </c>
      <c r="S6" s="1222"/>
      <c r="IU6" s="1223"/>
    </row>
    <row r="7" spans="1:255" ht="16.5" customHeight="1">
      <c r="A7" s="469"/>
      <c r="B7" s="194" t="s">
        <v>176</v>
      </c>
      <c r="C7" s="194" t="s">
        <v>4275</v>
      </c>
      <c r="D7" s="194"/>
      <c r="E7" s="194" t="s">
        <v>4276</v>
      </c>
      <c r="F7" s="194" t="s">
        <v>5860</v>
      </c>
      <c r="G7" s="1209" t="s">
        <v>5861</v>
      </c>
      <c r="H7" s="194"/>
      <c r="I7" s="194" t="s">
        <v>5862</v>
      </c>
      <c r="J7" s="194" t="s">
        <v>5863</v>
      </c>
      <c r="K7" s="194" t="s">
        <v>5864</v>
      </c>
      <c r="L7" s="194" t="s">
        <v>1250</v>
      </c>
      <c r="M7" s="194" t="s">
        <v>5626</v>
      </c>
      <c r="N7" s="195" t="s">
        <v>6241</v>
      </c>
      <c r="O7" s="195" t="s">
        <v>6242</v>
      </c>
      <c r="P7" s="195" t="s">
        <v>6243</v>
      </c>
      <c r="Q7" s="195" t="s">
        <v>6244</v>
      </c>
      <c r="R7" s="195" t="s">
        <v>6245</v>
      </c>
      <c r="S7" s="1222"/>
      <c r="IU7" s="1223"/>
    </row>
    <row r="8" spans="1:255">
      <c r="A8" s="469"/>
      <c r="B8" s="228"/>
      <c r="C8" s="228"/>
      <c r="D8" s="228"/>
      <c r="E8" s="228"/>
      <c r="F8" s="228"/>
      <c r="G8" s="1224"/>
      <c r="H8" s="228"/>
      <c r="I8" s="228"/>
      <c r="J8" s="228"/>
      <c r="K8" s="228"/>
      <c r="L8" s="228"/>
      <c r="M8" s="228"/>
      <c r="N8" s="229"/>
      <c r="O8" s="229"/>
      <c r="P8" s="229"/>
      <c r="Q8" s="229"/>
      <c r="R8" s="229"/>
      <c r="S8" s="1222"/>
      <c r="IU8" s="1223"/>
    </row>
    <row r="9" spans="1:255" ht="15.75">
      <c r="A9" s="469"/>
      <c r="B9" s="1096" t="s">
        <v>5284</v>
      </c>
      <c r="C9" s="199"/>
      <c r="D9" s="199"/>
      <c r="E9" s="200" t="s">
        <v>3920</v>
      </c>
      <c r="F9" s="201"/>
      <c r="G9" s="202"/>
      <c r="H9" s="202"/>
      <c r="I9" s="203"/>
      <c r="J9" s="203"/>
      <c r="K9" s="203"/>
      <c r="L9" s="204"/>
      <c r="M9" s="203"/>
      <c r="N9" s="205"/>
      <c r="O9" s="205"/>
      <c r="P9" s="205"/>
      <c r="Q9" s="205"/>
      <c r="R9" s="205"/>
      <c r="S9" s="1222"/>
      <c r="IU9" s="1223"/>
    </row>
    <row r="10" spans="1:255" s="15" customFormat="1" ht="15" customHeight="1">
      <c r="A10" s="1048">
        <v>1</v>
      </c>
      <c r="B10" s="571" t="str">
        <f>"I."&amp;+A10</f>
        <v>I.1</v>
      </c>
      <c r="C10" s="571"/>
      <c r="D10" s="639"/>
      <c r="E10" s="1049" t="s">
        <v>1961</v>
      </c>
      <c r="F10" s="24" t="s">
        <v>5140</v>
      </c>
      <c r="G10" s="26">
        <f>tkeTA!O135</f>
        <v>2</v>
      </c>
      <c r="H10" s="1054"/>
      <c r="I10" s="1053"/>
      <c r="J10" s="1053"/>
      <c r="K10" s="1053"/>
      <c r="L10" s="1053"/>
      <c r="M10" s="1053"/>
      <c r="N10" s="1055">
        <f>SUM(N11:N21)</f>
        <v>3509705</v>
      </c>
      <c r="O10" s="1055">
        <f>SUM(O11:O21)</f>
        <v>0</v>
      </c>
      <c r="P10" s="1055">
        <f>SUM(P11:P21)</f>
        <v>0</v>
      </c>
      <c r="Q10" s="1055">
        <f>SUM(Q11:Q21)</f>
        <v>2450940</v>
      </c>
      <c r="R10" s="1055">
        <f>SUM(R11:R21)</f>
        <v>138370</v>
      </c>
    </row>
    <row r="11" spans="1:255" s="15" customFormat="1" ht="15" customHeight="1">
      <c r="A11" s="38" t="s">
        <v>5453</v>
      </c>
      <c r="B11" s="571"/>
      <c r="C11" s="571"/>
      <c r="D11" s="639">
        <v>0</v>
      </c>
      <c r="E11" s="14" t="s">
        <v>803</v>
      </c>
      <c r="F11" s="18" t="s">
        <v>1783</v>
      </c>
      <c r="G11" s="1056">
        <v>963.2</v>
      </c>
      <c r="H11" s="1057"/>
      <c r="I11" s="25">
        <v>1420</v>
      </c>
      <c r="J11" s="25"/>
      <c r="K11" s="1053"/>
      <c r="L11" s="23"/>
      <c r="M11" s="23"/>
      <c r="N11" s="807">
        <f t="shared" ref="N11:N18" si="0">ROUND($G11*I11,0)</f>
        <v>1367744</v>
      </c>
      <c r="O11" s="807">
        <f t="shared" ref="O11:O21" si="1">ROUND($G11*J11,0)</f>
        <v>0</v>
      </c>
      <c r="P11" s="1061"/>
      <c r="Q11" s="1061"/>
      <c r="R11" s="1061"/>
    </row>
    <row r="12" spans="1:255" s="15" customFormat="1" ht="15" customHeight="1">
      <c r="A12" s="38" t="s">
        <v>966</v>
      </c>
      <c r="B12" s="571"/>
      <c r="C12" s="571"/>
      <c r="D12" s="639">
        <v>41506010</v>
      </c>
      <c r="E12" s="14" t="s">
        <v>967</v>
      </c>
      <c r="F12" s="18" t="s">
        <v>968</v>
      </c>
      <c r="G12" s="1057">
        <v>1.546</v>
      </c>
      <c r="H12" s="1057"/>
      <c r="I12" s="25">
        <v>277273</v>
      </c>
      <c r="J12" s="25"/>
      <c r="K12" s="1053"/>
      <c r="L12" s="23"/>
      <c r="M12" s="23"/>
      <c r="N12" s="807">
        <f t="shared" si="0"/>
        <v>428664</v>
      </c>
      <c r="O12" s="807">
        <f t="shared" si="1"/>
        <v>0</v>
      </c>
      <c r="P12" s="1061"/>
      <c r="Q12" s="1061"/>
      <c r="R12" s="1061"/>
    </row>
    <row r="13" spans="1:255" s="15" customFormat="1" ht="15" customHeight="1">
      <c r="A13" s="38" t="s">
        <v>973</v>
      </c>
      <c r="B13" s="571"/>
      <c r="C13" s="571"/>
      <c r="D13" s="639">
        <v>41506089</v>
      </c>
      <c r="E13" s="14" t="s">
        <v>974</v>
      </c>
      <c r="F13" s="18" t="s">
        <v>968</v>
      </c>
      <c r="G13" s="1057">
        <v>2.867</v>
      </c>
      <c r="H13" s="1057"/>
      <c r="I13" s="25">
        <v>491818</v>
      </c>
      <c r="J13" s="25"/>
      <c r="K13" s="1053"/>
      <c r="L13" s="23"/>
      <c r="M13" s="23"/>
      <c r="N13" s="807">
        <f t="shared" si="0"/>
        <v>1410042</v>
      </c>
      <c r="O13" s="807">
        <f t="shared" si="1"/>
        <v>0</v>
      </c>
      <c r="P13" s="1061"/>
      <c r="Q13" s="1061"/>
      <c r="R13" s="1061"/>
    </row>
    <row r="14" spans="1:255" s="15" customFormat="1" ht="15" customHeight="1">
      <c r="A14" s="329" t="s">
        <v>4989</v>
      </c>
      <c r="B14" s="571"/>
      <c r="C14" s="571"/>
      <c r="D14" s="639">
        <v>0</v>
      </c>
      <c r="E14" s="14" t="s">
        <v>4990</v>
      </c>
      <c r="F14" s="18" t="s">
        <v>2679</v>
      </c>
      <c r="G14" s="27">
        <v>635</v>
      </c>
      <c r="H14" s="1057"/>
      <c r="I14" s="25">
        <v>10</v>
      </c>
      <c r="J14" s="25"/>
      <c r="K14" s="1053"/>
      <c r="L14" s="23"/>
      <c r="M14" s="23"/>
      <c r="N14" s="807">
        <f t="shared" si="0"/>
        <v>6350</v>
      </c>
      <c r="O14" s="807">
        <f t="shared" si="1"/>
        <v>0</v>
      </c>
      <c r="P14" s="1061"/>
      <c r="Q14" s="1061"/>
      <c r="R14" s="1061"/>
    </row>
    <row r="15" spans="1:255" s="15" customFormat="1" ht="15" customHeight="1">
      <c r="A15" s="329" t="s">
        <v>2507</v>
      </c>
      <c r="B15" s="571"/>
      <c r="C15" s="571"/>
      <c r="D15" s="639">
        <v>1</v>
      </c>
      <c r="E15" s="14" t="s">
        <v>6519</v>
      </c>
      <c r="F15" s="18" t="s">
        <v>6520</v>
      </c>
      <c r="G15" s="27">
        <v>1</v>
      </c>
      <c r="H15" s="1057"/>
      <c r="I15" s="25">
        <f>ROUND(SUM(I11:I14)/100,0)</f>
        <v>7705</v>
      </c>
      <c r="J15" s="25">
        <f>ROUND(SUM(J11:J14)/100,0)</f>
        <v>0</v>
      </c>
      <c r="K15" s="1053"/>
      <c r="L15" s="23"/>
      <c r="M15" s="23"/>
      <c r="N15" s="807">
        <f t="shared" si="0"/>
        <v>7705</v>
      </c>
      <c r="O15" s="807">
        <f t="shared" si="1"/>
        <v>0</v>
      </c>
      <c r="P15" s="1061"/>
      <c r="Q15" s="1061"/>
      <c r="R15" s="1061"/>
    </row>
    <row r="16" spans="1:255" s="15" customFormat="1">
      <c r="A16" s="38" t="s">
        <v>5987</v>
      </c>
      <c r="B16" s="571"/>
      <c r="C16" s="571">
        <v>44322500</v>
      </c>
      <c r="D16" s="639"/>
      <c r="E16" s="14" t="s">
        <v>5988</v>
      </c>
      <c r="F16" s="18" t="s">
        <v>1307</v>
      </c>
      <c r="G16" s="27">
        <v>2</v>
      </c>
      <c r="H16" s="27"/>
      <c r="I16" s="25">
        <v>58800</v>
      </c>
      <c r="J16" s="25"/>
      <c r="K16" s="1053"/>
      <c r="L16" s="23"/>
      <c r="M16" s="23"/>
      <c r="N16" s="807">
        <f t="shared" si="0"/>
        <v>117600</v>
      </c>
      <c r="O16" s="807">
        <f t="shared" si="1"/>
        <v>0</v>
      </c>
      <c r="P16" s="1061"/>
      <c r="Q16" s="1061"/>
      <c r="R16" s="1061"/>
    </row>
    <row r="17" spans="1:18" s="15" customFormat="1">
      <c r="A17" s="38" t="s">
        <v>4177</v>
      </c>
      <c r="B17" s="571"/>
      <c r="C17" s="571">
        <v>44322000</v>
      </c>
      <c r="D17" s="639"/>
      <c r="E17" s="14" t="s">
        <v>4178</v>
      </c>
      <c r="F17" s="18" t="s">
        <v>1307</v>
      </c>
      <c r="G17" s="27">
        <v>1</v>
      </c>
      <c r="H17" s="27">
        <f>G17*G10</f>
        <v>2</v>
      </c>
      <c r="I17" s="25">
        <v>100800</v>
      </c>
      <c r="J17" s="25"/>
      <c r="K17" s="1053"/>
      <c r="L17" s="23"/>
      <c r="M17" s="23"/>
      <c r="N17" s="807">
        <f t="shared" si="0"/>
        <v>100800</v>
      </c>
      <c r="O17" s="807">
        <f t="shared" si="1"/>
        <v>0</v>
      </c>
      <c r="P17" s="1061"/>
      <c r="Q17" s="1061"/>
      <c r="R17" s="1061"/>
    </row>
    <row r="18" spans="1:18" s="15" customFormat="1">
      <c r="A18" s="38" t="s">
        <v>4039</v>
      </c>
      <c r="B18" s="571"/>
      <c r="C18" s="571">
        <v>47087092</v>
      </c>
      <c r="D18" s="639"/>
      <c r="E18" s="14" t="s">
        <v>4040</v>
      </c>
      <c r="F18" s="18" t="s">
        <v>1307</v>
      </c>
      <c r="G18" s="27">
        <v>6</v>
      </c>
      <c r="H18" s="27">
        <f>G18*G10</f>
        <v>12</v>
      </c>
      <c r="I18" s="25">
        <v>11800</v>
      </c>
      <c r="J18" s="25"/>
      <c r="K18" s="1053"/>
      <c r="L18" s="23"/>
      <c r="M18" s="23"/>
      <c r="N18" s="807">
        <f t="shared" si="0"/>
        <v>70800</v>
      </c>
      <c r="O18" s="807">
        <f t="shared" si="1"/>
        <v>0</v>
      </c>
      <c r="P18" s="1061"/>
      <c r="Q18" s="1061"/>
      <c r="R18" s="1061"/>
    </row>
    <row r="19" spans="1:18" s="15" customFormat="1" ht="15" customHeight="1">
      <c r="A19" s="1186" t="s">
        <v>5821</v>
      </c>
      <c r="B19" s="571"/>
      <c r="C19" s="571" t="s">
        <v>5821</v>
      </c>
      <c r="D19" s="639"/>
      <c r="E19" s="14" t="s">
        <v>6521</v>
      </c>
      <c r="F19" s="18" t="s">
        <v>6522</v>
      </c>
      <c r="G19" s="28">
        <v>4.4930000000000003</v>
      </c>
      <c r="H19" s="1058"/>
      <c r="I19" s="23"/>
      <c r="J19" s="25"/>
      <c r="K19" s="25">
        <v>0</v>
      </c>
      <c r="L19" s="25">
        <v>262523</v>
      </c>
      <c r="M19" s="25">
        <v>0</v>
      </c>
      <c r="N19" s="1061"/>
      <c r="O19" s="807">
        <f t="shared" si="1"/>
        <v>0</v>
      </c>
      <c r="P19" s="807">
        <f t="shared" ref="P19:R21" si="2">ROUND($G19*K19,0)</f>
        <v>0</v>
      </c>
      <c r="Q19" s="807">
        <f t="shared" si="2"/>
        <v>1179516</v>
      </c>
      <c r="R19" s="807">
        <f t="shared" si="2"/>
        <v>0</v>
      </c>
    </row>
    <row r="20" spans="1:18" s="15" customFormat="1" ht="15" customHeight="1">
      <c r="A20" s="1186" t="s">
        <v>2508</v>
      </c>
      <c r="B20" s="571"/>
      <c r="C20" s="571" t="s">
        <v>2508</v>
      </c>
      <c r="D20" s="639"/>
      <c r="E20" s="14" t="s">
        <v>6523</v>
      </c>
      <c r="F20" s="18" t="s">
        <v>6522</v>
      </c>
      <c r="G20" s="28">
        <v>3.456</v>
      </c>
      <c r="H20" s="1058"/>
      <c r="I20" s="23"/>
      <c r="J20" s="25"/>
      <c r="K20" s="25">
        <v>0</v>
      </c>
      <c r="L20" s="25">
        <v>111323</v>
      </c>
      <c r="M20" s="25">
        <v>0</v>
      </c>
      <c r="N20" s="1061"/>
      <c r="O20" s="807">
        <f t="shared" si="1"/>
        <v>0</v>
      </c>
      <c r="P20" s="807">
        <f t="shared" si="2"/>
        <v>0</v>
      </c>
      <c r="Q20" s="807">
        <f t="shared" si="2"/>
        <v>384732</v>
      </c>
      <c r="R20" s="807">
        <f t="shared" si="2"/>
        <v>0</v>
      </c>
    </row>
    <row r="21" spans="1:18" s="15" customFormat="1" ht="30" customHeight="1">
      <c r="A21" s="1187" t="s">
        <v>2509</v>
      </c>
      <c r="B21" s="571"/>
      <c r="C21" s="571" t="s">
        <v>2509</v>
      </c>
      <c r="D21" s="639"/>
      <c r="E21" s="14" t="s">
        <v>6524</v>
      </c>
      <c r="F21" s="18" t="s">
        <v>6522</v>
      </c>
      <c r="G21" s="28">
        <v>3.254</v>
      </c>
      <c r="H21" s="1058"/>
      <c r="I21" s="23"/>
      <c r="J21" s="25"/>
      <c r="K21" s="25"/>
      <c r="L21" s="25">
        <v>272493</v>
      </c>
      <c r="M21" s="25">
        <v>42523</v>
      </c>
      <c r="N21" s="1061"/>
      <c r="O21" s="807">
        <f t="shared" si="1"/>
        <v>0</v>
      </c>
      <c r="P21" s="807">
        <f t="shared" si="2"/>
        <v>0</v>
      </c>
      <c r="Q21" s="807">
        <f t="shared" si="2"/>
        <v>886692</v>
      </c>
      <c r="R21" s="807">
        <f t="shared" si="2"/>
        <v>138370</v>
      </c>
    </row>
    <row r="22" spans="1:18" s="15" customFormat="1">
      <c r="A22" s="252">
        <f>A10</f>
        <v>1</v>
      </c>
      <c r="B22" s="571"/>
      <c r="C22" s="571"/>
      <c r="D22" s="639"/>
      <c r="E22" s="14"/>
      <c r="F22" s="18"/>
      <c r="G22" s="1057"/>
      <c r="H22" s="1057"/>
      <c r="I22" s="23"/>
      <c r="J22" s="23"/>
      <c r="K22" s="23"/>
      <c r="L22" s="23"/>
      <c r="M22" s="23"/>
      <c r="N22" s="1061"/>
      <c r="O22" s="1061"/>
      <c r="P22" s="1061"/>
      <c r="Q22" s="1061"/>
      <c r="R22" s="1061"/>
    </row>
    <row r="23" spans="1:18" s="15" customFormat="1" ht="15" customHeight="1">
      <c r="A23" s="1048">
        <f>A22+1</f>
        <v>2</v>
      </c>
      <c r="B23" s="571" t="str">
        <f>"I."&amp;+A23</f>
        <v>I.2</v>
      </c>
      <c r="C23" s="571"/>
      <c r="D23" s="639"/>
      <c r="E23" s="1049" t="s">
        <v>4577</v>
      </c>
      <c r="F23" s="24" t="s">
        <v>5140</v>
      </c>
      <c r="G23" s="26">
        <f>tkeTA!P135</f>
        <v>18</v>
      </c>
      <c r="H23" s="1054"/>
      <c r="I23" s="1053"/>
      <c r="J23" s="1053"/>
      <c r="K23" s="1053"/>
      <c r="L23" s="1053"/>
      <c r="M23" s="1053"/>
      <c r="N23" s="1055">
        <f>SUM(N24:N34)</f>
        <v>3196312</v>
      </c>
      <c r="O23" s="1055">
        <f>SUM(O24:O34)</f>
        <v>0</v>
      </c>
      <c r="P23" s="1055">
        <f>SUM(P24:P34)</f>
        <v>0</v>
      </c>
      <c r="Q23" s="1055">
        <f>SUM(Q24:Q34)</f>
        <v>2190813</v>
      </c>
      <c r="R23" s="1055">
        <f>SUM(R24:R34)</f>
        <v>124890</v>
      </c>
    </row>
    <row r="24" spans="1:18" s="15" customFormat="1" ht="15" customHeight="1">
      <c r="A24" s="38" t="s">
        <v>5453</v>
      </c>
      <c r="B24" s="571"/>
      <c r="C24" s="571"/>
      <c r="D24" s="639">
        <v>0</v>
      </c>
      <c r="E24" s="14" t="s">
        <v>803</v>
      </c>
      <c r="F24" s="18" t="s">
        <v>1783</v>
      </c>
      <c r="G24" s="1056">
        <v>869.4</v>
      </c>
      <c r="H24" s="1057"/>
      <c r="I24" s="25">
        <v>1420</v>
      </c>
      <c r="J24" s="25"/>
      <c r="K24" s="1053"/>
      <c r="L24" s="23"/>
      <c r="M24" s="23"/>
      <c r="N24" s="807">
        <f t="shared" ref="N24:N31" si="3">ROUND($G24*I24,0)</f>
        <v>1234548</v>
      </c>
      <c r="O24" s="807">
        <f t="shared" ref="O24:O34" si="4">ROUND($G24*J24,0)</f>
        <v>0</v>
      </c>
      <c r="P24" s="1061"/>
      <c r="Q24" s="1061"/>
      <c r="R24" s="1061"/>
    </row>
    <row r="25" spans="1:18" s="15" customFormat="1" ht="15" customHeight="1">
      <c r="A25" s="38" t="s">
        <v>966</v>
      </c>
      <c r="B25" s="571"/>
      <c r="C25" s="571"/>
      <c r="D25" s="639">
        <v>41506010</v>
      </c>
      <c r="E25" s="14" t="s">
        <v>967</v>
      </c>
      <c r="F25" s="18" t="s">
        <v>968</v>
      </c>
      <c r="G25" s="1057">
        <v>1.395</v>
      </c>
      <c r="H25" s="1057"/>
      <c r="I25" s="25">
        <v>277273</v>
      </c>
      <c r="J25" s="25"/>
      <c r="K25" s="1053"/>
      <c r="L25" s="23"/>
      <c r="M25" s="23"/>
      <c r="N25" s="807">
        <f t="shared" si="3"/>
        <v>386796</v>
      </c>
      <c r="O25" s="807">
        <f t="shared" si="4"/>
        <v>0</v>
      </c>
      <c r="P25" s="1061"/>
      <c r="Q25" s="1061"/>
      <c r="R25" s="1061"/>
    </row>
    <row r="26" spans="1:18" s="15" customFormat="1" ht="15" customHeight="1">
      <c r="A26" s="38" t="s">
        <v>973</v>
      </c>
      <c r="B26" s="571"/>
      <c r="C26" s="571"/>
      <c r="D26" s="639">
        <v>41506089</v>
      </c>
      <c r="E26" s="14" t="s">
        <v>974</v>
      </c>
      <c r="F26" s="18" t="s">
        <v>968</v>
      </c>
      <c r="G26" s="1057">
        <v>2.5870000000000002</v>
      </c>
      <c r="H26" s="1057"/>
      <c r="I26" s="25">
        <v>491818</v>
      </c>
      <c r="J26" s="25"/>
      <c r="K26" s="1053"/>
      <c r="L26" s="23"/>
      <c r="M26" s="23"/>
      <c r="N26" s="807">
        <f t="shared" si="3"/>
        <v>1272333</v>
      </c>
      <c r="O26" s="807">
        <f t="shared" si="4"/>
        <v>0</v>
      </c>
      <c r="P26" s="1061"/>
      <c r="Q26" s="1061"/>
      <c r="R26" s="1061"/>
    </row>
    <row r="27" spans="1:18" s="15" customFormat="1" ht="15" customHeight="1">
      <c r="A27" s="329" t="s">
        <v>4989</v>
      </c>
      <c r="B27" s="571"/>
      <c r="C27" s="571"/>
      <c r="D27" s="639">
        <v>0</v>
      </c>
      <c r="E27" s="14" t="s">
        <v>4990</v>
      </c>
      <c r="F27" s="18" t="s">
        <v>2679</v>
      </c>
      <c r="G27" s="27">
        <v>573</v>
      </c>
      <c r="H27" s="1057"/>
      <c r="I27" s="25">
        <v>10</v>
      </c>
      <c r="J27" s="25"/>
      <c r="K27" s="1053"/>
      <c r="L27" s="23"/>
      <c r="M27" s="23"/>
      <c r="N27" s="807">
        <f t="shared" si="3"/>
        <v>5730</v>
      </c>
      <c r="O27" s="807">
        <f t="shared" si="4"/>
        <v>0</v>
      </c>
      <c r="P27" s="1061"/>
      <c r="Q27" s="1061"/>
      <c r="R27" s="1061"/>
    </row>
    <row r="28" spans="1:18" s="15" customFormat="1" ht="15" customHeight="1">
      <c r="A28" s="329" t="s">
        <v>2507</v>
      </c>
      <c r="B28" s="571"/>
      <c r="C28" s="571"/>
      <c r="D28" s="639">
        <v>1</v>
      </c>
      <c r="E28" s="14" t="s">
        <v>6519</v>
      </c>
      <c r="F28" s="18" t="s">
        <v>6520</v>
      </c>
      <c r="G28" s="27">
        <v>1</v>
      </c>
      <c r="H28" s="1057"/>
      <c r="I28" s="25">
        <f>ROUND(SUM(I24:I27)/100,0)</f>
        <v>7705</v>
      </c>
      <c r="J28" s="25">
        <f>ROUND(SUM(J24:J27)/100,0)</f>
        <v>0</v>
      </c>
      <c r="K28" s="1053"/>
      <c r="L28" s="23"/>
      <c r="M28" s="23"/>
      <c r="N28" s="807">
        <f t="shared" si="3"/>
        <v>7705</v>
      </c>
      <c r="O28" s="807">
        <f t="shared" si="4"/>
        <v>0</v>
      </c>
      <c r="P28" s="1061"/>
      <c r="Q28" s="1061"/>
      <c r="R28" s="1061"/>
    </row>
    <row r="29" spans="1:18" s="15" customFormat="1">
      <c r="A29" s="38" t="s">
        <v>5987</v>
      </c>
      <c r="B29" s="571"/>
      <c r="C29" s="571">
        <v>44322500</v>
      </c>
      <c r="D29" s="639"/>
      <c r="E29" s="14" t="s">
        <v>5988</v>
      </c>
      <c r="F29" s="18" t="s">
        <v>1307</v>
      </c>
      <c r="G29" s="27">
        <v>2</v>
      </c>
      <c r="H29" s="27"/>
      <c r="I29" s="25">
        <v>58800</v>
      </c>
      <c r="J29" s="25"/>
      <c r="K29" s="1053"/>
      <c r="L29" s="23"/>
      <c r="M29" s="23"/>
      <c r="N29" s="807">
        <f t="shared" si="3"/>
        <v>117600</v>
      </c>
      <c r="O29" s="807">
        <f t="shared" si="4"/>
        <v>0</v>
      </c>
      <c r="P29" s="1061"/>
      <c r="Q29" s="1061"/>
      <c r="R29" s="1061"/>
    </row>
    <row r="30" spans="1:18" s="15" customFormat="1">
      <c r="A30" s="38" t="s">
        <v>4177</v>
      </c>
      <c r="B30" s="571"/>
      <c r="C30" s="571">
        <v>44322000</v>
      </c>
      <c r="D30" s="639"/>
      <c r="E30" s="14" t="s">
        <v>4178</v>
      </c>
      <c r="F30" s="18" t="s">
        <v>1307</v>
      </c>
      <c r="G30" s="27">
        <v>1</v>
      </c>
      <c r="H30" s="27">
        <f>G30*G23</f>
        <v>18</v>
      </c>
      <c r="I30" s="25">
        <v>100800</v>
      </c>
      <c r="J30" s="25"/>
      <c r="K30" s="1053"/>
      <c r="L30" s="23"/>
      <c r="M30" s="23"/>
      <c r="N30" s="807">
        <f t="shared" si="3"/>
        <v>100800</v>
      </c>
      <c r="O30" s="807">
        <f t="shared" si="4"/>
        <v>0</v>
      </c>
      <c r="P30" s="1061"/>
      <c r="Q30" s="1061"/>
      <c r="R30" s="1061"/>
    </row>
    <row r="31" spans="1:18" s="15" customFormat="1">
      <c r="A31" s="38" t="s">
        <v>4039</v>
      </c>
      <c r="B31" s="571"/>
      <c r="C31" s="571">
        <v>47087092</v>
      </c>
      <c r="D31" s="639"/>
      <c r="E31" s="14" t="s">
        <v>4040</v>
      </c>
      <c r="F31" s="18" t="s">
        <v>1307</v>
      </c>
      <c r="G31" s="27">
        <v>6</v>
      </c>
      <c r="H31" s="27">
        <f>G31*G23</f>
        <v>108</v>
      </c>
      <c r="I31" s="25">
        <v>11800</v>
      </c>
      <c r="J31" s="25"/>
      <c r="K31" s="1053"/>
      <c r="L31" s="23"/>
      <c r="M31" s="23"/>
      <c r="N31" s="807">
        <f t="shared" si="3"/>
        <v>70800</v>
      </c>
      <c r="O31" s="807">
        <f t="shared" si="4"/>
        <v>0</v>
      </c>
      <c r="P31" s="1061"/>
      <c r="Q31" s="1061"/>
      <c r="R31" s="1061"/>
    </row>
    <row r="32" spans="1:18" s="15" customFormat="1" ht="15" customHeight="1">
      <c r="A32" s="1186" t="s">
        <v>5821</v>
      </c>
      <c r="B32" s="571"/>
      <c r="C32" s="571" t="s">
        <v>5821</v>
      </c>
      <c r="D32" s="639"/>
      <c r="E32" s="14" t="s">
        <v>6521</v>
      </c>
      <c r="F32" s="18" t="s">
        <v>6522</v>
      </c>
      <c r="G32" s="28">
        <v>3.9940000000000002</v>
      </c>
      <c r="H32" s="1058"/>
      <c r="I32" s="23"/>
      <c r="J32" s="25"/>
      <c r="K32" s="25">
        <v>0</v>
      </c>
      <c r="L32" s="25">
        <v>262523</v>
      </c>
      <c r="M32" s="25">
        <v>0</v>
      </c>
      <c r="N32" s="1061"/>
      <c r="O32" s="807">
        <f t="shared" si="4"/>
        <v>0</v>
      </c>
      <c r="P32" s="807">
        <f t="shared" ref="P32:R34" si="5">ROUND($G32*K32,0)</f>
        <v>0</v>
      </c>
      <c r="Q32" s="807">
        <f t="shared" si="5"/>
        <v>1048517</v>
      </c>
      <c r="R32" s="807">
        <f t="shared" si="5"/>
        <v>0</v>
      </c>
    </row>
    <row r="33" spans="1:18" s="15" customFormat="1" ht="15" customHeight="1">
      <c r="A33" s="1186" t="s">
        <v>2508</v>
      </c>
      <c r="B33" s="571"/>
      <c r="C33" s="571" t="s">
        <v>2508</v>
      </c>
      <c r="D33" s="639"/>
      <c r="E33" s="14" t="s">
        <v>6523</v>
      </c>
      <c r="F33" s="18" t="s">
        <v>6522</v>
      </c>
      <c r="G33" s="28">
        <v>3.0720000000000001</v>
      </c>
      <c r="H33" s="1058"/>
      <c r="I33" s="23"/>
      <c r="J33" s="25"/>
      <c r="K33" s="25">
        <v>0</v>
      </c>
      <c r="L33" s="25">
        <v>111323</v>
      </c>
      <c r="M33" s="25">
        <v>0</v>
      </c>
      <c r="N33" s="1061"/>
      <c r="O33" s="807">
        <f t="shared" si="4"/>
        <v>0</v>
      </c>
      <c r="P33" s="807">
        <f t="shared" si="5"/>
        <v>0</v>
      </c>
      <c r="Q33" s="807">
        <f t="shared" si="5"/>
        <v>341984</v>
      </c>
      <c r="R33" s="807">
        <f t="shared" si="5"/>
        <v>0</v>
      </c>
    </row>
    <row r="34" spans="1:18" s="15" customFormat="1" ht="30" customHeight="1">
      <c r="A34" s="1187" t="s">
        <v>2509</v>
      </c>
      <c r="B34" s="571"/>
      <c r="C34" s="571" t="s">
        <v>2509</v>
      </c>
      <c r="D34" s="639"/>
      <c r="E34" s="14" t="s">
        <v>6524</v>
      </c>
      <c r="F34" s="18" t="s">
        <v>6522</v>
      </c>
      <c r="G34" s="28">
        <v>2.9369999999999998</v>
      </c>
      <c r="H34" s="1058"/>
      <c r="I34" s="23"/>
      <c r="J34" s="25"/>
      <c r="K34" s="25"/>
      <c r="L34" s="25">
        <v>272493</v>
      </c>
      <c r="M34" s="25">
        <v>42523</v>
      </c>
      <c r="N34" s="1061"/>
      <c r="O34" s="807">
        <f t="shared" si="4"/>
        <v>0</v>
      </c>
      <c r="P34" s="807">
        <f t="shared" si="5"/>
        <v>0</v>
      </c>
      <c r="Q34" s="807">
        <f t="shared" si="5"/>
        <v>800312</v>
      </c>
      <c r="R34" s="807">
        <f t="shared" si="5"/>
        <v>124890</v>
      </c>
    </row>
    <row r="35" spans="1:18" s="15" customFormat="1">
      <c r="A35" s="252">
        <f>A23</f>
        <v>2</v>
      </c>
      <c r="B35" s="571"/>
      <c r="C35" s="571"/>
      <c r="D35" s="639"/>
      <c r="E35" s="14"/>
      <c r="F35" s="18"/>
      <c r="G35" s="1057"/>
      <c r="H35" s="1057"/>
      <c r="I35" s="23"/>
      <c r="J35" s="23"/>
      <c r="K35" s="23"/>
      <c r="L35" s="23"/>
      <c r="M35" s="23"/>
      <c r="N35" s="1061"/>
      <c r="O35" s="1061"/>
      <c r="P35" s="1061"/>
      <c r="Q35" s="1061"/>
      <c r="R35" s="1061"/>
    </row>
    <row r="36" spans="1:18" s="15" customFormat="1" ht="15" customHeight="1">
      <c r="A36" s="1048">
        <f>A35+1</f>
        <v>3</v>
      </c>
      <c r="B36" s="571" t="str">
        <f>"I."&amp;+A36</f>
        <v>I.3</v>
      </c>
      <c r="C36" s="571"/>
      <c r="D36" s="639"/>
      <c r="E36" s="1049" t="s">
        <v>5208</v>
      </c>
      <c r="F36" s="24" t="s">
        <v>5140</v>
      </c>
      <c r="G36" s="26">
        <f>tkeTA!Q135+tkeTA2!N93</f>
        <v>10</v>
      </c>
      <c r="H36" s="1054"/>
      <c r="I36" s="1053"/>
      <c r="J36" s="1053"/>
      <c r="K36" s="1053"/>
      <c r="L36" s="1053"/>
      <c r="M36" s="1053"/>
      <c r="N36" s="1055">
        <f>SUM(N37:N47)</f>
        <v>2358406</v>
      </c>
      <c r="O36" s="1055">
        <f>SUM(O37:O47)</f>
        <v>0</v>
      </c>
      <c r="P36" s="1055">
        <f>SUM(P37:P47)</f>
        <v>0</v>
      </c>
      <c r="Q36" s="1055">
        <f>SUM(Q37:Q47)</f>
        <v>1394617</v>
      </c>
      <c r="R36" s="1055">
        <f>SUM(R37:R47)</f>
        <v>86662</v>
      </c>
    </row>
    <row r="37" spans="1:18" s="15" customFormat="1" ht="15" customHeight="1">
      <c r="A37" s="38" t="s">
        <v>5453</v>
      </c>
      <c r="B37" s="571"/>
      <c r="C37" s="571"/>
      <c r="D37" s="639">
        <v>0</v>
      </c>
      <c r="E37" s="14" t="s">
        <v>803</v>
      </c>
      <c r="F37" s="18" t="s">
        <v>1783</v>
      </c>
      <c r="G37" s="1056">
        <v>618.29999999999995</v>
      </c>
      <c r="H37" s="1057"/>
      <c r="I37" s="25">
        <v>1420</v>
      </c>
      <c r="J37" s="25"/>
      <c r="K37" s="1053"/>
      <c r="L37" s="23"/>
      <c r="M37" s="23"/>
      <c r="N37" s="807">
        <f t="shared" ref="N37:O44" si="6">ROUND($G37*I37,0)</f>
        <v>877986</v>
      </c>
      <c r="O37" s="807">
        <f t="shared" si="6"/>
        <v>0</v>
      </c>
      <c r="P37" s="1061"/>
      <c r="Q37" s="1061"/>
      <c r="R37" s="1061"/>
    </row>
    <row r="38" spans="1:18" s="15" customFormat="1" ht="15" customHeight="1">
      <c r="A38" s="38" t="s">
        <v>966</v>
      </c>
      <c r="B38" s="571"/>
      <c r="C38" s="571"/>
      <c r="D38" s="639">
        <v>41506010</v>
      </c>
      <c r="E38" s="14" t="s">
        <v>967</v>
      </c>
      <c r="F38" s="18" t="s">
        <v>968</v>
      </c>
      <c r="G38" s="1057">
        <v>0.99</v>
      </c>
      <c r="H38" s="1057"/>
      <c r="I38" s="25">
        <v>277273</v>
      </c>
      <c r="J38" s="25"/>
      <c r="K38" s="1053"/>
      <c r="L38" s="23"/>
      <c r="M38" s="23"/>
      <c r="N38" s="807">
        <f t="shared" si="6"/>
        <v>274500</v>
      </c>
      <c r="O38" s="807">
        <f t="shared" si="6"/>
        <v>0</v>
      </c>
      <c r="P38" s="1061"/>
      <c r="Q38" s="1061"/>
      <c r="R38" s="1061"/>
    </row>
    <row r="39" spans="1:18" s="15" customFormat="1" ht="15" customHeight="1">
      <c r="A39" s="38" t="s">
        <v>973</v>
      </c>
      <c r="B39" s="571"/>
      <c r="C39" s="571"/>
      <c r="D39" s="639">
        <v>41506089</v>
      </c>
      <c r="E39" s="14" t="s">
        <v>974</v>
      </c>
      <c r="F39" s="18" t="s">
        <v>968</v>
      </c>
      <c r="G39" s="1057">
        <v>1.84</v>
      </c>
      <c r="H39" s="1057"/>
      <c r="I39" s="25">
        <v>491818</v>
      </c>
      <c r="J39" s="25"/>
      <c r="K39" s="1053"/>
      <c r="L39" s="23"/>
      <c r="M39" s="23"/>
      <c r="N39" s="807">
        <f t="shared" si="6"/>
        <v>904945</v>
      </c>
      <c r="O39" s="807">
        <f t="shared" si="6"/>
        <v>0</v>
      </c>
      <c r="P39" s="1061"/>
      <c r="Q39" s="1061"/>
      <c r="R39" s="1061"/>
    </row>
    <row r="40" spans="1:18" s="15" customFormat="1" ht="15" customHeight="1">
      <c r="A40" s="329" t="s">
        <v>4989</v>
      </c>
      <c r="B40" s="571"/>
      <c r="C40" s="571"/>
      <c r="D40" s="639">
        <v>0</v>
      </c>
      <c r="E40" s="14" t="s">
        <v>4990</v>
      </c>
      <c r="F40" s="18" t="s">
        <v>2679</v>
      </c>
      <c r="G40" s="27">
        <v>407</v>
      </c>
      <c r="H40" s="1057"/>
      <c r="I40" s="25">
        <v>10</v>
      </c>
      <c r="J40" s="25"/>
      <c r="K40" s="1053"/>
      <c r="L40" s="23"/>
      <c r="M40" s="23"/>
      <c r="N40" s="807">
        <f t="shared" si="6"/>
        <v>4070</v>
      </c>
      <c r="O40" s="807">
        <f t="shared" si="6"/>
        <v>0</v>
      </c>
      <c r="P40" s="1061"/>
      <c r="Q40" s="1061"/>
      <c r="R40" s="1061"/>
    </row>
    <row r="41" spans="1:18" s="15" customFormat="1" ht="15" customHeight="1">
      <c r="A41" s="329" t="s">
        <v>2507</v>
      </c>
      <c r="B41" s="571"/>
      <c r="C41" s="571"/>
      <c r="D41" s="639">
        <v>1</v>
      </c>
      <c r="E41" s="14" t="s">
        <v>6519</v>
      </c>
      <c r="F41" s="18" t="s">
        <v>6520</v>
      </c>
      <c r="G41" s="27">
        <v>1</v>
      </c>
      <c r="H41" s="1057"/>
      <c r="I41" s="25">
        <f>ROUND(SUM(I37:I40)/100,0)</f>
        <v>7705</v>
      </c>
      <c r="J41" s="25">
        <f>ROUND(SUM(J37:J40)/100,0)</f>
        <v>0</v>
      </c>
      <c r="K41" s="1053"/>
      <c r="L41" s="23"/>
      <c r="M41" s="23"/>
      <c r="N41" s="807">
        <f t="shared" si="6"/>
        <v>7705</v>
      </c>
      <c r="O41" s="807">
        <f t="shared" si="6"/>
        <v>0</v>
      </c>
      <c r="P41" s="1061"/>
      <c r="Q41" s="1061"/>
      <c r="R41" s="1061"/>
    </row>
    <row r="42" spans="1:18" s="15" customFormat="1">
      <c r="A42" s="38" t="s">
        <v>5987</v>
      </c>
      <c r="B42" s="571"/>
      <c r="C42" s="571">
        <v>44322500</v>
      </c>
      <c r="D42" s="639"/>
      <c r="E42" s="14" t="s">
        <v>5988</v>
      </c>
      <c r="F42" s="18" t="s">
        <v>1307</v>
      </c>
      <c r="G42" s="27">
        <v>2</v>
      </c>
      <c r="H42" s="27"/>
      <c r="I42" s="25">
        <v>58800</v>
      </c>
      <c r="J42" s="25"/>
      <c r="K42" s="1053"/>
      <c r="L42" s="23"/>
      <c r="M42" s="23"/>
      <c r="N42" s="807">
        <f t="shared" si="6"/>
        <v>117600</v>
      </c>
      <c r="O42" s="807">
        <f t="shared" si="6"/>
        <v>0</v>
      </c>
      <c r="P42" s="1061"/>
      <c r="Q42" s="1061"/>
      <c r="R42" s="1061"/>
    </row>
    <row r="43" spans="1:18" s="15" customFormat="1">
      <c r="A43" s="38" t="s">
        <v>4177</v>
      </c>
      <c r="B43" s="571"/>
      <c r="C43" s="571">
        <v>44322000</v>
      </c>
      <c r="D43" s="639"/>
      <c r="E43" s="14" t="s">
        <v>4178</v>
      </c>
      <c r="F43" s="18" t="s">
        <v>1307</v>
      </c>
      <c r="G43" s="27">
        <v>1</v>
      </c>
      <c r="H43" s="27">
        <f>G43*G36</f>
        <v>10</v>
      </c>
      <c r="I43" s="25">
        <v>100800</v>
      </c>
      <c r="J43" s="25"/>
      <c r="K43" s="1053"/>
      <c r="L43" s="23"/>
      <c r="M43" s="23"/>
      <c r="N43" s="807">
        <f t="shared" si="6"/>
        <v>100800</v>
      </c>
      <c r="O43" s="807">
        <f t="shared" si="6"/>
        <v>0</v>
      </c>
      <c r="P43" s="1061"/>
      <c r="Q43" s="1061"/>
      <c r="R43" s="1061"/>
    </row>
    <row r="44" spans="1:18" s="15" customFormat="1">
      <c r="A44" s="38" t="s">
        <v>4039</v>
      </c>
      <c r="B44" s="571"/>
      <c r="C44" s="571">
        <v>47087092</v>
      </c>
      <c r="D44" s="639"/>
      <c r="E44" s="14" t="s">
        <v>4040</v>
      </c>
      <c r="F44" s="18" t="s">
        <v>1307</v>
      </c>
      <c r="G44" s="27">
        <v>6</v>
      </c>
      <c r="H44" s="27">
        <f>G44*G36</f>
        <v>60</v>
      </c>
      <c r="I44" s="25">
        <v>11800</v>
      </c>
      <c r="J44" s="25"/>
      <c r="K44" s="1053"/>
      <c r="L44" s="23"/>
      <c r="M44" s="23"/>
      <c r="N44" s="807">
        <f t="shared" si="6"/>
        <v>70800</v>
      </c>
      <c r="O44" s="807">
        <f t="shared" si="6"/>
        <v>0</v>
      </c>
      <c r="P44" s="1061"/>
      <c r="Q44" s="1061"/>
      <c r="R44" s="1061"/>
    </row>
    <row r="45" spans="1:18" s="15" customFormat="1" ht="15" customHeight="1">
      <c r="A45" s="1186" t="s">
        <v>5821</v>
      </c>
      <c r="B45" s="571"/>
      <c r="C45" s="571" t="s">
        <v>5821</v>
      </c>
      <c r="D45" s="639"/>
      <c r="E45" s="14" t="s">
        <v>6521</v>
      </c>
      <c r="F45" s="18" t="s">
        <v>6522</v>
      </c>
      <c r="G45" s="1376">
        <v>2.9119999999999999</v>
      </c>
      <c r="H45" s="1058"/>
      <c r="I45" s="23"/>
      <c r="J45" s="25"/>
      <c r="K45" s="25">
        <v>0</v>
      </c>
      <c r="L45" s="25">
        <v>262523</v>
      </c>
      <c r="M45" s="25">
        <v>0</v>
      </c>
      <c r="N45" s="1061"/>
      <c r="O45" s="807">
        <f t="shared" ref="O45:R47" si="7">ROUND($G45*J45,0)</f>
        <v>0</v>
      </c>
      <c r="P45" s="807">
        <f t="shared" si="7"/>
        <v>0</v>
      </c>
      <c r="Q45" s="807">
        <f t="shared" si="7"/>
        <v>764467</v>
      </c>
      <c r="R45" s="807">
        <f t="shared" si="7"/>
        <v>0</v>
      </c>
    </row>
    <row r="46" spans="1:18" s="15" customFormat="1" ht="15" customHeight="1">
      <c r="A46" s="1186" t="s">
        <v>2508</v>
      </c>
      <c r="B46" s="571"/>
      <c r="C46" s="571" t="s">
        <v>2508</v>
      </c>
      <c r="D46" s="639"/>
      <c r="E46" s="14" t="s">
        <v>6523</v>
      </c>
      <c r="F46" s="18" t="s">
        <v>6522</v>
      </c>
      <c r="G46" s="1376">
        <v>0.67200000000000004</v>
      </c>
      <c r="H46" s="1058"/>
      <c r="I46" s="23"/>
      <c r="J46" s="25"/>
      <c r="K46" s="25">
        <v>0</v>
      </c>
      <c r="L46" s="25">
        <v>111323</v>
      </c>
      <c r="M46" s="25">
        <v>0</v>
      </c>
      <c r="N46" s="1061"/>
      <c r="O46" s="807">
        <f t="shared" si="7"/>
        <v>0</v>
      </c>
      <c r="P46" s="807">
        <f t="shared" si="7"/>
        <v>0</v>
      </c>
      <c r="Q46" s="807">
        <f t="shared" si="7"/>
        <v>74809</v>
      </c>
      <c r="R46" s="807">
        <f t="shared" si="7"/>
        <v>0</v>
      </c>
    </row>
    <row r="47" spans="1:18" s="15" customFormat="1" ht="30" customHeight="1">
      <c r="A47" s="1187" t="s">
        <v>2509</v>
      </c>
      <c r="B47" s="571"/>
      <c r="C47" s="571" t="s">
        <v>2509</v>
      </c>
      <c r="D47" s="639"/>
      <c r="E47" s="14" t="s">
        <v>6524</v>
      </c>
      <c r="F47" s="18" t="s">
        <v>6522</v>
      </c>
      <c r="G47" s="1376">
        <v>2.0379999999999998</v>
      </c>
      <c r="H47" s="1058"/>
      <c r="I47" s="23"/>
      <c r="J47" s="25"/>
      <c r="K47" s="25"/>
      <c r="L47" s="25">
        <v>272493</v>
      </c>
      <c r="M47" s="25">
        <v>42523</v>
      </c>
      <c r="N47" s="1061"/>
      <c r="O47" s="807">
        <f t="shared" si="7"/>
        <v>0</v>
      </c>
      <c r="P47" s="807">
        <f t="shared" si="7"/>
        <v>0</v>
      </c>
      <c r="Q47" s="807">
        <f t="shared" si="7"/>
        <v>555341</v>
      </c>
      <c r="R47" s="807">
        <f t="shared" si="7"/>
        <v>86662</v>
      </c>
    </row>
    <row r="48" spans="1:18" s="15" customFormat="1">
      <c r="A48" s="252">
        <f>A36</f>
        <v>3</v>
      </c>
      <c r="B48" s="571"/>
      <c r="C48" s="571"/>
      <c r="D48" s="639"/>
      <c r="E48" s="14"/>
      <c r="F48" s="18"/>
      <c r="G48" s="1057"/>
      <c r="H48" s="1057"/>
      <c r="I48" s="23"/>
      <c r="J48" s="23"/>
      <c r="K48" s="23"/>
      <c r="L48" s="23"/>
      <c r="M48" s="23"/>
      <c r="N48" s="1061"/>
      <c r="O48" s="1061"/>
      <c r="P48" s="1061"/>
      <c r="Q48" s="1061"/>
      <c r="R48" s="1061"/>
    </row>
    <row r="49" spans="1:18" s="15" customFormat="1" ht="15.75">
      <c r="A49" s="1048">
        <f>A48+1</f>
        <v>4</v>
      </c>
      <c r="B49" s="571" t="str">
        <f>"I."&amp;+A49</f>
        <v>I.4</v>
      </c>
      <c r="C49" s="571"/>
      <c r="D49" s="639"/>
      <c r="E49" s="1049" t="s">
        <v>5209</v>
      </c>
      <c r="F49" s="24" t="s">
        <v>5140</v>
      </c>
      <c r="G49" s="26">
        <f>tkeTA!R135+tkeTA2!N93</f>
        <v>9</v>
      </c>
      <c r="H49" s="1054"/>
      <c r="I49" s="1053"/>
      <c r="J49" s="1053"/>
      <c r="K49" s="1053"/>
      <c r="L49" s="1053"/>
      <c r="M49" s="1053"/>
      <c r="N49" s="1055">
        <f>SUM(N50:O59)</f>
        <v>2055677</v>
      </c>
      <c r="O49" s="1055">
        <f>SUM(O50:P59)</f>
        <v>0</v>
      </c>
      <c r="P49" s="1055"/>
      <c r="Q49" s="1055">
        <f>SUM(Q50:Q59)</f>
        <v>1240931</v>
      </c>
      <c r="R49" s="1055">
        <f>SUM(R50:R59)</f>
        <v>79050</v>
      </c>
    </row>
    <row r="50" spans="1:18" s="15" customFormat="1" ht="15" customHeight="1">
      <c r="A50" s="329" t="s">
        <v>5453</v>
      </c>
      <c r="B50" s="571"/>
      <c r="C50" s="571"/>
      <c r="D50" s="639">
        <v>0</v>
      </c>
      <c r="E50" s="14" t="s">
        <v>803</v>
      </c>
      <c r="F50" s="18" t="s">
        <v>1783</v>
      </c>
      <c r="G50" s="1056">
        <v>564</v>
      </c>
      <c r="H50" s="1057"/>
      <c r="I50" s="25">
        <v>1420</v>
      </c>
      <c r="J50" s="25"/>
      <c r="K50" s="1053"/>
      <c r="L50" s="23"/>
      <c r="M50" s="23"/>
      <c r="N50" s="807">
        <f t="shared" ref="N50:O56" si="8">ROUND($G50*I50,0)</f>
        <v>800880</v>
      </c>
      <c r="O50" s="807">
        <f t="shared" si="8"/>
        <v>0</v>
      </c>
      <c r="P50" s="1061"/>
      <c r="Q50" s="1061"/>
      <c r="R50" s="1061"/>
    </row>
    <row r="51" spans="1:18" s="15" customFormat="1" ht="15" customHeight="1">
      <c r="A51" s="329" t="s">
        <v>966</v>
      </c>
      <c r="B51" s="571"/>
      <c r="C51" s="571"/>
      <c r="D51" s="639">
        <v>41506010</v>
      </c>
      <c r="E51" s="14" t="s">
        <v>967</v>
      </c>
      <c r="F51" s="18" t="s">
        <v>968</v>
      </c>
      <c r="G51" s="1057">
        <v>0.91</v>
      </c>
      <c r="H51" s="1057"/>
      <c r="I51" s="25">
        <v>277273</v>
      </c>
      <c r="J51" s="25"/>
      <c r="K51" s="1053"/>
      <c r="L51" s="23"/>
      <c r="M51" s="23"/>
      <c r="N51" s="807">
        <f t="shared" si="8"/>
        <v>252318</v>
      </c>
      <c r="O51" s="807">
        <f t="shared" si="8"/>
        <v>0</v>
      </c>
      <c r="P51" s="1061"/>
      <c r="Q51" s="1061"/>
      <c r="R51" s="1061"/>
    </row>
    <row r="52" spans="1:18" s="15" customFormat="1" ht="15" customHeight="1">
      <c r="A52" s="329" t="s">
        <v>973</v>
      </c>
      <c r="B52" s="571"/>
      <c r="C52" s="571"/>
      <c r="D52" s="639">
        <v>41506089</v>
      </c>
      <c r="E52" s="14" t="s">
        <v>974</v>
      </c>
      <c r="F52" s="18" t="s">
        <v>968</v>
      </c>
      <c r="G52" s="1057">
        <v>1.68</v>
      </c>
      <c r="H52" s="1057"/>
      <c r="I52" s="25">
        <v>491818</v>
      </c>
      <c r="J52" s="25"/>
      <c r="K52" s="1053"/>
      <c r="L52" s="23"/>
      <c r="M52" s="23"/>
      <c r="N52" s="807">
        <f t="shared" si="8"/>
        <v>826254</v>
      </c>
      <c r="O52" s="807">
        <f t="shared" si="8"/>
        <v>0</v>
      </c>
      <c r="P52" s="1061"/>
      <c r="Q52" s="1061"/>
      <c r="R52" s="1061"/>
    </row>
    <row r="53" spans="1:18" s="15" customFormat="1" ht="15" customHeight="1">
      <c r="A53" s="329" t="s">
        <v>4989</v>
      </c>
      <c r="B53" s="571"/>
      <c r="C53" s="571"/>
      <c r="D53" s="639">
        <v>0</v>
      </c>
      <c r="E53" s="14" t="s">
        <v>4990</v>
      </c>
      <c r="F53" s="18" t="s">
        <v>2679</v>
      </c>
      <c r="G53" s="27">
        <v>372</v>
      </c>
      <c r="H53" s="1057"/>
      <c r="I53" s="25">
        <v>10</v>
      </c>
      <c r="J53" s="25"/>
      <c r="K53" s="1053"/>
      <c r="L53" s="23"/>
      <c r="M53" s="23"/>
      <c r="N53" s="807">
        <f t="shared" si="8"/>
        <v>3720</v>
      </c>
      <c r="O53" s="807">
        <f t="shared" si="8"/>
        <v>0</v>
      </c>
      <c r="P53" s="1061"/>
      <c r="Q53" s="1061"/>
      <c r="R53" s="1061"/>
    </row>
    <row r="54" spans="1:18" s="15" customFormat="1" ht="15" customHeight="1">
      <c r="A54" s="329" t="s">
        <v>2507</v>
      </c>
      <c r="B54" s="571"/>
      <c r="C54" s="571"/>
      <c r="D54" s="639">
        <v>1</v>
      </c>
      <c r="E54" s="14" t="s">
        <v>6519</v>
      </c>
      <c r="F54" s="18" t="s">
        <v>6520</v>
      </c>
      <c r="G54" s="27">
        <v>1</v>
      </c>
      <c r="H54" s="1057"/>
      <c r="I54" s="25">
        <f>ROUND(SUM(I50:I53)/100,0)</f>
        <v>7705</v>
      </c>
      <c r="J54" s="25">
        <f>ROUND(SUM(J50:J53)/100,0)</f>
        <v>0</v>
      </c>
      <c r="K54" s="1053"/>
      <c r="L54" s="23"/>
      <c r="M54" s="23"/>
      <c r="N54" s="807">
        <f t="shared" si="8"/>
        <v>7705</v>
      </c>
      <c r="O54" s="807">
        <f t="shared" si="8"/>
        <v>0</v>
      </c>
      <c r="P54" s="1061"/>
      <c r="Q54" s="1061"/>
      <c r="R54" s="1061"/>
    </row>
    <row r="55" spans="1:18" s="15" customFormat="1">
      <c r="A55" s="329" t="s">
        <v>5987</v>
      </c>
      <c r="B55" s="571"/>
      <c r="C55" s="571"/>
      <c r="D55" s="639">
        <v>44322500</v>
      </c>
      <c r="E55" s="14" t="s">
        <v>5988</v>
      </c>
      <c r="F55" s="18" t="s">
        <v>1307</v>
      </c>
      <c r="G55" s="27">
        <v>2</v>
      </c>
      <c r="H55" s="27">
        <f>G55*G49</f>
        <v>18</v>
      </c>
      <c r="I55" s="25">
        <v>58800</v>
      </c>
      <c r="J55" s="25"/>
      <c r="K55" s="1053"/>
      <c r="L55" s="23"/>
      <c r="M55" s="23"/>
      <c r="N55" s="807">
        <f t="shared" si="8"/>
        <v>117600</v>
      </c>
      <c r="O55" s="807">
        <f t="shared" si="8"/>
        <v>0</v>
      </c>
      <c r="P55" s="1061"/>
      <c r="Q55" s="1061"/>
      <c r="R55" s="1061"/>
    </row>
    <row r="56" spans="1:18" s="15" customFormat="1">
      <c r="A56" s="329" t="s">
        <v>4039</v>
      </c>
      <c r="B56" s="571"/>
      <c r="C56" s="571"/>
      <c r="D56" s="639"/>
      <c r="E56" s="14" t="s">
        <v>4040</v>
      </c>
      <c r="F56" s="18" t="s">
        <v>1307</v>
      </c>
      <c r="G56" s="27">
        <v>4</v>
      </c>
      <c r="H56" s="27">
        <f>G56*G49</f>
        <v>36</v>
      </c>
      <c r="I56" s="25">
        <v>11800</v>
      </c>
      <c r="J56" s="25"/>
      <c r="K56" s="1053"/>
      <c r="L56" s="23"/>
      <c r="M56" s="23"/>
      <c r="N56" s="807">
        <f t="shared" si="8"/>
        <v>47200</v>
      </c>
      <c r="O56" s="807">
        <f t="shared" si="8"/>
        <v>0</v>
      </c>
      <c r="P56" s="1061"/>
      <c r="Q56" s="1061"/>
      <c r="R56" s="1061"/>
    </row>
    <row r="57" spans="1:18" s="15" customFormat="1" ht="15" customHeight="1">
      <c r="A57" s="1186" t="s">
        <v>5821</v>
      </c>
      <c r="B57" s="571"/>
      <c r="C57" s="571" t="s">
        <v>5821</v>
      </c>
      <c r="D57" s="639"/>
      <c r="E57" s="14" t="s">
        <v>6521</v>
      </c>
      <c r="F57" s="18" t="s">
        <v>6522</v>
      </c>
      <c r="G57" s="1453">
        <v>2.548</v>
      </c>
      <c r="H57" s="1375"/>
      <c r="I57" s="23"/>
      <c r="J57" s="25"/>
      <c r="K57" s="25">
        <v>0</v>
      </c>
      <c r="L57" s="25">
        <v>262523</v>
      </c>
      <c r="M57" s="25">
        <v>0</v>
      </c>
      <c r="N57" s="1061"/>
      <c r="O57" s="807">
        <f t="shared" ref="O57:R59" si="9">ROUND($G57*J57,0)</f>
        <v>0</v>
      </c>
      <c r="P57" s="807">
        <f t="shared" si="9"/>
        <v>0</v>
      </c>
      <c r="Q57" s="807">
        <f t="shared" si="9"/>
        <v>668909</v>
      </c>
      <c r="R57" s="807">
        <f t="shared" si="9"/>
        <v>0</v>
      </c>
    </row>
    <row r="58" spans="1:18" s="15" customFormat="1" ht="15" customHeight="1">
      <c r="A58" s="1186" t="s">
        <v>2508</v>
      </c>
      <c r="B58" s="571"/>
      <c r="C58" s="571" t="s">
        <v>2508</v>
      </c>
      <c r="D58" s="639"/>
      <c r="E58" s="14" t="s">
        <v>6523</v>
      </c>
      <c r="F58" s="18" t="s">
        <v>6522</v>
      </c>
      <c r="G58" s="1453">
        <v>0.58799999999999997</v>
      </c>
      <c r="H58" s="1375"/>
      <c r="I58" s="23"/>
      <c r="J58" s="25"/>
      <c r="K58" s="25">
        <v>0</v>
      </c>
      <c r="L58" s="25">
        <v>111323</v>
      </c>
      <c r="M58" s="25">
        <v>0</v>
      </c>
      <c r="N58" s="1061"/>
      <c r="O58" s="807">
        <f t="shared" si="9"/>
        <v>0</v>
      </c>
      <c r="P58" s="807">
        <f t="shared" si="9"/>
        <v>0</v>
      </c>
      <c r="Q58" s="807">
        <f t="shared" si="9"/>
        <v>65458</v>
      </c>
      <c r="R58" s="807">
        <f t="shared" si="9"/>
        <v>0</v>
      </c>
    </row>
    <row r="59" spans="1:18" s="15" customFormat="1" ht="30" customHeight="1">
      <c r="A59" s="1187" t="s">
        <v>2509</v>
      </c>
      <c r="B59" s="571"/>
      <c r="C59" s="571" t="s">
        <v>2509</v>
      </c>
      <c r="D59" s="639"/>
      <c r="E59" s="14" t="s">
        <v>6524</v>
      </c>
      <c r="F59" s="18" t="s">
        <v>6522</v>
      </c>
      <c r="G59" s="1343">
        <v>1.859</v>
      </c>
      <c r="H59" s="1375"/>
      <c r="I59" s="23"/>
      <c r="J59" s="25"/>
      <c r="K59" s="25">
        <v>0</v>
      </c>
      <c r="L59" s="25">
        <v>272493</v>
      </c>
      <c r="M59" s="25">
        <v>42523</v>
      </c>
      <c r="N59" s="1061"/>
      <c r="O59" s="807">
        <f t="shared" si="9"/>
        <v>0</v>
      </c>
      <c r="P59" s="807">
        <f t="shared" si="9"/>
        <v>0</v>
      </c>
      <c r="Q59" s="807">
        <f t="shared" si="9"/>
        <v>506564</v>
      </c>
      <c r="R59" s="807">
        <f t="shared" si="9"/>
        <v>79050</v>
      </c>
    </row>
    <row r="60" spans="1:18" s="15" customFormat="1">
      <c r="A60" s="252">
        <f>A49</f>
        <v>4</v>
      </c>
      <c r="B60" s="571"/>
      <c r="C60" s="571"/>
      <c r="D60" s="639"/>
      <c r="E60" s="14"/>
      <c r="F60" s="18"/>
      <c r="G60" s="1057"/>
      <c r="H60" s="1057"/>
      <c r="I60" s="23"/>
      <c r="J60" s="23"/>
      <c r="K60" s="23"/>
      <c r="L60" s="23"/>
      <c r="M60" s="23"/>
      <c r="N60" s="1061"/>
      <c r="O60" s="1061"/>
      <c r="P60" s="1061"/>
      <c r="Q60" s="1061"/>
      <c r="R60" s="1061"/>
    </row>
    <row r="61" spans="1:18" s="15" customFormat="1">
      <c r="A61" s="1048">
        <f>A60+1</f>
        <v>5</v>
      </c>
      <c r="B61" s="571" t="str">
        <f>"I."&amp;+A61</f>
        <v>I.5</v>
      </c>
      <c r="C61" s="571"/>
      <c r="D61" s="639"/>
      <c r="E61" s="1341" t="s">
        <v>5923</v>
      </c>
      <c r="F61" s="1225" t="s">
        <v>5140</v>
      </c>
      <c r="G61" s="233">
        <f>tkeTA2!P93</f>
        <v>18</v>
      </c>
      <c r="H61" s="233"/>
      <c r="I61" s="1477"/>
      <c r="J61" s="1477"/>
      <c r="K61" s="1477"/>
      <c r="L61" s="1477"/>
      <c r="M61" s="1477"/>
      <c r="N61" s="1107">
        <f>SUM(N62:N68)</f>
        <v>1272200</v>
      </c>
      <c r="O61" s="1107">
        <f>SUM(O62:O68)</f>
        <v>0</v>
      </c>
      <c r="P61" s="1107">
        <f>SUM(P62:P68)</f>
        <v>0</v>
      </c>
      <c r="Q61" s="1107">
        <f>SUM(Q62:Q68)</f>
        <v>1337287</v>
      </c>
      <c r="R61" s="1107">
        <f>SUM(R62:R68)</f>
        <v>0</v>
      </c>
    </row>
    <row r="62" spans="1:18" s="15" customFormat="1">
      <c r="A62" s="38" t="s">
        <v>6207</v>
      </c>
      <c r="B62" s="571"/>
      <c r="C62" s="571"/>
      <c r="D62" s="639">
        <v>30600298</v>
      </c>
      <c r="E62" s="14" t="s">
        <v>1800</v>
      </c>
      <c r="F62" s="18" t="s">
        <v>1307</v>
      </c>
      <c r="G62" s="27">
        <v>1</v>
      </c>
      <c r="H62" s="27">
        <f>G62*G61</f>
        <v>18</v>
      </c>
      <c r="I62" s="25">
        <v>759000</v>
      </c>
      <c r="J62" s="25"/>
      <c r="K62" s="1053"/>
      <c r="L62" s="23"/>
      <c r="M62" s="23"/>
      <c r="N62" s="807">
        <f>ROUND($G62*I62,0)</f>
        <v>759000</v>
      </c>
      <c r="O62" s="807">
        <f>ROUND($G62*J62,0)</f>
        <v>0</v>
      </c>
      <c r="P62" s="1061"/>
      <c r="Q62" s="1061"/>
      <c r="R62" s="1061"/>
    </row>
    <row r="63" spans="1:18" s="15" customFormat="1">
      <c r="A63" s="38" t="s">
        <v>6205</v>
      </c>
      <c r="B63" s="571"/>
      <c r="C63" s="571"/>
      <c r="D63" s="639">
        <v>30600299</v>
      </c>
      <c r="E63" s="14" t="s">
        <v>6206</v>
      </c>
      <c r="F63" s="18" t="s">
        <v>1307</v>
      </c>
      <c r="G63" s="27">
        <v>1</v>
      </c>
      <c r="H63" s="27">
        <f>G63*G61</f>
        <v>18</v>
      </c>
      <c r="I63" s="25">
        <v>322000</v>
      </c>
      <c r="J63" s="25"/>
      <c r="K63" s="1053"/>
      <c r="L63" s="23"/>
      <c r="M63" s="23"/>
      <c r="N63" s="807">
        <f>ROUND($G63*I63,0)</f>
        <v>322000</v>
      </c>
      <c r="O63" s="807">
        <f t="shared" ref="O63:R68" si="10">ROUND($G63*J63,0)</f>
        <v>0</v>
      </c>
      <c r="P63" s="1061"/>
      <c r="Q63" s="1061"/>
      <c r="R63" s="1061"/>
    </row>
    <row r="64" spans="1:18" s="15" customFormat="1">
      <c r="A64" s="38" t="s">
        <v>2532</v>
      </c>
      <c r="B64" s="571"/>
      <c r="C64" s="571"/>
      <c r="D64" s="639">
        <v>44322650</v>
      </c>
      <c r="E64" s="14" t="s">
        <v>26</v>
      </c>
      <c r="F64" s="18" t="s">
        <v>1307</v>
      </c>
      <c r="G64" s="27">
        <v>2</v>
      </c>
      <c r="H64" s="27">
        <f>G64*G61</f>
        <v>36</v>
      </c>
      <c r="I64" s="25">
        <v>72000</v>
      </c>
      <c r="J64" s="25"/>
      <c r="K64" s="1053"/>
      <c r="L64" s="23"/>
      <c r="M64" s="23"/>
      <c r="N64" s="807">
        <f>ROUND($G64*I64,0)</f>
        <v>144000</v>
      </c>
      <c r="O64" s="807">
        <f t="shared" si="10"/>
        <v>0</v>
      </c>
      <c r="P64" s="1061"/>
      <c r="Q64" s="1061"/>
      <c r="R64" s="1061"/>
    </row>
    <row r="65" spans="1:18" s="15" customFormat="1">
      <c r="A65" s="38" t="s">
        <v>4039</v>
      </c>
      <c r="B65" s="571"/>
      <c r="C65" s="571"/>
      <c r="D65" s="639">
        <v>47087092</v>
      </c>
      <c r="E65" s="14" t="s">
        <v>4040</v>
      </c>
      <c r="F65" s="18" t="s">
        <v>1307</v>
      </c>
      <c r="G65" s="27">
        <v>4</v>
      </c>
      <c r="H65" s="27">
        <f>G65*G61</f>
        <v>72</v>
      </c>
      <c r="I65" s="25">
        <v>11800</v>
      </c>
      <c r="J65" s="25"/>
      <c r="K65" s="1053"/>
      <c r="L65" s="23"/>
      <c r="M65" s="23"/>
      <c r="N65" s="807">
        <f>ROUND($G65*I65,0)</f>
        <v>47200</v>
      </c>
      <c r="O65" s="807">
        <f t="shared" si="10"/>
        <v>0</v>
      </c>
      <c r="P65" s="1061"/>
      <c r="Q65" s="1061"/>
      <c r="R65" s="1061"/>
    </row>
    <row r="66" spans="1:18" s="15" customFormat="1">
      <c r="A66" s="1186" t="s">
        <v>5924</v>
      </c>
      <c r="B66" s="571"/>
      <c r="C66" s="571" t="s">
        <v>5924</v>
      </c>
      <c r="D66" s="639"/>
      <c r="E66" s="14" t="s">
        <v>6525</v>
      </c>
      <c r="F66" s="18" t="s">
        <v>6522</v>
      </c>
      <c r="G66" s="1496">
        <v>4.99</v>
      </c>
      <c r="H66" s="27"/>
      <c r="I66" s="23"/>
      <c r="J66" s="25"/>
      <c r="K66" s="25">
        <v>0</v>
      </c>
      <c r="L66" s="25">
        <v>121292</v>
      </c>
      <c r="M66" s="25">
        <v>0</v>
      </c>
      <c r="N66" s="1061"/>
      <c r="O66" s="807">
        <f t="shared" si="10"/>
        <v>0</v>
      </c>
      <c r="P66" s="807">
        <f t="shared" si="10"/>
        <v>0</v>
      </c>
      <c r="Q66" s="807">
        <f t="shared" si="10"/>
        <v>605247</v>
      </c>
      <c r="R66" s="807">
        <f t="shared" si="10"/>
        <v>0</v>
      </c>
    </row>
    <row r="67" spans="1:18" s="15" customFormat="1">
      <c r="A67" s="1186" t="s">
        <v>2508</v>
      </c>
      <c r="B67" s="571"/>
      <c r="C67" s="571" t="s">
        <v>2508</v>
      </c>
      <c r="D67" s="639"/>
      <c r="E67" s="14" t="s">
        <v>6523</v>
      </c>
      <c r="F67" s="18" t="s">
        <v>6522</v>
      </c>
      <c r="G67" s="1496">
        <v>4.99</v>
      </c>
      <c r="H67" s="27"/>
      <c r="I67" s="23"/>
      <c r="J67" s="25"/>
      <c r="K67" s="25">
        <v>0</v>
      </c>
      <c r="L67" s="25">
        <v>111323</v>
      </c>
      <c r="M67" s="25">
        <v>0</v>
      </c>
      <c r="N67" s="1061"/>
      <c r="O67" s="807">
        <f t="shared" si="10"/>
        <v>0</v>
      </c>
      <c r="P67" s="807">
        <f t="shared" si="10"/>
        <v>0</v>
      </c>
      <c r="Q67" s="807">
        <f t="shared" si="10"/>
        <v>555502</v>
      </c>
      <c r="R67" s="807">
        <f t="shared" si="10"/>
        <v>0</v>
      </c>
    </row>
    <row r="68" spans="1:18" s="15" customFormat="1">
      <c r="A68" s="1186" t="s">
        <v>5925</v>
      </c>
      <c r="B68" s="571"/>
      <c r="C68" s="571" t="s">
        <v>5925</v>
      </c>
      <c r="D68" s="639"/>
      <c r="E68" s="14" t="s">
        <v>6526</v>
      </c>
      <c r="F68" s="18" t="s">
        <v>1307</v>
      </c>
      <c r="G68" s="27">
        <v>2</v>
      </c>
      <c r="H68" s="27"/>
      <c r="I68" s="23"/>
      <c r="J68" s="25"/>
      <c r="K68" s="25">
        <v>0</v>
      </c>
      <c r="L68" s="25">
        <v>88269</v>
      </c>
      <c r="M68" s="25">
        <v>0</v>
      </c>
      <c r="N68" s="1061"/>
      <c r="O68" s="807">
        <f t="shared" si="10"/>
        <v>0</v>
      </c>
      <c r="P68" s="807">
        <f t="shared" si="10"/>
        <v>0</v>
      </c>
      <c r="Q68" s="807">
        <f t="shared" si="10"/>
        <v>176538</v>
      </c>
      <c r="R68" s="807">
        <f t="shared" si="10"/>
        <v>0</v>
      </c>
    </row>
    <row r="69" spans="1:18" s="15" customFormat="1">
      <c r="A69" s="252">
        <f>A61</f>
        <v>5</v>
      </c>
      <c r="B69" s="571"/>
      <c r="C69" s="571"/>
      <c r="D69" s="639"/>
      <c r="E69" s="14"/>
      <c r="F69" s="18"/>
      <c r="G69" s="1057"/>
      <c r="H69" s="1057"/>
      <c r="I69" s="23"/>
      <c r="J69" s="23"/>
      <c r="K69" s="23"/>
      <c r="L69" s="23"/>
      <c r="M69" s="23"/>
      <c r="N69" s="1061"/>
      <c r="O69" s="1061"/>
      <c r="P69" s="1061"/>
      <c r="Q69" s="1061"/>
      <c r="R69" s="1061"/>
    </row>
    <row r="70" spans="1:18" s="15" customFormat="1">
      <c r="A70" s="1048">
        <f>A69+1</f>
        <v>6</v>
      </c>
      <c r="B70" s="571" t="str">
        <f>"I."&amp;+A70</f>
        <v>I.6</v>
      </c>
      <c r="C70" s="571"/>
      <c r="D70" s="639"/>
      <c r="E70" s="1049" t="s">
        <v>1795</v>
      </c>
      <c r="F70" s="24" t="s">
        <v>1297</v>
      </c>
      <c r="G70" s="26">
        <f>tkeTA2!X93+tkeTA2!W93</f>
        <v>4</v>
      </c>
      <c r="H70" s="26"/>
      <c r="I70" s="1070"/>
      <c r="J70" s="1070"/>
      <c r="K70" s="1070"/>
      <c r="L70" s="1071"/>
      <c r="M70" s="1070"/>
      <c r="N70" s="1055">
        <f>SUM(N71:N75)</f>
        <v>842000</v>
      </c>
      <c r="O70" s="1055"/>
      <c r="P70" s="1055">
        <f>SUM(P71:P75)</f>
        <v>0</v>
      </c>
      <c r="Q70" s="1055">
        <f>SUM(Q71:Q75)</f>
        <v>600022</v>
      </c>
      <c r="R70" s="1055">
        <f>SUM(R71:R75)</f>
        <v>0</v>
      </c>
    </row>
    <row r="71" spans="1:18" s="15" customFormat="1">
      <c r="A71" s="1183" t="s">
        <v>3451</v>
      </c>
      <c r="B71" s="571"/>
      <c r="C71" s="571"/>
      <c r="D71" s="639">
        <v>32043754</v>
      </c>
      <c r="E71" s="14" t="s">
        <v>5433</v>
      </c>
      <c r="F71" s="18" t="s">
        <v>1307</v>
      </c>
      <c r="G71" s="28">
        <v>1</v>
      </c>
      <c r="H71" s="27">
        <f>G71*G70</f>
        <v>4</v>
      </c>
      <c r="I71" s="25">
        <v>324000</v>
      </c>
      <c r="J71" s="25"/>
      <c r="K71" s="23"/>
      <c r="L71" s="23"/>
      <c r="M71" s="23"/>
      <c r="N71" s="807">
        <f>ROUND($G71*I71,0)</f>
        <v>324000</v>
      </c>
      <c r="O71" s="807"/>
      <c r="P71" s="1061"/>
      <c r="Q71" s="1061"/>
      <c r="R71" s="1061"/>
    </row>
    <row r="72" spans="1:18" s="15" customFormat="1">
      <c r="A72" s="1183" t="s">
        <v>1803</v>
      </c>
      <c r="B72" s="571"/>
      <c r="C72" s="571"/>
      <c r="D72" s="639">
        <v>59000304</v>
      </c>
      <c r="E72" s="14" t="s">
        <v>1804</v>
      </c>
      <c r="F72" s="18" t="s">
        <v>1307</v>
      </c>
      <c r="G72" s="28">
        <v>1</v>
      </c>
      <c r="H72" s="27">
        <f>G72*G70</f>
        <v>4</v>
      </c>
      <c r="I72" s="25">
        <v>518000</v>
      </c>
      <c r="J72" s="25"/>
      <c r="K72" s="23"/>
      <c r="L72" s="23"/>
      <c r="M72" s="23"/>
      <c r="N72" s="807">
        <f>ROUND($G72*I72,0)</f>
        <v>518000</v>
      </c>
      <c r="O72" s="807"/>
      <c r="P72" s="1061"/>
      <c r="Q72" s="1061"/>
      <c r="R72" s="1061"/>
    </row>
    <row r="73" spans="1:18" s="15" customFormat="1">
      <c r="A73" s="1120" t="s">
        <v>5924</v>
      </c>
      <c r="B73" s="571"/>
      <c r="C73" s="571" t="s">
        <v>5924</v>
      </c>
      <c r="D73" s="639"/>
      <c r="E73" s="14" t="s">
        <v>6525</v>
      </c>
      <c r="F73" s="18" t="s">
        <v>6522</v>
      </c>
      <c r="G73" s="1343">
        <v>2.2000000000000002</v>
      </c>
      <c r="H73" s="28"/>
      <c r="I73" s="23"/>
      <c r="J73" s="23"/>
      <c r="K73" s="25">
        <v>0</v>
      </c>
      <c r="L73" s="25">
        <v>121292</v>
      </c>
      <c r="M73" s="25">
        <v>0</v>
      </c>
      <c r="N73" s="1061"/>
      <c r="O73" s="1061"/>
      <c r="P73" s="807">
        <f t="shared" ref="P73:R75" si="11">ROUND($G73*K73,0)</f>
        <v>0</v>
      </c>
      <c r="Q73" s="807">
        <f t="shared" si="11"/>
        <v>266842</v>
      </c>
      <c r="R73" s="807">
        <f t="shared" si="11"/>
        <v>0</v>
      </c>
    </row>
    <row r="74" spans="1:18" s="15" customFormat="1">
      <c r="A74" s="1120" t="s">
        <v>2508</v>
      </c>
      <c r="B74" s="571"/>
      <c r="C74" s="571" t="s">
        <v>2508</v>
      </c>
      <c r="D74" s="639"/>
      <c r="E74" s="14" t="s">
        <v>6523</v>
      </c>
      <c r="F74" s="18" t="s">
        <v>6522</v>
      </c>
      <c r="G74" s="1343">
        <v>2.2000000000000002</v>
      </c>
      <c r="H74" s="28"/>
      <c r="I74" s="23"/>
      <c r="J74" s="23"/>
      <c r="K74" s="25">
        <v>0</v>
      </c>
      <c r="L74" s="25">
        <v>111323</v>
      </c>
      <c r="M74" s="25">
        <v>0</v>
      </c>
      <c r="N74" s="1061"/>
      <c r="O74" s="1061"/>
      <c r="P74" s="807">
        <f t="shared" si="11"/>
        <v>0</v>
      </c>
      <c r="Q74" s="807">
        <f t="shared" si="11"/>
        <v>244911</v>
      </c>
      <c r="R74" s="807">
        <f t="shared" si="11"/>
        <v>0</v>
      </c>
    </row>
    <row r="75" spans="1:18" s="15" customFormat="1">
      <c r="A75" s="1120" t="s">
        <v>5925</v>
      </c>
      <c r="B75" s="571"/>
      <c r="C75" s="571" t="s">
        <v>5925</v>
      </c>
      <c r="D75" s="639"/>
      <c r="E75" s="14" t="s">
        <v>6526</v>
      </c>
      <c r="F75" s="18" t="s">
        <v>1307</v>
      </c>
      <c r="G75" s="1376">
        <v>1</v>
      </c>
      <c r="H75" s="28"/>
      <c r="I75" s="23"/>
      <c r="J75" s="23"/>
      <c r="K75" s="25">
        <v>0</v>
      </c>
      <c r="L75" s="25">
        <v>88269</v>
      </c>
      <c r="M75" s="25">
        <v>0</v>
      </c>
      <c r="N75" s="1061"/>
      <c r="O75" s="1061"/>
      <c r="P75" s="807">
        <f t="shared" si="11"/>
        <v>0</v>
      </c>
      <c r="Q75" s="807">
        <f t="shared" si="11"/>
        <v>88269</v>
      </c>
      <c r="R75" s="807">
        <f t="shared" si="11"/>
        <v>0</v>
      </c>
    </row>
    <row r="76" spans="1:18" s="15" customFormat="1">
      <c r="A76" s="1075">
        <f>A70</f>
        <v>6</v>
      </c>
      <c r="B76" s="571"/>
      <c r="C76" s="571"/>
      <c r="D76" s="639"/>
      <c r="E76" s="14"/>
      <c r="F76" s="18"/>
      <c r="G76" s="28"/>
      <c r="H76" s="28"/>
      <c r="I76" s="23"/>
      <c r="J76" s="23"/>
      <c r="K76" s="25"/>
      <c r="L76" s="25"/>
      <c r="M76" s="25"/>
      <c r="N76" s="1061"/>
      <c r="O76" s="1061"/>
      <c r="P76" s="807"/>
      <c r="Q76" s="807"/>
      <c r="R76" s="807"/>
    </row>
    <row r="77" spans="1:18" s="15" customFormat="1">
      <c r="A77" s="1048">
        <f>A76+1</f>
        <v>7</v>
      </c>
      <c r="B77" s="571" t="str">
        <f>"I."&amp;+A77</f>
        <v>I.7</v>
      </c>
      <c r="C77" s="571"/>
      <c r="D77" s="639"/>
      <c r="E77" s="1049" t="s">
        <v>1830</v>
      </c>
      <c r="F77" s="24" t="s">
        <v>1297</v>
      </c>
      <c r="G77" s="26">
        <f>tkeTA!Y135+tkeTA!Z135+tkeTA!AA135</f>
        <v>10</v>
      </c>
      <c r="H77" s="26"/>
      <c r="I77" s="1070"/>
      <c r="J77" s="1070"/>
      <c r="K77" s="1070"/>
      <c r="L77" s="1071"/>
      <c r="M77" s="1070"/>
      <c r="N77" s="1055">
        <f>SUM(N78:N82)</f>
        <v>842000</v>
      </c>
      <c r="O77" s="1055"/>
      <c r="P77" s="1055">
        <f>SUM(P78:P82)</f>
        <v>0</v>
      </c>
      <c r="Q77" s="1055">
        <f>SUM(Q78:Q82)</f>
        <v>600022</v>
      </c>
      <c r="R77" s="1055">
        <f>SUM(R78:R82)</f>
        <v>0</v>
      </c>
    </row>
    <row r="78" spans="1:18" s="15" customFormat="1" ht="15" customHeight="1">
      <c r="A78" s="1183" t="s">
        <v>3451</v>
      </c>
      <c r="B78" s="571"/>
      <c r="C78" s="571"/>
      <c r="D78" s="639">
        <v>32043754</v>
      </c>
      <c r="E78" s="14" t="s">
        <v>5433</v>
      </c>
      <c r="F78" s="18" t="s">
        <v>1307</v>
      </c>
      <c r="G78" s="28">
        <v>1</v>
      </c>
      <c r="H78" s="27">
        <f>G78*G77</f>
        <v>10</v>
      </c>
      <c r="I78" s="25">
        <v>324000</v>
      </c>
      <c r="J78" s="25"/>
      <c r="K78" s="23"/>
      <c r="L78" s="23"/>
      <c r="M78" s="23"/>
      <c r="N78" s="807">
        <f>ROUND($G78*I78,0)</f>
        <v>324000</v>
      </c>
      <c r="O78" s="807"/>
      <c r="P78" s="1061"/>
      <c r="Q78" s="1061"/>
      <c r="R78" s="1061"/>
    </row>
    <row r="79" spans="1:18" s="15" customFormat="1" ht="15" customHeight="1">
      <c r="A79" s="1183" t="s">
        <v>1803</v>
      </c>
      <c r="B79" s="571"/>
      <c r="C79" s="571"/>
      <c r="D79" s="639">
        <v>59000304</v>
      </c>
      <c r="E79" s="14" t="s">
        <v>1804</v>
      </c>
      <c r="F79" s="18" t="s">
        <v>1307</v>
      </c>
      <c r="G79" s="28">
        <v>1</v>
      </c>
      <c r="H79" s="27">
        <f>G79*G77</f>
        <v>10</v>
      </c>
      <c r="I79" s="25">
        <v>518000</v>
      </c>
      <c r="J79" s="25"/>
      <c r="K79" s="23"/>
      <c r="L79" s="23"/>
      <c r="M79" s="23"/>
      <c r="N79" s="807">
        <f>ROUND($G79*I79,0)</f>
        <v>518000</v>
      </c>
      <c r="O79" s="807"/>
      <c r="P79" s="1061"/>
      <c r="Q79" s="1061"/>
      <c r="R79" s="1061"/>
    </row>
    <row r="80" spans="1:18" s="15" customFormat="1">
      <c r="A80" s="1120" t="s">
        <v>5924</v>
      </c>
      <c r="B80" s="571"/>
      <c r="C80" s="571" t="s">
        <v>5924</v>
      </c>
      <c r="D80" s="639"/>
      <c r="E80" s="14" t="s">
        <v>6525</v>
      </c>
      <c r="F80" s="18" t="s">
        <v>6522</v>
      </c>
      <c r="G80" s="1343">
        <v>2.2000000000000002</v>
      </c>
      <c r="H80" s="28"/>
      <c r="I80" s="23"/>
      <c r="J80" s="23"/>
      <c r="K80" s="25">
        <v>0</v>
      </c>
      <c r="L80" s="25">
        <v>121292</v>
      </c>
      <c r="M80" s="25">
        <v>0</v>
      </c>
      <c r="N80" s="1061"/>
      <c r="O80" s="1061"/>
      <c r="P80" s="807">
        <f t="shared" ref="P80:R82" si="12">ROUND($G80*K80,0)</f>
        <v>0</v>
      </c>
      <c r="Q80" s="807">
        <f t="shared" si="12"/>
        <v>266842</v>
      </c>
      <c r="R80" s="807">
        <f t="shared" si="12"/>
        <v>0</v>
      </c>
    </row>
    <row r="81" spans="1:21" s="15" customFormat="1">
      <c r="A81" s="1120" t="s">
        <v>2508</v>
      </c>
      <c r="B81" s="571"/>
      <c r="C81" s="571" t="s">
        <v>2508</v>
      </c>
      <c r="D81" s="639"/>
      <c r="E81" s="14" t="s">
        <v>6523</v>
      </c>
      <c r="F81" s="18" t="s">
        <v>6522</v>
      </c>
      <c r="G81" s="1343">
        <v>2.2000000000000002</v>
      </c>
      <c r="H81" s="28"/>
      <c r="I81" s="23"/>
      <c r="J81" s="23"/>
      <c r="K81" s="25">
        <v>0</v>
      </c>
      <c r="L81" s="25">
        <v>111323</v>
      </c>
      <c r="M81" s="25">
        <v>0</v>
      </c>
      <c r="N81" s="1061"/>
      <c r="O81" s="1061"/>
      <c r="P81" s="807">
        <f t="shared" si="12"/>
        <v>0</v>
      </c>
      <c r="Q81" s="807">
        <f t="shared" si="12"/>
        <v>244911</v>
      </c>
      <c r="R81" s="807">
        <f t="shared" si="12"/>
        <v>0</v>
      </c>
    </row>
    <row r="82" spans="1:21" s="15" customFormat="1">
      <c r="A82" s="1120" t="s">
        <v>5925</v>
      </c>
      <c r="B82" s="571"/>
      <c r="C82" s="571" t="s">
        <v>5925</v>
      </c>
      <c r="D82" s="639"/>
      <c r="E82" s="14" t="s">
        <v>6526</v>
      </c>
      <c r="F82" s="18" t="s">
        <v>1307</v>
      </c>
      <c r="G82" s="1376">
        <v>1</v>
      </c>
      <c r="H82" s="28"/>
      <c r="I82" s="23"/>
      <c r="J82" s="23"/>
      <c r="K82" s="25">
        <v>0</v>
      </c>
      <c r="L82" s="25">
        <v>88269</v>
      </c>
      <c r="M82" s="25">
        <v>0</v>
      </c>
      <c r="N82" s="1061"/>
      <c r="O82" s="1061"/>
      <c r="P82" s="807">
        <f t="shared" si="12"/>
        <v>0</v>
      </c>
      <c r="Q82" s="807">
        <f t="shared" si="12"/>
        <v>88269</v>
      </c>
      <c r="R82" s="807">
        <f t="shared" si="12"/>
        <v>0</v>
      </c>
    </row>
    <row r="83" spans="1:21" s="15" customFormat="1">
      <c r="A83" s="1075">
        <f>A77</f>
        <v>7</v>
      </c>
      <c r="B83" s="571"/>
      <c r="C83" s="571"/>
      <c r="D83" s="639"/>
      <c r="E83" s="14"/>
      <c r="F83" s="18"/>
      <c r="G83" s="28"/>
      <c r="H83" s="28"/>
      <c r="I83" s="23"/>
      <c r="J83" s="23"/>
      <c r="K83" s="25"/>
      <c r="L83" s="25"/>
      <c r="M83" s="25"/>
      <c r="N83" s="1061"/>
      <c r="O83" s="1061"/>
      <c r="P83" s="807"/>
      <c r="Q83" s="807"/>
      <c r="R83" s="807"/>
    </row>
    <row r="84" spans="1:21" s="15" customFormat="1">
      <c r="A84" s="1048">
        <f>A83+1</f>
        <v>8</v>
      </c>
      <c r="B84" s="657" t="str">
        <f>"I."&amp;+A84</f>
        <v>I.8</v>
      </c>
      <c r="C84" s="571"/>
      <c r="D84" s="639"/>
      <c r="E84" s="1049" t="s">
        <v>1901</v>
      </c>
      <c r="F84" s="24" t="s">
        <v>1297</v>
      </c>
      <c r="G84" s="1475">
        <f>10+tkeTA2!AY93</f>
        <v>18</v>
      </c>
      <c r="H84" s="26"/>
      <c r="I84" s="1053"/>
      <c r="J84" s="1053"/>
      <c r="K84" s="1053"/>
      <c r="L84" s="1053"/>
      <c r="M84" s="1053"/>
      <c r="N84" s="1061"/>
      <c r="O84" s="1055">
        <f>SUM(O85:O86)</f>
        <v>0</v>
      </c>
      <c r="P84" s="1055">
        <f>SUM(P85:P86)</f>
        <v>0</v>
      </c>
      <c r="Q84" s="1055">
        <f>SUM(Q85:Q86)</f>
        <v>66462</v>
      </c>
      <c r="R84" s="1055">
        <f>SUM(R85:R86)</f>
        <v>0</v>
      </c>
    </row>
    <row r="85" spans="1:21" s="15" customFormat="1">
      <c r="A85" s="1120" t="s">
        <v>1902</v>
      </c>
      <c r="B85" s="571"/>
      <c r="C85" s="571" t="s">
        <v>1902</v>
      </c>
      <c r="D85" s="639"/>
      <c r="E85" s="14" t="s">
        <v>6527</v>
      </c>
      <c r="F85" s="18" t="s">
        <v>6522</v>
      </c>
      <c r="G85" s="1314">
        <v>0.25</v>
      </c>
      <c r="H85" s="1059"/>
      <c r="I85" s="1202"/>
      <c r="J85" s="25"/>
      <c r="K85" s="25">
        <v>0</v>
      </c>
      <c r="L85" s="25">
        <v>151200</v>
      </c>
      <c r="M85" s="25">
        <v>0</v>
      </c>
      <c r="N85" s="1061"/>
      <c r="O85" s="807">
        <f t="shared" ref="O85:R86" si="13">ROUND($G85*J85,0)</f>
        <v>0</v>
      </c>
      <c r="P85" s="807">
        <f t="shared" si="13"/>
        <v>0</v>
      </c>
      <c r="Q85" s="807">
        <f t="shared" si="13"/>
        <v>37800</v>
      </c>
      <c r="R85" s="807">
        <f t="shared" si="13"/>
        <v>0</v>
      </c>
    </row>
    <row r="86" spans="1:21" s="15" customFormat="1">
      <c r="A86" s="1120" t="s">
        <v>5822</v>
      </c>
      <c r="B86" s="571"/>
      <c r="C86" s="571" t="s">
        <v>5822</v>
      </c>
      <c r="D86" s="639"/>
      <c r="E86" s="14" t="s">
        <v>6528</v>
      </c>
      <c r="F86" s="18" t="s">
        <v>6522</v>
      </c>
      <c r="G86" s="1314">
        <v>0.25</v>
      </c>
      <c r="H86" s="1059"/>
      <c r="I86" s="1202"/>
      <c r="J86" s="25"/>
      <c r="K86" s="25">
        <v>0</v>
      </c>
      <c r="L86" s="25">
        <v>114646</v>
      </c>
      <c r="M86" s="25">
        <v>0</v>
      </c>
      <c r="N86" s="1061"/>
      <c r="O86" s="807">
        <f t="shared" si="13"/>
        <v>0</v>
      </c>
      <c r="P86" s="807">
        <f t="shared" si="13"/>
        <v>0</v>
      </c>
      <c r="Q86" s="807">
        <f t="shared" si="13"/>
        <v>28662</v>
      </c>
      <c r="R86" s="807">
        <f t="shared" si="13"/>
        <v>0</v>
      </c>
    </row>
    <row r="87" spans="1:21" s="15" customFormat="1">
      <c r="A87" s="252">
        <f>A84</f>
        <v>8</v>
      </c>
      <c r="B87" s="571"/>
      <c r="C87" s="571"/>
      <c r="D87" s="639"/>
      <c r="E87" s="14"/>
      <c r="F87" s="18"/>
      <c r="G87" s="1057"/>
      <c r="H87" s="1057"/>
      <c r="I87" s="23"/>
      <c r="J87" s="23"/>
      <c r="K87" s="23"/>
      <c r="L87" s="23"/>
      <c r="M87" s="23"/>
      <c r="N87" s="1061"/>
      <c r="O87" s="1061"/>
      <c r="P87" s="1061"/>
      <c r="Q87" s="1061"/>
      <c r="R87" s="1061"/>
    </row>
    <row r="88" spans="1:21" s="15" customFormat="1">
      <c r="A88" s="469"/>
      <c r="B88" s="1095" t="s">
        <v>1233</v>
      </c>
      <c r="C88" s="196"/>
      <c r="D88" s="196"/>
      <c r="E88" s="206" t="s">
        <v>1264</v>
      </c>
      <c r="F88" s="207"/>
      <c r="G88" s="208"/>
      <c r="H88" s="208"/>
      <c r="I88" s="21"/>
      <c r="J88" s="21"/>
      <c r="K88" s="21"/>
      <c r="L88" s="21"/>
      <c r="M88" s="21"/>
      <c r="N88" s="31"/>
      <c r="O88" s="31"/>
      <c r="P88" s="31"/>
      <c r="Q88" s="31"/>
      <c r="R88" s="31"/>
    </row>
    <row r="89" spans="1:21" s="15" customFormat="1">
      <c r="A89" s="1048">
        <v>1</v>
      </c>
      <c r="B89" s="571" t="str">
        <f>"II."&amp;+A89</f>
        <v>II.1</v>
      </c>
      <c r="C89" s="571"/>
      <c r="D89" s="639"/>
      <c r="E89" s="1049" t="s">
        <v>5507</v>
      </c>
      <c r="F89" s="24" t="s">
        <v>5687</v>
      </c>
      <c r="G89" s="26">
        <f>tkeTA!L135</f>
        <v>22</v>
      </c>
      <c r="H89" s="26"/>
      <c r="I89" s="1070"/>
      <c r="J89" s="1070"/>
      <c r="K89" s="1070"/>
      <c r="L89" s="1071"/>
      <c r="M89" s="1070"/>
      <c r="N89" s="1055">
        <f>SUM(N90:N91)</f>
        <v>13283000</v>
      </c>
      <c r="O89" s="1055"/>
      <c r="P89" s="1055">
        <f>SUM(P90:P91)</f>
        <v>29500</v>
      </c>
      <c r="Q89" s="1055">
        <f>SUM(Q90:Q91)</f>
        <v>1581800</v>
      </c>
      <c r="R89" s="1055">
        <f>SUM(R90:R91)</f>
        <v>0</v>
      </c>
    </row>
    <row r="90" spans="1:21" s="15" customFormat="1">
      <c r="A90" s="38" t="s">
        <v>889</v>
      </c>
      <c r="B90" s="571"/>
      <c r="C90" s="571"/>
      <c r="D90" s="639">
        <v>0</v>
      </c>
      <c r="E90" s="14" t="s">
        <v>6529</v>
      </c>
      <c r="F90" s="18" t="s">
        <v>5687</v>
      </c>
      <c r="G90" s="27">
        <v>1</v>
      </c>
      <c r="H90" s="27">
        <f>G90*G89</f>
        <v>22</v>
      </c>
      <c r="I90" s="25">
        <v>13283000</v>
      </c>
      <c r="J90" s="25"/>
      <c r="K90" s="1053"/>
      <c r="L90" s="23"/>
      <c r="M90" s="23"/>
      <c r="N90" s="807">
        <f>ROUND($G90*I90,0)</f>
        <v>13283000</v>
      </c>
      <c r="O90" s="807"/>
      <c r="P90" s="1061"/>
      <c r="Q90" s="1061"/>
      <c r="R90" s="1061"/>
    </row>
    <row r="91" spans="1:21" s="15" customFormat="1">
      <c r="A91" s="1120" t="s">
        <v>5714</v>
      </c>
      <c r="B91" s="571"/>
      <c r="C91" s="571" t="s">
        <v>5714</v>
      </c>
      <c r="D91" s="639"/>
      <c r="E91" s="1384" t="s">
        <v>6231</v>
      </c>
      <c r="F91" s="18" t="s">
        <v>5687</v>
      </c>
      <c r="G91" s="27">
        <v>1</v>
      </c>
      <c r="H91" s="27"/>
      <c r="I91" s="23"/>
      <c r="J91" s="1185"/>
      <c r="K91" s="25">
        <v>29500</v>
      </c>
      <c r="L91" s="25">
        <v>1581800</v>
      </c>
      <c r="M91" s="25">
        <v>0</v>
      </c>
      <c r="N91" s="1053"/>
      <c r="O91" s="1185"/>
      <c r="P91" s="807">
        <f>ROUND($G91*K91,0)</f>
        <v>29500</v>
      </c>
      <c r="Q91" s="807">
        <f>ROUND($G91*L91,0)</f>
        <v>1581800</v>
      </c>
      <c r="R91" s="807">
        <f>ROUND($G91*M91,0)</f>
        <v>0</v>
      </c>
    </row>
    <row r="92" spans="1:21" s="15" customFormat="1">
      <c r="A92" s="252">
        <v>1</v>
      </c>
      <c r="B92" s="19"/>
      <c r="C92" s="19"/>
      <c r="D92" s="251"/>
      <c r="E92" s="20"/>
      <c r="F92" s="18"/>
      <c r="G92" s="1074"/>
      <c r="H92" s="1057"/>
      <c r="I92" s="23"/>
      <c r="J92" s="23"/>
      <c r="K92" s="23"/>
      <c r="L92" s="23"/>
      <c r="M92" s="23"/>
      <c r="N92" s="1053"/>
      <c r="O92" s="1061"/>
      <c r="P92" s="1061"/>
      <c r="Q92" s="1061"/>
      <c r="R92" s="1061"/>
    </row>
    <row r="93" spans="1:21" s="15" customFormat="1">
      <c r="A93" s="1048">
        <f>A92+1</f>
        <v>2</v>
      </c>
      <c r="B93" s="571" t="str">
        <f>"II."&amp;+A93</f>
        <v>II.2</v>
      </c>
      <c r="C93" s="571"/>
      <c r="D93" s="639"/>
      <c r="E93" s="1049" t="s">
        <v>3959</v>
      </c>
      <c r="F93" s="24" t="s">
        <v>5687</v>
      </c>
      <c r="G93" s="26">
        <f>tkeTA!M135+tkeTA2!J93-G97</f>
        <v>32</v>
      </c>
      <c r="H93" s="26"/>
      <c r="I93" s="1070"/>
      <c r="J93" s="1070"/>
      <c r="K93" s="1070"/>
      <c r="L93" s="1071"/>
      <c r="M93" s="1070"/>
      <c r="N93" s="1055">
        <f>SUM(N94:N95)</f>
        <v>5961000</v>
      </c>
      <c r="O93" s="1055"/>
      <c r="P93" s="1055">
        <f>SUM(P94:P95)</f>
        <v>26000</v>
      </c>
      <c r="Q93" s="1055">
        <f>SUM(Q94:Q95)</f>
        <v>1454200</v>
      </c>
      <c r="R93" s="1055">
        <f>SUM(R94:R95)</f>
        <v>0</v>
      </c>
    </row>
    <row r="94" spans="1:21" s="15" customFormat="1">
      <c r="A94" s="38" t="s">
        <v>2741</v>
      </c>
      <c r="B94" s="571"/>
      <c r="C94" s="571"/>
      <c r="D94" s="639" t="s">
        <v>6530</v>
      </c>
      <c r="E94" s="14" t="s">
        <v>6531</v>
      </c>
      <c r="F94" s="18" t="s">
        <v>5687</v>
      </c>
      <c r="G94" s="27">
        <v>1</v>
      </c>
      <c r="H94" s="27">
        <f>G94*G93</f>
        <v>32</v>
      </c>
      <c r="I94" s="25">
        <v>5961000</v>
      </c>
      <c r="J94" s="25"/>
      <c r="K94" s="1053"/>
      <c r="L94" s="23"/>
      <c r="M94" s="23"/>
      <c r="N94" s="807">
        <f>ROUND($G94*I94,0)</f>
        <v>5961000</v>
      </c>
      <c r="O94" s="807"/>
      <c r="P94" s="1061"/>
      <c r="Q94" s="1061"/>
      <c r="R94" s="1061"/>
    </row>
    <row r="95" spans="1:21" s="15" customFormat="1">
      <c r="A95" s="1120" t="s">
        <v>4438</v>
      </c>
      <c r="B95" s="571"/>
      <c r="C95" s="571" t="s">
        <v>4438</v>
      </c>
      <c r="D95" s="639"/>
      <c r="E95" s="1384" t="s">
        <v>4465</v>
      </c>
      <c r="F95" s="18" t="s">
        <v>5687</v>
      </c>
      <c r="G95" s="27">
        <v>1</v>
      </c>
      <c r="H95" s="27"/>
      <c r="I95" s="23"/>
      <c r="J95" s="1185"/>
      <c r="K95" s="25">
        <v>26000</v>
      </c>
      <c r="L95" s="25">
        <v>1454200</v>
      </c>
      <c r="M95" s="25">
        <v>0</v>
      </c>
      <c r="N95" s="1053"/>
      <c r="O95" s="1185"/>
      <c r="P95" s="807">
        <f>ROUND($G95*K95,0)</f>
        <v>26000</v>
      </c>
      <c r="Q95" s="807">
        <f>ROUND($G95*L95,0)</f>
        <v>1454200</v>
      </c>
      <c r="R95" s="807">
        <f>ROUND($G95*M95,0)</f>
        <v>0</v>
      </c>
    </row>
    <row r="96" spans="1:21" s="15" customFormat="1">
      <c r="A96" s="252">
        <f>A93</f>
        <v>2</v>
      </c>
      <c r="B96" s="19"/>
      <c r="C96" s="19"/>
      <c r="D96" s="251"/>
      <c r="E96" s="20"/>
      <c r="F96" s="18"/>
      <c r="G96" s="1074"/>
      <c r="H96" s="1057"/>
      <c r="I96" s="23"/>
      <c r="J96" s="23"/>
      <c r="K96" s="23"/>
      <c r="L96" s="23"/>
      <c r="M96" s="23"/>
      <c r="N96" s="1053"/>
      <c r="O96" s="1061"/>
      <c r="P96" s="1061"/>
      <c r="Q96" s="1061"/>
      <c r="R96" s="1061"/>
      <c r="U96" s="10" t="s">
        <v>865</v>
      </c>
    </row>
    <row r="97" spans="1:21" s="15" customFormat="1">
      <c r="A97" s="1048">
        <f>A96+1</f>
        <v>3</v>
      </c>
      <c r="B97" s="571" t="str">
        <f>"II."&amp;+A97</f>
        <v>II.3</v>
      </c>
      <c r="C97" s="571"/>
      <c r="D97" s="639"/>
      <c r="E97" s="1049" t="s">
        <v>3959</v>
      </c>
      <c r="F97" s="24" t="s">
        <v>5687</v>
      </c>
      <c r="G97" s="26">
        <f>tkeTA!M133</f>
        <v>8</v>
      </c>
      <c r="H97" s="26"/>
      <c r="I97" s="1070"/>
      <c r="J97" s="1070"/>
      <c r="K97" s="1070"/>
      <c r="L97" s="1071"/>
      <c r="M97" s="1070"/>
      <c r="N97" s="1055">
        <f>SUM(N98:N99)</f>
        <v>5961000</v>
      </c>
      <c r="O97" s="1055"/>
      <c r="P97" s="1055">
        <f>SUM(P98:P99)</f>
        <v>26000</v>
      </c>
      <c r="Q97" s="1055">
        <f>SUM(Q98:Q99)</f>
        <v>580800</v>
      </c>
      <c r="R97" s="1055">
        <f>SUM(R98:R99)</f>
        <v>204861</v>
      </c>
    </row>
    <row r="98" spans="1:21" s="15" customFormat="1">
      <c r="A98" s="38" t="s">
        <v>2741</v>
      </c>
      <c r="B98" s="571"/>
      <c r="C98" s="571"/>
      <c r="D98" s="639" t="s">
        <v>6530</v>
      </c>
      <c r="E98" s="14" t="s">
        <v>6531</v>
      </c>
      <c r="F98" s="18" t="s">
        <v>5687</v>
      </c>
      <c r="G98" s="27">
        <v>1</v>
      </c>
      <c r="H98" s="27">
        <f>G98*G97</f>
        <v>8</v>
      </c>
      <c r="I98" s="25">
        <v>5961000</v>
      </c>
      <c r="J98" s="25"/>
      <c r="K98" s="1053"/>
      <c r="L98" s="23"/>
      <c r="M98" s="23"/>
      <c r="N98" s="807">
        <f>ROUND($G98*I98,0)</f>
        <v>5961000</v>
      </c>
      <c r="O98" s="807"/>
      <c r="P98" s="1061"/>
      <c r="Q98" s="1061"/>
      <c r="R98" s="1061"/>
    </row>
    <row r="99" spans="1:21" s="15" customFormat="1">
      <c r="A99" s="1120" t="s">
        <v>1846</v>
      </c>
      <c r="B99" s="571"/>
      <c r="C99" s="571" t="s">
        <v>1846</v>
      </c>
      <c r="D99" s="639"/>
      <c r="E99" s="1384" t="s">
        <v>1787</v>
      </c>
      <c r="F99" s="18" t="s">
        <v>5687</v>
      </c>
      <c r="G99" s="27">
        <v>1</v>
      </c>
      <c r="H99" s="27"/>
      <c r="I99" s="23"/>
      <c r="J99" s="1185"/>
      <c r="K99" s="25">
        <v>26000</v>
      </c>
      <c r="L99" s="25">
        <v>580800</v>
      </c>
      <c r="M99" s="25">
        <v>204861</v>
      </c>
      <c r="N99" s="1053"/>
      <c r="O99" s="1185"/>
      <c r="P99" s="807">
        <f>ROUND($G99*K99,0)</f>
        <v>26000</v>
      </c>
      <c r="Q99" s="807">
        <f>ROUND($G99*L99,0)</f>
        <v>580800</v>
      </c>
      <c r="R99" s="807">
        <f>ROUND($G99*M99,0)</f>
        <v>204861</v>
      </c>
    </row>
    <row r="100" spans="1:21" s="15" customFormat="1">
      <c r="A100" s="252">
        <f>A97</f>
        <v>3</v>
      </c>
      <c r="B100" s="19"/>
      <c r="C100" s="19"/>
      <c r="D100" s="251"/>
      <c r="E100" s="20"/>
      <c r="F100" s="18"/>
      <c r="G100" s="1074"/>
      <c r="H100" s="1057"/>
      <c r="I100" s="23"/>
      <c r="J100" s="23"/>
      <c r="K100" s="23"/>
      <c r="L100" s="23"/>
      <c r="M100" s="23"/>
      <c r="N100" s="1053"/>
      <c r="O100" s="1061"/>
      <c r="P100" s="1061"/>
      <c r="Q100" s="1061"/>
      <c r="R100" s="1061"/>
      <c r="U100" s="10" t="s">
        <v>865</v>
      </c>
    </row>
    <row r="101" spans="1:21" s="15" customFormat="1">
      <c r="A101" s="1048">
        <f>A100+1</f>
        <v>4</v>
      </c>
      <c r="B101" s="571" t="str">
        <f>"II."&amp;+A101</f>
        <v>II.4</v>
      </c>
      <c r="C101" s="571"/>
      <c r="D101" s="639"/>
      <c r="E101" s="806" t="s">
        <v>4552</v>
      </c>
      <c r="F101" s="24" t="s">
        <v>1297</v>
      </c>
      <c r="G101" s="26">
        <f>tkeTA!T135</f>
        <v>1</v>
      </c>
      <c r="H101" s="26"/>
      <c r="I101" s="1070"/>
      <c r="J101" s="1070"/>
      <c r="K101" s="1070"/>
      <c r="L101" s="1071"/>
      <c r="M101" s="1070"/>
      <c r="N101" s="1055">
        <f>SUM(N102:N107)</f>
        <v>2480000</v>
      </c>
      <c r="O101" s="1055"/>
      <c r="P101" s="1055">
        <f>SUM(P102:P107)</f>
        <v>0</v>
      </c>
      <c r="Q101" s="1055">
        <f>SUM(Q102:Q107)</f>
        <v>691038</v>
      </c>
      <c r="R101" s="1055">
        <f>SUM(R102:R107)</f>
        <v>0</v>
      </c>
    </row>
    <row r="102" spans="1:21" s="15" customFormat="1">
      <c r="A102" s="1183" t="s">
        <v>4578</v>
      </c>
      <c r="B102" s="571"/>
      <c r="C102" s="571"/>
      <c r="D102" s="639">
        <v>0</v>
      </c>
      <c r="E102" s="14" t="s">
        <v>6532</v>
      </c>
      <c r="F102" s="18" t="s">
        <v>1307</v>
      </c>
      <c r="G102" s="1214">
        <v>2</v>
      </c>
      <c r="H102" s="27">
        <f>G102*G101</f>
        <v>2</v>
      </c>
      <c r="I102" s="25">
        <v>1159500</v>
      </c>
      <c r="J102" s="25"/>
      <c r="K102" s="1053"/>
      <c r="L102" s="23"/>
      <c r="M102" s="23"/>
      <c r="N102" s="807">
        <f>ROUND($G102*I102,0)</f>
        <v>2319000</v>
      </c>
      <c r="O102" s="807"/>
      <c r="P102" s="1061"/>
      <c r="Q102" s="1061"/>
      <c r="R102" s="1061"/>
    </row>
    <row r="103" spans="1:21" s="15" customFormat="1">
      <c r="A103" s="1183" t="s">
        <v>3012</v>
      </c>
      <c r="B103" s="571"/>
      <c r="C103" s="571"/>
      <c r="D103" s="639">
        <v>43816100</v>
      </c>
      <c r="E103" s="14" t="s">
        <v>3013</v>
      </c>
      <c r="F103" s="18" t="s">
        <v>1307</v>
      </c>
      <c r="G103" s="1214">
        <v>2</v>
      </c>
      <c r="H103" s="27">
        <f>G103*G101</f>
        <v>2</v>
      </c>
      <c r="I103" s="25">
        <v>9600</v>
      </c>
      <c r="J103" s="25"/>
      <c r="K103" s="1053"/>
      <c r="L103" s="23"/>
      <c r="M103" s="23"/>
      <c r="N103" s="807">
        <f>ROUND($G103*I103,0)</f>
        <v>19200</v>
      </c>
      <c r="O103" s="807"/>
      <c r="P103" s="1061"/>
      <c r="Q103" s="1061"/>
      <c r="R103" s="1061"/>
    </row>
    <row r="104" spans="1:21" s="15" customFormat="1">
      <c r="A104" s="1183" t="s">
        <v>3019</v>
      </c>
      <c r="B104" s="571"/>
      <c r="C104" s="571"/>
      <c r="D104" s="639">
        <v>43816300</v>
      </c>
      <c r="E104" s="14" t="s">
        <v>3439</v>
      </c>
      <c r="F104" s="18" t="s">
        <v>1307</v>
      </c>
      <c r="G104" s="1214">
        <v>3</v>
      </c>
      <c r="H104" s="27">
        <f>G104*G101</f>
        <v>3</v>
      </c>
      <c r="I104" s="25">
        <v>18000</v>
      </c>
      <c r="J104" s="25"/>
      <c r="K104" s="1053"/>
      <c r="L104" s="23"/>
      <c r="M104" s="23"/>
      <c r="N104" s="807">
        <f>ROUND($G104*I104,0)</f>
        <v>54000</v>
      </c>
      <c r="O104" s="807"/>
      <c r="P104" s="1061"/>
      <c r="Q104" s="1061"/>
      <c r="R104" s="1061"/>
      <c r="U104" s="10" t="s">
        <v>4858</v>
      </c>
    </row>
    <row r="105" spans="1:21" s="15" customFormat="1">
      <c r="A105" s="1183" t="s">
        <v>2242</v>
      </c>
      <c r="B105" s="571"/>
      <c r="C105" s="571"/>
      <c r="D105" s="639">
        <v>44316300</v>
      </c>
      <c r="E105" s="14" t="s">
        <v>2243</v>
      </c>
      <c r="F105" s="18" t="s">
        <v>1307</v>
      </c>
      <c r="G105" s="1214">
        <v>3</v>
      </c>
      <c r="H105" s="27">
        <f>G105*G101</f>
        <v>3</v>
      </c>
      <c r="I105" s="25">
        <v>21600</v>
      </c>
      <c r="J105" s="25"/>
      <c r="K105" s="1053"/>
      <c r="L105" s="23"/>
      <c r="M105" s="23"/>
      <c r="N105" s="807">
        <f>ROUND($G105*I105,0)</f>
        <v>64800</v>
      </c>
      <c r="O105" s="807"/>
      <c r="P105" s="1061"/>
      <c r="Q105" s="1061"/>
      <c r="R105" s="1061"/>
    </row>
    <row r="106" spans="1:21" s="15" customFormat="1">
      <c r="A106" s="1183" t="s">
        <v>866</v>
      </c>
      <c r="B106" s="571"/>
      <c r="C106" s="571"/>
      <c r="D106" s="639">
        <v>0</v>
      </c>
      <c r="E106" s="14" t="s">
        <v>4038</v>
      </c>
      <c r="F106" s="18" t="s">
        <v>1307</v>
      </c>
      <c r="G106" s="1214">
        <v>10</v>
      </c>
      <c r="H106" s="27">
        <f>G106*G101</f>
        <v>10</v>
      </c>
      <c r="I106" s="25">
        <v>2300</v>
      </c>
      <c r="J106" s="25"/>
      <c r="K106" s="1053"/>
      <c r="L106" s="23"/>
      <c r="M106" s="23"/>
      <c r="N106" s="807">
        <f>ROUND($G106*I106,0)</f>
        <v>23000</v>
      </c>
      <c r="O106" s="807"/>
      <c r="P106" s="1061"/>
      <c r="Q106" s="1061"/>
      <c r="R106" s="1061"/>
    </row>
    <row r="107" spans="1:21" s="15" customFormat="1">
      <c r="A107" s="1123" t="s">
        <v>1189</v>
      </c>
      <c r="B107" s="571"/>
      <c r="C107" s="571" t="s">
        <v>1189</v>
      </c>
      <c r="D107" s="639"/>
      <c r="E107" s="14" t="s">
        <v>6533</v>
      </c>
      <c r="F107" s="18" t="s">
        <v>1297</v>
      </c>
      <c r="G107" s="1214">
        <v>2</v>
      </c>
      <c r="H107" s="28"/>
      <c r="I107" s="23"/>
      <c r="J107" s="23"/>
      <c r="K107" s="25">
        <v>0</v>
      </c>
      <c r="L107" s="25">
        <v>345519</v>
      </c>
      <c r="M107" s="25">
        <v>0</v>
      </c>
      <c r="N107" s="1061"/>
      <c r="O107" s="1061"/>
      <c r="P107" s="807">
        <f>ROUND($G107*K107,0)</f>
        <v>0</v>
      </c>
      <c r="Q107" s="807">
        <f>ROUND($G107*L107,0)</f>
        <v>691038</v>
      </c>
      <c r="R107" s="807">
        <f>ROUND($G107*M107,0)</f>
        <v>0</v>
      </c>
    </row>
    <row r="108" spans="1:21" s="15" customFormat="1">
      <c r="A108" s="1113">
        <f>A101</f>
        <v>4</v>
      </c>
      <c r="B108" s="571"/>
      <c r="C108" s="231"/>
      <c r="D108" s="1076"/>
      <c r="E108" s="1077"/>
      <c r="F108" s="16"/>
      <c r="G108" s="1215"/>
      <c r="H108" s="1078"/>
      <c r="I108" s="1047"/>
      <c r="J108" s="1047"/>
      <c r="K108" s="1047"/>
      <c r="L108" s="1079"/>
      <c r="M108" s="1047"/>
      <c r="N108" s="1090"/>
      <c r="O108" s="1090"/>
      <c r="P108" s="1090"/>
      <c r="Q108" s="1090"/>
      <c r="R108" s="1090"/>
    </row>
    <row r="109" spans="1:21" s="15" customFormat="1">
      <c r="A109" s="1048">
        <f>A108+1</f>
        <v>5</v>
      </c>
      <c r="B109" s="571" t="str">
        <f>"II."&amp;+A109</f>
        <v>II.5</v>
      </c>
      <c r="C109" s="571"/>
      <c r="D109" s="639"/>
      <c r="E109" s="806" t="s">
        <v>5495</v>
      </c>
      <c r="F109" s="24" t="s">
        <v>1297</v>
      </c>
      <c r="G109" s="26">
        <f>tkeTA!X135</f>
        <v>2</v>
      </c>
      <c r="H109" s="26"/>
      <c r="I109" s="1070"/>
      <c r="J109" s="1070"/>
      <c r="K109" s="1070"/>
      <c r="L109" s="1071"/>
      <c r="M109" s="1070"/>
      <c r="N109" s="1055">
        <f>SUM(N110:N116)</f>
        <v>3161400</v>
      </c>
      <c r="O109" s="1055"/>
      <c r="P109" s="1055">
        <f>SUM(P110:P116)</f>
        <v>0</v>
      </c>
      <c r="Q109" s="1055">
        <f>SUM(Q110:Q116)</f>
        <v>935652</v>
      </c>
      <c r="R109" s="1055">
        <f>SUM(R110:R116)</f>
        <v>0</v>
      </c>
      <c r="U109" s="10" t="s">
        <v>865</v>
      </c>
    </row>
    <row r="110" spans="1:21" s="15" customFormat="1">
      <c r="A110" s="1183" t="s">
        <v>3995</v>
      </c>
      <c r="B110" s="571"/>
      <c r="C110" s="571"/>
      <c r="D110" s="639">
        <v>30600081</v>
      </c>
      <c r="E110" s="14" t="s">
        <v>3156</v>
      </c>
      <c r="F110" s="18" t="s">
        <v>1307</v>
      </c>
      <c r="G110" s="1214">
        <v>2</v>
      </c>
      <c r="H110" s="27">
        <f>G110*G109</f>
        <v>4</v>
      </c>
      <c r="I110" s="1469">
        <v>1138500</v>
      </c>
      <c r="J110" s="25"/>
      <c r="K110" s="1053"/>
      <c r="L110" s="23"/>
      <c r="M110" s="23"/>
      <c r="N110" s="807">
        <f t="shared" ref="N110:N115" si="14">ROUND($G110*I110,0)</f>
        <v>2277000</v>
      </c>
      <c r="O110" s="807"/>
      <c r="P110" s="1061"/>
      <c r="Q110" s="1061"/>
      <c r="R110" s="1061"/>
    </row>
    <row r="111" spans="1:21" s="15" customFormat="1">
      <c r="A111" s="1183" t="s">
        <v>1060</v>
      </c>
      <c r="B111" s="571"/>
      <c r="C111" s="571"/>
      <c r="D111" s="639">
        <v>30620920</v>
      </c>
      <c r="E111" s="14" t="s">
        <v>2399</v>
      </c>
      <c r="F111" s="18" t="s">
        <v>1307</v>
      </c>
      <c r="G111" s="1214">
        <v>8</v>
      </c>
      <c r="H111" s="27">
        <f>G111*G109</f>
        <v>16</v>
      </c>
      <c r="I111" s="25">
        <v>78000</v>
      </c>
      <c r="J111" s="25"/>
      <c r="K111" s="1053"/>
      <c r="L111" s="23"/>
      <c r="M111" s="23"/>
      <c r="N111" s="807">
        <f t="shared" si="14"/>
        <v>624000</v>
      </c>
      <c r="O111" s="807"/>
      <c r="P111" s="1061"/>
      <c r="Q111" s="1061"/>
      <c r="R111" s="1061"/>
    </row>
    <row r="112" spans="1:21" s="15" customFormat="1">
      <c r="A112" s="1183" t="s">
        <v>3010</v>
      </c>
      <c r="B112" s="571"/>
      <c r="C112" s="571"/>
      <c r="D112" s="639">
        <v>43816050</v>
      </c>
      <c r="E112" s="14" t="s">
        <v>3011</v>
      </c>
      <c r="F112" s="18" t="s">
        <v>1307</v>
      </c>
      <c r="G112" s="1214">
        <v>8</v>
      </c>
      <c r="H112" s="27">
        <f>G112*G109</f>
        <v>16</v>
      </c>
      <c r="I112" s="25">
        <v>7000</v>
      </c>
      <c r="J112" s="25"/>
      <c r="K112" s="1053"/>
      <c r="L112" s="23"/>
      <c r="M112" s="23"/>
      <c r="N112" s="807">
        <f t="shared" si="14"/>
        <v>56000</v>
      </c>
      <c r="O112" s="807"/>
      <c r="P112" s="1061"/>
      <c r="Q112" s="1061"/>
      <c r="R112" s="1061"/>
    </row>
    <row r="113" spans="1:21" s="15" customFormat="1">
      <c r="A113" s="1183" t="s">
        <v>3019</v>
      </c>
      <c r="B113" s="571"/>
      <c r="C113" s="571"/>
      <c r="D113" s="639">
        <v>43816300</v>
      </c>
      <c r="E113" s="14" t="s">
        <v>3439</v>
      </c>
      <c r="F113" s="18" t="s">
        <v>1307</v>
      </c>
      <c r="G113" s="1214">
        <v>4</v>
      </c>
      <c r="H113" s="27">
        <f>G113*G109</f>
        <v>8</v>
      </c>
      <c r="I113" s="25">
        <v>18000</v>
      </c>
      <c r="J113" s="25"/>
      <c r="K113" s="1053"/>
      <c r="L113" s="23"/>
      <c r="M113" s="23"/>
      <c r="N113" s="807">
        <f t="shared" si="14"/>
        <v>72000</v>
      </c>
      <c r="O113" s="807"/>
      <c r="P113" s="1061"/>
      <c r="Q113" s="1061"/>
      <c r="R113" s="1061"/>
      <c r="U113" s="10" t="s">
        <v>4858</v>
      </c>
    </row>
    <row r="114" spans="1:21" s="15" customFormat="1">
      <c r="A114" s="1183" t="s">
        <v>2242</v>
      </c>
      <c r="B114" s="571"/>
      <c r="C114" s="571"/>
      <c r="D114" s="639">
        <v>44316300</v>
      </c>
      <c r="E114" s="14" t="s">
        <v>2243</v>
      </c>
      <c r="F114" s="18" t="s">
        <v>1307</v>
      </c>
      <c r="G114" s="1214">
        <v>4</v>
      </c>
      <c r="H114" s="27">
        <f>G114*G109</f>
        <v>8</v>
      </c>
      <c r="I114" s="25">
        <v>21600</v>
      </c>
      <c r="J114" s="25"/>
      <c r="K114" s="1053"/>
      <c r="L114" s="23"/>
      <c r="M114" s="23"/>
      <c r="N114" s="807">
        <f t="shared" si="14"/>
        <v>86400</v>
      </c>
      <c r="O114" s="807"/>
      <c r="P114" s="1061"/>
      <c r="Q114" s="1061"/>
      <c r="R114" s="1061"/>
    </row>
    <row r="115" spans="1:21" s="15" customFormat="1">
      <c r="A115" s="1183" t="s">
        <v>866</v>
      </c>
      <c r="B115" s="571"/>
      <c r="C115" s="571"/>
      <c r="D115" s="639">
        <v>0</v>
      </c>
      <c r="E115" s="14" t="s">
        <v>4038</v>
      </c>
      <c r="F115" s="18" t="s">
        <v>1307</v>
      </c>
      <c r="G115" s="1214">
        <v>20</v>
      </c>
      <c r="H115" s="27">
        <f>G115*G109</f>
        <v>40</v>
      </c>
      <c r="I115" s="25">
        <v>2300</v>
      </c>
      <c r="J115" s="25"/>
      <c r="K115" s="1053"/>
      <c r="L115" s="23"/>
      <c r="M115" s="23"/>
      <c r="N115" s="807">
        <f t="shared" si="14"/>
        <v>46000</v>
      </c>
      <c r="O115" s="807"/>
      <c r="P115" s="1061"/>
      <c r="Q115" s="1061"/>
      <c r="R115" s="1061"/>
    </row>
    <row r="116" spans="1:21" s="15" customFormat="1">
      <c r="A116" s="1123" t="s">
        <v>4579</v>
      </c>
      <c r="B116" s="571"/>
      <c r="C116" s="571" t="s">
        <v>4579</v>
      </c>
      <c r="D116" s="639"/>
      <c r="E116" s="14" t="s">
        <v>6534</v>
      </c>
      <c r="F116" s="18" t="s">
        <v>1297</v>
      </c>
      <c r="G116" s="1214">
        <v>2</v>
      </c>
      <c r="H116" s="28"/>
      <c r="I116" s="23"/>
      <c r="J116" s="23"/>
      <c r="K116" s="25">
        <v>0</v>
      </c>
      <c r="L116" s="25">
        <v>467826</v>
      </c>
      <c r="M116" s="25">
        <v>0</v>
      </c>
      <c r="N116" s="1061"/>
      <c r="O116" s="1061"/>
      <c r="P116" s="807">
        <f>ROUND($G116*K116,0)</f>
        <v>0</v>
      </c>
      <c r="Q116" s="807">
        <f>ROUND($G116*L116,0)</f>
        <v>935652</v>
      </c>
      <c r="R116" s="807">
        <f>ROUND($G116*M116,0)</f>
        <v>0</v>
      </c>
    </row>
    <row r="117" spans="1:21" s="15" customFormat="1">
      <c r="A117" s="1113">
        <f>A109</f>
        <v>5</v>
      </c>
      <c r="B117" s="571"/>
      <c r="C117" s="231"/>
      <c r="D117" s="1076"/>
      <c r="E117" s="1077"/>
      <c r="F117" s="16"/>
      <c r="G117" s="1215"/>
      <c r="H117" s="1078"/>
      <c r="I117" s="1047"/>
      <c r="J117" s="1047"/>
      <c r="K117" s="1047"/>
      <c r="L117" s="1079"/>
      <c r="M117" s="1047"/>
      <c r="N117" s="1090"/>
      <c r="O117" s="1090"/>
      <c r="P117" s="1090"/>
      <c r="Q117" s="1090"/>
      <c r="R117" s="1090"/>
    </row>
    <row r="118" spans="1:21" s="15" customFormat="1">
      <c r="A118" s="1048">
        <f>A117+1</f>
        <v>6</v>
      </c>
      <c r="B118" s="571" t="str">
        <f>"II."&amp;+A118</f>
        <v>II.6</v>
      </c>
      <c r="C118" s="571"/>
      <c r="D118" s="639"/>
      <c r="E118" s="806" t="s">
        <v>2732</v>
      </c>
      <c r="F118" s="24" t="s">
        <v>1297</v>
      </c>
      <c r="G118" s="26">
        <f>tkeTA!X135</f>
        <v>2</v>
      </c>
      <c r="H118" s="26"/>
      <c r="I118" s="1070"/>
      <c r="J118" s="1070"/>
      <c r="K118" s="1070"/>
      <c r="L118" s="1071"/>
      <c r="M118" s="1070"/>
      <c r="N118" s="1055">
        <f>SUM(N119:N125)</f>
        <v>260400</v>
      </c>
      <c r="O118" s="1055"/>
      <c r="P118" s="1055">
        <f>SUM(P119:P125)</f>
        <v>0</v>
      </c>
      <c r="Q118" s="1055">
        <f>SUM(Q119:Q125)</f>
        <v>935652</v>
      </c>
      <c r="R118" s="1055">
        <f>SUM(R119:R125)</f>
        <v>0</v>
      </c>
      <c r="U118" s="10" t="s">
        <v>865</v>
      </c>
    </row>
    <row r="119" spans="1:21" s="15" customFormat="1">
      <c r="A119" s="1183" t="s">
        <v>3995</v>
      </c>
      <c r="B119" s="571"/>
      <c r="C119" s="571"/>
      <c r="D119" s="639">
        <v>30600081</v>
      </c>
      <c r="E119" s="14" t="s">
        <v>3156</v>
      </c>
      <c r="F119" s="18" t="s">
        <v>1307</v>
      </c>
      <c r="G119" s="1214">
        <v>2</v>
      </c>
      <c r="H119" s="27">
        <f>G119*G118</f>
        <v>4</v>
      </c>
      <c r="I119" s="1469" t="s">
        <v>1838</v>
      </c>
      <c r="J119" s="25"/>
      <c r="K119" s="1053"/>
      <c r="L119" s="23"/>
      <c r="M119" s="23"/>
      <c r="N119" s="807" t="s">
        <v>1838</v>
      </c>
      <c r="O119" s="807"/>
      <c r="P119" s="1061"/>
      <c r="Q119" s="1061"/>
      <c r="R119" s="1061"/>
    </row>
    <row r="120" spans="1:21" s="15" customFormat="1">
      <c r="A120" s="1183" t="s">
        <v>1060</v>
      </c>
      <c r="B120" s="571"/>
      <c r="C120" s="571"/>
      <c r="D120" s="639">
        <v>30620920</v>
      </c>
      <c r="E120" s="14" t="s">
        <v>2399</v>
      </c>
      <c r="F120" s="18" t="s">
        <v>1307</v>
      </c>
      <c r="G120" s="1214">
        <v>8</v>
      </c>
      <c r="H120" s="27">
        <f>G120*G118</f>
        <v>16</v>
      </c>
      <c r="I120" s="25" t="s">
        <v>1838</v>
      </c>
      <c r="J120" s="25"/>
      <c r="K120" s="1053"/>
      <c r="L120" s="23"/>
      <c r="M120" s="23"/>
      <c r="N120" s="807" t="s">
        <v>1838</v>
      </c>
      <c r="O120" s="807"/>
      <c r="P120" s="1061"/>
      <c r="Q120" s="1061"/>
      <c r="R120" s="1061"/>
    </row>
    <row r="121" spans="1:21" s="15" customFormat="1">
      <c r="A121" s="1183" t="s">
        <v>3010</v>
      </c>
      <c r="B121" s="571"/>
      <c r="C121" s="571"/>
      <c r="D121" s="639">
        <v>43816050</v>
      </c>
      <c r="E121" s="14" t="s">
        <v>3011</v>
      </c>
      <c r="F121" s="18" t="s">
        <v>1307</v>
      </c>
      <c r="G121" s="1214">
        <v>8</v>
      </c>
      <c r="H121" s="27">
        <f>G121*G118</f>
        <v>16</v>
      </c>
      <c r="I121" s="25">
        <v>7000</v>
      </c>
      <c r="J121" s="25"/>
      <c r="K121" s="1053"/>
      <c r="L121" s="23"/>
      <c r="M121" s="23"/>
      <c r="N121" s="807">
        <f>ROUND($G121*I121,0)</f>
        <v>56000</v>
      </c>
      <c r="O121" s="807"/>
      <c r="P121" s="1061"/>
      <c r="Q121" s="1061"/>
      <c r="R121" s="1061"/>
    </row>
    <row r="122" spans="1:21" s="15" customFormat="1">
      <c r="A122" s="1183" t="s">
        <v>3019</v>
      </c>
      <c r="B122" s="571"/>
      <c r="C122" s="571"/>
      <c r="D122" s="639">
        <v>43816300</v>
      </c>
      <c r="E122" s="14" t="s">
        <v>3439</v>
      </c>
      <c r="F122" s="18" t="s">
        <v>1307</v>
      </c>
      <c r="G122" s="1214">
        <v>4</v>
      </c>
      <c r="H122" s="27">
        <f>G122*G118</f>
        <v>8</v>
      </c>
      <c r="I122" s="25">
        <v>18000</v>
      </c>
      <c r="J122" s="25"/>
      <c r="K122" s="1053"/>
      <c r="L122" s="23"/>
      <c r="M122" s="23"/>
      <c r="N122" s="807">
        <f>ROUND($G122*I122,0)</f>
        <v>72000</v>
      </c>
      <c r="O122" s="807"/>
      <c r="P122" s="1061"/>
      <c r="Q122" s="1061"/>
      <c r="R122" s="1061"/>
      <c r="U122" s="10" t="s">
        <v>4858</v>
      </c>
    </row>
    <row r="123" spans="1:21" s="15" customFormat="1">
      <c r="A123" s="1183" t="s">
        <v>2242</v>
      </c>
      <c r="B123" s="571"/>
      <c r="C123" s="571"/>
      <c r="D123" s="639">
        <v>44316300</v>
      </c>
      <c r="E123" s="14" t="s">
        <v>2243</v>
      </c>
      <c r="F123" s="18" t="s">
        <v>1307</v>
      </c>
      <c r="G123" s="1214">
        <v>4</v>
      </c>
      <c r="H123" s="27">
        <f>G123*G118</f>
        <v>8</v>
      </c>
      <c r="I123" s="25">
        <v>21600</v>
      </c>
      <c r="J123" s="25"/>
      <c r="K123" s="1053"/>
      <c r="L123" s="23"/>
      <c r="M123" s="23"/>
      <c r="N123" s="807">
        <f>ROUND($G123*I123,0)</f>
        <v>86400</v>
      </c>
      <c r="O123" s="807"/>
      <c r="P123" s="1061"/>
      <c r="Q123" s="1061"/>
      <c r="R123" s="1061"/>
    </row>
    <row r="124" spans="1:21" s="15" customFormat="1">
      <c r="A124" s="1183" t="s">
        <v>866</v>
      </c>
      <c r="B124" s="571"/>
      <c r="C124" s="571"/>
      <c r="D124" s="639">
        <v>0</v>
      </c>
      <c r="E124" s="14" t="s">
        <v>4038</v>
      </c>
      <c r="F124" s="18" t="s">
        <v>1307</v>
      </c>
      <c r="G124" s="1214">
        <v>20</v>
      </c>
      <c r="H124" s="27">
        <f>G124*G118</f>
        <v>40</v>
      </c>
      <c r="I124" s="25">
        <v>2300</v>
      </c>
      <c r="J124" s="25"/>
      <c r="K124" s="1053"/>
      <c r="L124" s="23"/>
      <c r="M124" s="23"/>
      <c r="N124" s="807">
        <f>ROUND($G124*I124,0)</f>
        <v>46000</v>
      </c>
      <c r="O124" s="807"/>
      <c r="P124" s="1061"/>
      <c r="Q124" s="1061"/>
      <c r="R124" s="1061"/>
    </row>
    <row r="125" spans="1:21" s="15" customFormat="1">
      <c r="A125" s="1123" t="s">
        <v>4579</v>
      </c>
      <c r="B125" s="571"/>
      <c r="C125" s="571" t="s">
        <v>4579</v>
      </c>
      <c r="D125" s="639"/>
      <c r="E125" s="14" t="s">
        <v>6534</v>
      </c>
      <c r="F125" s="18" t="s">
        <v>1297</v>
      </c>
      <c r="G125" s="1214">
        <v>2</v>
      </c>
      <c r="H125" s="28"/>
      <c r="I125" s="23"/>
      <c r="J125" s="23"/>
      <c r="K125" s="25">
        <v>0</v>
      </c>
      <c r="L125" s="25">
        <v>467826</v>
      </c>
      <c r="M125" s="25">
        <v>0</v>
      </c>
      <c r="N125" s="1061"/>
      <c r="O125" s="1061"/>
      <c r="P125" s="807">
        <f>ROUND($G125*K125,0)</f>
        <v>0</v>
      </c>
      <c r="Q125" s="807">
        <f>ROUND($G125*L125,0)</f>
        <v>935652</v>
      </c>
      <c r="R125" s="807">
        <f>ROUND($G125*M125,0)</f>
        <v>0</v>
      </c>
    </row>
    <row r="126" spans="1:21" s="15" customFormat="1">
      <c r="A126" s="1113">
        <f>A118</f>
        <v>6</v>
      </c>
      <c r="B126" s="571"/>
      <c r="C126" s="231"/>
      <c r="D126" s="1076"/>
      <c r="E126" s="1077"/>
      <c r="F126" s="16"/>
      <c r="G126" s="1215"/>
      <c r="H126" s="1078"/>
      <c r="I126" s="1047"/>
      <c r="J126" s="1047"/>
      <c r="K126" s="1047"/>
      <c r="L126" s="1079"/>
      <c r="M126" s="1047"/>
      <c r="N126" s="1090"/>
      <c r="O126" s="1090"/>
      <c r="P126" s="1090"/>
      <c r="Q126" s="1090"/>
      <c r="R126" s="1090"/>
    </row>
    <row r="127" spans="1:21" s="15" customFormat="1">
      <c r="A127" s="1048">
        <f>A126+1</f>
        <v>7</v>
      </c>
      <c r="B127" s="571" t="str">
        <f>"II."&amp;+A127</f>
        <v>II.7</v>
      </c>
      <c r="C127" s="571"/>
      <c r="D127" s="639"/>
      <c r="E127" s="806" t="s">
        <v>5624</v>
      </c>
      <c r="F127" s="24" t="s">
        <v>1297</v>
      </c>
      <c r="G127" s="26">
        <f>tkeTA!W135-G136</f>
        <v>23</v>
      </c>
      <c r="H127" s="26"/>
      <c r="I127" s="1070"/>
      <c r="J127" s="1070"/>
      <c r="K127" s="1070"/>
      <c r="L127" s="1071"/>
      <c r="M127" s="1070"/>
      <c r="N127" s="1055">
        <f>SUM(N128:N134)</f>
        <v>1580700</v>
      </c>
      <c r="O127" s="1055"/>
      <c r="P127" s="1055">
        <f>SUM(P128:P134)</f>
        <v>0</v>
      </c>
      <c r="Q127" s="1055">
        <f>SUM(Q128:Q134)</f>
        <v>691038</v>
      </c>
      <c r="R127" s="1055">
        <f>SUM(R128:R134)</f>
        <v>0</v>
      </c>
      <c r="U127" s="10" t="s">
        <v>865</v>
      </c>
    </row>
    <row r="128" spans="1:21" s="15" customFormat="1">
      <c r="A128" s="1183" t="s">
        <v>3995</v>
      </c>
      <c r="B128" s="571"/>
      <c r="C128" s="571"/>
      <c r="D128" s="639">
        <v>30600081</v>
      </c>
      <c r="E128" s="14" t="s">
        <v>3996</v>
      </c>
      <c r="F128" s="18" t="s">
        <v>1307</v>
      </c>
      <c r="G128" s="1214">
        <v>2</v>
      </c>
      <c r="H128" s="27">
        <f>G128*G127</f>
        <v>46</v>
      </c>
      <c r="I128" s="25">
        <v>569250</v>
      </c>
      <c r="J128" s="25"/>
      <c r="K128" s="1053"/>
      <c r="L128" s="23"/>
      <c r="M128" s="23"/>
      <c r="N128" s="807">
        <f t="shared" ref="N128:N133" si="15">ROUND($G128*I128,0)</f>
        <v>1138500</v>
      </c>
      <c r="O128" s="807"/>
      <c r="P128" s="1061"/>
      <c r="Q128" s="1061"/>
      <c r="R128" s="1061"/>
    </row>
    <row r="129" spans="1:21" s="15" customFormat="1">
      <c r="A129" s="1183" t="s">
        <v>1060</v>
      </c>
      <c r="B129" s="571"/>
      <c r="C129" s="571"/>
      <c r="D129" s="639">
        <v>30620920</v>
      </c>
      <c r="E129" s="14" t="s">
        <v>2399</v>
      </c>
      <c r="F129" s="18" t="s">
        <v>1307</v>
      </c>
      <c r="G129" s="1214">
        <v>4</v>
      </c>
      <c r="H129" s="27">
        <f>G129*G127</f>
        <v>92</v>
      </c>
      <c r="I129" s="25">
        <v>78000</v>
      </c>
      <c r="J129" s="25"/>
      <c r="K129" s="1053"/>
      <c r="L129" s="23"/>
      <c r="M129" s="23"/>
      <c r="N129" s="807">
        <f t="shared" si="15"/>
        <v>312000</v>
      </c>
      <c r="O129" s="807"/>
      <c r="P129" s="1061"/>
      <c r="Q129" s="1061"/>
      <c r="R129" s="1061"/>
    </row>
    <row r="130" spans="1:21" s="15" customFormat="1">
      <c r="A130" s="1183" t="s">
        <v>3010</v>
      </c>
      <c r="B130" s="571"/>
      <c r="C130" s="571"/>
      <c r="D130" s="639">
        <v>43816050</v>
      </c>
      <c r="E130" s="14" t="s">
        <v>3011</v>
      </c>
      <c r="F130" s="18" t="s">
        <v>1307</v>
      </c>
      <c r="G130" s="1214">
        <v>4</v>
      </c>
      <c r="H130" s="27">
        <f>G130*G127</f>
        <v>92</v>
      </c>
      <c r="I130" s="25">
        <v>7000</v>
      </c>
      <c r="J130" s="25"/>
      <c r="K130" s="1053"/>
      <c r="L130" s="23"/>
      <c r="M130" s="23"/>
      <c r="N130" s="807">
        <f t="shared" si="15"/>
        <v>28000</v>
      </c>
      <c r="O130" s="807"/>
      <c r="P130" s="1061"/>
      <c r="Q130" s="1061"/>
      <c r="R130" s="1061"/>
    </row>
    <row r="131" spans="1:21" s="15" customFormat="1">
      <c r="A131" s="1183" t="s">
        <v>3019</v>
      </c>
      <c r="B131" s="571"/>
      <c r="C131" s="571"/>
      <c r="D131" s="639">
        <v>43816300</v>
      </c>
      <c r="E131" s="14" t="s">
        <v>3439</v>
      </c>
      <c r="F131" s="18" t="s">
        <v>1307</v>
      </c>
      <c r="G131" s="1214">
        <v>2</v>
      </c>
      <c r="H131" s="27">
        <f>G131*G127</f>
        <v>46</v>
      </c>
      <c r="I131" s="25">
        <v>18000</v>
      </c>
      <c r="J131" s="25"/>
      <c r="K131" s="1053"/>
      <c r="L131" s="23"/>
      <c r="M131" s="23"/>
      <c r="N131" s="807">
        <f t="shared" si="15"/>
        <v>36000</v>
      </c>
      <c r="O131" s="807"/>
      <c r="P131" s="1061"/>
      <c r="Q131" s="1061"/>
      <c r="R131" s="1061"/>
    </row>
    <row r="132" spans="1:21" s="15" customFormat="1">
      <c r="A132" s="1183" t="s">
        <v>2242</v>
      </c>
      <c r="B132" s="571"/>
      <c r="C132" s="571"/>
      <c r="D132" s="639">
        <v>44316300</v>
      </c>
      <c r="E132" s="14" t="s">
        <v>2243</v>
      </c>
      <c r="F132" s="18" t="s">
        <v>1307</v>
      </c>
      <c r="G132" s="1214">
        <v>2</v>
      </c>
      <c r="H132" s="27">
        <f>G132*G127</f>
        <v>46</v>
      </c>
      <c r="I132" s="25">
        <v>21600</v>
      </c>
      <c r="J132" s="25"/>
      <c r="K132" s="1053"/>
      <c r="L132" s="23"/>
      <c r="M132" s="23"/>
      <c r="N132" s="807">
        <f t="shared" si="15"/>
        <v>43200</v>
      </c>
      <c r="O132" s="807"/>
      <c r="P132" s="1061"/>
      <c r="Q132" s="1061"/>
      <c r="R132" s="1061"/>
    </row>
    <row r="133" spans="1:21" s="15" customFormat="1">
      <c r="A133" s="1183" t="s">
        <v>866</v>
      </c>
      <c r="B133" s="571"/>
      <c r="C133" s="571"/>
      <c r="D133" s="639">
        <v>0</v>
      </c>
      <c r="E133" s="14" t="s">
        <v>4038</v>
      </c>
      <c r="F133" s="18" t="s">
        <v>1307</v>
      </c>
      <c r="G133" s="1214">
        <v>10</v>
      </c>
      <c r="H133" s="27">
        <f>G133*G127</f>
        <v>230</v>
      </c>
      <c r="I133" s="25">
        <v>2300</v>
      </c>
      <c r="J133" s="25"/>
      <c r="K133" s="1053"/>
      <c r="L133" s="23"/>
      <c r="M133" s="23"/>
      <c r="N133" s="807">
        <f t="shared" si="15"/>
        <v>23000</v>
      </c>
      <c r="O133" s="807"/>
      <c r="P133" s="1061"/>
      <c r="Q133" s="1061"/>
      <c r="R133" s="1061"/>
    </row>
    <row r="134" spans="1:21" s="15" customFormat="1">
      <c r="A134" s="1123" t="s">
        <v>1189</v>
      </c>
      <c r="B134" s="571"/>
      <c r="C134" s="571" t="s">
        <v>1189</v>
      </c>
      <c r="D134" s="639"/>
      <c r="E134" s="14" t="s">
        <v>6533</v>
      </c>
      <c r="F134" s="18" t="s">
        <v>1297</v>
      </c>
      <c r="G134" s="1214">
        <v>2</v>
      </c>
      <c r="H134" s="28"/>
      <c r="I134" s="23"/>
      <c r="J134" s="23"/>
      <c r="K134" s="25">
        <v>0</v>
      </c>
      <c r="L134" s="25">
        <v>345519</v>
      </c>
      <c r="M134" s="25">
        <v>0</v>
      </c>
      <c r="N134" s="1061"/>
      <c r="O134" s="1061"/>
      <c r="P134" s="807">
        <f>ROUND($G134*K134,0)</f>
        <v>0</v>
      </c>
      <c r="Q134" s="807">
        <f>ROUND($G134*L134,0)</f>
        <v>691038</v>
      </c>
      <c r="R134" s="807">
        <f>ROUND($G134*M134,0)</f>
        <v>0</v>
      </c>
    </row>
    <row r="135" spans="1:21" s="15" customFormat="1">
      <c r="A135" s="1113">
        <f>A127</f>
        <v>7</v>
      </c>
      <c r="B135" s="571"/>
      <c r="C135" s="231"/>
      <c r="D135" s="1076"/>
      <c r="E135" s="1077"/>
      <c r="F135" s="16"/>
      <c r="G135" s="1215"/>
      <c r="H135" s="1078"/>
      <c r="I135" s="1047"/>
      <c r="J135" s="1047"/>
      <c r="K135" s="1047"/>
      <c r="L135" s="1079"/>
      <c r="M135" s="1047"/>
      <c r="N135" s="1090"/>
      <c r="O135" s="1090"/>
      <c r="P135" s="1090"/>
      <c r="Q135" s="1090"/>
      <c r="R135" s="1090"/>
    </row>
    <row r="136" spans="1:21" s="15" customFormat="1">
      <c r="A136" s="1048">
        <f>A135+1</f>
        <v>8</v>
      </c>
      <c r="B136" s="571" t="str">
        <f>"II."&amp;+A136</f>
        <v>II.8</v>
      </c>
      <c r="C136" s="571"/>
      <c r="D136" s="639"/>
      <c r="E136" s="806" t="s">
        <v>1840</v>
      </c>
      <c r="F136" s="24" t="s">
        <v>1297</v>
      </c>
      <c r="G136" s="26">
        <f>tkeTA_hh!AB129</f>
        <v>16</v>
      </c>
      <c r="H136" s="26"/>
      <c r="I136" s="1070"/>
      <c r="J136" s="1070"/>
      <c r="K136" s="1070"/>
      <c r="L136" s="1071"/>
      <c r="M136" s="1070"/>
      <c r="N136" s="1055">
        <f>SUM(N137:N143)</f>
        <v>130200</v>
      </c>
      <c r="O136" s="1055"/>
      <c r="P136" s="1055">
        <f>SUM(P137:P143)</f>
        <v>0</v>
      </c>
      <c r="Q136" s="1055">
        <f>SUM(Q137:Q143)</f>
        <v>691038</v>
      </c>
      <c r="R136" s="1055">
        <f>SUM(R137:R143)</f>
        <v>0</v>
      </c>
      <c r="U136" s="10" t="s">
        <v>865</v>
      </c>
    </row>
    <row r="137" spans="1:21" s="15" customFormat="1">
      <c r="A137" s="1183" t="s">
        <v>3995</v>
      </c>
      <c r="B137" s="571"/>
      <c r="C137" s="571"/>
      <c r="D137" s="639">
        <v>30600081</v>
      </c>
      <c r="E137" s="14" t="s">
        <v>3996</v>
      </c>
      <c r="F137" s="18" t="s">
        <v>1307</v>
      </c>
      <c r="G137" s="1214">
        <v>2</v>
      </c>
      <c r="H137" s="27">
        <f>G137*G136</f>
        <v>32</v>
      </c>
      <c r="I137" s="25" t="s">
        <v>1838</v>
      </c>
      <c r="J137" s="25"/>
      <c r="K137" s="1053"/>
      <c r="L137" s="23"/>
      <c r="M137" s="23"/>
      <c r="N137" s="807" t="s">
        <v>1838</v>
      </c>
      <c r="O137" s="807"/>
      <c r="P137" s="1061"/>
      <c r="Q137" s="1061"/>
      <c r="R137" s="1061"/>
    </row>
    <row r="138" spans="1:21" s="15" customFormat="1">
      <c r="A138" s="1183" t="s">
        <v>1060</v>
      </c>
      <c r="B138" s="571"/>
      <c r="C138" s="571"/>
      <c r="D138" s="639">
        <v>30620920</v>
      </c>
      <c r="E138" s="14" t="s">
        <v>2399</v>
      </c>
      <c r="F138" s="18" t="s">
        <v>1307</v>
      </c>
      <c r="G138" s="1214">
        <v>4</v>
      </c>
      <c r="H138" s="27">
        <f>G138*G136</f>
        <v>64</v>
      </c>
      <c r="I138" s="25" t="s">
        <v>1838</v>
      </c>
      <c r="J138" s="25"/>
      <c r="K138" s="1053"/>
      <c r="L138" s="23"/>
      <c r="M138" s="23"/>
      <c r="N138" s="807" t="s">
        <v>1838</v>
      </c>
      <c r="O138" s="807"/>
      <c r="P138" s="1061"/>
      <c r="Q138" s="1061"/>
      <c r="R138" s="1061"/>
    </row>
    <row r="139" spans="1:21" s="15" customFormat="1">
      <c r="A139" s="1183" t="s">
        <v>3010</v>
      </c>
      <c r="B139" s="571"/>
      <c r="C139" s="571"/>
      <c r="D139" s="639">
        <v>43816050</v>
      </c>
      <c r="E139" s="14" t="s">
        <v>3011</v>
      </c>
      <c r="F139" s="18" t="s">
        <v>1307</v>
      </c>
      <c r="G139" s="1214">
        <v>4</v>
      </c>
      <c r="H139" s="27">
        <f>G139*G136</f>
        <v>64</v>
      </c>
      <c r="I139" s="25">
        <v>7000</v>
      </c>
      <c r="J139" s="25"/>
      <c r="K139" s="1053"/>
      <c r="L139" s="23"/>
      <c r="M139" s="23"/>
      <c r="N139" s="807">
        <f>ROUND($G139*I139,0)</f>
        <v>28000</v>
      </c>
      <c r="O139" s="807"/>
      <c r="P139" s="1061"/>
      <c r="Q139" s="1061"/>
      <c r="R139" s="1061"/>
    </row>
    <row r="140" spans="1:21" s="15" customFormat="1">
      <c r="A140" s="1183" t="s">
        <v>3019</v>
      </c>
      <c r="B140" s="571"/>
      <c r="C140" s="571"/>
      <c r="D140" s="639">
        <v>43816300</v>
      </c>
      <c r="E140" s="14" t="s">
        <v>3439</v>
      </c>
      <c r="F140" s="18" t="s">
        <v>1307</v>
      </c>
      <c r="G140" s="1214">
        <v>2</v>
      </c>
      <c r="H140" s="27">
        <f>G140*G136</f>
        <v>32</v>
      </c>
      <c r="I140" s="25">
        <v>18000</v>
      </c>
      <c r="J140" s="25"/>
      <c r="K140" s="1053"/>
      <c r="L140" s="23"/>
      <c r="M140" s="23"/>
      <c r="N140" s="807">
        <f>ROUND($G140*I140,0)</f>
        <v>36000</v>
      </c>
      <c r="O140" s="807"/>
      <c r="P140" s="1061"/>
      <c r="Q140" s="1061"/>
      <c r="R140" s="1061"/>
    </row>
    <row r="141" spans="1:21" s="15" customFormat="1">
      <c r="A141" s="1183" t="s">
        <v>2242</v>
      </c>
      <c r="B141" s="571"/>
      <c r="C141" s="571"/>
      <c r="D141" s="639">
        <v>44316300</v>
      </c>
      <c r="E141" s="14" t="s">
        <v>2243</v>
      </c>
      <c r="F141" s="18" t="s">
        <v>1307</v>
      </c>
      <c r="G141" s="1214">
        <v>2</v>
      </c>
      <c r="H141" s="27">
        <f>G141*G136</f>
        <v>32</v>
      </c>
      <c r="I141" s="25">
        <v>21600</v>
      </c>
      <c r="J141" s="25"/>
      <c r="K141" s="1053"/>
      <c r="L141" s="23"/>
      <c r="M141" s="23"/>
      <c r="N141" s="807">
        <f>ROUND($G141*I141,0)</f>
        <v>43200</v>
      </c>
      <c r="O141" s="807"/>
      <c r="P141" s="1061"/>
      <c r="Q141" s="1061"/>
      <c r="R141" s="1061"/>
    </row>
    <row r="142" spans="1:21" s="15" customFormat="1">
      <c r="A142" s="1183" t="s">
        <v>866</v>
      </c>
      <c r="B142" s="571"/>
      <c r="C142" s="571"/>
      <c r="D142" s="639">
        <v>0</v>
      </c>
      <c r="E142" s="14" t="s">
        <v>4038</v>
      </c>
      <c r="F142" s="18" t="s">
        <v>1307</v>
      </c>
      <c r="G142" s="1214">
        <v>10</v>
      </c>
      <c r="H142" s="27">
        <f>G142*G136</f>
        <v>160</v>
      </c>
      <c r="I142" s="25">
        <v>2300</v>
      </c>
      <c r="J142" s="25"/>
      <c r="K142" s="1053"/>
      <c r="L142" s="23"/>
      <c r="M142" s="23"/>
      <c r="N142" s="807">
        <f>ROUND($G142*I142,0)</f>
        <v>23000</v>
      </c>
      <c r="O142" s="807"/>
      <c r="P142" s="1061"/>
      <c r="Q142" s="1061"/>
      <c r="R142" s="1061"/>
    </row>
    <row r="143" spans="1:21" s="15" customFormat="1">
      <c r="A143" s="1123" t="s">
        <v>1189</v>
      </c>
      <c r="B143" s="571"/>
      <c r="C143" s="571" t="s">
        <v>1189</v>
      </c>
      <c r="D143" s="639"/>
      <c r="E143" s="14" t="s">
        <v>6533</v>
      </c>
      <c r="F143" s="18" t="s">
        <v>1297</v>
      </c>
      <c r="G143" s="1214">
        <v>2</v>
      </c>
      <c r="H143" s="28"/>
      <c r="I143" s="23"/>
      <c r="J143" s="23"/>
      <c r="K143" s="25">
        <v>0</v>
      </c>
      <c r="L143" s="25">
        <v>345519</v>
      </c>
      <c r="M143" s="25">
        <v>0</v>
      </c>
      <c r="N143" s="1061"/>
      <c r="O143" s="1061"/>
      <c r="P143" s="807">
        <f>ROUND($G143*K143,0)</f>
        <v>0</v>
      </c>
      <c r="Q143" s="807">
        <f>ROUND($G143*L143,0)</f>
        <v>691038</v>
      </c>
      <c r="R143" s="807">
        <f>ROUND($G143*M143,0)</f>
        <v>0</v>
      </c>
    </row>
    <row r="144" spans="1:21" s="15" customFormat="1">
      <c r="A144" s="1113">
        <f>A136</f>
        <v>8</v>
      </c>
      <c r="B144" s="571"/>
      <c r="C144" s="231"/>
      <c r="D144" s="1076"/>
      <c r="E144" s="1077"/>
      <c r="F144" s="16"/>
      <c r="G144" s="1215"/>
      <c r="H144" s="1078"/>
      <c r="I144" s="1047"/>
      <c r="J144" s="1047"/>
      <c r="K144" s="1047"/>
      <c r="L144" s="1079"/>
      <c r="M144" s="1047"/>
      <c r="N144" s="1090"/>
      <c r="O144" s="1090"/>
      <c r="P144" s="1090"/>
      <c r="Q144" s="1090"/>
      <c r="R144" s="1090"/>
    </row>
    <row r="145" spans="1:18" s="15" customFormat="1">
      <c r="A145" s="1048">
        <f>A144+1</f>
        <v>9</v>
      </c>
      <c r="B145" s="657" t="str">
        <f>"II."&amp;+A145</f>
        <v>II.9</v>
      </c>
      <c r="C145" s="571"/>
      <c r="D145" s="639"/>
      <c r="E145" s="806" t="s">
        <v>5210</v>
      </c>
      <c r="F145" s="24" t="s">
        <v>1297</v>
      </c>
      <c r="G145" s="26">
        <f>tkeTA!V135-G153</f>
        <v>51</v>
      </c>
      <c r="H145" s="26"/>
      <c r="I145" s="1070"/>
      <c r="J145" s="1070"/>
      <c r="K145" s="1070"/>
      <c r="L145" s="1071"/>
      <c r="M145" s="1070"/>
      <c r="N145" s="1055">
        <f>SUM(N146:N151)</f>
        <v>788850</v>
      </c>
      <c r="O145" s="1055"/>
      <c r="P145" s="1055">
        <f>SUM(P146:P151)</f>
        <v>0</v>
      </c>
      <c r="Q145" s="1055">
        <f>SUM(Q146:Q151)</f>
        <v>259904</v>
      </c>
      <c r="R145" s="1055">
        <f>SUM(R146:R151)</f>
        <v>0</v>
      </c>
    </row>
    <row r="146" spans="1:18" s="15" customFormat="1">
      <c r="A146" s="1183" t="s">
        <v>3995</v>
      </c>
      <c r="B146" s="571"/>
      <c r="C146" s="571"/>
      <c r="D146" s="639">
        <v>30600081</v>
      </c>
      <c r="E146" s="14" t="s">
        <v>3996</v>
      </c>
      <c r="F146" s="18" t="s">
        <v>1307</v>
      </c>
      <c r="G146" s="27">
        <v>1</v>
      </c>
      <c r="H146" s="27">
        <f>G146*G145</f>
        <v>51</v>
      </c>
      <c r="I146" s="25">
        <v>569250</v>
      </c>
      <c r="J146" s="25"/>
      <c r="K146" s="1053"/>
      <c r="L146" s="23"/>
      <c r="M146" s="23"/>
      <c r="N146" s="807">
        <f>ROUND($G146*I146,0)</f>
        <v>569250</v>
      </c>
      <c r="O146" s="807"/>
      <c r="P146" s="1061"/>
      <c r="Q146" s="1061"/>
      <c r="R146" s="1061"/>
    </row>
    <row r="147" spans="1:18" s="15" customFormat="1">
      <c r="A147" s="1183" t="s">
        <v>1060</v>
      </c>
      <c r="B147" s="571"/>
      <c r="C147" s="571"/>
      <c r="D147" s="639">
        <v>30620920</v>
      </c>
      <c r="E147" s="14" t="s">
        <v>2399</v>
      </c>
      <c r="F147" s="18" t="s">
        <v>1307</v>
      </c>
      <c r="G147" s="27">
        <v>2</v>
      </c>
      <c r="H147" s="27">
        <f>G147*G145</f>
        <v>102</v>
      </c>
      <c r="I147" s="25">
        <v>78000</v>
      </c>
      <c r="J147" s="25"/>
      <c r="K147" s="1053"/>
      <c r="L147" s="23"/>
      <c r="M147" s="23"/>
      <c r="N147" s="807">
        <f>ROUND($G147*I147,0)</f>
        <v>156000</v>
      </c>
      <c r="O147" s="807"/>
      <c r="P147" s="1061"/>
      <c r="Q147" s="1061"/>
      <c r="R147" s="1061"/>
    </row>
    <row r="148" spans="1:18" s="15" customFormat="1">
      <c r="A148" s="1183" t="s">
        <v>3010</v>
      </c>
      <c r="B148" s="571"/>
      <c r="C148" s="571"/>
      <c r="D148" s="639">
        <v>43816050</v>
      </c>
      <c r="E148" s="14" t="s">
        <v>3011</v>
      </c>
      <c r="F148" s="18" t="s">
        <v>1307</v>
      </c>
      <c r="G148" s="27">
        <v>2</v>
      </c>
      <c r="H148" s="27">
        <f>G148*G145</f>
        <v>102</v>
      </c>
      <c r="I148" s="25">
        <v>7000</v>
      </c>
      <c r="J148" s="25"/>
      <c r="K148" s="1053"/>
      <c r="L148" s="23"/>
      <c r="M148" s="23"/>
      <c r="N148" s="807">
        <f>ROUND($G148*I148,0)</f>
        <v>14000</v>
      </c>
      <c r="O148" s="807"/>
      <c r="P148" s="1061"/>
      <c r="Q148" s="1061"/>
      <c r="R148" s="1061"/>
    </row>
    <row r="149" spans="1:18" s="15" customFormat="1">
      <c r="A149" s="1183" t="s">
        <v>865</v>
      </c>
      <c r="B149" s="571"/>
      <c r="C149" s="571"/>
      <c r="D149" s="639">
        <v>43816250</v>
      </c>
      <c r="E149" s="14" t="s">
        <v>3018</v>
      </c>
      <c r="F149" s="18" t="s">
        <v>1307</v>
      </c>
      <c r="G149" s="27">
        <v>2</v>
      </c>
      <c r="H149" s="27">
        <f>G149*G145</f>
        <v>102</v>
      </c>
      <c r="I149" s="25">
        <v>15600</v>
      </c>
      <c r="J149" s="25"/>
      <c r="K149" s="1053"/>
      <c r="L149" s="23"/>
      <c r="M149" s="23"/>
      <c r="N149" s="807">
        <f>ROUND($G149*I149,0)</f>
        <v>31200</v>
      </c>
      <c r="O149" s="807"/>
      <c r="P149" s="1061"/>
      <c r="Q149" s="1061"/>
      <c r="R149" s="1061"/>
    </row>
    <row r="150" spans="1:18" s="15" customFormat="1">
      <c r="A150" s="1183" t="s">
        <v>866</v>
      </c>
      <c r="B150" s="571"/>
      <c r="C150" s="571"/>
      <c r="D150" s="639">
        <v>0</v>
      </c>
      <c r="E150" s="14" t="s">
        <v>4038</v>
      </c>
      <c r="F150" s="18" t="s">
        <v>1307</v>
      </c>
      <c r="G150" s="27">
        <v>8</v>
      </c>
      <c r="H150" s="27">
        <f>G150*G145</f>
        <v>408</v>
      </c>
      <c r="I150" s="25">
        <v>2300</v>
      </c>
      <c r="J150" s="25"/>
      <c r="K150" s="1053"/>
      <c r="L150" s="23"/>
      <c r="M150" s="23"/>
      <c r="N150" s="807">
        <f>ROUND($G150*I150,0)</f>
        <v>18400</v>
      </c>
      <c r="O150" s="807"/>
      <c r="P150" s="1061"/>
      <c r="Q150" s="1061"/>
      <c r="R150" s="1061"/>
    </row>
    <row r="151" spans="1:18" s="15" customFormat="1">
      <c r="A151" s="1123" t="s">
        <v>5211</v>
      </c>
      <c r="B151" s="571"/>
      <c r="C151" s="571" t="s">
        <v>5211</v>
      </c>
      <c r="D151" s="639"/>
      <c r="E151" s="14" t="s">
        <v>6535</v>
      </c>
      <c r="F151" s="18" t="s">
        <v>1297</v>
      </c>
      <c r="G151" s="28">
        <v>1</v>
      </c>
      <c r="H151" s="28"/>
      <c r="I151" s="23"/>
      <c r="J151" s="23"/>
      <c r="K151" s="25">
        <v>0</v>
      </c>
      <c r="L151" s="25">
        <v>259904</v>
      </c>
      <c r="M151" s="25">
        <v>0</v>
      </c>
      <c r="N151" s="1061"/>
      <c r="O151" s="1061"/>
      <c r="P151" s="807">
        <f>ROUND($G151*K151,0)</f>
        <v>0</v>
      </c>
      <c r="Q151" s="807">
        <f>ROUND($G151*L151,0)</f>
        <v>259904</v>
      </c>
      <c r="R151" s="807">
        <f>ROUND($G151*M151,0)</f>
        <v>0</v>
      </c>
    </row>
    <row r="152" spans="1:18" s="15" customFormat="1">
      <c r="A152" s="252">
        <f>A145</f>
        <v>9</v>
      </c>
      <c r="B152" s="19"/>
      <c r="C152" s="571"/>
      <c r="D152" s="639"/>
      <c r="E152" s="14"/>
      <c r="F152" s="18"/>
      <c r="G152" s="1057"/>
      <c r="H152" s="1057"/>
      <c r="I152" s="23"/>
      <c r="J152" s="23"/>
      <c r="K152" s="23"/>
      <c r="L152" s="23"/>
      <c r="M152" s="23"/>
      <c r="N152" s="1345"/>
      <c r="O152" s="1345"/>
      <c r="P152" s="1345"/>
      <c r="Q152" s="1346"/>
      <c r="R152" s="1347"/>
    </row>
    <row r="153" spans="1:18" s="15" customFormat="1">
      <c r="A153" s="1048">
        <f>A152+1</f>
        <v>10</v>
      </c>
      <c r="B153" s="657" t="str">
        <f>"II."&amp;+A153</f>
        <v>II.10</v>
      </c>
      <c r="C153" s="571"/>
      <c r="D153" s="639"/>
      <c r="E153" s="806" t="s">
        <v>1841</v>
      </c>
      <c r="F153" s="24" t="s">
        <v>1297</v>
      </c>
      <c r="G153" s="26">
        <f>tkeTA_hh!AA129</f>
        <v>26</v>
      </c>
      <c r="H153" s="26"/>
      <c r="I153" s="1070"/>
      <c r="J153" s="1070"/>
      <c r="K153" s="1070"/>
      <c r="L153" s="1071"/>
      <c r="M153" s="1070"/>
      <c r="N153" s="1055">
        <f>SUM(N154:N159)</f>
        <v>63600</v>
      </c>
      <c r="O153" s="1055"/>
      <c r="P153" s="1055">
        <f>SUM(P154:P159)</f>
        <v>0</v>
      </c>
      <c r="Q153" s="1055">
        <f>SUM(Q154:Q159)</f>
        <v>259904</v>
      </c>
      <c r="R153" s="1055">
        <f>SUM(R154:R159)</f>
        <v>0</v>
      </c>
    </row>
    <row r="154" spans="1:18" s="15" customFormat="1">
      <c r="A154" s="1183" t="s">
        <v>3995</v>
      </c>
      <c r="B154" s="571"/>
      <c r="C154" s="571"/>
      <c r="D154" s="639">
        <v>30600081</v>
      </c>
      <c r="E154" s="14" t="s">
        <v>3996</v>
      </c>
      <c r="F154" s="18" t="s">
        <v>1307</v>
      </c>
      <c r="G154" s="27">
        <v>1</v>
      </c>
      <c r="H154" s="27">
        <f>G154*G153</f>
        <v>26</v>
      </c>
      <c r="I154" s="25" t="s">
        <v>1838</v>
      </c>
      <c r="J154" s="25"/>
      <c r="K154" s="1053"/>
      <c r="L154" s="23"/>
      <c r="M154" s="23"/>
      <c r="N154" s="807" t="s">
        <v>1838</v>
      </c>
      <c r="O154" s="807"/>
      <c r="P154" s="1061"/>
      <c r="Q154" s="1061"/>
      <c r="R154" s="1061"/>
    </row>
    <row r="155" spans="1:18" s="15" customFormat="1">
      <c r="A155" s="1183" t="s">
        <v>1060</v>
      </c>
      <c r="B155" s="571"/>
      <c r="C155" s="571"/>
      <c r="D155" s="639">
        <v>30620920</v>
      </c>
      <c r="E155" s="14" t="s">
        <v>2399</v>
      </c>
      <c r="F155" s="18" t="s">
        <v>1307</v>
      </c>
      <c r="G155" s="27">
        <v>2</v>
      </c>
      <c r="H155" s="27">
        <f>G155*G153</f>
        <v>52</v>
      </c>
      <c r="I155" s="25" t="s">
        <v>1838</v>
      </c>
      <c r="J155" s="25"/>
      <c r="K155" s="1053"/>
      <c r="L155" s="23"/>
      <c r="M155" s="23"/>
      <c r="N155" s="807" t="s">
        <v>1838</v>
      </c>
      <c r="O155" s="807"/>
      <c r="P155" s="1061"/>
      <c r="Q155" s="1061"/>
      <c r="R155" s="1061"/>
    </row>
    <row r="156" spans="1:18" s="15" customFormat="1">
      <c r="A156" s="1183" t="s">
        <v>3010</v>
      </c>
      <c r="B156" s="571"/>
      <c r="C156" s="571"/>
      <c r="D156" s="639">
        <v>43816050</v>
      </c>
      <c r="E156" s="14" t="s">
        <v>3011</v>
      </c>
      <c r="F156" s="18" t="s">
        <v>1307</v>
      </c>
      <c r="G156" s="27">
        <v>2</v>
      </c>
      <c r="H156" s="27">
        <f>G156*G153</f>
        <v>52</v>
      </c>
      <c r="I156" s="25">
        <v>7000</v>
      </c>
      <c r="J156" s="25"/>
      <c r="K156" s="1053"/>
      <c r="L156" s="23"/>
      <c r="M156" s="23"/>
      <c r="N156" s="807">
        <f>ROUND($G156*I156,0)</f>
        <v>14000</v>
      </c>
      <c r="O156" s="807"/>
      <c r="P156" s="1061"/>
      <c r="Q156" s="1061"/>
      <c r="R156" s="1061"/>
    </row>
    <row r="157" spans="1:18" s="15" customFormat="1">
      <c r="A157" s="1183" t="s">
        <v>865</v>
      </c>
      <c r="B157" s="571"/>
      <c r="C157" s="571"/>
      <c r="D157" s="639">
        <v>43816250</v>
      </c>
      <c r="E157" s="14" t="s">
        <v>3018</v>
      </c>
      <c r="F157" s="18" t="s">
        <v>1307</v>
      </c>
      <c r="G157" s="27">
        <v>2</v>
      </c>
      <c r="H157" s="27">
        <f>G157*G153</f>
        <v>52</v>
      </c>
      <c r="I157" s="25">
        <v>15600</v>
      </c>
      <c r="J157" s="25"/>
      <c r="K157" s="1053"/>
      <c r="L157" s="23"/>
      <c r="M157" s="23"/>
      <c r="N157" s="807">
        <f>ROUND($G157*I157,0)</f>
        <v>31200</v>
      </c>
      <c r="O157" s="807"/>
      <c r="P157" s="1061"/>
      <c r="Q157" s="1061"/>
      <c r="R157" s="1061"/>
    </row>
    <row r="158" spans="1:18" s="15" customFormat="1">
      <c r="A158" s="1183" t="s">
        <v>866</v>
      </c>
      <c r="B158" s="571"/>
      <c r="C158" s="571"/>
      <c r="D158" s="639">
        <v>0</v>
      </c>
      <c r="E158" s="14" t="s">
        <v>4038</v>
      </c>
      <c r="F158" s="18" t="s">
        <v>1307</v>
      </c>
      <c r="G158" s="27">
        <v>8</v>
      </c>
      <c r="H158" s="27">
        <f>G158*G153</f>
        <v>208</v>
      </c>
      <c r="I158" s="25">
        <v>2300</v>
      </c>
      <c r="J158" s="25"/>
      <c r="K158" s="1053"/>
      <c r="L158" s="23"/>
      <c r="M158" s="23"/>
      <c r="N158" s="807">
        <f>ROUND($G158*I158,0)</f>
        <v>18400</v>
      </c>
      <c r="O158" s="807"/>
      <c r="P158" s="1061"/>
      <c r="Q158" s="1061"/>
      <c r="R158" s="1061"/>
    </row>
    <row r="159" spans="1:18" s="15" customFormat="1">
      <c r="A159" s="1123" t="s">
        <v>5211</v>
      </c>
      <c r="B159" s="571"/>
      <c r="C159" s="571" t="s">
        <v>5211</v>
      </c>
      <c r="D159" s="639"/>
      <c r="E159" s="14" t="s">
        <v>6535</v>
      </c>
      <c r="F159" s="18" t="s">
        <v>1297</v>
      </c>
      <c r="G159" s="28">
        <v>1</v>
      </c>
      <c r="H159" s="28"/>
      <c r="I159" s="23"/>
      <c r="J159" s="23"/>
      <c r="K159" s="25">
        <v>0</v>
      </c>
      <c r="L159" s="25">
        <v>259904</v>
      </c>
      <c r="M159" s="25">
        <v>0</v>
      </c>
      <c r="N159" s="1061"/>
      <c r="O159" s="1061"/>
      <c r="P159" s="807">
        <f>ROUND($G159*K159,0)</f>
        <v>0</v>
      </c>
      <c r="Q159" s="807">
        <f>ROUND($G159*L159,0)</f>
        <v>259904</v>
      </c>
      <c r="R159" s="807">
        <f>ROUND($G159*M159,0)</f>
        <v>0</v>
      </c>
    </row>
    <row r="160" spans="1:18" s="15" customFormat="1">
      <c r="A160" s="252">
        <f>A153</f>
        <v>10</v>
      </c>
      <c r="B160" s="19"/>
      <c r="C160" s="571"/>
      <c r="D160" s="639"/>
      <c r="E160" s="14"/>
      <c r="F160" s="18"/>
      <c r="G160" s="1057"/>
      <c r="H160" s="1057"/>
      <c r="I160" s="23"/>
      <c r="J160" s="23"/>
      <c r="K160" s="23"/>
      <c r="L160" s="23"/>
      <c r="M160" s="23"/>
      <c r="N160" s="1345"/>
      <c r="O160" s="1345"/>
      <c r="P160" s="1345"/>
      <c r="Q160" s="1346"/>
      <c r="R160" s="1347"/>
    </row>
    <row r="161" spans="1:18" s="15" customFormat="1">
      <c r="A161" s="1048">
        <f>A160+1</f>
        <v>11</v>
      </c>
      <c r="B161" s="657" t="str">
        <f>"II."&amp;+A161</f>
        <v>II.11</v>
      </c>
      <c r="C161" s="571"/>
      <c r="D161" s="639"/>
      <c r="E161" s="1049" t="s">
        <v>708</v>
      </c>
      <c r="F161" s="24" t="s">
        <v>1297</v>
      </c>
      <c r="G161" s="26">
        <f>tkeTA2!R93</f>
        <v>16</v>
      </c>
      <c r="H161" s="26"/>
      <c r="I161" s="1070"/>
      <c r="J161" s="1070"/>
      <c r="K161" s="1070"/>
      <c r="L161" s="1071"/>
      <c r="M161" s="1070"/>
      <c r="N161" s="1055">
        <f>SUM(N162:N165)</f>
        <v>134000</v>
      </c>
      <c r="O161" s="1055">
        <f>SUM(O162:O165)</f>
        <v>0</v>
      </c>
      <c r="P161" s="1055">
        <f>SUM(P162:P165)</f>
        <v>0</v>
      </c>
      <c r="Q161" s="1055">
        <f>SUM(Q162:Q165)</f>
        <v>155942</v>
      </c>
      <c r="R161" s="1055">
        <f>SUM(R162:R165)</f>
        <v>0</v>
      </c>
    </row>
    <row r="162" spans="1:18" s="15" customFormat="1">
      <c r="A162" s="1183" t="s">
        <v>431</v>
      </c>
      <c r="B162" s="571"/>
      <c r="C162" s="571"/>
      <c r="D162" s="639">
        <v>0</v>
      </c>
      <c r="E162" s="14" t="s">
        <v>3174</v>
      </c>
      <c r="F162" s="18" t="s">
        <v>1307</v>
      </c>
      <c r="G162" s="27">
        <v>1</v>
      </c>
      <c r="H162" s="27">
        <f>G162*G161</f>
        <v>16</v>
      </c>
      <c r="I162" s="25">
        <v>93600</v>
      </c>
      <c r="J162" s="25"/>
      <c r="K162" s="1053"/>
      <c r="L162" s="23"/>
      <c r="M162" s="23"/>
      <c r="N162" s="807">
        <f t="shared" ref="N162:O164" si="16">ROUND($G162*I162,0)</f>
        <v>93600</v>
      </c>
      <c r="O162" s="807">
        <f t="shared" si="16"/>
        <v>0</v>
      </c>
      <c r="P162" s="1061"/>
      <c r="Q162" s="1061"/>
      <c r="R162" s="1061"/>
    </row>
    <row r="163" spans="1:18" s="15" customFormat="1">
      <c r="A163" s="1183" t="s">
        <v>865</v>
      </c>
      <c r="B163" s="571"/>
      <c r="C163" s="571"/>
      <c r="D163" s="639">
        <v>43816250</v>
      </c>
      <c r="E163" s="14" t="s">
        <v>3018</v>
      </c>
      <c r="F163" s="18" t="s">
        <v>1307</v>
      </c>
      <c r="G163" s="27">
        <v>2</v>
      </c>
      <c r="H163" s="27">
        <f>G163*G161</f>
        <v>32</v>
      </c>
      <c r="I163" s="25">
        <v>15600</v>
      </c>
      <c r="J163" s="25"/>
      <c r="K163" s="1053"/>
      <c r="L163" s="23"/>
      <c r="M163" s="23"/>
      <c r="N163" s="807">
        <f t="shared" si="16"/>
        <v>31200</v>
      </c>
      <c r="O163" s="807">
        <f t="shared" si="16"/>
        <v>0</v>
      </c>
      <c r="P163" s="1061"/>
      <c r="Q163" s="1061"/>
      <c r="R163" s="1061"/>
    </row>
    <row r="164" spans="1:18" s="15" customFormat="1">
      <c r="A164" s="1183" t="s">
        <v>866</v>
      </c>
      <c r="B164" s="571"/>
      <c r="C164" s="571"/>
      <c r="D164" s="639">
        <v>0</v>
      </c>
      <c r="E164" s="14" t="s">
        <v>4038</v>
      </c>
      <c r="F164" s="18" t="s">
        <v>1307</v>
      </c>
      <c r="G164" s="27">
        <v>4</v>
      </c>
      <c r="H164" s="27">
        <f>G164*G161</f>
        <v>64</v>
      </c>
      <c r="I164" s="25">
        <v>2300</v>
      </c>
      <c r="J164" s="25"/>
      <c r="K164" s="1053"/>
      <c r="L164" s="23"/>
      <c r="M164" s="23"/>
      <c r="N164" s="807">
        <f t="shared" si="16"/>
        <v>9200</v>
      </c>
      <c r="O164" s="807">
        <f t="shared" si="16"/>
        <v>0</v>
      </c>
      <c r="P164" s="1061"/>
      <c r="Q164" s="1061"/>
      <c r="R164" s="1061"/>
    </row>
    <row r="165" spans="1:18" s="15" customFormat="1">
      <c r="A165" s="1123" t="s">
        <v>5930</v>
      </c>
      <c r="B165" s="571"/>
      <c r="C165" s="571" t="s">
        <v>5930</v>
      </c>
      <c r="D165" s="639"/>
      <c r="E165" s="14" t="s">
        <v>6536</v>
      </c>
      <c r="F165" s="18" t="s">
        <v>1297</v>
      </c>
      <c r="G165" s="27">
        <v>1</v>
      </c>
      <c r="H165" s="27"/>
      <c r="I165" s="23"/>
      <c r="J165" s="23"/>
      <c r="K165" s="25">
        <v>0</v>
      </c>
      <c r="L165" s="25">
        <v>155942</v>
      </c>
      <c r="M165" s="25">
        <v>0</v>
      </c>
      <c r="N165" s="1061"/>
      <c r="O165" s="1061"/>
      <c r="P165" s="807">
        <f>ROUND($G165*K165,0)</f>
        <v>0</v>
      </c>
      <c r="Q165" s="807">
        <f>ROUND($G165*L165,0)</f>
        <v>155942</v>
      </c>
      <c r="R165" s="807">
        <f>ROUND($G165*M165,0)</f>
        <v>0</v>
      </c>
    </row>
    <row r="166" spans="1:18" s="15" customFormat="1">
      <c r="A166" s="252">
        <f>A161</f>
        <v>11</v>
      </c>
      <c r="B166" s="19"/>
      <c r="C166" s="19"/>
      <c r="D166" s="251"/>
      <c r="E166" s="20"/>
      <c r="F166" s="18"/>
      <c r="G166" s="1074"/>
      <c r="H166" s="1074"/>
      <c r="I166" s="21"/>
      <c r="J166" s="21"/>
      <c r="K166" s="21"/>
      <c r="L166" s="21"/>
      <c r="M166" s="21"/>
      <c r="N166" s="31"/>
      <c r="O166" s="31"/>
      <c r="P166" s="31"/>
      <c r="Q166" s="31"/>
      <c r="R166" s="31"/>
    </row>
    <row r="167" spans="1:18" s="15" customFormat="1">
      <c r="A167" s="1048">
        <f>A166+1</f>
        <v>12</v>
      </c>
      <c r="B167" s="657" t="str">
        <f>"II."&amp;+A167</f>
        <v>II.12</v>
      </c>
      <c r="C167" s="571"/>
      <c r="D167" s="639"/>
      <c r="E167" s="1049" t="s">
        <v>5494</v>
      </c>
      <c r="F167" s="24" t="s">
        <v>1297</v>
      </c>
      <c r="G167" s="26">
        <f>tkeTA2!S93</f>
        <v>5</v>
      </c>
      <c r="H167" s="26"/>
      <c r="I167" s="1070"/>
      <c r="J167" s="1070"/>
      <c r="K167" s="1070"/>
      <c r="L167" s="1071"/>
      <c r="M167" s="1070"/>
      <c r="N167" s="1055">
        <f>SUM(N168:N171)</f>
        <v>237200</v>
      </c>
      <c r="O167" s="1055"/>
      <c r="P167" s="1055">
        <f>SUM(P168:P171)</f>
        <v>0</v>
      </c>
      <c r="Q167" s="1055">
        <f>SUM(Q168:Q171)</f>
        <v>311884</v>
      </c>
      <c r="R167" s="1055">
        <f>SUM(R168:R171)</f>
        <v>0</v>
      </c>
    </row>
    <row r="168" spans="1:18" s="15" customFormat="1">
      <c r="A168" s="1183" t="s">
        <v>432</v>
      </c>
      <c r="B168" s="571"/>
      <c r="C168" s="571"/>
      <c r="D168" s="639">
        <v>0</v>
      </c>
      <c r="E168" s="14" t="s">
        <v>3175</v>
      </c>
      <c r="F168" s="18" t="s">
        <v>1307</v>
      </c>
      <c r="G168" s="27">
        <v>2</v>
      </c>
      <c r="H168" s="27">
        <f>G168*G167</f>
        <v>10</v>
      </c>
      <c r="I168" s="25">
        <v>96000</v>
      </c>
      <c r="J168" s="25"/>
      <c r="K168" s="1053"/>
      <c r="L168" s="23"/>
      <c r="M168" s="23"/>
      <c r="N168" s="807">
        <f>ROUND($G168*I168,0)</f>
        <v>192000</v>
      </c>
      <c r="O168" s="807"/>
      <c r="P168" s="1061"/>
      <c r="Q168" s="1061"/>
      <c r="R168" s="1061"/>
    </row>
    <row r="169" spans="1:18" s="15" customFormat="1">
      <c r="A169" s="1183" t="s">
        <v>3019</v>
      </c>
      <c r="B169" s="571"/>
      <c r="C169" s="571"/>
      <c r="D169" s="639">
        <v>43816300</v>
      </c>
      <c r="E169" s="14" t="s">
        <v>3439</v>
      </c>
      <c r="F169" s="18" t="s">
        <v>1307</v>
      </c>
      <c r="G169" s="27">
        <v>2</v>
      </c>
      <c r="H169" s="27">
        <f>G169*G167</f>
        <v>10</v>
      </c>
      <c r="I169" s="25">
        <v>18000</v>
      </c>
      <c r="J169" s="25"/>
      <c r="K169" s="1053"/>
      <c r="L169" s="23"/>
      <c r="M169" s="23"/>
      <c r="N169" s="807">
        <f>ROUND($G169*I169,0)</f>
        <v>36000</v>
      </c>
      <c r="O169" s="807"/>
      <c r="P169" s="1061"/>
      <c r="Q169" s="1061"/>
      <c r="R169" s="1061"/>
    </row>
    <row r="170" spans="1:18" s="15" customFormat="1">
      <c r="A170" s="1183" t="s">
        <v>866</v>
      </c>
      <c r="B170" s="571"/>
      <c r="C170" s="571"/>
      <c r="D170" s="639">
        <v>0</v>
      </c>
      <c r="E170" s="14" t="s">
        <v>4038</v>
      </c>
      <c r="F170" s="18" t="s">
        <v>1307</v>
      </c>
      <c r="G170" s="27">
        <v>4</v>
      </c>
      <c r="H170" s="27">
        <f>G170*G167</f>
        <v>20</v>
      </c>
      <c r="I170" s="25">
        <v>2300</v>
      </c>
      <c r="J170" s="25"/>
      <c r="K170" s="1053"/>
      <c r="L170" s="23"/>
      <c r="M170" s="23"/>
      <c r="N170" s="807">
        <f>ROUND($G170*I170,0)</f>
        <v>9200</v>
      </c>
      <c r="O170" s="807"/>
      <c r="P170" s="1061"/>
      <c r="Q170" s="1061"/>
      <c r="R170" s="1061"/>
    </row>
    <row r="171" spans="1:18" s="15" customFormat="1">
      <c r="A171" s="1123" t="s">
        <v>5930</v>
      </c>
      <c r="B171" s="571"/>
      <c r="C171" s="571" t="s">
        <v>5930</v>
      </c>
      <c r="D171" s="639"/>
      <c r="E171" s="14" t="s">
        <v>6536</v>
      </c>
      <c r="F171" s="18" t="s">
        <v>1297</v>
      </c>
      <c r="G171" s="27">
        <v>2</v>
      </c>
      <c r="H171" s="27"/>
      <c r="I171" s="23"/>
      <c r="J171" s="23"/>
      <c r="K171" s="25">
        <v>0</v>
      </c>
      <c r="L171" s="25">
        <v>155942</v>
      </c>
      <c r="M171" s="25">
        <v>0</v>
      </c>
      <c r="N171" s="1061"/>
      <c r="O171" s="1061"/>
      <c r="P171" s="807">
        <f>ROUND($G171*K171,0)</f>
        <v>0</v>
      </c>
      <c r="Q171" s="807">
        <f>ROUND($G171*L171,0)</f>
        <v>311884</v>
      </c>
      <c r="R171" s="807">
        <f>ROUND($G171*M171,0)</f>
        <v>0</v>
      </c>
    </row>
    <row r="172" spans="1:18" s="15" customFormat="1">
      <c r="A172" s="252">
        <f>A167</f>
        <v>12</v>
      </c>
      <c r="B172" s="19"/>
      <c r="C172" s="19"/>
      <c r="D172" s="251"/>
      <c r="E172" s="20"/>
      <c r="F172" s="18"/>
      <c r="G172" s="1074"/>
      <c r="H172" s="1074"/>
      <c r="I172" s="21"/>
      <c r="J172" s="21"/>
      <c r="K172" s="21"/>
      <c r="L172" s="21"/>
      <c r="M172" s="21"/>
      <c r="N172" s="31"/>
      <c r="O172" s="31"/>
      <c r="P172" s="31"/>
      <c r="Q172" s="31"/>
      <c r="R172" s="31"/>
    </row>
    <row r="173" spans="1:18" s="15" customFormat="1">
      <c r="A173" s="1048">
        <f>A172+1</f>
        <v>13</v>
      </c>
      <c r="B173" s="657" t="str">
        <f>"II."&amp;+A173</f>
        <v>II.13</v>
      </c>
      <c r="C173" s="231"/>
      <c r="D173" s="231"/>
      <c r="E173" s="1341" t="s">
        <v>2167</v>
      </c>
      <c r="F173" s="1225" t="s">
        <v>1297</v>
      </c>
      <c r="G173" s="233">
        <f>tkeTA2!Q93</f>
        <v>2</v>
      </c>
      <c r="H173" s="233"/>
      <c r="I173" s="1318"/>
      <c r="J173" s="1318"/>
      <c r="K173" s="1318"/>
      <c r="L173" s="1319"/>
      <c r="M173" s="1318"/>
      <c r="N173" s="1107">
        <f>SUM(N174:N177)</f>
        <v>190400</v>
      </c>
      <c r="O173" s="1107"/>
      <c r="P173" s="1107">
        <f>SUM(P174:P177)</f>
        <v>2511</v>
      </c>
      <c r="Q173" s="1107">
        <f>SUM(Q174:Q177)</f>
        <v>121000</v>
      </c>
      <c r="R173" s="1107">
        <f>SUM(R174:R177)</f>
        <v>0</v>
      </c>
    </row>
    <row r="174" spans="1:18" s="15" customFormat="1">
      <c r="A174" s="1183" t="s">
        <v>114</v>
      </c>
      <c r="B174" s="571"/>
      <c r="C174" s="571"/>
      <c r="D174" s="639">
        <v>30660240</v>
      </c>
      <c r="E174" s="14" t="s">
        <v>101</v>
      </c>
      <c r="F174" s="18" t="s">
        <v>1307</v>
      </c>
      <c r="G174" s="28">
        <v>1</v>
      </c>
      <c r="H174" s="27">
        <f>G174*G173</f>
        <v>2</v>
      </c>
      <c r="I174" s="25">
        <v>150000</v>
      </c>
      <c r="J174" s="25"/>
      <c r="K174" s="1053"/>
      <c r="L174" s="23"/>
      <c r="M174" s="23"/>
      <c r="N174" s="807">
        <f>ROUND($G174*I174,0)</f>
        <v>150000</v>
      </c>
      <c r="O174" s="807"/>
      <c r="P174" s="1061"/>
      <c r="Q174" s="1061"/>
      <c r="R174" s="1061"/>
    </row>
    <row r="175" spans="1:18" s="15" customFormat="1">
      <c r="A175" s="1183" t="s">
        <v>865</v>
      </c>
      <c r="B175" s="571"/>
      <c r="C175" s="571"/>
      <c r="D175" s="639">
        <v>43816250</v>
      </c>
      <c r="E175" s="14" t="s">
        <v>3018</v>
      </c>
      <c r="F175" s="18" t="s">
        <v>1307</v>
      </c>
      <c r="G175" s="28">
        <v>2</v>
      </c>
      <c r="H175" s="27">
        <f>G175*G173</f>
        <v>4</v>
      </c>
      <c r="I175" s="25">
        <v>15600</v>
      </c>
      <c r="J175" s="25"/>
      <c r="K175" s="1053"/>
      <c r="L175" s="23"/>
      <c r="M175" s="23"/>
      <c r="N175" s="807">
        <f>ROUND($G175*I175,0)</f>
        <v>31200</v>
      </c>
      <c r="O175" s="807"/>
      <c r="P175" s="1061"/>
      <c r="Q175" s="1061"/>
      <c r="R175" s="1061"/>
    </row>
    <row r="176" spans="1:18" s="15" customFormat="1">
      <c r="A176" s="30" t="s">
        <v>866</v>
      </c>
      <c r="B176" s="571"/>
      <c r="C176" s="571"/>
      <c r="D176" s="1344"/>
      <c r="E176" s="14" t="s">
        <v>4038</v>
      </c>
      <c r="F176" s="18" t="s">
        <v>1307</v>
      </c>
      <c r="G176" s="28">
        <v>4</v>
      </c>
      <c r="H176" s="27">
        <f>G176*G173</f>
        <v>8</v>
      </c>
      <c r="I176" s="25">
        <v>2300</v>
      </c>
      <c r="J176" s="25"/>
      <c r="K176" s="1053"/>
      <c r="L176" s="23"/>
      <c r="M176" s="23"/>
      <c r="N176" s="807">
        <f>ROUND($G176*I176,0)</f>
        <v>9200</v>
      </c>
      <c r="O176" s="807"/>
      <c r="P176" s="1061"/>
      <c r="Q176" s="1061"/>
      <c r="R176" s="1061"/>
    </row>
    <row r="177" spans="1:18" s="15" customFormat="1">
      <c r="A177" s="1184" t="s">
        <v>4929</v>
      </c>
      <c r="B177" s="571"/>
      <c r="C177" s="571" t="s">
        <v>4929</v>
      </c>
      <c r="D177" s="571"/>
      <c r="E177" s="14" t="s">
        <v>3881</v>
      </c>
      <c r="F177" s="18" t="s">
        <v>1297</v>
      </c>
      <c r="G177" s="28">
        <v>1</v>
      </c>
      <c r="H177" s="27"/>
      <c r="I177" s="23"/>
      <c r="J177" s="23"/>
      <c r="K177" s="25">
        <v>2511</v>
      </c>
      <c r="L177" s="25">
        <v>121000</v>
      </c>
      <c r="M177" s="25">
        <v>0</v>
      </c>
      <c r="N177" s="1061"/>
      <c r="O177" s="1061"/>
      <c r="P177" s="807">
        <f>ROUND($G177*K177,0)</f>
        <v>2511</v>
      </c>
      <c r="Q177" s="807">
        <f>ROUND($G177*L177,0)</f>
        <v>121000</v>
      </c>
      <c r="R177" s="807">
        <f>ROUND($G177*M177,0)</f>
        <v>0</v>
      </c>
    </row>
    <row r="178" spans="1:18" s="15" customFormat="1">
      <c r="A178" s="252">
        <f>A173</f>
        <v>13</v>
      </c>
      <c r="B178" s="571"/>
      <c r="C178" s="571"/>
      <c r="D178" s="571"/>
      <c r="E178" s="14"/>
      <c r="F178" s="18"/>
      <c r="G178" s="1057"/>
      <c r="H178" s="1057"/>
      <c r="I178" s="23"/>
      <c r="J178" s="23"/>
      <c r="K178" s="23"/>
      <c r="L178" s="23"/>
      <c r="M178" s="23"/>
      <c r="N178" s="1345"/>
      <c r="O178" s="1345"/>
      <c r="P178" s="1345"/>
      <c r="Q178" s="1346"/>
      <c r="R178" s="1347"/>
    </row>
    <row r="179" spans="1:18" s="15" customFormat="1" ht="15" customHeight="1">
      <c r="A179" s="1048">
        <f>A178+1</f>
        <v>14</v>
      </c>
      <c r="B179" s="657" t="str">
        <f>"II."&amp;+A179</f>
        <v>II.14</v>
      </c>
      <c r="C179" s="571"/>
      <c r="D179" s="571"/>
      <c r="E179" s="1483" t="s">
        <v>1891</v>
      </c>
      <c r="F179" s="24" t="s">
        <v>1297</v>
      </c>
      <c r="G179" s="26">
        <f>tkeTA2!AX93</f>
        <v>2</v>
      </c>
      <c r="H179" s="26"/>
      <c r="I179" s="1070"/>
      <c r="J179" s="1070"/>
      <c r="K179" s="1070"/>
      <c r="L179" s="1071"/>
      <c r="M179" s="1070"/>
      <c r="N179" s="1055">
        <f>SUM(N180:N183)</f>
        <v>82700</v>
      </c>
      <c r="O179" s="1055"/>
      <c r="P179" s="1055">
        <f>SUM(P180:P183)</f>
        <v>0</v>
      </c>
      <c r="Q179" s="1055">
        <f>SUM(Q180:Q183)</f>
        <v>44000</v>
      </c>
      <c r="R179" s="1055">
        <f>SUM(R180:R183)</f>
        <v>0</v>
      </c>
    </row>
    <row r="180" spans="1:18" s="15" customFormat="1" ht="15" customHeight="1">
      <c r="A180" s="38" t="s">
        <v>4934</v>
      </c>
      <c r="B180" s="571"/>
      <c r="C180" s="571"/>
      <c r="D180" s="571">
        <v>0</v>
      </c>
      <c r="E180" s="14" t="s">
        <v>6537</v>
      </c>
      <c r="F180" s="18" t="s">
        <v>1307</v>
      </c>
      <c r="G180" s="28">
        <v>1</v>
      </c>
      <c r="H180" s="27">
        <f>G180*G179</f>
        <v>2</v>
      </c>
      <c r="I180" s="25">
        <v>60000</v>
      </c>
      <c r="J180" s="25"/>
      <c r="K180" s="1053"/>
      <c r="L180" s="23"/>
      <c r="M180" s="23"/>
      <c r="N180" s="807">
        <f>ROUND($G180*I180,0)</f>
        <v>60000</v>
      </c>
      <c r="O180" s="807"/>
      <c r="P180" s="1061"/>
      <c r="Q180" s="1061"/>
      <c r="R180" s="1061"/>
    </row>
    <row r="181" spans="1:18" s="15" customFormat="1" ht="15" customHeight="1">
      <c r="A181" s="38" t="s">
        <v>3440</v>
      </c>
      <c r="B181" s="571"/>
      <c r="C181" s="571"/>
      <c r="D181" s="571">
        <v>43816350</v>
      </c>
      <c r="E181" s="14" t="s">
        <v>3441</v>
      </c>
      <c r="F181" s="18" t="s">
        <v>1307</v>
      </c>
      <c r="G181" s="28">
        <v>1</v>
      </c>
      <c r="H181" s="27">
        <f>G181*G179</f>
        <v>2</v>
      </c>
      <c r="I181" s="25">
        <v>20400</v>
      </c>
      <c r="J181" s="25"/>
      <c r="K181" s="1053"/>
      <c r="L181" s="23"/>
      <c r="M181" s="23"/>
      <c r="N181" s="807">
        <f>ROUND($G181*I181,0)</f>
        <v>20400</v>
      </c>
      <c r="O181" s="807"/>
      <c r="P181" s="1061"/>
      <c r="Q181" s="1061"/>
      <c r="R181" s="1061"/>
    </row>
    <row r="182" spans="1:18" s="15" customFormat="1" ht="15" customHeight="1">
      <c r="A182" s="38" t="s">
        <v>866</v>
      </c>
      <c r="B182" s="571"/>
      <c r="C182" s="571"/>
      <c r="D182" s="571">
        <v>0</v>
      </c>
      <c r="E182" s="14" t="s">
        <v>4038</v>
      </c>
      <c r="F182" s="18" t="s">
        <v>1307</v>
      </c>
      <c r="G182" s="28">
        <v>1</v>
      </c>
      <c r="H182" s="27">
        <f>G182*G179</f>
        <v>2</v>
      </c>
      <c r="I182" s="25">
        <v>2300</v>
      </c>
      <c r="J182" s="25"/>
      <c r="K182" s="1053"/>
      <c r="L182" s="23"/>
      <c r="M182" s="23"/>
      <c r="N182" s="807">
        <f>ROUND($G182*I182,0)</f>
        <v>2300</v>
      </c>
      <c r="O182" s="807"/>
      <c r="P182" s="1061"/>
      <c r="Q182" s="1061"/>
      <c r="R182" s="1061"/>
    </row>
    <row r="183" spans="1:18" s="15" customFormat="1" ht="15" customHeight="1">
      <c r="A183" s="1120" t="s">
        <v>709</v>
      </c>
      <c r="B183" s="571"/>
      <c r="C183" s="571" t="s">
        <v>709</v>
      </c>
      <c r="D183" s="571"/>
      <c r="E183" s="14" t="s">
        <v>6538</v>
      </c>
      <c r="F183" s="18" t="s">
        <v>1297</v>
      </c>
      <c r="G183" s="29">
        <v>1</v>
      </c>
      <c r="H183" s="27">
        <f>G183*G179</f>
        <v>2</v>
      </c>
      <c r="I183" s="23"/>
      <c r="J183" s="25"/>
      <c r="K183" s="25">
        <v>0</v>
      </c>
      <c r="L183" s="25">
        <v>44000</v>
      </c>
      <c r="M183" s="25">
        <v>0</v>
      </c>
      <c r="N183" s="1061"/>
      <c r="O183" s="807"/>
      <c r="P183" s="807">
        <f>ROUND($G183*K183,0)</f>
        <v>0</v>
      </c>
      <c r="Q183" s="807">
        <f>ROUND($G183*L183,0)</f>
        <v>44000</v>
      </c>
      <c r="R183" s="807">
        <f>ROUND($G183*M183,0)</f>
        <v>0</v>
      </c>
    </row>
    <row r="184" spans="1:18" s="15" customFormat="1" ht="15" customHeight="1">
      <c r="A184" s="252">
        <f>A179</f>
        <v>14</v>
      </c>
      <c r="B184" s="571"/>
      <c r="C184" s="571"/>
      <c r="D184" s="571"/>
      <c r="E184" s="14"/>
      <c r="F184" s="18"/>
      <c r="G184" s="1057"/>
      <c r="H184" s="1057"/>
      <c r="I184" s="23"/>
      <c r="J184" s="23"/>
      <c r="K184" s="23"/>
      <c r="L184" s="23"/>
      <c r="M184" s="23"/>
      <c r="N184" s="1345"/>
      <c r="O184" s="1345"/>
      <c r="P184" s="1345"/>
      <c r="Q184" s="1346"/>
      <c r="R184" s="1347"/>
    </row>
    <row r="185" spans="1:18" s="15" customFormat="1" ht="15" customHeight="1">
      <c r="A185" s="1048">
        <f>A184+1</f>
        <v>15</v>
      </c>
      <c r="B185" s="657" t="str">
        <f>"II."&amp;+A185</f>
        <v>II.15</v>
      </c>
      <c r="C185" s="571"/>
      <c r="D185" s="639"/>
      <c r="E185" s="1049" t="s">
        <v>1796</v>
      </c>
      <c r="F185" s="24" t="s">
        <v>1297</v>
      </c>
      <c r="G185" s="26">
        <f>tkeTA2!X93</f>
        <v>1</v>
      </c>
      <c r="H185" s="26"/>
      <c r="I185" s="1070"/>
      <c r="J185" s="1070"/>
      <c r="K185" s="1070"/>
      <c r="L185" s="1071"/>
      <c r="M185" s="1070"/>
      <c r="N185" s="1055">
        <f>SUM(N186:N194)</f>
        <v>1004256</v>
      </c>
      <c r="O185" s="1055"/>
      <c r="P185" s="1055">
        <f>SUM(P186:P194)</f>
        <v>0</v>
      </c>
      <c r="Q185" s="1055">
        <f>SUM(Q186:Q194)</f>
        <v>99000</v>
      </c>
      <c r="R185" s="1055">
        <f>SUM(R186:R194)</f>
        <v>0</v>
      </c>
    </row>
    <row r="186" spans="1:18" s="15" customFormat="1" ht="15" customHeight="1">
      <c r="A186" s="1183" t="s">
        <v>2812</v>
      </c>
      <c r="B186" s="571"/>
      <c r="C186" s="571"/>
      <c r="D186" s="639">
        <v>0</v>
      </c>
      <c r="E186" s="14" t="s">
        <v>2813</v>
      </c>
      <c r="F186" s="18" t="s">
        <v>1307</v>
      </c>
      <c r="G186" s="28">
        <v>1</v>
      </c>
      <c r="H186" s="27">
        <f>G186*G185</f>
        <v>1</v>
      </c>
      <c r="I186" s="25">
        <v>28800</v>
      </c>
      <c r="J186" s="25"/>
      <c r="K186" s="1053"/>
      <c r="L186" s="23"/>
      <c r="M186" s="23"/>
      <c r="N186" s="807">
        <f t="shared" ref="N186:N193" si="17">ROUND($G186*I186,0)</f>
        <v>28800</v>
      </c>
      <c r="O186" s="807"/>
      <c r="P186" s="1061"/>
      <c r="Q186" s="1061"/>
      <c r="R186" s="1061"/>
    </row>
    <row r="187" spans="1:18" s="15" customFormat="1" ht="15" customHeight="1">
      <c r="A187" s="1183" t="s">
        <v>866</v>
      </c>
      <c r="B187" s="571"/>
      <c r="C187" s="571"/>
      <c r="D187" s="639">
        <v>0</v>
      </c>
      <c r="E187" s="14" t="s">
        <v>4038</v>
      </c>
      <c r="F187" s="18" t="s">
        <v>1307</v>
      </c>
      <c r="G187" s="28">
        <v>1</v>
      </c>
      <c r="H187" s="27">
        <f>G187*G185</f>
        <v>1</v>
      </c>
      <c r="I187" s="25">
        <v>2300</v>
      </c>
      <c r="J187" s="25"/>
      <c r="K187" s="1053"/>
      <c r="L187" s="23"/>
      <c r="M187" s="23"/>
      <c r="N187" s="807">
        <f t="shared" si="17"/>
        <v>2300</v>
      </c>
      <c r="O187" s="807"/>
      <c r="P187" s="1061"/>
      <c r="Q187" s="1061"/>
      <c r="R187" s="1061"/>
    </row>
    <row r="188" spans="1:18" s="15" customFormat="1">
      <c r="A188" s="1183" t="s">
        <v>4039</v>
      </c>
      <c r="B188" s="571"/>
      <c r="C188" s="571"/>
      <c r="D188" s="639">
        <v>47087092</v>
      </c>
      <c r="E188" s="14" t="s">
        <v>4040</v>
      </c>
      <c r="F188" s="18" t="s">
        <v>1307</v>
      </c>
      <c r="G188" s="28">
        <v>1</v>
      </c>
      <c r="H188" s="27">
        <f>G188*G185</f>
        <v>1</v>
      </c>
      <c r="I188" s="25">
        <v>11800</v>
      </c>
      <c r="J188" s="25"/>
      <c r="K188" s="1053"/>
      <c r="L188" s="23"/>
      <c r="M188" s="23"/>
      <c r="N188" s="807">
        <f t="shared" si="17"/>
        <v>11800</v>
      </c>
      <c r="O188" s="807"/>
      <c r="P188" s="1061"/>
      <c r="Q188" s="1061"/>
      <c r="R188" s="1061"/>
    </row>
    <row r="189" spans="1:18" s="15" customFormat="1">
      <c r="A189" s="1183" t="s">
        <v>2690</v>
      </c>
      <c r="B189" s="571"/>
      <c r="C189" s="571"/>
      <c r="D189" s="639">
        <v>59243210</v>
      </c>
      <c r="E189" s="14" t="s">
        <v>2691</v>
      </c>
      <c r="F189" s="18" t="s">
        <v>1307</v>
      </c>
      <c r="G189" s="28">
        <v>2</v>
      </c>
      <c r="H189" s="27">
        <f>G189*G185</f>
        <v>2</v>
      </c>
      <c r="I189" s="25">
        <v>18000</v>
      </c>
      <c r="J189" s="25"/>
      <c r="K189" s="1053"/>
      <c r="L189" s="23"/>
      <c r="M189" s="23"/>
      <c r="N189" s="807">
        <f t="shared" si="17"/>
        <v>36000</v>
      </c>
      <c r="O189" s="807"/>
      <c r="P189" s="1061"/>
      <c r="Q189" s="1061"/>
      <c r="R189" s="1061"/>
    </row>
    <row r="190" spans="1:18" s="15" customFormat="1">
      <c r="A190" s="1183" t="s">
        <v>6337</v>
      </c>
      <c r="B190" s="571"/>
      <c r="C190" s="571"/>
      <c r="D190" s="639">
        <v>32042190</v>
      </c>
      <c r="E190" s="14" t="s">
        <v>6338</v>
      </c>
      <c r="F190" s="18" t="s">
        <v>1307</v>
      </c>
      <c r="G190" s="28">
        <v>8</v>
      </c>
      <c r="H190" s="27">
        <f>G190*G185</f>
        <v>8</v>
      </c>
      <c r="I190" s="25">
        <v>49525</v>
      </c>
      <c r="J190" s="25"/>
      <c r="K190" s="1053"/>
      <c r="L190" s="23"/>
      <c r="M190" s="23"/>
      <c r="N190" s="807">
        <f t="shared" si="17"/>
        <v>396200</v>
      </c>
      <c r="O190" s="807"/>
      <c r="P190" s="1061"/>
      <c r="Q190" s="1061"/>
      <c r="R190" s="1061"/>
    </row>
    <row r="191" spans="1:18" s="15" customFormat="1">
      <c r="A191" s="1183" t="s">
        <v>5575</v>
      </c>
      <c r="B191" s="571"/>
      <c r="C191" s="571"/>
      <c r="D191" s="639">
        <v>31002602</v>
      </c>
      <c r="E191" s="14" t="s">
        <v>5576</v>
      </c>
      <c r="F191" s="18" t="s">
        <v>1307</v>
      </c>
      <c r="G191" s="28">
        <v>1</v>
      </c>
      <c r="H191" s="27">
        <f>G191*G185</f>
        <v>1</v>
      </c>
      <c r="I191" s="25">
        <v>38500</v>
      </c>
      <c r="J191" s="25"/>
      <c r="K191" s="1053"/>
      <c r="L191" s="23"/>
      <c r="M191" s="23"/>
      <c r="N191" s="807">
        <f t="shared" si="17"/>
        <v>38500</v>
      </c>
      <c r="O191" s="807"/>
      <c r="P191" s="1061"/>
      <c r="Q191" s="1061"/>
      <c r="R191" s="1061"/>
    </row>
    <row r="192" spans="1:18" s="15" customFormat="1">
      <c r="A192" s="1183" t="s">
        <v>4689</v>
      </c>
      <c r="B192" s="571"/>
      <c r="C192" s="571"/>
      <c r="D192" s="639">
        <v>0</v>
      </c>
      <c r="E192" s="14" t="s">
        <v>6539</v>
      </c>
      <c r="F192" s="18" t="s">
        <v>2660</v>
      </c>
      <c r="G192" s="1492">
        <f>22.4*0.45</f>
        <v>10.08</v>
      </c>
      <c r="H192" s="27">
        <f>G192*G185</f>
        <v>10.08</v>
      </c>
      <c r="I192" s="25">
        <v>40700</v>
      </c>
      <c r="J192" s="25"/>
      <c r="K192" s="1053"/>
      <c r="L192" s="23"/>
      <c r="M192" s="23"/>
      <c r="N192" s="807">
        <f t="shared" si="17"/>
        <v>410256</v>
      </c>
      <c r="O192" s="807"/>
      <c r="P192" s="1061"/>
      <c r="Q192" s="1061"/>
      <c r="R192" s="1061"/>
    </row>
    <row r="193" spans="1:18" s="15" customFormat="1">
      <c r="A193" s="1183" t="s">
        <v>5880</v>
      </c>
      <c r="B193" s="571"/>
      <c r="C193" s="571"/>
      <c r="D193" s="639">
        <v>89020202</v>
      </c>
      <c r="E193" s="14" t="s">
        <v>5881</v>
      </c>
      <c r="F193" s="18" t="s">
        <v>1307</v>
      </c>
      <c r="G193" s="28">
        <v>1</v>
      </c>
      <c r="H193" s="27">
        <f>G193*G185</f>
        <v>1</v>
      </c>
      <c r="I193" s="25">
        <v>80400</v>
      </c>
      <c r="J193" s="25"/>
      <c r="K193" s="1053"/>
      <c r="L193" s="23"/>
      <c r="M193" s="23"/>
      <c r="N193" s="807">
        <f t="shared" si="17"/>
        <v>80400</v>
      </c>
      <c r="O193" s="807"/>
      <c r="P193" s="1061"/>
      <c r="Q193" s="1061"/>
      <c r="R193" s="1061"/>
    </row>
    <row r="194" spans="1:18" s="15" customFormat="1">
      <c r="A194" s="1120" t="s">
        <v>742</v>
      </c>
      <c r="B194" s="571"/>
      <c r="C194" s="571" t="s">
        <v>742</v>
      </c>
      <c r="D194" s="639"/>
      <c r="E194" s="14" t="s">
        <v>6540</v>
      </c>
      <c r="F194" s="18" t="s">
        <v>1297</v>
      </c>
      <c r="G194" s="28">
        <v>1</v>
      </c>
      <c r="H194" s="28"/>
      <c r="I194" s="23"/>
      <c r="J194" s="23"/>
      <c r="K194" s="25">
        <v>0</v>
      </c>
      <c r="L194" s="25">
        <v>99000</v>
      </c>
      <c r="M194" s="25">
        <v>0</v>
      </c>
      <c r="N194" s="1061"/>
      <c r="O194" s="1061"/>
      <c r="P194" s="807">
        <f>ROUND($G194*K194,0)</f>
        <v>0</v>
      </c>
      <c r="Q194" s="807">
        <f>ROUND($G194*L194,0)</f>
        <v>99000</v>
      </c>
      <c r="R194" s="807">
        <f>ROUND($G194*M194,0)</f>
        <v>0</v>
      </c>
    </row>
    <row r="195" spans="1:18" s="15" customFormat="1">
      <c r="A195" s="252">
        <f>A185</f>
        <v>15</v>
      </c>
      <c r="B195" s="571"/>
      <c r="C195" s="571"/>
      <c r="D195" s="639"/>
      <c r="E195" s="14"/>
      <c r="F195" s="18"/>
      <c r="G195" s="28"/>
      <c r="H195" s="28"/>
      <c r="I195" s="23"/>
      <c r="J195" s="23"/>
      <c r="K195" s="23"/>
      <c r="L195" s="23"/>
      <c r="M195" s="23"/>
      <c r="N195" s="23"/>
      <c r="O195" s="23"/>
      <c r="P195" s="23"/>
      <c r="Q195" s="23"/>
      <c r="R195" s="23"/>
    </row>
    <row r="196" spans="1:18" s="15" customFormat="1">
      <c r="A196" s="1048">
        <f>A195+1</f>
        <v>16</v>
      </c>
      <c r="B196" s="657" t="str">
        <f>"II."&amp;+A196</f>
        <v>II.16</v>
      </c>
      <c r="C196" s="571"/>
      <c r="D196" s="639"/>
      <c r="E196" s="1049" t="s">
        <v>1797</v>
      </c>
      <c r="F196" s="24" t="s">
        <v>1297</v>
      </c>
      <c r="G196" s="26">
        <f>tkeTA2!W93</f>
        <v>3</v>
      </c>
      <c r="H196" s="26"/>
      <c r="I196" s="26"/>
      <c r="J196" s="26"/>
      <c r="K196" s="1070"/>
      <c r="L196" s="1070"/>
      <c r="M196" s="1071"/>
      <c r="N196" s="1055">
        <f>SUM(N197:N207)</f>
        <v>1389370</v>
      </c>
      <c r="O196" s="1055"/>
      <c r="P196" s="1055">
        <f>SUM(P197:P207)</f>
        <v>0</v>
      </c>
      <c r="Q196" s="1055">
        <f>SUM(Q197:Q207)</f>
        <v>99000</v>
      </c>
      <c r="R196" s="1055">
        <f>SUM(R197:R207)</f>
        <v>0</v>
      </c>
    </row>
    <row r="197" spans="1:18" s="15" customFormat="1">
      <c r="A197" s="1183" t="s">
        <v>2812</v>
      </c>
      <c r="B197" s="571"/>
      <c r="C197" s="571"/>
      <c r="D197" s="639">
        <v>0</v>
      </c>
      <c r="E197" s="14" t="s">
        <v>2813</v>
      </c>
      <c r="F197" s="18" t="s">
        <v>1307</v>
      </c>
      <c r="G197" s="28">
        <v>1</v>
      </c>
      <c r="H197" s="27">
        <f>G197*G196</f>
        <v>3</v>
      </c>
      <c r="I197" s="25">
        <v>28800</v>
      </c>
      <c r="J197" s="25"/>
      <c r="K197" s="1053"/>
      <c r="L197" s="23"/>
      <c r="M197" s="23"/>
      <c r="N197" s="807">
        <f t="shared" ref="N197:N206" si="18">ROUND($G197*I197,0)</f>
        <v>28800</v>
      </c>
      <c r="O197" s="807"/>
      <c r="P197" s="1061"/>
      <c r="Q197" s="1061"/>
      <c r="R197" s="1061"/>
    </row>
    <row r="198" spans="1:18" s="15" customFormat="1">
      <c r="A198" s="1183" t="s">
        <v>3440</v>
      </c>
      <c r="B198" s="571"/>
      <c r="C198" s="571"/>
      <c r="D198" s="639">
        <v>43816350</v>
      </c>
      <c r="E198" s="14" t="s">
        <v>3441</v>
      </c>
      <c r="F198" s="18" t="s">
        <v>1307</v>
      </c>
      <c r="G198" s="28">
        <v>1</v>
      </c>
      <c r="H198" s="27">
        <f>G198*G196</f>
        <v>3</v>
      </c>
      <c r="I198" s="25">
        <v>20400</v>
      </c>
      <c r="J198" s="25"/>
      <c r="K198" s="1053"/>
      <c r="L198" s="23"/>
      <c r="M198" s="23"/>
      <c r="N198" s="807">
        <f t="shared" si="18"/>
        <v>20400</v>
      </c>
      <c r="O198" s="807"/>
      <c r="P198" s="1061"/>
      <c r="Q198" s="1061"/>
      <c r="R198" s="1061"/>
    </row>
    <row r="199" spans="1:18" s="15" customFormat="1">
      <c r="A199" s="1183" t="s">
        <v>866</v>
      </c>
      <c r="B199" s="571"/>
      <c r="C199" s="571"/>
      <c r="D199" s="639">
        <v>0</v>
      </c>
      <c r="E199" s="14" t="s">
        <v>4038</v>
      </c>
      <c r="F199" s="18" t="s">
        <v>1307</v>
      </c>
      <c r="G199" s="28">
        <v>2</v>
      </c>
      <c r="H199" s="27">
        <f>G199*G196</f>
        <v>6</v>
      </c>
      <c r="I199" s="25">
        <v>2300</v>
      </c>
      <c r="J199" s="25"/>
      <c r="K199" s="1053"/>
      <c r="L199" s="23"/>
      <c r="M199" s="23"/>
      <c r="N199" s="807">
        <f t="shared" si="18"/>
        <v>4600</v>
      </c>
      <c r="O199" s="807"/>
      <c r="P199" s="1061"/>
      <c r="Q199" s="1061"/>
      <c r="R199" s="1061"/>
    </row>
    <row r="200" spans="1:18" s="15" customFormat="1">
      <c r="A200" s="1183" t="s">
        <v>4039</v>
      </c>
      <c r="B200" s="571"/>
      <c r="C200" s="571"/>
      <c r="D200" s="639">
        <v>47087092</v>
      </c>
      <c r="E200" s="14" t="s">
        <v>4040</v>
      </c>
      <c r="F200" s="18" t="s">
        <v>1307</v>
      </c>
      <c r="G200" s="28">
        <v>1</v>
      </c>
      <c r="H200" s="27">
        <f>G200*G196</f>
        <v>3</v>
      </c>
      <c r="I200" s="25">
        <v>11800</v>
      </c>
      <c r="J200" s="25"/>
      <c r="K200" s="1053"/>
      <c r="L200" s="23"/>
      <c r="M200" s="23"/>
      <c r="N200" s="807">
        <f t="shared" si="18"/>
        <v>11800</v>
      </c>
      <c r="O200" s="807"/>
      <c r="P200" s="1061"/>
      <c r="Q200" s="1061"/>
      <c r="R200" s="1061"/>
    </row>
    <row r="201" spans="1:18" s="15" customFormat="1">
      <c r="A201" s="1183" t="s">
        <v>2690</v>
      </c>
      <c r="B201" s="571"/>
      <c r="C201" s="571"/>
      <c r="D201" s="639">
        <v>59243210</v>
      </c>
      <c r="E201" s="14" t="s">
        <v>2691</v>
      </c>
      <c r="F201" s="18" t="s">
        <v>1307</v>
      </c>
      <c r="G201" s="28">
        <v>2</v>
      </c>
      <c r="H201" s="27">
        <f>G201*G196</f>
        <v>6</v>
      </c>
      <c r="I201" s="25">
        <v>18000</v>
      </c>
      <c r="J201" s="25"/>
      <c r="K201" s="1053"/>
      <c r="L201" s="23"/>
      <c r="M201" s="23"/>
      <c r="N201" s="807">
        <f t="shared" si="18"/>
        <v>36000</v>
      </c>
      <c r="O201" s="807"/>
      <c r="P201" s="1061"/>
      <c r="Q201" s="1061"/>
      <c r="R201" s="1061"/>
    </row>
    <row r="202" spans="1:18" s="15" customFormat="1" ht="15" customHeight="1">
      <c r="A202" s="1183" t="s">
        <v>6337</v>
      </c>
      <c r="B202" s="571"/>
      <c r="C202" s="571"/>
      <c r="D202" s="639">
        <v>32042190</v>
      </c>
      <c r="E202" s="14" t="s">
        <v>6338</v>
      </c>
      <c r="F202" s="18" t="s">
        <v>1307</v>
      </c>
      <c r="G202" s="28">
        <v>8</v>
      </c>
      <c r="H202" s="27">
        <f>G202*G196</f>
        <v>24</v>
      </c>
      <c r="I202" s="25">
        <v>49525</v>
      </c>
      <c r="J202" s="25"/>
      <c r="K202" s="1053"/>
      <c r="L202" s="23"/>
      <c r="M202" s="23"/>
      <c r="N202" s="807">
        <f t="shared" si="18"/>
        <v>396200</v>
      </c>
      <c r="O202" s="807"/>
      <c r="P202" s="1061"/>
      <c r="Q202" s="1061"/>
      <c r="R202" s="1061"/>
    </row>
    <row r="203" spans="1:18" s="15" customFormat="1" ht="15" customHeight="1">
      <c r="A203" s="1183" t="s">
        <v>5575</v>
      </c>
      <c r="B203" s="571"/>
      <c r="C203" s="571"/>
      <c r="D203" s="639">
        <v>31002602</v>
      </c>
      <c r="E203" s="14" t="s">
        <v>5576</v>
      </c>
      <c r="F203" s="18" t="s">
        <v>1307</v>
      </c>
      <c r="G203" s="28">
        <v>1</v>
      </c>
      <c r="H203" s="27">
        <f>G203*G196</f>
        <v>3</v>
      </c>
      <c r="I203" s="25">
        <v>38500</v>
      </c>
      <c r="J203" s="25"/>
      <c r="K203" s="1053"/>
      <c r="L203" s="23"/>
      <c r="M203" s="23"/>
      <c r="N203" s="807">
        <f t="shared" si="18"/>
        <v>38500</v>
      </c>
      <c r="O203" s="807"/>
      <c r="P203" s="1061"/>
      <c r="Q203" s="1061"/>
      <c r="R203" s="1061"/>
    </row>
    <row r="204" spans="1:18" s="15" customFormat="1" ht="15" customHeight="1">
      <c r="A204" s="1183" t="s">
        <v>4689</v>
      </c>
      <c r="B204" s="571"/>
      <c r="C204" s="571"/>
      <c r="D204" s="639">
        <v>0</v>
      </c>
      <c r="E204" s="14" t="s">
        <v>6539</v>
      </c>
      <c r="F204" s="18" t="s">
        <v>2660</v>
      </c>
      <c r="G204" s="28">
        <f>18*0.45</f>
        <v>8.1</v>
      </c>
      <c r="H204" s="27">
        <f>G204*G196</f>
        <v>24.299999999999997</v>
      </c>
      <c r="I204" s="25">
        <v>40700</v>
      </c>
      <c r="J204" s="25"/>
      <c r="K204" s="1053"/>
      <c r="L204" s="23"/>
      <c r="M204" s="23"/>
      <c r="N204" s="807">
        <f t="shared" si="18"/>
        <v>329670</v>
      </c>
      <c r="O204" s="807"/>
      <c r="P204" s="1061"/>
      <c r="Q204" s="1061"/>
      <c r="R204" s="1061"/>
    </row>
    <row r="205" spans="1:18" s="15" customFormat="1" ht="15" customHeight="1">
      <c r="A205" s="1183" t="s">
        <v>226</v>
      </c>
      <c r="B205" s="571"/>
      <c r="C205" s="571"/>
      <c r="D205" s="639">
        <v>30603620</v>
      </c>
      <c r="E205" s="14" t="s">
        <v>3448</v>
      </c>
      <c r="F205" s="18" t="s">
        <v>1307</v>
      </c>
      <c r="G205" s="28">
        <v>1</v>
      </c>
      <c r="H205" s="27">
        <f>G205*G196</f>
        <v>3</v>
      </c>
      <c r="I205" s="25">
        <v>443000</v>
      </c>
      <c r="J205" s="25"/>
      <c r="K205" s="1053"/>
      <c r="L205" s="23"/>
      <c r="M205" s="23"/>
      <c r="N205" s="807">
        <f t="shared" si="18"/>
        <v>443000</v>
      </c>
      <c r="O205" s="807"/>
      <c r="P205" s="1061"/>
      <c r="Q205" s="1061"/>
      <c r="R205" s="1061"/>
    </row>
    <row r="206" spans="1:18" s="15" customFormat="1" ht="15" customHeight="1">
      <c r="A206" s="1183" t="s">
        <v>5880</v>
      </c>
      <c r="B206" s="571"/>
      <c r="C206" s="571"/>
      <c r="D206" s="639">
        <v>89020202</v>
      </c>
      <c r="E206" s="14" t="s">
        <v>5881</v>
      </c>
      <c r="F206" s="18" t="s">
        <v>1307</v>
      </c>
      <c r="G206" s="28">
        <v>1</v>
      </c>
      <c r="H206" s="27">
        <f>G206*G196</f>
        <v>3</v>
      </c>
      <c r="I206" s="25">
        <v>80400</v>
      </c>
      <c r="J206" s="25"/>
      <c r="K206" s="1053"/>
      <c r="L206" s="23"/>
      <c r="M206" s="23"/>
      <c r="N206" s="807">
        <f t="shared" si="18"/>
        <v>80400</v>
      </c>
      <c r="O206" s="807"/>
      <c r="P206" s="1061"/>
      <c r="Q206" s="1061"/>
      <c r="R206" s="1061"/>
    </row>
    <row r="207" spans="1:18" s="15" customFormat="1" ht="15" customHeight="1">
      <c r="A207" s="1120" t="s">
        <v>742</v>
      </c>
      <c r="B207" s="571"/>
      <c r="C207" s="571" t="s">
        <v>742</v>
      </c>
      <c r="D207" s="639"/>
      <c r="E207" s="14" t="s">
        <v>6540</v>
      </c>
      <c r="F207" s="18" t="s">
        <v>1297</v>
      </c>
      <c r="G207" s="28">
        <v>1</v>
      </c>
      <c r="H207" s="28"/>
      <c r="I207" s="23"/>
      <c r="J207" s="23"/>
      <c r="K207" s="25">
        <v>0</v>
      </c>
      <c r="L207" s="25">
        <v>99000</v>
      </c>
      <c r="M207" s="25">
        <v>0</v>
      </c>
      <c r="N207" s="1061"/>
      <c r="O207" s="1061"/>
      <c r="P207" s="807">
        <f>ROUND($G207*K207,0)</f>
        <v>0</v>
      </c>
      <c r="Q207" s="807">
        <f>ROUND($G207*L207,0)</f>
        <v>99000</v>
      </c>
      <c r="R207" s="807">
        <f>ROUND($G207*M207,0)</f>
        <v>0</v>
      </c>
    </row>
    <row r="208" spans="1:18" s="15" customFormat="1" ht="15" customHeight="1">
      <c r="A208" s="252">
        <f>A196</f>
        <v>16</v>
      </c>
      <c r="B208" s="571"/>
      <c r="C208" s="571"/>
      <c r="D208" s="639"/>
      <c r="E208" s="14"/>
      <c r="F208" s="18"/>
      <c r="G208" s="28"/>
      <c r="H208" s="28"/>
      <c r="I208" s="26"/>
      <c r="J208" s="26"/>
      <c r="K208" s="1070"/>
      <c r="L208" s="1070"/>
      <c r="M208" s="1071"/>
      <c r="N208" s="1071"/>
      <c r="O208" s="1071"/>
      <c r="P208" s="1071"/>
      <c r="Q208" s="1071"/>
      <c r="R208" s="1071"/>
    </row>
    <row r="209" spans="1:21" s="15" customFormat="1">
      <c r="A209" s="1048">
        <f>A208+1</f>
        <v>17</v>
      </c>
      <c r="B209" s="657" t="str">
        <f>"II."&amp;+A209</f>
        <v>II.17</v>
      </c>
      <c r="C209" s="571"/>
      <c r="D209" s="639"/>
      <c r="E209" s="1049" t="s">
        <v>1827</v>
      </c>
      <c r="F209" s="24" t="s">
        <v>1297</v>
      </c>
      <c r="G209" s="26">
        <f>tkeTA!Y135</f>
        <v>0</v>
      </c>
      <c r="H209" s="26"/>
      <c r="I209" s="1070"/>
      <c r="J209" s="1070"/>
      <c r="K209" s="1070"/>
      <c r="L209" s="1071"/>
      <c r="M209" s="1070"/>
      <c r="N209" s="1055">
        <f>SUM(N210:N221)</f>
        <v>1457700</v>
      </c>
      <c r="O209" s="1055"/>
      <c r="P209" s="1055">
        <f>SUM(P210:P221)</f>
        <v>0</v>
      </c>
      <c r="Q209" s="1055">
        <f>SUM(Q210:Q221)</f>
        <v>99000</v>
      </c>
      <c r="R209" s="1055">
        <f>SUM(R210:R221)</f>
        <v>0</v>
      </c>
    </row>
    <row r="210" spans="1:21" s="15" customFormat="1">
      <c r="A210" s="1183" t="s">
        <v>4858</v>
      </c>
      <c r="B210" s="571"/>
      <c r="C210" s="571"/>
      <c r="D210" s="639">
        <v>0</v>
      </c>
      <c r="E210" s="14" t="s">
        <v>2748</v>
      </c>
      <c r="F210" s="18" t="s">
        <v>1307</v>
      </c>
      <c r="G210" s="28">
        <v>1</v>
      </c>
      <c r="H210" s="27">
        <f>G210*G209</f>
        <v>0</v>
      </c>
      <c r="I210" s="25">
        <v>210000</v>
      </c>
      <c r="J210" s="25"/>
      <c r="K210" s="1053"/>
      <c r="L210" s="23"/>
      <c r="M210" s="23"/>
      <c r="N210" s="807">
        <f t="shared" ref="N210:N220" si="19">ROUND($G210*I210,0)</f>
        <v>210000</v>
      </c>
      <c r="O210" s="807"/>
      <c r="P210" s="1061"/>
      <c r="Q210" s="1061"/>
      <c r="R210" s="1061"/>
      <c r="U210" s="10" t="s">
        <v>4858</v>
      </c>
    </row>
    <row r="211" spans="1:21" s="15" customFormat="1">
      <c r="A211" s="30" t="s">
        <v>3205</v>
      </c>
      <c r="B211" s="571"/>
      <c r="C211" s="571"/>
      <c r="D211" s="639">
        <v>44316100</v>
      </c>
      <c r="E211" s="14" t="s">
        <v>3206</v>
      </c>
      <c r="F211" s="18" t="s">
        <v>1307</v>
      </c>
      <c r="G211" s="28">
        <v>2</v>
      </c>
      <c r="H211" s="27">
        <f>G211*G209</f>
        <v>0</v>
      </c>
      <c r="I211" s="25">
        <v>14400</v>
      </c>
      <c r="J211" s="25"/>
      <c r="K211" s="1053"/>
      <c r="L211" s="23"/>
      <c r="M211" s="23"/>
      <c r="N211" s="807">
        <f t="shared" si="19"/>
        <v>28800</v>
      </c>
      <c r="O211" s="807"/>
      <c r="P211" s="1061"/>
      <c r="Q211" s="1061"/>
      <c r="R211" s="1061"/>
    </row>
    <row r="212" spans="1:21" s="15" customFormat="1">
      <c r="A212" s="1183" t="s">
        <v>866</v>
      </c>
      <c r="B212" s="571"/>
      <c r="C212" s="571"/>
      <c r="D212" s="639">
        <v>0</v>
      </c>
      <c r="E212" s="14" t="s">
        <v>4038</v>
      </c>
      <c r="F212" s="18" t="s">
        <v>1307</v>
      </c>
      <c r="G212" s="28">
        <v>4</v>
      </c>
      <c r="H212" s="27">
        <f>G212*G209</f>
        <v>0</v>
      </c>
      <c r="I212" s="25">
        <v>2300</v>
      </c>
      <c r="J212" s="25"/>
      <c r="K212" s="1053"/>
      <c r="L212" s="23"/>
      <c r="M212" s="23"/>
      <c r="N212" s="807">
        <f t="shared" si="19"/>
        <v>9200</v>
      </c>
      <c r="O212" s="807"/>
      <c r="P212" s="1061"/>
      <c r="Q212" s="1061"/>
      <c r="R212" s="1061"/>
    </row>
    <row r="213" spans="1:21" s="15" customFormat="1">
      <c r="A213" s="1183" t="s">
        <v>4039</v>
      </c>
      <c r="B213" s="571"/>
      <c r="C213" s="571"/>
      <c r="D213" s="639">
        <v>47087092</v>
      </c>
      <c r="E213" s="14" t="s">
        <v>4040</v>
      </c>
      <c r="F213" s="18" t="s">
        <v>1307</v>
      </c>
      <c r="G213" s="28">
        <v>1</v>
      </c>
      <c r="H213" s="27">
        <f>G213*G209</f>
        <v>0</v>
      </c>
      <c r="I213" s="25">
        <v>11800</v>
      </c>
      <c r="J213" s="25"/>
      <c r="K213" s="1053"/>
      <c r="L213" s="23"/>
      <c r="M213" s="23"/>
      <c r="N213" s="807">
        <f t="shared" si="19"/>
        <v>11800</v>
      </c>
      <c r="O213" s="807"/>
      <c r="P213" s="1061"/>
      <c r="Q213" s="1061"/>
      <c r="R213" s="1061"/>
    </row>
    <row r="214" spans="1:21" s="15" customFormat="1">
      <c r="A214" s="1183" t="s">
        <v>4856</v>
      </c>
      <c r="B214" s="571"/>
      <c r="C214" s="571"/>
      <c r="D214" s="639">
        <v>0</v>
      </c>
      <c r="E214" s="14" t="s">
        <v>4232</v>
      </c>
      <c r="F214" s="18" t="s">
        <v>1307</v>
      </c>
      <c r="G214" s="28">
        <v>2</v>
      </c>
      <c r="H214" s="27">
        <f>G214*G209</f>
        <v>0</v>
      </c>
      <c r="I214" s="25">
        <v>69000</v>
      </c>
      <c r="J214" s="25"/>
      <c r="K214" s="1053"/>
      <c r="L214" s="23"/>
      <c r="M214" s="23"/>
      <c r="N214" s="807">
        <f t="shared" si="19"/>
        <v>138000</v>
      </c>
      <c r="O214" s="807"/>
      <c r="P214" s="1061"/>
      <c r="Q214" s="1061"/>
      <c r="R214" s="1061"/>
    </row>
    <row r="215" spans="1:21" s="15" customFormat="1">
      <c r="A215" s="30" t="s">
        <v>859</v>
      </c>
      <c r="B215" s="571"/>
      <c r="C215" s="571"/>
      <c r="D215" s="639">
        <v>31088476</v>
      </c>
      <c r="E215" s="14" t="s">
        <v>5572</v>
      </c>
      <c r="F215" s="18" t="s">
        <v>1307</v>
      </c>
      <c r="G215" s="28">
        <v>1</v>
      </c>
      <c r="H215" s="27">
        <f>G215*G209</f>
        <v>0</v>
      </c>
      <c r="I215" s="25">
        <v>20400</v>
      </c>
      <c r="J215" s="25"/>
      <c r="K215" s="1053"/>
      <c r="L215" s="23"/>
      <c r="M215" s="23"/>
      <c r="N215" s="807">
        <f t="shared" si="19"/>
        <v>20400</v>
      </c>
      <c r="O215" s="807"/>
      <c r="P215" s="1061"/>
      <c r="Q215" s="1061"/>
      <c r="R215" s="1061"/>
    </row>
    <row r="216" spans="1:21" s="15" customFormat="1">
      <c r="A216" s="1183" t="s">
        <v>2690</v>
      </c>
      <c r="B216" s="571"/>
      <c r="C216" s="571"/>
      <c r="D216" s="639">
        <v>59243210</v>
      </c>
      <c r="E216" s="14" t="s">
        <v>2691</v>
      </c>
      <c r="F216" s="18" t="s">
        <v>1307</v>
      </c>
      <c r="G216" s="28">
        <v>2</v>
      </c>
      <c r="H216" s="27">
        <f>G216*G209</f>
        <v>0</v>
      </c>
      <c r="I216" s="25">
        <v>18000</v>
      </c>
      <c r="J216" s="25"/>
      <c r="K216" s="1053"/>
      <c r="L216" s="23"/>
      <c r="M216" s="23"/>
      <c r="N216" s="807">
        <f t="shared" si="19"/>
        <v>36000</v>
      </c>
      <c r="O216" s="807"/>
      <c r="P216" s="1061"/>
      <c r="Q216" s="1061"/>
      <c r="R216" s="1061"/>
    </row>
    <row r="217" spans="1:21" s="15" customFormat="1">
      <c r="A217" s="1183" t="s">
        <v>6337</v>
      </c>
      <c r="B217" s="571"/>
      <c r="C217" s="571"/>
      <c r="D217" s="639">
        <v>32042190</v>
      </c>
      <c r="E217" s="14" t="s">
        <v>6338</v>
      </c>
      <c r="F217" s="18" t="s">
        <v>1307</v>
      </c>
      <c r="G217" s="1492">
        <v>8</v>
      </c>
      <c r="H217" s="27">
        <f>G217*G209</f>
        <v>0</v>
      </c>
      <c r="I217" s="25">
        <v>49525</v>
      </c>
      <c r="J217" s="25"/>
      <c r="K217" s="1053"/>
      <c r="L217" s="23"/>
      <c r="M217" s="23"/>
      <c r="N217" s="807">
        <f t="shared" si="19"/>
        <v>396200</v>
      </c>
      <c r="O217" s="807"/>
      <c r="P217" s="1061"/>
      <c r="Q217" s="1061"/>
      <c r="R217" s="1061"/>
    </row>
    <row r="218" spans="1:21" s="15" customFormat="1">
      <c r="A218" s="1183" t="s">
        <v>5575</v>
      </c>
      <c r="B218" s="571"/>
      <c r="C218" s="571"/>
      <c r="D218" s="639">
        <v>31002602</v>
      </c>
      <c r="E218" s="14" t="s">
        <v>5576</v>
      </c>
      <c r="F218" s="18" t="s">
        <v>1307</v>
      </c>
      <c r="G218" s="28">
        <v>1</v>
      </c>
      <c r="H218" s="27">
        <f>G218*G209</f>
        <v>0</v>
      </c>
      <c r="I218" s="25">
        <v>38500</v>
      </c>
      <c r="J218" s="25"/>
      <c r="K218" s="1053"/>
      <c r="L218" s="23"/>
      <c r="M218" s="23"/>
      <c r="N218" s="807">
        <f t="shared" si="19"/>
        <v>38500</v>
      </c>
      <c r="O218" s="807"/>
      <c r="P218" s="1061"/>
      <c r="Q218" s="1061"/>
      <c r="R218" s="1061"/>
      <c r="U218" s="10" t="s">
        <v>865</v>
      </c>
    </row>
    <row r="219" spans="1:21" s="15" customFormat="1">
      <c r="A219" s="1183" t="s">
        <v>4689</v>
      </c>
      <c r="B219" s="571"/>
      <c r="C219" s="571"/>
      <c r="D219" s="639">
        <v>0</v>
      </c>
      <c r="E219" s="14" t="s">
        <v>6539</v>
      </c>
      <c r="F219" s="18" t="s">
        <v>2660</v>
      </c>
      <c r="G219" s="1376">
        <v>12</v>
      </c>
      <c r="H219" s="27">
        <f>G219*G209</f>
        <v>0</v>
      </c>
      <c r="I219" s="25">
        <v>40700</v>
      </c>
      <c r="J219" s="25"/>
      <c r="K219" s="1053"/>
      <c r="L219" s="23"/>
      <c r="M219" s="23"/>
      <c r="N219" s="807">
        <f t="shared" si="19"/>
        <v>488400</v>
      </c>
      <c r="O219" s="807"/>
      <c r="P219" s="1061"/>
      <c r="Q219" s="1061"/>
      <c r="R219" s="1061"/>
    </row>
    <row r="220" spans="1:21" s="15" customFormat="1">
      <c r="A220" s="1183" t="s">
        <v>5880</v>
      </c>
      <c r="B220" s="571"/>
      <c r="C220" s="571"/>
      <c r="D220" s="639">
        <v>89020202</v>
      </c>
      <c r="E220" s="14" t="s">
        <v>5881</v>
      </c>
      <c r="F220" s="18" t="s">
        <v>1307</v>
      </c>
      <c r="G220" s="28">
        <v>1</v>
      </c>
      <c r="H220" s="27">
        <f>G220*G209</f>
        <v>0</v>
      </c>
      <c r="I220" s="25">
        <v>80400</v>
      </c>
      <c r="J220" s="25"/>
      <c r="K220" s="1053"/>
      <c r="L220" s="23"/>
      <c r="M220" s="23"/>
      <c r="N220" s="807">
        <f t="shared" si="19"/>
        <v>80400</v>
      </c>
      <c r="O220" s="807"/>
      <c r="P220" s="1061"/>
      <c r="Q220" s="1061"/>
      <c r="R220" s="1061"/>
    </row>
    <row r="221" spans="1:21" s="15" customFormat="1">
      <c r="A221" s="1120" t="s">
        <v>742</v>
      </c>
      <c r="B221" s="571"/>
      <c r="C221" s="571" t="s">
        <v>742</v>
      </c>
      <c r="D221" s="639"/>
      <c r="E221" s="14" t="s">
        <v>6540</v>
      </c>
      <c r="F221" s="18" t="s">
        <v>1297</v>
      </c>
      <c r="G221" s="28">
        <v>1</v>
      </c>
      <c r="H221" s="28"/>
      <c r="I221" s="23"/>
      <c r="J221" s="23"/>
      <c r="K221" s="25">
        <v>0</v>
      </c>
      <c r="L221" s="25">
        <v>99000</v>
      </c>
      <c r="M221" s="25">
        <v>0</v>
      </c>
      <c r="N221" s="1061"/>
      <c r="O221" s="1061"/>
      <c r="P221" s="807">
        <f>ROUND($G221*K221,0)</f>
        <v>0</v>
      </c>
      <c r="Q221" s="807">
        <f>ROUND($G221*L221,0)</f>
        <v>99000</v>
      </c>
      <c r="R221" s="807">
        <f>ROUND($G221*M221,0)</f>
        <v>0</v>
      </c>
    </row>
    <row r="222" spans="1:21" s="15" customFormat="1">
      <c r="A222" s="252">
        <f>A209</f>
        <v>17</v>
      </c>
      <c r="B222" s="571"/>
      <c r="C222" s="571"/>
      <c r="D222" s="639"/>
      <c r="E222" s="14"/>
      <c r="F222" s="18"/>
      <c r="G222" s="28"/>
      <c r="H222" s="28"/>
      <c r="I222" s="23"/>
      <c r="J222" s="23"/>
      <c r="K222" s="23"/>
      <c r="L222" s="23"/>
      <c r="M222" s="23"/>
      <c r="N222" s="23"/>
      <c r="O222" s="23"/>
      <c r="P222" s="23"/>
      <c r="Q222" s="23"/>
      <c r="R222" s="23"/>
    </row>
    <row r="223" spans="1:21" s="15" customFormat="1">
      <c r="A223" s="1048">
        <f>A222+1</f>
        <v>18</v>
      </c>
      <c r="B223" s="657" t="str">
        <f>"II."&amp;+A223</f>
        <v>II.18</v>
      </c>
      <c r="C223" s="571"/>
      <c r="D223" s="639"/>
      <c r="E223" s="1049" t="s">
        <v>1828</v>
      </c>
      <c r="F223" s="24" t="s">
        <v>1297</v>
      </c>
      <c r="G223" s="26">
        <f>tkeTA!Z135</f>
        <v>4</v>
      </c>
      <c r="H223" s="26"/>
      <c r="I223" s="1070"/>
      <c r="J223" s="1070"/>
      <c r="K223" s="1070"/>
      <c r="L223" s="1071"/>
      <c r="M223" s="1070"/>
      <c r="N223" s="1055">
        <f>SUM(N224:N235)</f>
        <v>1579800</v>
      </c>
      <c r="O223" s="1055"/>
      <c r="P223" s="1055">
        <f>SUM(P224:P235)</f>
        <v>0</v>
      </c>
      <c r="Q223" s="1055">
        <f>SUM(Q224:Q235)</f>
        <v>99000</v>
      </c>
      <c r="R223" s="1055">
        <f>SUM(R224:R235)</f>
        <v>0</v>
      </c>
    </row>
    <row r="224" spans="1:21" s="15" customFormat="1">
      <c r="A224" s="1183" t="s">
        <v>4858</v>
      </c>
      <c r="B224" s="571"/>
      <c r="C224" s="571"/>
      <c r="D224" s="639">
        <v>0</v>
      </c>
      <c r="E224" s="14" t="s">
        <v>2748</v>
      </c>
      <c r="F224" s="18" t="s">
        <v>1307</v>
      </c>
      <c r="G224" s="28">
        <v>1</v>
      </c>
      <c r="H224" s="27">
        <f>G224*G223</f>
        <v>4</v>
      </c>
      <c r="I224" s="25">
        <v>210000</v>
      </c>
      <c r="J224" s="25"/>
      <c r="K224" s="1053"/>
      <c r="L224" s="23"/>
      <c r="M224" s="23"/>
      <c r="N224" s="807">
        <f t="shared" ref="N224:N234" si="20">ROUND($G224*I224,0)</f>
        <v>210000</v>
      </c>
      <c r="O224" s="807"/>
      <c r="P224" s="1061"/>
      <c r="Q224" s="1061"/>
      <c r="R224" s="1061"/>
      <c r="U224" s="10" t="s">
        <v>4858</v>
      </c>
    </row>
    <row r="225" spans="1:21" s="15" customFormat="1">
      <c r="A225" s="30" t="s">
        <v>3205</v>
      </c>
      <c r="B225" s="571"/>
      <c r="C225" s="571"/>
      <c r="D225" s="639">
        <v>44316100</v>
      </c>
      <c r="E225" s="14" t="s">
        <v>3206</v>
      </c>
      <c r="F225" s="18" t="s">
        <v>1307</v>
      </c>
      <c r="G225" s="28">
        <v>2</v>
      </c>
      <c r="H225" s="27">
        <f>G225*G223</f>
        <v>8</v>
      </c>
      <c r="I225" s="25">
        <v>14400</v>
      </c>
      <c r="J225" s="25"/>
      <c r="K225" s="1053"/>
      <c r="L225" s="23"/>
      <c r="M225" s="23"/>
      <c r="N225" s="807">
        <f t="shared" si="20"/>
        <v>28800</v>
      </c>
      <c r="O225" s="807"/>
      <c r="P225" s="1061"/>
      <c r="Q225" s="1061"/>
      <c r="R225" s="1061"/>
    </row>
    <row r="226" spans="1:21" s="15" customFormat="1">
      <c r="A226" s="1183" t="s">
        <v>866</v>
      </c>
      <c r="B226" s="571"/>
      <c r="C226" s="571"/>
      <c r="D226" s="639">
        <v>0</v>
      </c>
      <c r="E226" s="14" t="s">
        <v>4038</v>
      </c>
      <c r="F226" s="18" t="s">
        <v>1307</v>
      </c>
      <c r="G226" s="28">
        <v>4</v>
      </c>
      <c r="H226" s="27">
        <f>G226*G223</f>
        <v>16</v>
      </c>
      <c r="I226" s="25">
        <v>2300</v>
      </c>
      <c r="J226" s="25"/>
      <c r="K226" s="1053"/>
      <c r="L226" s="23"/>
      <c r="M226" s="23"/>
      <c r="N226" s="807">
        <f t="shared" si="20"/>
        <v>9200</v>
      </c>
      <c r="O226" s="807"/>
      <c r="P226" s="1061"/>
      <c r="Q226" s="1061"/>
      <c r="R226" s="1061"/>
    </row>
    <row r="227" spans="1:21" s="15" customFormat="1">
      <c r="A227" s="1183" t="s">
        <v>4039</v>
      </c>
      <c r="B227" s="571"/>
      <c r="C227" s="571"/>
      <c r="D227" s="639">
        <v>47087092</v>
      </c>
      <c r="E227" s="14" t="s">
        <v>4040</v>
      </c>
      <c r="F227" s="18" t="s">
        <v>1307</v>
      </c>
      <c r="G227" s="28">
        <v>1</v>
      </c>
      <c r="H227" s="27">
        <f>G227*G223</f>
        <v>4</v>
      </c>
      <c r="I227" s="25">
        <v>11800</v>
      </c>
      <c r="J227" s="25"/>
      <c r="K227" s="1053"/>
      <c r="L227" s="23"/>
      <c r="M227" s="23"/>
      <c r="N227" s="807">
        <f t="shared" si="20"/>
        <v>11800</v>
      </c>
      <c r="O227" s="807"/>
      <c r="P227" s="1061"/>
      <c r="Q227" s="1061"/>
      <c r="R227" s="1061"/>
    </row>
    <row r="228" spans="1:21" s="15" customFormat="1">
      <c r="A228" s="1183" t="s">
        <v>4856</v>
      </c>
      <c r="B228" s="571"/>
      <c r="C228" s="571"/>
      <c r="D228" s="639">
        <v>0</v>
      </c>
      <c r="E228" s="14" t="s">
        <v>4232</v>
      </c>
      <c r="F228" s="18" t="s">
        <v>1307</v>
      </c>
      <c r="G228" s="28">
        <v>2</v>
      </c>
      <c r="H228" s="27">
        <f>G228*G223</f>
        <v>8</v>
      </c>
      <c r="I228" s="25">
        <v>69000</v>
      </c>
      <c r="J228" s="25"/>
      <c r="K228" s="1053"/>
      <c r="L228" s="23"/>
      <c r="M228" s="23"/>
      <c r="N228" s="807">
        <f t="shared" si="20"/>
        <v>138000</v>
      </c>
      <c r="O228" s="807"/>
      <c r="P228" s="1061"/>
      <c r="Q228" s="1061"/>
      <c r="R228" s="1061"/>
    </row>
    <row r="229" spans="1:21" s="15" customFormat="1">
      <c r="A229" s="30" t="s">
        <v>859</v>
      </c>
      <c r="B229" s="571"/>
      <c r="C229" s="571"/>
      <c r="D229" s="639">
        <v>31088476</v>
      </c>
      <c r="E229" s="14" t="s">
        <v>5572</v>
      </c>
      <c r="F229" s="18" t="s">
        <v>1307</v>
      </c>
      <c r="G229" s="28">
        <v>1</v>
      </c>
      <c r="H229" s="27">
        <f>G229*G223</f>
        <v>4</v>
      </c>
      <c r="I229" s="25">
        <v>20400</v>
      </c>
      <c r="J229" s="25"/>
      <c r="K229" s="1053"/>
      <c r="L229" s="23"/>
      <c r="M229" s="23"/>
      <c r="N229" s="807">
        <f t="shared" si="20"/>
        <v>20400</v>
      </c>
      <c r="O229" s="807"/>
      <c r="P229" s="1061"/>
      <c r="Q229" s="1061"/>
      <c r="R229" s="1061"/>
    </row>
    <row r="230" spans="1:21" s="15" customFormat="1">
      <c r="A230" s="1183" t="s">
        <v>2690</v>
      </c>
      <c r="B230" s="571"/>
      <c r="C230" s="571"/>
      <c r="D230" s="639">
        <v>59243210</v>
      </c>
      <c r="E230" s="14" t="s">
        <v>2691</v>
      </c>
      <c r="F230" s="18" t="s">
        <v>1307</v>
      </c>
      <c r="G230" s="28">
        <v>2</v>
      </c>
      <c r="H230" s="27">
        <f>G230*G223</f>
        <v>8</v>
      </c>
      <c r="I230" s="25">
        <v>18000</v>
      </c>
      <c r="J230" s="25"/>
      <c r="K230" s="1053"/>
      <c r="L230" s="23"/>
      <c r="M230" s="23"/>
      <c r="N230" s="807">
        <f t="shared" si="20"/>
        <v>36000</v>
      </c>
      <c r="O230" s="807"/>
      <c r="P230" s="1061"/>
      <c r="Q230" s="1061"/>
      <c r="R230" s="1061"/>
    </row>
    <row r="231" spans="1:21" s="15" customFormat="1">
      <c r="A231" s="1183" t="s">
        <v>6337</v>
      </c>
      <c r="B231" s="571"/>
      <c r="C231" s="571"/>
      <c r="D231" s="639">
        <v>32042190</v>
      </c>
      <c r="E231" s="14" t="s">
        <v>6338</v>
      </c>
      <c r="F231" s="18" t="s">
        <v>1307</v>
      </c>
      <c r="G231" s="1492">
        <v>8</v>
      </c>
      <c r="H231" s="27">
        <f>G231*G223</f>
        <v>32</v>
      </c>
      <c r="I231" s="25">
        <v>49525</v>
      </c>
      <c r="J231" s="25"/>
      <c r="K231" s="1053"/>
      <c r="L231" s="23"/>
      <c r="M231" s="23"/>
      <c r="N231" s="807">
        <f t="shared" si="20"/>
        <v>396200</v>
      </c>
      <c r="O231" s="807"/>
      <c r="P231" s="1061"/>
      <c r="Q231" s="1061"/>
      <c r="R231" s="1061"/>
    </row>
    <row r="232" spans="1:21" s="15" customFormat="1">
      <c r="A232" s="1183" t="s">
        <v>5575</v>
      </c>
      <c r="B232" s="571"/>
      <c r="C232" s="571"/>
      <c r="D232" s="639">
        <v>31002602</v>
      </c>
      <c r="E232" s="14" t="s">
        <v>5576</v>
      </c>
      <c r="F232" s="18" t="s">
        <v>1307</v>
      </c>
      <c r="G232" s="28">
        <v>1</v>
      </c>
      <c r="H232" s="27">
        <f>G232*G223</f>
        <v>4</v>
      </c>
      <c r="I232" s="25">
        <v>38500</v>
      </c>
      <c r="J232" s="25"/>
      <c r="K232" s="1053"/>
      <c r="L232" s="23"/>
      <c r="M232" s="23"/>
      <c r="N232" s="807">
        <f t="shared" si="20"/>
        <v>38500</v>
      </c>
      <c r="O232" s="807"/>
      <c r="P232" s="1061"/>
      <c r="Q232" s="1061"/>
      <c r="R232" s="1061"/>
      <c r="U232" s="10" t="s">
        <v>865</v>
      </c>
    </row>
    <row r="233" spans="1:21" s="15" customFormat="1">
      <c r="A233" s="1183" t="s">
        <v>4689</v>
      </c>
      <c r="B233" s="571"/>
      <c r="C233" s="571"/>
      <c r="D233" s="639">
        <v>0</v>
      </c>
      <c r="E233" s="14" t="s">
        <v>6539</v>
      </c>
      <c r="F233" s="18" t="s">
        <v>2660</v>
      </c>
      <c r="G233" s="1376">
        <v>15</v>
      </c>
      <c r="H233" s="27">
        <f>G233*G223</f>
        <v>60</v>
      </c>
      <c r="I233" s="25">
        <v>40700</v>
      </c>
      <c r="J233" s="25"/>
      <c r="K233" s="1053"/>
      <c r="L233" s="23"/>
      <c r="M233" s="23"/>
      <c r="N233" s="807">
        <f t="shared" si="20"/>
        <v>610500</v>
      </c>
      <c r="O233" s="807"/>
      <c r="P233" s="1061"/>
      <c r="Q233" s="1061"/>
      <c r="R233" s="1061"/>
    </row>
    <row r="234" spans="1:21" s="15" customFormat="1">
      <c r="A234" s="1183" t="s">
        <v>5880</v>
      </c>
      <c r="B234" s="571"/>
      <c r="C234" s="571"/>
      <c r="D234" s="639">
        <v>89020202</v>
      </c>
      <c r="E234" s="14" t="s">
        <v>5881</v>
      </c>
      <c r="F234" s="18" t="s">
        <v>1307</v>
      </c>
      <c r="G234" s="28">
        <v>1</v>
      </c>
      <c r="H234" s="27">
        <f>G234*G223</f>
        <v>4</v>
      </c>
      <c r="I234" s="25">
        <v>80400</v>
      </c>
      <c r="J234" s="25"/>
      <c r="K234" s="1053"/>
      <c r="L234" s="23"/>
      <c r="M234" s="23"/>
      <c r="N234" s="807">
        <f t="shared" si="20"/>
        <v>80400</v>
      </c>
      <c r="O234" s="807"/>
      <c r="P234" s="1061"/>
      <c r="Q234" s="1061"/>
      <c r="R234" s="1061"/>
    </row>
    <row r="235" spans="1:21" s="15" customFormat="1">
      <c r="A235" s="1120" t="s">
        <v>742</v>
      </c>
      <c r="B235" s="571"/>
      <c r="C235" s="571" t="s">
        <v>742</v>
      </c>
      <c r="D235" s="639"/>
      <c r="E235" s="14" t="s">
        <v>6540</v>
      </c>
      <c r="F235" s="18" t="s">
        <v>1297</v>
      </c>
      <c r="G235" s="28">
        <v>1</v>
      </c>
      <c r="H235" s="28"/>
      <c r="I235" s="23"/>
      <c r="J235" s="23"/>
      <c r="K235" s="25">
        <v>0</v>
      </c>
      <c r="L235" s="25">
        <v>99000</v>
      </c>
      <c r="M235" s="25">
        <v>0</v>
      </c>
      <c r="N235" s="1061"/>
      <c r="O235" s="1061"/>
      <c r="P235" s="807">
        <f>ROUND($G235*K235,0)</f>
        <v>0</v>
      </c>
      <c r="Q235" s="807">
        <f>ROUND($G235*L235,0)</f>
        <v>99000</v>
      </c>
      <c r="R235" s="807">
        <f>ROUND($G235*M235,0)</f>
        <v>0</v>
      </c>
    </row>
    <row r="236" spans="1:21" s="15" customFormat="1">
      <c r="A236" s="252">
        <f>A223</f>
        <v>18</v>
      </c>
      <c r="B236" s="571"/>
      <c r="C236" s="571"/>
      <c r="D236" s="639"/>
      <c r="E236" s="14"/>
      <c r="F236" s="18"/>
      <c r="G236" s="28"/>
      <c r="H236" s="28"/>
      <c r="I236" s="23"/>
      <c r="J236" s="23"/>
      <c r="K236" s="23"/>
      <c r="L236" s="23"/>
      <c r="M236" s="23"/>
      <c r="N236" s="23"/>
      <c r="O236" s="23"/>
      <c r="P236" s="23"/>
      <c r="Q236" s="23"/>
      <c r="R236" s="23"/>
    </row>
    <row r="237" spans="1:21" s="15" customFormat="1">
      <c r="A237" s="1048">
        <f>A236+1</f>
        <v>19</v>
      </c>
      <c r="B237" s="657" t="str">
        <f>"II."&amp;+A237</f>
        <v>II.19</v>
      </c>
      <c r="C237" s="571"/>
      <c r="D237" s="639"/>
      <c r="E237" s="1049" t="s">
        <v>1829</v>
      </c>
      <c r="F237" s="24" t="s">
        <v>1297</v>
      </c>
      <c r="G237" s="26">
        <f>tkeTA!AA135</f>
        <v>6</v>
      </c>
      <c r="H237" s="26"/>
      <c r="I237" s="1070"/>
      <c r="J237" s="1070"/>
      <c r="K237" s="1070"/>
      <c r="L237" s="1071"/>
      <c r="M237" s="1070"/>
      <c r="N237" s="1055">
        <f>SUM(N238:N249)</f>
        <v>4108500</v>
      </c>
      <c r="O237" s="1055"/>
      <c r="P237" s="1055">
        <f>SUM(P238:P249)</f>
        <v>0</v>
      </c>
      <c r="Q237" s="1055">
        <f>SUM(Q238:Q249)</f>
        <v>297000</v>
      </c>
      <c r="R237" s="1055">
        <f>SUM(R238:R249)</f>
        <v>0</v>
      </c>
    </row>
    <row r="238" spans="1:21" s="15" customFormat="1">
      <c r="A238" s="1183" t="s">
        <v>4858</v>
      </c>
      <c r="B238" s="571"/>
      <c r="C238" s="571"/>
      <c r="D238" s="639">
        <v>0</v>
      </c>
      <c r="E238" s="14" t="s">
        <v>2748</v>
      </c>
      <c r="F238" s="18" t="s">
        <v>1307</v>
      </c>
      <c r="G238" s="28">
        <v>3</v>
      </c>
      <c r="H238" s="27">
        <f>G238*G237</f>
        <v>18</v>
      </c>
      <c r="I238" s="25">
        <v>210000</v>
      </c>
      <c r="J238" s="25"/>
      <c r="K238" s="1053"/>
      <c r="L238" s="23"/>
      <c r="M238" s="23"/>
      <c r="N238" s="807">
        <f t="shared" ref="N238:N248" si="21">ROUND($G238*I238,0)</f>
        <v>630000</v>
      </c>
      <c r="O238" s="807"/>
      <c r="P238" s="1061"/>
      <c r="Q238" s="1061"/>
      <c r="R238" s="1061"/>
      <c r="U238" s="10" t="s">
        <v>4858</v>
      </c>
    </row>
    <row r="239" spans="1:21" s="15" customFormat="1">
      <c r="A239" s="30" t="s">
        <v>3205</v>
      </c>
      <c r="B239" s="571"/>
      <c r="C239" s="571"/>
      <c r="D239" s="639">
        <v>44316100</v>
      </c>
      <c r="E239" s="14" t="s">
        <v>3206</v>
      </c>
      <c r="F239" s="18" t="s">
        <v>1307</v>
      </c>
      <c r="G239" s="28">
        <v>6</v>
      </c>
      <c r="H239" s="27">
        <f>G239*G237</f>
        <v>36</v>
      </c>
      <c r="I239" s="25">
        <v>14400</v>
      </c>
      <c r="J239" s="25"/>
      <c r="K239" s="1053"/>
      <c r="L239" s="23"/>
      <c r="M239" s="23"/>
      <c r="N239" s="807">
        <f t="shared" si="21"/>
        <v>86400</v>
      </c>
      <c r="O239" s="807"/>
      <c r="P239" s="1061"/>
      <c r="Q239" s="1061"/>
      <c r="R239" s="1061"/>
    </row>
    <row r="240" spans="1:21" s="15" customFormat="1">
      <c r="A240" s="1183" t="s">
        <v>866</v>
      </c>
      <c r="B240" s="571"/>
      <c r="C240" s="571"/>
      <c r="D240" s="639">
        <v>0</v>
      </c>
      <c r="E240" s="14" t="s">
        <v>4038</v>
      </c>
      <c r="F240" s="18" t="s">
        <v>1307</v>
      </c>
      <c r="G240" s="28">
        <v>12</v>
      </c>
      <c r="H240" s="27">
        <f>G240*G237</f>
        <v>72</v>
      </c>
      <c r="I240" s="25">
        <v>2300</v>
      </c>
      <c r="J240" s="25"/>
      <c r="K240" s="1053"/>
      <c r="L240" s="23"/>
      <c r="M240" s="23"/>
      <c r="N240" s="807">
        <f t="shared" si="21"/>
        <v>27600</v>
      </c>
      <c r="O240" s="807"/>
      <c r="P240" s="1061"/>
      <c r="Q240" s="1061"/>
      <c r="R240" s="1061"/>
    </row>
    <row r="241" spans="1:21" s="15" customFormat="1">
      <c r="A241" s="1183" t="s">
        <v>4039</v>
      </c>
      <c r="B241" s="571"/>
      <c r="C241" s="571"/>
      <c r="D241" s="639">
        <v>47087092</v>
      </c>
      <c r="E241" s="14" t="s">
        <v>4040</v>
      </c>
      <c r="F241" s="18" t="s">
        <v>1307</v>
      </c>
      <c r="G241" s="28">
        <v>3</v>
      </c>
      <c r="H241" s="27">
        <f>G241*G237</f>
        <v>18</v>
      </c>
      <c r="I241" s="25">
        <v>11800</v>
      </c>
      <c r="J241" s="25"/>
      <c r="K241" s="1053"/>
      <c r="L241" s="23"/>
      <c r="M241" s="23"/>
      <c r="N241" s="807">
        <f t="shared" si="21"/>
        <v>35400</v>
      </c>
      <c r="O241" s="807"/>
      <c r="P241" s="1061"/>
      <c r="Q241" s="1061"/>
      <c r="R241" s="1061"/>
    </row>
    <row r="242" spans="1:21" s="15" customFormat="1">
      <c r="A242" s="1183" t="s">
        <v>4856</v>
      </c>
      <c r="B242" s="571"/>
      <c r="C242" s="571"/>
      <c r="D242" s="639">
        <v>0</v>
      </c>
      <c r="E242" s="14" t="s">
        <v>4232</v>
      </c>
      <c r="F242" s="18" t="s">
        <v>1307</v>
      </c>
      <c r="G242" s="28">
        <v>6</v>
      </c>
      <c r="H242" s="27">
        <f>G242*G237</f>
        <v>36</v>
      </c>
      <c r="I242" s="25">
        <v>69000</v>
      </c>
      <c r="J242" s="25"/>
      <c r="K242" s="1053"/>
      <c r="L242" s="23"/>
      <c r="M242" s="23"/>
      <c r="N242" s="807">
        <f t="shared" si="21"/>
        <v>414000</v>
      </c>
      <c r="O242" s="807"/>
      <c r="P242" s="1061"/>
      <c r="Q242" s="1061"/>
      <c r="R242" s="1061"/>
    </row>
    <row r="243" spans="1:21" s="15" customFormat="1">
      <c r="A243" s="30" t="s">
        <v>859</v>
      </c>
      <c r="B243" s="571"/>
      <c r="C243" s="571"/>
      <c r="D243" s="639">
        <v>31088476</v>
      </c>
      <c r="E243" s="14" t="s">
        <v>5572</v>
      </c>
      <c r="F243" s="18" t="s">
        <v>1307</v>
      </c>
      <c r="G243" s="28">
        <v>2</v>
      </c>
      <c r="H243" s="27">
        <f>G243*G237</f>
        <v>12</v>
      </c>
      <c r="I243" s="25">
        <v>20400</v>
      </c>
      <c r="J243" s="25"/>
      <c r="K243" s="1053"/>
      <c r="L243" s="23"/>
      <c r="M243" s="23"/>
      <c r="N243" s="807">
        <f t="shared" si="21"/>
        <v>40800</v>
      </c>
      <c r="O243" s="807"/>
      <c r="P243" s="1061"/>
      <c r="Q243" s="1061"/>
      <c r="R243" s="1061"/>
    </row>
    <row r="244" spans="1:21" s="15" customFormat="1">
      <c r="A244" s="1183" t="s">
        <v>2690</v>
      </c>
      <c r="B244" s="571"/>
      <c r="C244" s="571"/>
      <c r="D244" s="639">
        <v>59243210</v>
      </c>
      <c r="E244" s="14" t="s">
        <v>2691</v>
      </c>
      <c r="F244" s="18" t="s">
        <v>1307</v>
      </c>
      <c r="G244" s="28">
        <v>6</v>
      </c>
      <c r="H244" s="27">
        <f>G244*G237</f>
        <v>36</v>
      </c>
      <c r="I244" s="25">
        <v>18000</v>
      </c>
      <c r="J244" s="25"/>
      <c r="K244" s="1053"/>
      <c r="L244" s="23"/>
      <c r="M244" s="23"/>
      <c r="N244" s="807">
        <f t="shared" si="21"/>
        <v>108000</v>
      </c>
      <c r="O244" s="807"/>
      <c r="P244" s="1061"/>
      <c r="Q244" s="1061"/>
      <c r="R244" s="1061"/>
    </row>
    <row r="245" spans="1:21" s="15" customFormat="1">
      <c r="A245" s="1183" t="s">
        <v>6337</v>
      </c>
      <c r="B245" s="571"/>
      <c r="C245" s="571"/>
      <c r="D245" s="639">
        <v>32042190</v>
      </c>
      <c r="E245" s="14" t="s">
        <v>6338</v>
      </c>
      <c r="F245" s="18" t="s">
        <v>1307</v>
      </c>
      <c r="G245" s="1492">
        <v>24</v>
      </c>
      <c r="H245" s="27">
        <f>G245*G237</f>
        <v>144</v>
      </c>
      <c r="I245" s="25">
        <v>49525</v>
      </c>
      <c r="J245" s="25"/>
      <c r="K245" s="1053"/>
      <c r="L245" s="23"/>
      <c r="M245" s="23"/>
      <c r="N245" s="807">
        <f t="shared" si="21"/>
        <v>1188600</v>
      </c>
      <c r="O245" s="807"/>
      <c r="P245" s="1061"/>
      <c r="Q245" s="1061"/>
      <c r="R245" s="1061"/>
    </row>
    <row r="246" spans="1:21" s="15" customFormat="1">
      <c r="A246" s="1183" t="s">
        <v>5575</v>
      </c>
      <c r="B246" s="571"/>
      <c r="C246" s="571"/>
      <c r="D246" s="639">
        <v>31002602</v>
      </c>
      <c r="E246" s="14" t="s">
        <v>5576</v>
      </c>
      <c r="F246" s="18" t="s">
        <v>1307</v>
      </c>
      <c r="G246" s="28">
        <v>3</v>
      </c>
      <c r="H246" s="27">
        <f>G246*G237</f>
        <v>18</v>
      </c>
      <c r="I246" s="25">
        <v>38500</v>
      </c>
      <c r="J246" s="25"/>
      <c r="K246" s="1053"/>
      <c r="L246" s="23"/>
      <c r="M246" s="23"/>
      <c r="N246" s="807">
        <f t="shared" si="21"/>
        <v>115500</v>
      </c>
      <c r="O246" s="807"/>
      <c r="P246" s="1061"/>
      <c r="Q246" s="1061"/>
      <c r="R246" s="1061"/>
      <c r="U246" s="10" t="s">
        <v>865</v>
      </c>
    </row>
    <row r="247" spans="1:21" s="15" customFormat="1">
      <c r="A247" s="1183" t="s">
        <v>4689</v>
      </c>
      <c r="B247" s="571"/>
      <c r="C247" s="571"/>
      <c r="D247" s="639">
        <v>0</v>
      </c>
      <c r="E247" s="14" t="s">
        <v>6539</v>
      </c>
      <c r="F247" s="18" t="s">
        <v>2660</v>
      </c>
      <c r="G247" s="1376">
        <v>30</v>
      </c>
      <c r="H247" s="27">
        <f>G247*G237</f>
        <v>180</v>
      </c>
      <c r="I247" s="25">
        <v>40700</v>
      </c>
      <c r="J247" s="25"/>
      <c r="K247" s="1053"/>
      <c r="L247" s="23"/>
      <c r="M247" s="23"/>
      <c r="N247" s="807">
        <f t="shared" si="21"/>
        <v>1221000</v>
      </c>
      <c r="O247" s="807"/>
      <c r="P247" s="1061"/>
      <c r="Q247" s="1061"/>
      <c r="R247" s="1061"/>
    </row>
    <row r="248" spans="1:21" s="15" customFormat="1">
      <c r="A248" s="1183" t="s">
        <v>5880</v>
      </c>
      <c r="B248" s="571"/>
      <c r="C248" s="571"/>
      <c r="D248" s="639">
        <v>89020202</v>
      </c>
      <c r="E248" s="14" t="s">
        <v>5881</v>
      </c>
      <c r="F248" s="18" t="s">
        <v>1307</v>
      </c>
      <c r="G248" s="28">
        <v>3</v>
      </c>
      <c r="H248" s="27">
        <f>G248*G237</f>
        <v>18</v>
      </c>
      <c r="I248" s="25">
        <v>80400</v>
      </c>
      <c r="J248" s="25"/>
      <c r="K248" s="1053"/>
      <c r="L248" s="23"/>
      <c r="M248" s="23"/>
      <c r="N248" s="807">
        <f t="shared" si="21"/>
        <v>241200</v>
      </c>
      <c r="O248" s="807"/>
      <c r="P248" s="1061"/>
      <c r="Q248" s="1061"/>
      <c r="R248" s="1061"/>
    </row>
    <row r="249" spans="1:21" s="15" customFormat="1">
      <c r="A249" s="1120" t="s">
        <v>742</v>
      </c>
      <c r="B249" s="571"/>
      <c r="C249" s="571" t="s">
        <v>742</v>
      </c>
      <c r="D249" s="639"/>
      <c r="E249" s="14" t="s">
        <v>6540</v>
      </c>
      <c r="F249" s="18" t="s">
        <v>1297</v>
      </c>
      <c r="G249" s="28">
        <v>3</v>
      </c>
      <c r="H249" s="28"/>
      <c r="I249" s="23"/>
      <c r="J249" s="23"/>
      <c r="K249" s="25">
        <v>0</v>
      </c>
      <c r="L249" s="25">
        <v>99000</v>
      </c>
      <c r="M249" s="25">
        <v>0</v>
      </c>
      <c r="N249" s="1061"/>
      <c r="O249" s="1061"/>
      <c r="P249" s="807">
        <f>ROUND($G249*K249,0)</f>
        <v>0</v>
      </c>
      <c r="Q249" s="807">
        <f>ROUND($G249*L249,0)</f>
        <v>297000</v>
      </c>
      <c r="R249" s="807">
        <f>ROUND($G249*M249,0)</f>
        <v>0</v>
      </c>
    </row>
    <row r="250" spans="1:21" s="15" customFormat="1">
      <c r="A250" s="252">
        <f>A237</f>
        <v>19</v>
      </c>
      <c r="B250" s="571"/>
      <c r="C250" s="571"/>
      <c r="D250" s="639"/>
      <c r="E250" s="14"/>
      <c r="F250" s="18"/>
      <c r="G250" s="28"/>
      <c r="H250" s="28"/>
      <c r="I250" s="23"/>
      <c r="J250" s="23"/>
      <c r="K250" s="23"/>
      <c r="L250" s="23"/>
      <c r="M250" s="23"/>
      <c r="N250" s="23"/>
      <c r="O250" s="23"/>
      <c r="P250" s="23"/>
      <c r="Q250" s="23"/>
      <c r="R250" s="23"/>
    </row>
    <row r="251" spans="1:21" s="15" customFormat="1" ht="15" customHeight="1">
      <c r="A251" s="1048">
        <f>A250+1</f>
        <v>20</v>
      </c>
      <c r="B251" s="657" t="str">
        <f>"II."&amp;+A251</f>
        <v>II.20</v>
      </c>
      <c r="C251" s="571"/>
      <c r="D251" s="639"/>
      <c r="E251" s="1049" t="s">
        <v>4618</v>
      </c>
      <c r="F251" s="24" t="s">
        <v>1297</v>
      </c>
      <c r="G251" s="1475">
        <f>10+tkeTA2!AY93</f>
        <v>18</v>
      </c>
      <c r="H251" s="26"/>
      <c r="I251" s="1053"/>
      <c r="J251" s="1053"/>
      <c r="K251" s="1053"/>
      <c r="L251" s="1053"/>
      <c r="M251" s="1053"/>
      <c r="N251" s="1055">
        <f>SUM(N252:N260)</f>
        <v>1345300</v>
      </c>
      <c r="O251" s="1055"/>
      <c r="P251" s="1055">
        <f>SUM(P252:P260)</f>
        <v>12429</v>
      </c>
      <c r="Q251" s="1055">
        <f>SUM(Q252:Q260)</f>
        <v>288007</v>
      </c>
      <c r="R251" s="1055">
        <f>SUM(R252:R260)</f>
        <v>44428</v>
      </c>
    </row>
    <row r="252" spans="1:21" s="15" customFormat="1" ht="15" customHeight="1">
      <c r="A252" s="329" t="s">
        <v>2664</v>
      </c>
      <c r="B252" s="571"/>
      <c r="C252" s="571"/>
      <c r="D252" s="639">
        <v>0</v>
      </c>
      <c r="E252" s="14" t="s">
        <v>2665</v>
      </c>
      <c r="F252" s="18" t="s">
        <v>2660</v>
      </c>
      <c r="G252" s="29">
        <v>5</v>
      </c>
      <c r="H252" s="27">
        <f>G252*G251</f>
        <v>90</v>
      </c>
      <c r="I252" s="25">
        <v>219780</v>
      </c>
      <c r="J252" s="25"/>
      <c r="K252" s="1053"/>
      <c r="L252" s="23"/>
      <c r="M252" s="23"/>
      <c r="N252" s="807">
        <f>ROUND($G252*I252,0)</f>
        <v>1098900</v>
      </c>
      <c r="O252" s="807"/>
      <c r="P252" s="1061"/>
      <c r="Q252" s="1061"/>
      <c r="R252" s="1061"/>
    </row>
    <row r="253" spans="1:21" s="15" customFormat="1" ht="15" customHeight="1">
      <c r="A253" s="329" t="s">
        <v>4621</v>
      </c>
      <c r="B253" s="571"/>
      <c r="C253" s="571"/>
      <c r="D253" s="639">
        <v>0</v>
      </c>
      <c r="E253" s="14" t="s">
        <v>6541</v>
      </c>
      <c r="F253" s="18" t="s">
        <v>1297</v>
      </c>
      <c r="G253" s="29">
        <v>1</v>
      </c>
      <c r="H253" s="27">
        <f>G253*G251</f>
        <v>18</v>
      </c>
      <c r="I253" s="25">
        <v>196000</v>
      </c>
      <c r="J253" s="25"/>
      <c r="K253" s="1053"/>
      <c r="L253" s="23"/>
      <c r="M253" s="23"/>
      <c r="N253" s="807">
        <f>ROUND($G253*I253,0)</f>
        <v>196000</v>
      </c>
      <c r="O253" s="807"/>
      <c r="P253" s="1061"/>
      <c r="Q253" s="1061"/>
      <c r="R253" s="1061"/>
    </row>
    <row r="254" spans="1:21" s="15" customFormat="1" ht="15" customHeight="1">
      <c r="A254" s="329" t="s">
        <v>5125</v>
      </c>
      <c r="B254" s="571"/>
      <c r="C254" s="571"/>
      <c r="D254" s="639">
        <v>259</v>
      </c>
      <c r="E254" s="14" t="s">
        <v>5126</v>
      </c>
      <c r="F254" s="18" t="s">
        <v>1307</v>
      </c>
      <c r="G254" s="29">
        <v>2</v>
      </c>
      <c r="H254" s="27">
        <f>G254*G251</f>
        <v>36</v>
      </c>
      <c r="I254" s="25">
        <v>9800</v>
      </c>
      <c r="J254" s="25"/>
      <c r="K254" s="1053"/>
      <c r="L254" s="23"/>
      <c r="M254" s="23"/>
      <c r="N254" s="807">
        <f>ROUND($G254*I254,0)</f>
        <v>19600</v>
      </c>
      <c r="O254" s="807"/>
      <c r="P254" s="1061"/>
      <c r="Q254" s="1061"/>
      <c r="R254" s="1061"/>
    </row>
    <row r="255" spans="1:21" s="15" customFormat="1" ht="15" customHeight="1">
      <c r="A255" s="329" t="s">
        <v>5824</v>
      </c>
      <c r="B255" s="571"/>
      <c r="C255" s="571"/>
      <c r="D255" s="639">
        <v>43812040</v>
      </c>
      <c r="E255" s="14" t="s">
        <v>6542</v>
      </c>
      <c r="F255" s="18" t="s">
        <v>1297</v>
      </c>
      <c r="G255" s="29">
        <v>2</v>
      </c>
      <c r="H255" s="27">
        <f>G255*G252</f>
        <v>10</v>
      </c>
      <c r="I255" s="25">
        <v>8200</v>
      </c>
      <c r="J255" s="25"/>
      <c r="K255" s="1053"/>
      <c r="L255" s="23"/>
      <c r="M255" s="23"/>
      <c r="N255" s="807">
        <f>ROUND($G255*I255,0)</f>
        <v>16400</v>
      </c>
      <c r="O255" s="807"/>
      <c r="P255" s="1061"/>
      <c r="Q255" s="1061"/>
      <c r="R255" s="1061"/>
    </row>
    <row r="256" spans="1:21" s="15" customFormat="1" ht="15" customHeight="1">
      <c r="A256" s="329" t="s">
        <v>1445</v>
      </c>
      <c r="B256" s="571"/>
      <c r="C256" s="571"/>
      <c r="D256" s="639">
        <v>0</v>
      </c>
      <c r="E256" s="14" t="s">
        <v>1446</v>
      </c>
      <c r="F256" s="18" t="s">
        <v>1307</v>
      </c>
      <c r="G256" s="29">
        <v>2</v>
      </c>
      <c r="H256" s="27">
        <f>G256*G253</f>
        <v>2</v>
      </c>
      <c r="I256" s="25">
        <v>7200</v>
      </c>
      <c r="J256" s="25"/>
      <c r="K256" s="1053"/>
      <c r="L256" s="23"/>
      <c r="M256" s="23"/>
      <c r="N256" s="807">
        <f>ROUND($G256*I256,0)</f>
        <v>14400</v>
      </c>
      <c r="O256" s="807"/>
      <c r="P256" s="1061"/>
      <c r="Q256" s="1061"/>
      <c r="R256" s="1061"/>
    </row>
    <row r="257" spans="1:18" s="15" customFormat="1" ht="15" customHeight="1">
      <c r="A257" s="1120" t="s">
        <v>1903</v>
      </c>
      <c r="B257" s="571"/>
      <c r="C257" s="571" t="s">
        <v>1903</v>
      </c>
      <c r="D257" s="639"/>
      <c r="E257" s="14" t="s">
        <v>6543</v>
      </c>
      <c r="F257" s="18" t="s">
        <v>6249</v>
      </c>
      <c r="G257" s="1121">
        <f>ROUND(G252/0.224,0)/10</f>
        <v>2.2000000000000002</v>
      </c>
      <c r="H257" s="1060"/>
      <c r="I257" s="1061"/>
      <c r="J257" s="25"/>
      <c r="K257" s="25">
        <v>3315</v>
      </c>
      <c r="L257" s="25">
        <v>63800</v>
      </c>
      <c r="M257" s="25">
        <v>17270</v>
      </c>
      <c r="N257" s="1061"/>
      <c r="O257" s="807"/>
      <c r="P257" s="807">
        <f t="shared" ref="P257:R260" si="22">ROUND($G257*K257,0)</f>
        <v>7293</v>
      </c>
      <c r="Q257" s="807">
        <f t="shared" si="22"/>
        <v>140360</v>
      </c>
      <c r="R257" s="807">
        <f t="shared" si="22"/>
        <v>37994</v>
      </c>
    </row>
    <row r="258" spans="1:18" s="15" customFormat="1" ht="15" customHeight="1">
      <c r="A258" s="1120" t="s">
        <v>3840</v>
      </c>
      <c r="B258" s="571"/>
      <c r="C258" s="571" t="s">
        <v>3840</v>
      </c>
      <c r="D258" s="639"/>
      <c r="E258" s="14" t="s">
        <v>6544</v>
      </c>
      <c r="F258" s="18" t="s">
        <v>4475</v>
      </c>
      <c r="G258" s="1121">
        <f>G256/10</f>
        <v>0.2</v>
      </c>
      <c r="H258" s="1060"/>
      <c r="I258" s="23"/>
      <c r="J258" s="25"/>
      <c r="K258" s="25">
        <v>0</v>
      </c>
      <c r="L258" s="25">
        <v>47923</v>
      </c>
      <c r="M258" s="25">
        <v>25526</v>
      </c>
      <c r="N258" s="23"/>
      <c r="O258" s="807"/>
      <c r="P258" s="807">
        <f t="shared" si="22"/>
        <v>0</v>
      </c>
      <c r="Q258" s="807">
        <f t="shared" si="22"/>
        <v>9585</v>
      </c>
      <c r="R258" s="807">
        <f t="shared" si="22"/>
        <v>5105</v>
      </c>
    </row>
    <row r="259" spans="1:18" s="15" customFormat="1" ht="15" customHeight="1">
      <c r="A259" s="1186" t="s">
        <v>2506</v>
      </c>
      <c r="B259" s="571"/>
      <c r="C259" s="571" t="s">
        <v>2506</v>
      </c>
      <c r="D259" s="639"/>
      <c r="E259" s="14" t="s">
        <v>6545</v>
      </c>
      <c r="F259" s="18" t="s">
        <v>1297</v>
      </c>
      <c r="G259" s="29">
        <f>+G254/2</f>
        <v>1</v>
      </c>
      <c r="H259" s="1060"/>
      <c r="I259" s="1061"/>
      <c r="J259" s="25"/>
      <c r="K259" s="25">
        <v>2511</v>
      </c>
      <c r="L259" s="25">
        <v>92400</v>
      </c>
      <c r="M259" s="25">
        <v>0</v>
      </c>
      <c r="N259" s="1061"/>
      <c r="O259" s="807"/>
      <c r="P259" s="807">
        <f t="shared" si="22"/>
        <v>2511</v>
      </c>
      <c r="Q259" s="807">
        <f t="shared" si="22"/>
        <v>92400</v>
      </c>
      <c r="R259" s="807">
        <f t="shared" si="22"/>
        <v>0</v>
      </c>
    </row>
    <row r="260" spans="1:18" s="15" customFormat="1" ht="15" customHeight="1">
      <c r="A260" s="1120" t="s">
        <v>1904</v>
      </c>
      <c r="B260" s="571"/>
      <c r="C260" s="571" t="s">
        <v>1904</v>
      </c>
      <c r="D260" s="639"/>
      <c r="E260" s="14" t="s">
        <v>6546</v>
      </c>
      <c r="F260" s="18" t="s">
        <v>6547</v>
      </c>
      <c r="G260" s="1121">
        <f>G253/10</f>
        <v>0.1</v>
      </c>
      <c r="H260" s="1060"/>
      <c r="I260" s="1061"/>
      <c r="J260" s="25"/>
      <c r="K260" s="25">
        <v>26250</v>
      </c>
      <c r="L260" s="25">
        <v>456615</v>
      </c>
      <c r="M260" s="25">
        <v>13285</v>
      </c>
      <c r="N260" s="1061"/>
      <c r="O260" s="807"/>
      <c r="P260" s="807">
        <f t="shared" si="22"/>
        <v>2625</v>
      </c>
      <c r="Q260" s="807">
        <f t="shared" si="22"/>
        <v>45662</v>
      </c>
      <c r="R260" s="807">
        <f t="shared" si="22"/>
        <v>1329</v>
      </c>
    </row>
    <row r="261" spans="1:18" s="15" customFormat="1" ht="15" customHeight="1">
      <c r="A261" s="252">
        <f>A251</f>
        <v>20</v>
      </c>
      <c r="B261" s="571"/>
      <c r="C261" s="571"/>
      <c r="D261" s="639"/>
      <c r="E261" s="14"/>
      <c r="F261" s="18"/>
      <c r="G261" s="1057"/>
      <c r="H261" s="1057"/>
      <c r="I261" s="1061"/>
      <c r="J261" s="23"/>
      <c r="K261" s="23"/>
      <c r="L261" s="23"/>
      <c r="M261" s="23"/>
      <c r="N261" s="1061"/>
      <c r="O261" s="1061"/>
      <c r="P261" s="1061"/>
      <c r="Q261" s="1061"/>
      <c r="R261" s="1061"/>
    </row>
    <row r="262" spans="1:18" s="15" customFormat="1" ht="15" customHeight="1">
      <c r="A262" s="1114">
        <f>A261+1</f>
        <v>21</v>
      </c>
      <c r="B262" s="571" t="str">
        <f>"II."&amp;+A262</f>
        <v>II.21</v>
      </c>
      <c r="C262" s="19"/>
      <c r="D262" s="251"/>
      <c r="E262" s="20" t="s">
        <v>5625</v>
      </c>
      <c r="F262" s="24" t="s">
        <v>419</v>
      </c>
      <c r="G262" s="1093">
        <v>1</v>
      </c>
      <c r="H262" s="26"/>
      <c r="I262" s="1070"/>
      <c r="J262" s="1070"/>
      <c r="K262" s="1070"/>
      <c r="L262" s="1071"/>
      <c r="M262" s="1070"/>
      <c r="N262" s="1055">
        <f>SUM(N263:N313)</f>
        <v>1800925367</v>
      </c>
      <c r="O262" s="1055">
        <f>SUM(O263:O313)</f>
        <v>0</v>
      </c>
      <c r="P262" s="1055">
        <f>SUM(P263:P313)</f>
        <v>1751436</v>
      </c>
      <c r="Q262" s="1055">
        <f>SUM(Q263:Q313)</f>
        <v>108182986</v>
      </c>
      <c r="R262" s="1055">
        <f>SUM(R263:R313)</f>
        <v>3397113</v>
      </c>
    </row>
    <row r="263" spans="1:18" s="15" customFormat="1" ht="15" customHeight="1">
      <c r="A263" s="30" t="s">
        <v>5355</v>
      </c>
      <c r="B263" s="22"/>
      <c r="C263" s="571"/>
      <c r="D263" s="639">
        <v>0</v>
      </c>
      <c r="E263" s="14" t="s">
        <v>6414</v>
      </c>
      <c r="F263" s="18" t="s">
        <v>639</v>
      </c>
      <c r="G263" s="1473">
        <f>tkeTA2!G99/1000</f>
        <v>1.49</v>
      </c>
      <c r="H263" s="27">
        <f>G263*G269</f>
        <v>138.57</v>
      </c>
      <c r="I263" s="25">
        <v>55500</v>
      </c>
      <c r="J263" s="25"/>
      <c r="K263" s="23"/>
      <c r="L263" s="23"/>
      <c r="M263" s="23"/>
      <c r="N263" s="807">
        <f>ROUND($G263*I263,0)</f>
        <v>82695</v>
      </c>
      <c r="O263" s="807"/>
      <c r="P263" s="1061"/>
      <c r="Q263" s="1061"/>
      <c r="R263" s="1061"/>
    </row>
    <row r="264" spans="1:18" s="15" customFormat="1" ht="15" customHeight="1">
      <c r="A264" s="30" t="s">
        <v>1670</v>
      </c>
      <c r="B264" s="22"/>
      <c r="C264" s="571"/>
      <c r="D264" s="639">
        <v>0</v>
      </c>
      <c r="E264" s="14" t="s">
        <v>6415</v>
      </c>
      <c r="F264" s="18" t="s">
        <v>639</v>
      </c>
      <c r="G264" s="1072">
        <f>tkeTA!J141</f>
        <v>10692</v>
      </c>
      <c r="H264" s="27">
        <f>G264*G266</f>
        <v>30750192</v>
      </c>
      <c r="I264" s="25">
        <v>119900</v>
      </c>
      <c r="J264" s="25"/>
      <c r="K264" s="23"/>
      <c r="L264" s="23"/>
      <c r="M264" s="23"/>
      <c r="N264" s="807">
        <f t="shared" ref="N264:N294" si="23">ROUND($G264*I264,0)</f>
        <v>1281970800</v>
      </c>
      <c r="O264" s="807"/>
      <c r="P264" s="1061"/>
      <c r="Q264" s="1061"/>
      <c r="R264" s="1061"/>
    </row>
    <row r="265" spans="1:18" s="15" customFormat="1" ht="15" customHeight="1">
      <c r="A265" s="1183" t="s">
        <v>169</v>
      </c>
      <c r="B265" s="22"/>
      <c r="C265" s="571"/>
      <c r="D265" s="639">
        <v>0</v>
      </c>
      <c r="E265" s="14" t="s">
        <v>6416</v>
      </c>
      <c r="F265" s="18" t="s">
        <v>2660</v>
      </c>
      <c r="G265" s="1072">
        <f>tkeTA2!G102</f>
        <v>290</v>
      </c>
      <c r="H265" s="27">
        <f>G265*G264</f>
        <v>3100680</v>
      </c>
      <c r="I265" s="25">
        <v>60400</v>
      </c>
      <c r="J265" s="25"/>
      <c r="K265" s="23"/>
      <c r="L265" s="23"/>
      <c r="M265" s="23"/>
      <c r="N265" s="807">
        <f>ROUND($G265*I265,0)</f>
        <v>17516000</v>
      </c>
      <c r="O265" s="807"/>
      <c r="P265" s="1061"/>
      <c r="Q265" s="1061"/>
      <c r="R265" s="1061"/>
    </row>
    <row r="266" spans="1:18" s="15" customFormat="1" ht="15" customHeight="1">
      <c r="A266" s="1183" t="s">
        <v>6309</v>
      </c>
      <c r="B266" s="22"/>
      <c r="C266" s="571"/>
      <c r="D266" s="639">
        <v>0</v>
      </c>
      <c r="E266" s="14" t="s">
        <v>6417</v>
      </c>
      <c r="F266" s="18" t="s">
        <v>2660</v>
      </c>
      <c r="G266" s="1072">
        <f>tkeTA!J144</f>
        <v>2876</v>
      </c>
      <c r="H266" s="27">
        <f>G266*G262</f>
        <v>2876</v>
      </c>
      <c r="I266" s="25">
        <v>61900</v>
      </c>
      <c r="J266" s="25"/>
      <c r="K266" s="23"/>
      <c r="L266" s="23"/>
      <c r="M266" s="23"/>
      <c r="N266" s="807">
        <f t="shared" si="23"/>
        <v>178024400</v>
      </c>
      <c r="O266" s="807"/>
      <c r="P266" s="1061"/>
      <c r="Q266" s="1061"/>
      <c r="R266" s="1061"/>
    </row>
    <row r="267" spans="1:18" s="15" customFormat="1" ht="15" customHeight="1">
      <c r="A267" s="1183" t="s">
        <v>170</v>
      </c>
      <c r="B267" s="22"/>
      <c r="C267" s="571"/>
      <c r="D267" s="639">
        <v>0</v>
      </c>
      <c r="E267" s="14" t="s">
        <v>6548</v>
      </c>
      <c r="F267" s="18" t="s">
        <v>639</v>
      </c>
      <c r="G267" s="1072">
        <f>tkeTA2!G97</f>
        <v>5</v>
      </c>
      <c r="H267" s="27" t="e">
        <f>#REF!*G268</f>
        <v>#REF!</v>
      </c>
      <c r="I267" s="25">
        <v>92800</v>
      </c>
      <c r="J267" s="25"/>
      <c r="K267" s="23"/>
      <c r="L267" s="23"/>
      <c r="M267" s="23"/>
      <c r="N267" s="807">
        <f>ROUND($G267*I267,0)</f>
        <v>464000</v>
      </c>
      <c r="O267" s="807"/>
      <c r="P267" s="1061"/>
      <c r="Q267" s="1061"/>
      <c r="R267" s="1061"/>
    </row>
    <row r="268" spans="1:18" s="15" customFormat="1" ht="15" customHeight="1">
      <c r="A268" s="1183" t="s">
        <v>4979</v>
      </c>
      <c r="B268" s="22"/>
      <c r="C268" s="571"/>
      <c r="D268" s="639">
        <v>0</v>
      </c>
      <c r="E268" s="14" t="s">
        <v>6549</v>
      </c>
      <c r="F268" s="18" t="s">
        <v>639</v>
      </c>
      <c r="G268" s="1072">
        <f>tkeTA!J139</f>
        <v>103</v>
      </c>
      <c r="H268" s="27" t="e">
        <f>#REF!*G269</f>
        <v>#REF!</v>
      </c>
      <c r="I268" s="25">
        <v>150900</v>
      </c>
      <c r="J268" s="25"/>
      <c r="K268" s="23"/>
      <c r="L268" s="23"/>
      <c r="M268" s="23"/>
      <c r="N268" s="807">
        <f>ROUND($G268*I268,0)</f>
        <v>15542700</v>
      </c>
      <c r="O268" s="807"/>
      <c r="P268" s="1061"/>
      <c r="Q268" s="1061"/>
      <c r="R268" s="1061"/>
    </row>
    <row r="269" spans="1:18" s="15" customFormat="1" ht="15" customHeight="1">
      <c r="A269" s="1183" t="s">
        <v>1612</v>
      </c>
      <c r="B269" s="22"/>
      <c r="C269" s="571"/>
      <c r="D269" s="639">
        <v>0</v>
      </c>
      <c r="E269" s="14" t="s">
        <v>6550</v>
      </c>
      <c r="F269" s="18" t="s">
        <v>639</v>
      </c>
      <c r="G269" s="1072">
        <f>tkeTA!F135</f>
        <v>93</v>
      </c>
      <c r="H269" s="27" t="e">
        <f>#REF!*G266</f>
        <v>#REF!</v>
      </c>
      <c r="I269" s="25">
        <v>396100</v>
      </c>
      <c r="J269" s="25"/>
      <c r="K269" s="23"/>
      <c r="L269" s="23"/>
      <c r="M269" s="23"/>
      <c r="N269" s="807">
        <f t="shared" si="23"/>
        <v>36837300</v>
      </c>
      <c r="O269" s="807"/>
      <c r="P269" s="1061"/>
      <c r="Q269" s="1061"/>
      <c r="R269" s="1061"/>
    </row>
    <row r="270" spans="1:18" s="15" customFormat="1" ht="15" customHeight="1">
      <c r="A270" s="1183" t="s">
        <v>858</v>
      </c>
      <c r="B270" s="22"/>
      <c r="C270" s="571"/>
      <c r="D270" s="639">
        <v>31002575</v>
      </c>
      <c r="E270" s="14" t="s">
        <v>433</v>
      </c>
      <c r="F270" s="18" t="s">
        <v>1307</v>
      </c>
      <c r="G270" s="1072">
        <f>tkeTA!AC135+tkeTA2!Z93-G271</f>
        <v>151</v>
      </c>
      <c r="H270" s="27">
        <f>G270*G262</f>
        <v>151</v>
      </c>
      <c r="I270" s="25">
        <v>384000</v>
      </c>
      <c r="J270" s="25"/>
      <c r="K270" s="23"/>
      <c r="L270" s="23"/>
      <c r="M270" s="23"/>
      <c r="N270" s="807">
        <f t="shared" si="23"/>
        <v>57984000</v>
      </c>
      <c r="O270" s="807"/>
      <c r="P270" s="1061"/>
      <c r="Q270" s="1061"/>
      <c r="R270" s="1061"/>
    </row>
    <row r="271" spans="1:18" s="15" customFormat="1" ht="15" customHeight="1">
      <c r="A271" s="1183" t="s">
        <v>858</v>
      </c>
      <c r="B271" s="22"/>
      <c r="C271" s="571"/>
      <c r="D271" s="639">
        <v>31002575</v>
      </c>
      <c r="E271" s="14" t="s">
        <v>1837</v>
      </c>
      <c r="F271" s="18" t="s">
        <v>1307</v>
      </c>
      <c r="G271" s="1072">
        <f>tkeTA_hh!AE129</f>
        <v>49</v>
      </c>
      <c r="H271" s="27">
        <f>G271*G263</f>
        <v>73.010000000000005</v>
      </c>
      <c r="I271" s="25" t="s">
        <v>1838</v>
      </c>
      <c r="J271" s="25"/>
      <c r="K271" s="23"/>
      <c r="L271" s="23"/>
      <c r="M271" s="23"/>
      <c r="N271" s="807" t="s">
        <v>1838</v>
      </c>
      <c r="O271" s="807"/>
      <c r="P271" s="1061"/>
      <c r="Q271" s="1061"/>
      <c r="R271" s="1061"/>
    </row>
    <row r="272" spans="1:18" s="15" customFormat="1" ht="15" customHeight="1">
      <c r="A272" s="1183" t="s">
        <v>859</v>
      </c>
      <c r="B272" s="22"/>
      <c r="C272" s="571"/>
      <c r="D272" s="639">
        <v>31088476</v>
      </c>
      <c r="E272" s="14" t="s">
        <v>5572</v>
      </c>
      <c r="F272" s="18" t="s">
        <v>1307</v>
      </c>
      <c r="G272" s="1072">
        <f>G270*2</f>
        <v>302</v>
      </c>
      <c r="H272" s="27">
        <f>G272*G262</f>
        <v>302</v>
      </c>
      <c r="I272" s="25">
        <v>20400</v>
      </c>
      <c r="J272" s="25"/>
      <c r="K272" s="23"/>
      <c r="L272" s="23"/>
      <c r="M272" s="23"/>
      <c r="N272" s="807">
        <f t="shared" si="23"/>
        <v>6160800</v>
      </c>
      <c r="O272" s="807"/>
      <c r="P272" s="1061"/>
      <c r="Q272" s="1061"/>
      <c r="R272" s="1061"/>
    </row>
    <row r="273" spans="1:256" s="15" customFormat="1" ht="15" customHeight="1">
      <c r="A273" s="30" t="s">
        <v>768</v>
      </c>
      <c r="B273" s="22"/>
      <c r="C273" s="571"/>
      <c r="D273" s="639">
        <v>0</v>
      </c>
      <c r="E273" s="14" t="s">
        <v>6551</v>
      </c>
      <c r="F273" s="18" t="s">
        <v>1307</v>
      </c>
      <c r="G273" s="1072">
        <f>tkeTA2!AB93</f>
        <v>14</v>
      </c>
      <c r="H273" s="27" t="e">
        <f>G273*#REF!</f>
        <v>#REF!</v>
      </c>
      <c r="I273" s="25">
        <v>175800</v>
      </c>
      <c r="J273" s="25"/>
      <c r="K273" s="23"/>
      <c r="L273" s="23"/>
      <c r="M273" s="23"/>
      <c r="N273" s="807">
        <f>ROUND($G273*I273,0)</f>
        <v>2461200</v>
      </c>
      <c r="O273" s="807"/>
      <c r="P273" s="1061"/>
      <c r="Q273" s="1061"/>
      <c r="R273" s="1061"/>
    </row>
    <row r="274" spans="1:256" s="15" customFormat="1" ht="15" customHeight="1">
      <c r="A274" s="30" t="s">
        <v>5927</v>
      </c>
      <c r="B274" s="22"/>
      <c r="C274" s="571"/>
      <c r="D274" s="639">
        <v>0</v>
      </c>
      <c r="E274" s="14" t="s">
        <v>6552</v>
      </c>
      <c r="F274" s="18" t="s">
        <v>1307</v>
      </c>
      <c r="G274" s="1072">
        <f>tkeTA!AE135</f>
        <v>84</v>
      </c>
      <c r="H274" s="27" t="e">
        <f>G274*#REF!</f>
        <v>#REF!</v>
      </c>
      <c r="I274" s="25">
        <v>314800</v>
      </c>
      <c r="J274" s="25"/>
      <c r="K274" s="23"/>
      <c r="L274" s="23"/>
      <c r="M274" s="23"/>
      <c r="N274" s="807">
        <f t="shared" si="23"/>
        <v>26443200</v>
      </c>
      <c r="O274" s="807"/>
      <c r="P274" s="1061"/>
      <c r="Q274" s="1061"/>
      <c r="R274" s="1061"/>
    </row>
    <row r="275" spans="1:256" s="15" customFormat="1" ht="15" customHeight="1">
      <c r="A275" s="30" t="s">
        <v>4285</v>
      </c>
      <c r="B275" s="22"/>
      <c r="C275" s="571"/>
      <c r="D275" s="639">
        <v>32043910</v>
      </c>
      <c r="E275" s="14" t="s">
        <v>4286</v>
      </c>
      <c r="F275" s="18" t="s">
        <v>1307</v>
      </c>
      <c r="G275" s="1072">
        <f>tkeTA!AF135</f>
        <v>133</v>
      </c>
      <c r="H275" s="27" t="e">
        <f>G275*#REF!</f>
        <v>#REF!</v>
      </c>
      <c r="I275" s="25">
        <v>96310</v>
      </c>
      <c r="J275" s="25"/>
      <c r="K275" s="23"/>
      <c r="L275" s="23"/>
      <c r="M275" s="23"/>
      <c r="N275" s="807">
        <f>ROUND($G275*I275,0)</f>
        <v>12809230</v>
      </c>
      <c r="O275" s="807"/>
      <c r="P275" s="1061"/>
      <c r="Q275" s="1061"/>
      <c r="R275" s="1061"/>
    </row>
    <row r="276" spans="1:256" s="15" customFormat="1" ht="15" customHeight="1">
      <c r="A276" s="1183" t="s">
        <v>861</v>
      </c>
      <c r="B276" s="22"/>
      <c r="C276" s="571"/>
      <c r="D276" s="639">
        <v>33034402</v>
      </c>
      <c r="E276" s="14" t="s">
        <v>455</v>
      </c>
      <c r="F276" s="18" t="s">
        <v>1307</v>
      </c>
      <c r="G276" s="1072">
        <f>tkeTA!AD135+tkeTA2!AA93-G277</f>
        <v>354</v>
      </c>
      <c r="H276" s="27">
        <f>G276*G262</f>
        <v>354</v>
      </c>
      <c r="I276" s="25">
        <v>208000</v>
      </c>
      <c r="J276" s="25"/>
      <c r="K276" s="23"/>
      <c r="L276" s="23"/>
      <c r="M276" s="23"/>
      <c r="N276" s="807">
        <f t="shared" si="23"/>
        <v>73632000</v>
      </c>
      <c r="O276" s="807"/>
      <c r="P276" s="1061"/>
      <c r="Q276" s="1061"/>
      <c r="R276" s="1061"/>
    </row>
    <row r="277" spans="1:256" s="15" customFormat="1" ht="15" customHeight="1">
      <c r="A277" s="1183" t="s">
        <v>861</v>
      </c>
      <c r="B277" s="22"/>
      <c r="C277" s="571"/>
      <c r="D277" s="639">
        <v>33034402</v>
      </c>
      <c r="E277" s="14" t="s">
        <v>1839</v>
      </c>
      <c r="F277" s="18" t="s">
        <v>1307</v>
      </c>
      <c r="G277" s="1072">
        <f>tkeTA_hh!AF129</f>
        <v>116</v>
      </c>
      <c r="H277" s="27">
        <f>G277*G263</f>
        <v>172.84</v>
      </c>
      <c r="I277" s="25" t="s">
        <v>1838</v>
      </c>
      <c r="J277" s="25"/>
      <c r="K277" s="23"/>
      <c r="L277" s="23"/>
      <c r="M277" s="23"/>
      <c r="N277" s="807" t="s">
        <v>1838</v>
      </c>
      <c r="O277" s="807"/>
      <c r="P277" s="1061"/>
      <c r="Q277" s="1061"/>
      <c r="R277" s="1061"/>
    </row>
    <row r="278" spans="1:256" s="15" customFormat="1" ht="15" customHeight="1">
      <c r="A278" s="30" t="s">
        <v>862</v>
      </c>
      <c r="B278" s="22"/>
      <c r="C278" s="571"/>
      <c r="D278" s="639">
        <v>0</v>
      </c>
      <c r="E278" s="14" t="s">
        <v>5460</v>
      </c>
      <c r="F278" s="18" t="s">
        <v>1307</v>
      </c>
      <c r="G278" s="1072">
        <f>tkeTA!AD135</f>
        <v>444</v>
      </c>
      <c r="H278" s="27">
        <f>G278*G262</f>
        <v>444</v>
      </c>
      <c r="I278" s="25">
        <v>80000</v>
      </c>
      <c r="J278" s="25"/>
      <c r="K278" s="23"/>
      <c r="L278" s="23"/>
      <c r="M278" s="23"/>
      <c r="N278" s="807">
        <f t="shared" si="23"/>
        <v>35520000</v>
      </c>
      <c r="O278" s="807"/>
      <c r="P278" s="1061"/>
      <c r="Q278" s="1061"/>
      <c r="R278" s="1061"/>
    </row>
    <row r="279" spans="1:256" s="15" customFormat="1" ht="15" customHeight="1">
      <c r="A279" s="30" t="s">
        <v>5928</v>
      </c>
      <c r="B279" s="22"/>
      <c r="C279" s="571"/>
      <c r="D279" s="639">
        <v>0</v>
      </c>
      <c r="E279" s="14" t="s">
        <v>6553</v>
      </c>
      <c r="F279" s="18" t="s">
        <v>1307</v>
      </c>
      <c r="G279" s="29">
        <f>tkeTA2!AD93</f>
        <v>26</v>
      </c>
      <c r="H279" s="27">
        <f>G279*G251</f>
        <v>468</v>
      </c>
      <c r="I279" s="25">
        <v>110200</v>
      </c>
      <c r="J279" s="25"/>
      <c r="K279" s="23"/>
      <c r="L279" s="23"/>
      <c r="M279" s="23"/>
      <c r="N279" s="807">
        <f>ROUND($G279*I279,0)</f>
        <v>2865200</v>
      </c>
      <c r="O279" s="807"/>
      <c r="P279" s="1061"/>
      <c r="Q279" s="1061"/>
      <c r="R279" s="1061"/>
    </row>
    <row r="280" spans="1:256" s="15" customFormat="1" ht="15" customHeight="1">
      <c r="A280" s="30" t="s">
        <v>4580</v>
      </c>
      <c r="B280" s="22"/>
      <c r="C280" s="571"/>
      <c r="D280" s="639">
        <v>0</v>
      </c>
      <c r="E280" s="14" t="s">
        <v>6554</v>
      </c>
      <c r="F280" s="18" t="s">
        <v>1307</v>
      </c>
      <c r="G280" s="29">
        <f>tkeTA!AG135</f>
        <v>330</v>
      </c>
      <c r="H280" s="27">
        <f>G280*G178</f>
        <v>0</v>
      </c>
      <c r="I280" s="25">
        <v>114000</v>
      </c>
      <c r="J280" s="25"/>
      <c r="K280" s="23"/>
      <c r="L280" s="23"/>
      <c r="M280" s="23"/>
      <c r="N280" s="807">
        <f t="shared" si="23"/>
        <v>37620000</v>
      </c>
      <c r="O280" s="807"/>
      <c r="P280" s="1061"/>
      <c r="Q280" s="1061"/>
      <c r="R280" s="1061"/>
    </row>
    <row r="281" spans="1:256" s="15" customFormat="1" ht="15" customHeight="1">
      <c r="A281" s="1183" t="s">
        <v>863</v>
      </c>
      <c r="B281" s="22"/>
      <c r="C281" s="571"/>
      <c r="D281" s="639">
        <v>30603514</v>
      </c>
      <c r="E281" s="14" t="s">
        <v>676</v>
      </c>
      <c r="F281" s="18" t="s">
        <v>1307</v>
      </c>
      <c r="G281" s="1072">
        <f>tkeTA!AI135+tkeTA2!AF93</f>
        <v>90</v>
      </c>
      <c r="H281" s="27">
        <f>G281*G262</f>
        <v>90</v>
      </c>
      <c r="I281" s="25">
        <v>14500</v>
      </c>
      <c r="J281" s="25"/>
      <c r="K281" s="23"/>
      <c r="L281" s="23"/>
      <c r="M281" s="23"/>
      <c r="N281" s="807">
        <f t="shared" si="23"/>
        <v>1305000</v>
      </c>
      <c r="O281" s="807"/>
      <c r="P281" s="1061"/>
      <c r="Q281" s="1061"/>
      <c r="R281" s="1061"/>
    </row>
    <row r="282" spans="1:256" s="15" customFormat="1" ht="15" customHeight="1">
      <c r="A282" s="1183" t="s">
        <v>864</v>
      </c>
      <c r="B282" s="22"/>
      <c r="C282" s="571"/>
      <c r="D282" s="639">
        <v>31002600</v>
      </c>
      <c r="E282" s="14" t="s">
        <v>5574</v>
      </c>
      <c r="F282" s="18" t="s">
        <v>1307</v>
      </c>
      <c r="G282" s="1072">
        <f>G281</f>
        <v>90</v>
      </c>
      <c r="H282" s="27">
        <f>G282*G262</f>
        <v>90</v>
      </c>
      <c r="I282" s="25">
        <v>19000</v>
      </c>
      <c r="J282" s="25"/>
      <c r="K282" s="23"/>
      <c r="L282" s="23"/>
      <c r="M282" s="23"/>
      <c r="N282" s="807">
        <f t="shared" si="23"/>
        <v>1710000</v>
      </c>
      <c r="O282" s="807"/>
      <c r="P282" s="1061"/>
      <c r="Q282" s="1061"/>
      <c r="R282" s="1061"/>
    </row>
    <row r="283" spans="1:256" s="15" customFormat="1" ht="15" customHeight="1">
      <c r="A283" s="30" t="s">
        <v>869</v>
      </c>
      <c r="B283" s="22"/>
      <c r="C283" s="571"/>
      <c r="D283" s="639">
        <v>33057562</v>
      </c>
      <c r="E283" s="14" t="s">
        <v>5996</v>
      </c>
      <c r="F283" s="18" t="s">
        <v>1307</v>
      </c>
      <c r="G283" s="1072">
        <f>tkeTA2!AY93</f>
        <v>8</v>
      </c>
      <c r="H283" s="27">
        <f>G283*G262</f>
        <v>8</v>
      </c>
      <c r="I283" s="25">
        <v>45000</v>
      </c>
      <c r="J283" s="25"/>
      <c r="K283" s="23"/>
      <c r="L283" s="23"/>
      <c r="M283" s="23"/>
      <c r="N283" s="807">
        <f t="shared" si="23"/>
        <v>360000</v>
      </c>
      <c r="O283" s="807"/>
      <c r="P283" s="1061"/>
      <c r="Q283" s="1061"/>
      <c r="R283" s="1061"/>
      <c r="S283" s="31" t="e">
        <f>SUM(#REF!)</f>
        <v>#REF!</v>
      </c>
      <c r="T283" s="31" t="e">
        <f>SUM(#REF!)</f>
        <v>#REF!</v>
      </c>
      <c r="U283" s="31" t="e">
        <f>SUM(#REF!)</f>
        <v>#REF!</v>
      </c>
      <c r="V283" s="31" t="e">
        <f>SUM(#REF!)</f>
        <v>#REF!</v>
      </c>
      <c r="W283" s="31" t="e">
        <f>SUM(#REF!)</f>
        <v>#REF!</v>
      </c>
      <c r="X283" s="31" t="e">
        <f>SUM(#REF!)</f>
        <v>#REF!</v>
      </c>
      <c r="Y283" s="31" t="e">
        <f>SUM(#REF!)</f>
        <v>#REF!</v>
      </c>
      <c r="Z283" s="31" t="e">
        <f>SUM(#REF!)</f>
        <v>#REF!</v>
      </c>
      <c r="AA283" s="31" t="e">
        <f>SUM(#REF!)</f>
        <v>#REF!</v>
      </c>
      <c r="AB283" s="31" t="e">
        <f>SUM(#REF!)</f>
        <v>#REF!</v>
      </c>
      <c r="AC283" s="31" t="e">
        <f>SUM(#REF!)</f>
        <v>#REF!</v>
      </c>
      <c r="AD283" s="31" t="e">
        <f>SUM(#REF!)</f>
        <v>#REF!</v>
      </c>
      <c r="AE283" s="31" t="e">
        <f>SUM(#REF!)</f>
        <v>#REF!</v>
      </c>
      <c r="AF283" s="31" t="e">
        <f>SUM(#REF!)</f>
        <v>#REF!</v>
      </c>
      <c r="AG283" s="31" t="e">
        <f>SUM(#REF!)</f>
        <v>#REF!</v>
      </c>
      <c r="AH283" s="31" t="e">
        <f>SUM(#REF!)</f>
        <v>#REF!</v>
      </c>
      <c r="AI283" s="31" t="e">
        <f>SUM(#REF!)</f>
        <v>#REF!</v>
      </c>
      <c r="AJ283" s="31" t="e">
        <f>SUM(#REF!)</f>
        <v>#REF!</v>
      </c>
      <c r="AK283" s="31" t="e">
        <f>SUM(#REF!)</f>
        <v>#REF!</v>
      </c>
      <c r="AL283" s="31" t="e">
        <f>SUM(#REF!)</f>
        <v>#REF!</v>
      </c>
      <c r="AM283" s="31" t="e">
        <f>SUM(#REF!)</f>
        <v>#REF!</v>
      </c>
      <c r="AN283" s="31" t="e">
        <f>SUM(#REF!)</f>
        <v>#REF!</v>
      </c>
      <c r="AO283" s="31" t="e">
        <f>SUM(#REF!)</f>
        <v>#REF!</v>
      </c>
      <c r="AP283" s="31" t="e">
        <f>SUM(#REF!)</f>
        <v>#REF!</v>
      </c>
      <c r="AQ283" s="31" t="e">
        <f>SUM(#REF!)</f>
        <v>#REF!</v>
      </c>
      <c r="AR283" s="31" t="e">
        <f>SUM(#REF!)</f>
        <v>#REF!</v>
      </c>
      <c r="AS283" s="31" t="e">
        <f>SUM(#REF!)</f>
        <v>#REF!</v>
      </c>
      <c r="AT283" s="31" t="e">
        <f>SUM(#REF!)</f>
        <v>#REF!</v>
      </c>
      <c r="AU283" s="31" t="e">
        <f>SUM(#REF!)</f>
        <v>#REF!</v>
      </c>
      <c r="AV283" s="31" t="e">
        <f>SUM(#REF!)</f>
        <v>#REF!</v>
      </c>
      <c r="AW283" s="31" t="e">
        <f>SUM(#REF!)</f>
        <v>#REF!</v>
      </c>
      <c r="AX283" s="31" t="e">
        <f>SUM(#REF!)</f>
        <v>#REF!</v>
      </c>
      <c r="AY283" s="31" t="e">
        <f>SUM(#REF!)</f>
        <v>#REF!</v>
      </c>
      <c r="AZ283" s="31" t="e">
        <f>SUM(#REF!)</f>
        <v>#REF!</v>
      </c>
      <c r="BA283" s="31" t="e">
        <f>SUM(#REF!)</f>
        <v>#REF!</v>
      </c>
      <c r="BB283" s="31" t="e">
        <f>SUM(#REF!)</f>
        <v>#REF!</v>
      </c>
      <c r="BC283" s="31" t="e">
        <f>SUM(#REF!)</f>
        <v>#REF!</v>
      </c>
      <c r="BD283" s="31" t="e">
        <f>SUM(#REF!)</f>
        <v>#REF!</v>
      </c>
      <c r="BE283" s="31" t="e">
        <f>SUM(#REF!)</f>
        <v>#REF!</v>
      </c>
      <c r="BF283" s="31" t="e">
        <f>SUM(#REF!)</f>
        <v>#REF!</v>
      </c>
      <c r="BG283" s="31" t="e">
        <f>SUM(#REF!)</f>
        <v>#REF!</v>
      </c>
      <c r="BH283" s="31" t="e">
        <f>SUM(#REF!)</f>
        <v>#REF!</v>
      </c>
      <c r="BI283" s="31" t="e">
        <f>SUM(#REF!)</f>
        <v>#REF!</v>
      </c>
      <c r="BJ283" s="31" t="e">
        <f>SUM(#REF!)</f>
        <v>#REF!</v>
      </c>
      <c r="BK283" s="31" t="e">
        <f>SUM(#REF!)</f>
        <v>#REF!</v>
      </c>
      <c r="BL283" s="31" t="e">
        <f>SUM(#REF!)</f>
        <v>#REF!</v>
      </c>
      <c r="BM283" s="31" t="e">
        <f>SUM(#REF!)</f>
        <v>#REF!</v>
      </c>
      <c r="BN283" s="31" t="e">
        <f>SUM(#REF!)</f>
        <v>#REF!</v>
      </c>
      <c r="BO283" s="31" t="e">
        <f>SUM(#REF!)</f>
        <v>#REF!</v>
      </c>
      <c r="BP283" s="31" t="e">
        <f>SUM(#REF!)</f>
        <v>#REF!</v>
      </c>
      <c r="BQ283" s="31" t="e">
        <f>SUM(#REF!)</f>
        <v>#REF!</v>
      </c>
      <c r="BR283" s="31" t="e">
        <f>SUM(#REF!)</f>
        <v>#REF!</v>
      </c>
      <c r="BS283" s="31" t="e">
        <f>SUM(#REF!)</f>
        <v>#REF!</v>
      </c>
      <c r="BT283" s="31" t="e">
        <f>SUM(#REF!)</f>
        <v>#REF!</v>
      </c>
      <c r="BU283" s="31" t="e">
        <f>SUM(#REF!)</f>
        <v>#REF!</v>
      </c>
      <c r="BV283" s="31" t="e">
        <f>SUM(#REF!)</f>
        <v>#REF!</v>
      </c>
      <c r="BW283" s="31" t="e">
        <f>SUM(#REF!)</f>
        <v>#REF!</v>
      </c>
      <c r="BX283" s="31" t="e">
        <f>SUM(#REF!)</f>
        <v>#REF!</v>
      </c>
      <c r="BY283" s="31" t="e">
        <f>SUM(#REF!)</f>
        <v>#REF!</v>
      </c>
      <c r="BZ283" s="31" t="e">
        <f>SUM(#REF!)</f>
        <v>#REF!</v>
      </c>
      <c r="CA283" s="31" t="e">
        <f>SUM(#REF!)</f>
        <v>#REF!</v>
      </c>
      <c r="CB283" s="31" t="e">
        <f>SUM(#REF!)</f>
        <v>#REF!</v>
      </c>
      <c r="CC283" s="31" t="e">
        <f>SUM(#REF!)</f>
        <v>#REF!</v>
      </c>
      <c r="CD283" s="31" t="e">
        <f>SUM(#REF!)</f>
        <v>#REF!</v>
      </c>
      <c r="CE283" s="31" t="e">
        <f>SUM(#REF!)</f>
        <v>#REF!</v>
      </c>
      <c r="CF283" s="31" t="e">
        <f>SUM(#REF!)</f>
        <v>#REF!</v>
      </c>
      <c r="CG283" s="31" t="e">
        <f>SUM(#REF!)</f>
        <v>#REF!</v>
      </c>
      <c r="CH283" s="31" t="e">
        <f>SUM(#REF!)</f>
        <v>#REF!</v>
      </c>
      <c r="CI283" s="31" t="e">
        <f>SUM(#REF!)</f>
        <v>#REF!</v>
      </c>
      <c r="CJ283" s="31" t="e">
        <f>SUM(#REF!)</f>
        <v>#REF!</v>
      </c>
      <c r="CK283" s="31" t="e">
        <f>SUM(#REF!)</f>
        <v>#REF!</v>
      </c>
      <c r="CL283" s="31" t="e">
        <f>SUM(#REF!)</f>
        <v>#REF!</v>
      </c>
      <c r="CM283" s="31" t="e">
        <f>SUM(#REF!)</f>
        <v>#REF!</v>
      </c>
      <c r="CN283" s="31" t="e">
        <f>SUM(#REF!)</f>
        <v>#REF!</v>
      </c>
      <c r="CO283" s="31" t="e">
        <f>SUM(#REF!)</f>
        <v>#REF!</v>
      </c>
      <c r="CP283" s="31" t="e">
        <f>SUM(#REF!)</f>
        <v>#REF!</v>
      </c>
      <c r="CQ283" s="31" t="e">
        <f>SUM(#REF!)</f>
        <v>#REF!</v>
      </c>
      <c r="CR283" s="31" t="e">
        <f>SUM(#REF!)</f>
        <v>#REF!</v>
      </c>
      <c r="CS283" s="31" t="e">
        <f>SUM(#REF!)</f>
        <v>#REF!</v>
      </c>
      <c r="CT283" s="31" t="e">
        <f>SUM(#REF!)</f>
        <v>#REF!</v>
      </c>
      <c r="CU283" s="31" t="e">
        <f>SUM(#REF!)</f>
        <v>#REF!</v>
      </c>
      <c r="CV283" s="31" t="e">
        <f>SUM(#REF!)</f>
        <v>#REF!</v>
      </c>
      <c r="CW283" s="31" t="e">
        <f>SUM(#REF!)</f>
        <v>#REF!</v>
      </c>
      <c r="CX283" s="31" t="e">
        <f>SUM(#REF!)</f>
        <v>#REF!</v>
      </c>
      <c r="CY283" s="31" t="e">
        <f>SUM(#REF!)</f>
        <v>#REF!</v>
      </c>
      <c r="CZ283" s="31" t="e">
        <f>SUM(#REF!)</f>
        <v>#REF!</v>
      </c>
      <c r="DA283" s="31" t="e">
        <f>SUM(#REF!)</f>
        <v>#REF!</v>
      </c>
      <c r="DB283" s="31" t="e">
        <f>SUM(#REF!)</f>
        <v>#REF!</v>
      </c>
      <c r="DC283" s="31" t="e">
        <f>SUM(#REF!)</f>
        <v>#REF!</v>
      </c>
      <c r="DD283" s="31" t="e">
        <f>SUM(#REF!)</f>
        <v>#REF!</v>
      </c>
      <c r="DE283" s="31" t="e">
        <f>SUM(#REF!)</f>
        <v>#REF!</v>
      </c>
      <c r="DF283" s="31" t="e">
        <f>SUM(#REF!)</f>
        <v>#REF!</v>
      </c>
      <c r="DG283" s="31" t="e">
        <f>SUM(#REF!)</f>
        <v>#REF!</v>
      </c>
      <c r="DH283" s="31" t="e">
        <f>SUM(#REF!)</f>
        <v>#REF!</v>
      </c>
      <c r="DI283" s="31" t="e">
        <f>SUM(#REF!)</f>
        <v>#REF!</v>
      </c>
      <c r="DJ283" s="31" t="e">
        <f>SUM(#REF!)</f>
        <v>#REF!</v>
      </c>
      <c r="DK283" s="31" t="e">
        <f>SUM(#REF!)</f>
        <v>#REF!</v>
      </c>
      <c r="DL283" s="31" t="e">
        <f>SUM(#REF!)</f>
        <v>#REF!</v>
      </c>
      <c r="DM283" s="31" t="e">
        <f>SUM(#REF!)</f>
        <v>#REF!</v>
      </c>
      <c r="DN283" s="31" t="e">
        <f>SUM(#REF!)</f>
        <v>#REF!</v>
      </c>
      <c r="DO283" s="31" t="e">
        <f>SUM(#REF!)</f>
        <v>#REF!</v>
      </c>
      <c r="DP283" s="31" t="e">
        <f>SUM(#REF!)</f>
        <v>#REF!</v>
      </c>
      <c r="DQ283" s="31" t="e">
        <f>SUM(#REF!)</f>
        <v>#REF!</v>
      </c>
      <c r="DR283" s="31" t="e">
        <f>SUM(#REF!)</f>
        <v>#REF!</v>
      </c>
      <c r="DS283" s="31" t="e">
        <f>SUM(#REF!)</f>
        <v>#REF!</v>
      </c>
      <c r="DT283" s="31" t="e">
        <f>SUM(#REF!)</f>
        <v>#REF!</v>
      </c>
      <c r="DU283" s="31" t="e">
        <f>SUM(#REF!)</f>
        <v>#REF!</v>
      </c>
      <c r="DV283" s="31" t="e">
        <f>SUM(#REF!)</f>
        <v>#REF!</v>
      </c>
      <c r="DW283" s="31" t="e">
        <f>SUM(#REF!)</f>
        <v>#REF!</v>
      </c>
      <c r="DX283" s="31" t="e">
        <f>SUM(#REF!)</f>
        <v>#REF!</v>
      </c>
      <c r="DY283" s="31" t="e">
        <f>SUM(#REF!)</f>
        <v>#REF!</v>
      </c>
      <c r="DZ283" s="31" t="e">
        <f>SUM(#REF!)</f>
        <v>#REF!</v>
      </c>
      <c r="EA283" s="31" t="e">
        <f>SUM(#REF!)</f>
        <v>#REF!</v>
      </c>
      <c r="EB283" s="31" t="e">
        <f>SUM(#REF!)</f>
        <v>#REF!</v>
      </c>
      <c r="EC283" s="31" t="e">
        <f>SUM(#REF!)</f>
        <v>#REF!</v>
      </c>
      <c r="ED283" s="31" t="e">
        <f>SUM(#REF!)</f>
        <v>#REF!</v>
      </c>
      <c r="EE283" s="31" t="e">
        <f>SUM(#REF!)</f>
        <v>#REF!</v>
      </c>
      <c r="EF283" s="31" t="e">
        <f>SUM(#REF!)</f>
        <v>#REF!</v>
      </c>
      <c r="EG283" s="31" t="e">
        <f>SUM(#REF!)</f>
        <v>#REF!</v>
      </c>
      <c r="EH283" s="31" t="e">
        <f>SUM(#REF!)</f>
        <v>#REF!</v>
      </c>
      <c r="EI283" s="31" t="e">
        <f>SUM(#REF!)</f>
        <v>#REF!</v>
      </c>
      <c r="EJ283" s="31" t="e">
        <f>SUM(#REF!)</f>
        <v>#REF!</v>
      </c>
      <c r="EK283" s="31" t="e">
        <f>SUM(#REF!)</f>
        <v>#REF!</v>
      </c>
      <c r="EL283" s="31" t="e">
        <f>SUM(#REF!)</f>
        <v>#REF!</v>
      </c>
      <c r="EM283" s="31" t="e">
        <f>SUM(#REF!)</f>
        <v>#REF!</v>
      </c>
      <c r="EN283" s="31" t="e">
        <f>SUM(#REF!)</f>
        <v>#REF!</v>
      </c>
      <c r="EO283" s="31" t="e">
        <f>SUM(#REF!)</f>
        <v>#REF!</v>
      </c>
      <c r="EP283" s="31" t="e">
        <f>SUM(#REF!)</f>
        <v>#REF!</v>
      </c>
      <c r="EQ283" s="31" t="e">
        <f>SUM(#REF!)</f>
        <v>#REF!</v>
      </c>
      <c r="ER283" s="31" t="e">
        <f>SUM(#REF!)</f>
        <v>#REF!</v>
      </c>
      <c r="ES283" s="31" t="e">
        <f>SUM(#REF!)</f>
        <v>#REF!</v>
      </c>
      <c r="ET283" s="31" t="e">
        <f>SUM(#REF!)</f>
        <v>#REF!</v>
      </c>
      <c r="EU283" s="31" t="e">
        <f>SUM(#REF!)</f>
        <v>#REF!</v>
      </c>
      <c r="EV283" s="31" t="e">
        <f>SUM(#REF!)</f>
        <v>#REF!</v>
      </c>
      <c r="EW283" s="31" t="e">
        <f>SUM(#REF!)</f>
        <v>#REF!</v>
      </c>
      <c r="EX283" s="31" t="e">
        <f>SUM(#REF!)</f>
        <v>#REF!</v>
      </c>
      <c r="EY283" s="31" t="e">
        <f>SUM(#REF!)</f>
        <v>#REF!</v>
      </c>
      <c r="EZ283" s="31" t="e">
        <f>SUM(#REF!)</f>
        <v>#REF!</v>
      </c>
      <c r="FA283" s="31" t="e">
        <f>SUM(#REF!)</f>
        <v>#REF!</v>
      </c>
      <c r="FB283" s="31" t="e">
        <f>SUM(#REF!)</f>
        <v>#REF!</v>
      </c>
      <c r="FC283" s="31" t="e">
        <f>SUM(#REF!)</f>
        <v>#REF!</v>
      </c>
      <c r="FD283" s="31" t="e">
        <f>SUM(#REF!)</f>
        <v>#REF!</v>
      </c>
      <c r="FE283" s="31" t="e">
        <f>SUM(#REF!)</f>
        <v>#REF!</v>
      </c>
      <c r="FF283" s="31" t="e">
        <f>SUM(#REF!)</f>
        <v>#REF!</v>
      </c>
      <c r="FG283" s="31" t="e">
        <f>SUM(#REF!)</f>
        <v>#REF!</v>
      </c>
      <c r="FH283" s="31" t="e">
        <f>SUM(#REF!)</f>
        <v>#REF!</v>
      </c>
      <c r="FI283" s="31" t="e">
        <f>SUM(#REF!)</f>
        <v>#REF!</v>
      </c>
      <c r="FJ283" s="31" t="e">
        <f>SUM(#REF!)</f>
        <v>#REF!</v>
      </c>
      <c r="FK283" s="31" t="e">
        <f>SUM(#REF!)</f>
        <v>#REF!</v>
      </c>
      <c r="FL283" s="31" t="e">
        <f>SUM(#REF!)</f>
        <v>#REF!</v>
      </c>
      <c r="FM283" s="31" t="e">
        <f>SUM(#REF!)</f>
        <v>#REF!</v>
      </c>
      <c r="FN283" s="31" t="e">
        <f>SUM(#REF!)</f>
        <v>#REF!</v>
      </c>
      <c r="FO283" s="31" t="e">
        <f>SUM(#REF!)</f>
        <v>#REF!</v>
      </c>
      <c r="FP283" s="31" t="e">
        <f>SUM(#REF!)</f>
        <v>#REF!</v>
      </c>
      <c r="FQ283" s="31" t="e">
        <f>SUM(#REF!)</f>
        <v>#REF!</v>
      </c>
      <c r="FR283" s="31" t="e">
        <f>SUM(#REF!)</f>
        <v>#REF!</v>
      </c>
      <c r="FS283" s="31" t="e">
        <f>SUM(#REF!)</f>
        <v>#REF!</v>
      </c>
      <c r="FT283" s="31" t="e">
        <f>SUM(#REF!)</f>
        <v>#REF!</v>
      </c>
      <c r="FU283" s="31" t="e">
        <f>SUM(#REF!)</f>
        <v>#REF!</v>
      </c>
      <c r="FV283" s="31" t="e">
        <f>SUM(#REF!)</f>
        <v>#REF!</v>
      </c>
      <c r="FW283" s="31" t="e">
        <f>SUM(#REF!)</f>
        <v>#REF!</v>
      </c>
      <c r="FX283" s="31" t="e">
        <f>SUM(#REF!)</f>
        <v>#REF!</v>
      </c>
      <c r="FY283" s="31" t="e">
        <f>SUM(#REF!)</f>
        <v>#REF!</v>
      </c>
      <c r="FZ283" s="31" t="e">
        <f>SUM(#REF!)</f>
        <v>#REF!</v>
      </c>
      <c r="GA283" s="31" t="e">
        <f>SUM(#REF!)</f>
        <v>#REF!</v>
      </c>
      <c r="GB283" s="31" t="e">
        <f>SUM(#REF!)</f>
        <v>#REF!</v>
      </c>
      <c r="GC283" s="31" t="e">
        <f>SUM(#REF!)</f>
        <v>#REF!</v>
      </c>
      <c r="GD283" s="31" t="e">
        <f>SUM(#REF!)</f>
        <v>#REF!</v>
      </c>
      <c r="GE283" s="31" t="e">
        <f>SUM(#REF!)</f>
        <v>#REF!</v>
      </c>
      <c r="GF283" s="31" t="e">
        <f>SUM(#REF!)</f>
        <v>#REF!</v>
      </c>
      <c r="GG283" s="31" t="e">
        <f>SUM(#REF!)</f>
        <v>#REF!</v>
      </c>
      <c r="GH283" s="31" t="e">
        <f>SUM(#REF!)</f>
        <v>#REF!</v>
      </c>
      <c r="GI283" s="31" t="e">
        <f>SUM(#REF!)</f>
        <v>#REF!</v>
      </c>
      <c r="GJ283" s="31" t="e">
        <f>SUM(#REF!)</f>
        <v>#REF!</v>
      </c>
      <c r="GK283" s="31" t="e">
        <f>SUM(#REF!)</f>
        <v>#REF!</v>
      </c>
      <c r="GL283" s="31" t="e">
        <f>SUM(#REF!)</f>
        <v>#REF!</v>
      </c>
      <c r="GM283" s="31" t="e">
        <f>SUM(#REF!)</f>
        <v>#REF!</v>
      </c>
      <c r="GN283" s="31" t="e">
        <f>SUM(#REF!)</f>
        <v>#REF!</v>
      </c>
      <c r="GO283" s="31" t="e">
        <f>SUM(#REF!)</f>
        <v>#REF!</v>
      </c>
      <c r="GP283" s="31" t="e">
        <f>SUM(#REF!)</f>
        <v>#REF!</v>
      </c>
      <c r="GQ283" s="31" t="e">
        <f>SUM(#REF!)</f>
        <v>#REF!</v>
      </c>
      <c r="GR283" s="31" t="e">
        <f>SUM(#REF!)</f>
        <v>#REF!</v>
      </c>
      <c r="GS283" s="31" t="e">
        <f>SUM(#REF!)</f>
        <v>#REF!</v>
      </c>
      <c r="GT283" s="31" t="e">
        <f>SUM(#REF!)</f>
        <v>#REF!</v>
      </c>
      <c r="GU283" s="31" t="e">
        <f>SUM(#REF!)</f>
        <v>#REF!</v>
      </c>
      <c r="GV283" s="31" t="e">
        <f>SUM(#REF!)</f>
        <v>#REF!</v>
      </c>
      <c r="GW283" s="31" t="e">
        <f>SUM(#REF!)</f>
        <v>#REF!</v>
      </c>
      <c r="GX283" s="31" t="e">
        <f>SUM(#REF!)</f>
        <v>#REF!</v>
      </c>
      <c r="GY283" s="31" t="e">
        <f>SUM(#REF!)</f>
        <v>#REF!</v>
      </c>
      <c r="GZ283" s="31" t="e">
        <f>SUM(#REF!)</f>
        <v>#REF!</v>
      </c>
      <c r="HA283" s="31" t="e">
        <f>SUM(#REF!)</f>
        <v>#REF!</v>
      </c>
      <c r="HB283" s="31" t="e">
        <f>SUM(#REF!)</f>
        <v>#REF!</v>
      </c>
      <c r="HC283" s="31" t="e">
        <f>SUM(#REF!)</f>
        <v>#REF!</v>
      </c>
      <c r="HD283" s="31" t="e">
        <f>SUM(#REF!)</f>
        <v>#REF!</v>
      </c>
      <c r="HE283" s="31" t="e">
        <f>SUM(#REF!)</f>
        <v>#REF!</v>
      </c>
      <c r="HF283" s="31" t="e">
        <f>SUM(#REF!)</f>
        <v>#REF!</v>
      </c>
      <c r="HG283" s="31" t="e">
        <f>SUM(#REF!)</f>
        <v>#REF!</v>
      </c>
      <c r="HH283" s="31" t="e">
        <f>SUM(#REF!)</f>
        <v>#REF!</v>
      </c>
      <c r="HI283" s="31" t="e">
        <f>SUM(#REF!)</f>
        <v>#REF!</v>
      </c>
      <c r="HJ283" s="31" t="e">
        <f>SUM(#REF!)</f>
        <v>#REF!</v>
      </c>
      <c r="HK283" s="31" t="e">
        <f>SUM(#REF!)</f>
        <v>#REF!</v>
      </c>
      <c r="HL283" s="31" t="e">
        <f>SUM(#REF!)</f>
        <v>#REF!</v>
      </c>
      <c r="HM283" s="31" t="e">
        <f>SUM(#REF!)</f>
        <v>#REF!</v>
      </c>
      <c r="HN283" s="31" t="e">
        <f>SUM(#REF!)</f>
        <v>#REF!</v>
      </c>
      <c r="HO283" s="31" t="e">
        <f>SUM(#REF!)</f>
        <v>#REF!</v>
      </c>
      <c r="HP283" s="31" t="e">
        <f>SUM(#REF!)</f>
        <v>#REF!</v>
      </c>
      <c r="HQ283" s="31" t="e">
        <f>SUM(#REF!)</f>
        <v>#REF!</v>
      </c>
      <c r="HR283" s="31" t="e">
        <f>SUM(#REF!)</f>
        <v>#REF!</v>
      </c>
      <c r="HS283" s="31" t="e">
        <f>SUM(#REF!)</f>
        <v>#REF!</v>
      </c>
      <c r="HT283" s="31" t="e">
        <f>SUM(#REF!)</f>
        <v>#REF!</v>
      </c>
      <c r="HU283" s="31" t="e">
        <f>SUM(#REF!)</f>
        <v>#REF!</v>
      </c>
      <c r="HV283" s="31" t="e">
        <f>SUM(#REF!)</f>
        <v>#REF!</v>
      </c>
      <c r="HW283" s="31" t="e">
        <f>SUM(#REF!)</f>
        <v>#REF!</v>
      </c>
      <c r="HX283" s="31" t="e">
        <f>SUM(#REF!)</f>
        <v>#REF!</v>
      </c>
      <c r="HY283" s="31" t="e">
        <f>SUM(#REF!)</f>
        <v>#REF!</v>
      </c>
      <c r="HZ283" s="31" t="e">
        <f>SUM(#REF!)</f>
        <v>#REF!</v>
      </c>
      <c r="IA283" s="31" t="e">
        <f>SUM(#REF!)</f>
        <v>#REF!</v>
      </c>
      <c r="IB283" s="31" t="e">
        <f>SUM(#REF!)</f>
        <v>#REF!</v>
      </c>
      <c r="IC283" s="31" t="e">
        <f>SUM(#REF!)</f>
        <v>#REF!</v>
      </c>
      <c r="ID283" s="31" t="e">
        <f>SUM(#REF!)</f>
        <v>#REF!</v>
      </c>
      <c r="IE283" s="31" t="e">
        <f>SUM(#REF!)</f>
        <v>#REF!</v>
      </c>
      <c r="IF283" s="31" t="e">
        <f>SUM(#REF!)</f>
        <v>#REF!</v>
      </c>
      <c r="IG283" s="31" t="e">
        <f>SUM(#REF!)</f>
        <v>#REF!</v>
      </c>
      <c r="IH283" s="31" t="e">
        <f>SUM(#REF!)</f>
        <v>#REF!</v>
      </c>
      <c r="II283" s="31" t="e">
        <f>SUM(#REF!)</f>
        <v>#REF!</v>
      </c>
      <c r="IJ283" s="31" t="e">
        <f>SUM(#REF!)</f>
        <v>#REF!</v>
      </c>
      <c r="IK283" s="31" t="e">
        <f>SUM(#REF!)</f>
        <v>#REF!</v>
      </c>
      <c r="IL283" s="31" t="e">
        <f>SUM(#REF!)</f>
        <v>#REF!</v>
      </c>
      <c r="IM283" s="31" t="e">
        <f>SUM(#REF!)</f>
        <v>#REF!</v>
      </c>
      <c r="IN283" s="31" t="e">
        <f>SUM(#REF!)</f>
        <v>#REF!</v>
      </c>
      <c r="IO283" s="31" t="e">
        <f>SUM(#REF!)</f>
        <v>#REF!</v>
      </c>
      <c r="IP283" s="31" t="e">
        <f>SUM(#REF!)</f>
        <v>#REF!</v>
      </c>
      <c r="IQ283" s="31" t="e">
        <f>SUM(#REF!)</f>
        <v>#REF!</v>
      </c>
      <c r="IR283" s="31" t="e">
        <f>SUM(#REF!)</f>
        <v>#REF!</v>
      </c>
      <c r="IS283" s="31" t="e">
        <f>SUM(#REF!)</f>
        <v>#REF!</v>
      </c>
      <c r="IT283" s="31" t="e">
        <f>SUM(#REF!)</f>
        <v>#REF!</v>
      </c>
      <c r="IU283" s="31" t="e">
        <f>SUM(#REF!)</f>
        <v>#REF!</v>
      </c>
      <c r="IV283" s="31" t="e">
        <f>SUM(#REF!)</f>
        <v>#REF!</v>
      </c>
    </row>
    <row r="284" spans="1:256" s="15" customFormat="1" ht="15" customHeight="1">
      <c r="A284" s="30" t="s">
        <v>5871</v>
      </c>
      <c r="B284" s="22"/>
      <c r="C284" s="571"/>
      <c r="D284" s="639">
        <v>929</v>
      </c>
      <c r="E284" s="14" t="s">
        <v>4320</v>
      </c>
      <c r="F284" s="18" t="s">
        <v>1307</v>
      </c>
      <c r="G284" s="1072">
        <f>tkeTA!AL135</f>
        <v>0</v>
      </c>
      <c r="H284" s="27">
        <f>G284*G262</f>
        <v>0</v>
      </c>
      <c r="I284" s="25">
        <v>43200</v>
      </c>
      <c r="J284" s="25"/>
      <c r="K284" s="23"/>
      <c r="L284" s="23"/>
      <c r="M284" s="23"/>
      <c r="N284" s="807">
        <f t="shared" si="23"/>
        <v>0</v>
      </c>
      <c r="O284" s="807"/>
      <c r="P284" s="1061"/>
      <c r="Q284" s="1061"/>
      <c r="R284" s="1061"/>
    </row>
    <row r="285" spans="1:256" s="15" customFormat="1" ht="15" customHeight="1">
      <c r="A285" s="30" t="s">
        <v>5125</v>
      </c>
      <c r="B285" s="22"/>
      <c r="C285" s="571"/>
      <c r="D285" s="639">
        <v>259</v>
      </c>
      <c r="E285" s="14" t="s">
        <v>5126</v>
      </c>
      <c r="F285" s="18" t="s">
        <v>1307</v>
      </c>
      <c r="G285" s="1072">
        <f>tkeTA2!AH93</f>
        <v>4</v>
      </c>
      <c r="H285" s="27">
        <f>G285*G264</f>
        <v>42768</v>
      </c>
      <c r="I285" s="25">
        <v>9800</v>
      </c>
      <c r="J285" s="25"/>
      <c r="K285" s="23"/>
      <c r="L285" s="23"/>
      <c r="M285" s="23"/>
      <c r="N285" s="807">
        <f t="shared" si="23"/>
        <v>39200</v>
      </c>
      <c r="O285" s="807"/>
      <c r="P285" s="1061"/>
      <c r="Q285" s="1061"/>
      <c r="R285" s="1061"/>
    </row>
    <row r="286" spans="1:256" s="15" customFormat="1" ht="15" customHeight="1">
      <c r="A286" s="30" t="s">
        <v>870</v>
      </c>
      <c r="B286" s="22"/>
      <c r="C286" s="571"/>
      <c r="D286" s="639">
        <v>32051215</v>
      </c>
      <c r="E286" s="14" t="s">
        <v>930</v>
      </c>
      <c r="F286" s="18" t="s">
        <v>1307</v>
      </c>
      <c r="G286" s="1072">
        <f>tkeTA!AM135</f>
        <v>16</v>
      </c>
      <c r="H286" s="27" t="e">
        <f>G286*#REF!</f>
        <v>#REF!</v>
      </c>
      <c r="I286" s="25">
        <v>54600</v>
      </c>
      <c r="J286" s="25"/>
      <c r="K286" s="23"/>
      <c r="L286" s="23"/>
      <c r="M286" s="23"/>
      <c r="N286" s="807">
        <f t="shared" si="23"/>
        <v>873600</v>
      </c>
      <c r="O286" s="807"/>
      <c r="P286" s="1061"/>
      <c r="Q286" s="1061"/>
      <c r="R286" s="1061"/>
    </row>
    <row r="287" spans="1:256" ht="15" customHeight="1">
      <c r="A287" s="30" t="s">
        <v>871</v>
      </c>
      <c r="B287" s="22"/>
      <c r="C287" s="571"/>
      <c r="D287" s="639">
        <v>32051200</v>
      </c>
      <c r="E287" s="14" t="s">
        <v>929</v>
      </c>
      <c r="F287" s="18" t="s">
        <v>1307</v>
      </c>
      <c r="G287" s="1072">
        <f>tkeTA2!AK93</f>
        <v>3</v>
      </c>
      <c r="H287" s="27" t="e">
        <f>G287*#REF!</f>
        <v>#REF!</v>
      </c>
      <c r="I287" s="25">
        <v>42300</v>
      </c>
      <c r="J287" s="25"/>
      <c r="K287" s="23"/>
      <c r="L287" s="23"/>
      <c r="M287" s="23"/>
      <c r="N287" s="807">
        <f>ROUND($G287*I287,0)</f>
        <v>126900</v>
      </c>
      <c r="O287" s="807"/>
      <c r="P287" s="1061"/>
      <c r="Q287" s="1061"/>
      <c r="R287" s="1061"/>
    </row>
    <row r="288" spans="1:256">
      <c r="A288" s="30" t="s">
        <v>872</v>
      </c>
      <c r="B288" s="22"/>
      <c r="C288" s="571"/>
      <c r="D288" s="639">
        <v>32051110</v>
      </c>
      <c r="E288" s="14" t="s">
        <v>2689</v>
      </c>
      <c r="F288" s="18" t="s">
        <v>1307</v>
      </c>
      <c r="G288" s="1072">
        <f>G286*2</f>
        <v>32</v>
      </c>
      <c r="H288" s="27">
        <f>G288*G262</f>
        <v>32</v>
      </c>
      <c r="I288" s="25">
        <v>18759</v>
      </c>
      <c r="J288" s="25"/>
      <c r="K288" s="23"/>
      <c r="L288" s="23"/>
      <c r="M288" s="23"/>
      <c r="N288" s="807">
        <f t="shared" si="23"/>
        <v>600288</v>
      </c>
      <c r="O288" s="807"/>
      <c r="P288" s="1061"/>
      <c r="Q288" s="1061"/>
      <c r="R288" s="1061"/>
    </row>
    <row r="289" spans="1:18">
      <c r="A289" s="30" t="s">
        <v>873</v>
      </c>
      <c r="B289" s="22"/>
      <c r="C289" s="571"/>
      <c r="D289" s="639">
        <v>32033334</v>
      </c>
      <c r="E289" s="14" t="s">
        <v>2688</v>
      </c>
      <c r="F289" s="18" t="s">
        <v>1307</v>
      </c>
      <c r="G289" s="1072">
        <f>G287*2</f>
        <v>6</v>
      </c>
      <c r="H289" s="27">
        <f>G289*G263</f>
        <v>8.94</v>
      </c>
      <c r="I289" s="25">
        <v>15759</v>
      </c>
      <c r="J289" s="25"/>
      <c r="K289" s="23"/>
      <c r="L289" s="23"/>
      <c r="M289" s="23"/>
      <c r="N289" s="807">
        <f>ROUND($G289*I289,0)</f>
        <v>94554</v>
      </c>
      <c r="O289" s="807"/>
      <c r="P289" s="1061"/>
      <c r="Q289" s="1061"/>
      <c r="R289" s="1061"/>
    </row>
    <row r="290" spans="1:18" hidden="1">
      <c r="A290" s="30" t="s">
        <v>1449</v>
      </c>
      <c r="B290" s="22"/>
      <c r="C290" s="571"/>
      <c r="D290" s="639">
        <v>0</v>
      </c>
      <c r="E290" s="14" t="s">
        <v>1450</v>
      </c>
      <c r="F290" s="18" t="s">
        <v>1307</v>
      </c>
      <c r="G290" s="1072">
        <f>tkeTA2!AL93</f>
        <v>2</v>
      </c>
      <c r="H290" s="27">
        <f>G290*G265</f>
        <v>580</v>
      </c>
      <c r="I290" s="25">
        <v>10700</v>
      </c>
      <c r="J290" s="25"/>
      <c r="K290" s="23"/>
      <c r="L290" s="23"/>
      <c r="M290" s="23"/>
      <c r="N290" s="807">
        <f>ROUND($G290*I290,0)</f>
        <v>21400</v>
      </c>
      <c r="O290" s="807"/>
      <c r="P290" s="1061"/>
      <c r="Q290" s="1061"/>
      <c r="R290" s="1061"/>
    </row>
    <row r="291" spans="1:18">
      <c r="A291" s="30" t="s">
        <v>1435</v>
      </c>
      <c r="B291" s="22"/>
      <c r="C291" s="571"/>
      <c r="D291" s="639">
        <v>0</v>
      </c>
      <c r="E291" s="14" t="s">
        <v>0</v>
      </c>
      <c r="F291" s="18" t="s">
        <v>1307</v>
      </c>
      <c r="G291" s="1072">
        <f>tkeTA!AN69</f>
        <v>0</v>
      </c>
      <c r="H291" s="27">
        <f>G291*G266</f>
        <v>0</v>
      </c>
      <c r="I291" s="25">
        <v>51600</v>
      </c>
      <c r="J291" s="25"/>
      <c r="K291" s="23"/>
      <c r="L291" s="23"/>
      <c r="M291" s="23"/>
      <c r="N291" s="807">
        <f t="shared" si="23"/>
        <v>0</v>
      </c>
      <c r="O291" s="807"/>
      <c r="P291" s="1061"/>
      <c r="Q291" s="1061"/>
      <c r="R291" s="1061"/>
    </row>
    <row r="292" spans="1:18" hidden="1">
      <c r="A292" s="30" t="s">
        <v>1</v>
      </c>
      <c r="B292" s="22"/>
      <c r="C292" s="571"/>
      <c r="D292" s="639">
        <v>0</v>
      </c>
      <c r="E292" s="14" t="s">
        <v>2</v>
      </c>
      <c r="F292" s="18" t="s">
        <v>1307</v>
      </c>
      <c r="G292" s="1072">
        <f>tkeTA!AN70</f>
        <v>0</v>
      </c>
      <c r="H292" s="27">
        <f>G292*G267</f>
        <v>0</v>
      </c>
      <c r="I292" s="25">
        <v>62900</v>
      </c>
      <c r="J292" s="25"/>
      <c r="K292" s="23"/>
      <c r="L292" s="23"/>
      <c r="M292" s="23"/>
      <c r="N292" s="807">
        <f>ROUND($G292*I292,0)</f>
        <v>0</v>
      </c>
      <c r="O292" s="807"/>
      <c r="P292" s="1061"/>
      <c r="Q292" s="1061"/>
      <c r="R292" s="1061"/>
    </row>
    <row r="293" spans="1:18">
      <c r="A293" s="30" t="s">
        <v>2207</v>
      </c>
      <c r="B293" s="22"/>
      <c r="C293" s="571"/>
      <c r="D293" s="639">
        <v>0</v>
      </c>
      <c r="E293" s="14" t="s">
        <v>4390</v>
      </c>
      <c r="F293" s="18" t="s">
        <v>1307</v>
      </c>
      <c r="G293" s="1072">
        <f>tkeTA!AP135</f>
        <v>70</v>
      </c>
      <c r="H293" s="27">
        <f>G293*G266</f>
        <v>201320</v>
      </c>
      <c r="I293" s="25">
        <v>89000</v>
      </c>
      <c r="J293" s="25"/>
      <c r="K293" s="23"/>
      <c r="L293" s="23"/>
      <c r="M293" s="23"/>
      <c r="N293" s="807">
        <f t="shared" si="23"/>
        <v>6230000</v>
      </c>
      <c r="O293" s="807"/>
      <c r="P293" s="1061"/>
      <c r="Q293" s="1061"/>
      <c r="R293" s="1061"/>
    </row>
    <row r="294" spans="1:18">
      <c r="A294" s="1183" t="s">
        <v>3440</v>
      </c>
      <c r="B294" s="22"/>
      <c r="C294" s="571"/>
      <c r="D294" s="639">
        <v>43816350</v>
      </c>
      <c r="E294" s="14" t="s">
        <v>3441</v>
      </c>
      <c r="F294" s="18" t="s">
        <v>1307</v>
      </c>
      <c r="G294" s="1072">
        <f>tkeTA!AP69+tkeTA2!AN93</f>
        <v>20</v>
      </c>
      <c r="H294" s="27">
        <f>G294*G262</f>
        <v>20</v>
      </c>
      <c r="I294" s="25">
        <v>20400</v>
      </c>
      <c r="J294" s="25"/>
      <c r="K294" s="23"/>
      <c r="L294" s="23"/>
      <c r="M294" s="23"/>
      <c r="N294" s="807">
        <f t="shared" si="23"/>
        <v>408000</v>
      </c>
      <c r="O294" s="807"/>
      <c r="P294" s="1061"/>
      <c r="Q294" s="1061"/>
      <c r="R294" s="1061"/>
    </row>
    <row r="295" spans="1:18" ht="15" customHeight="1">
      <c r="A295" s="1183" t="s">
        <v>3609</v>
      </c>
      <c r="B295" s="22"/>
      <c r="C295" s="571"/>
      <c r="D295" s="639">
        <v>0</v>
      </c>
      <c r="E295" s="14" t="s">
        <v>647</v>
      </c>
      <c r="F295" s="18" t="s">
        <v>1307</v>
      </c>
      <c r="G295" s="1072">
        <f>tkeTA!AQ69+tkeTA2!AO93</f>
        <v>12</v>
      </c>
      <c r="H295" s="27">
        <f>G295*G266</f>
        <v>34512</v>
      </c>
      <c r="I295" s="25">
        <v>30500</v>
      </c>
      <c r="J295" s="25"/>
      <c r="K295" s="23"/>
      <c r="L295" s="23"/>
      <c r="M295" s="23"/>
      <c r="N295" s="807">
        <f t="shared" ref="N295:N300" si="24">ROUND($G295*I295,0)</f>
        <v>366000</v>
      </c>
      <c r="O295" s="807"/>
      <c r="P295" s="1061"/>
      <c r="Q295" s="1061"/>
      <c r="R295" s="1061"/>
    </row>
    <row r="296" spans="1:18" ht="15" customHeight="1">
      <c r="A296" s="30" t="s">
        <v>3836</v>
      </c>
      <c r="B296" s="22"/>
      <c r="C296" s="571"/>
      <c r="D296" s="639">
        <v>0</v>
      </c>
      <c r="E296" s="14" t="s">
        <v>3837</v>
      </c>
      <c r="F296" s="18" t="s">
        <v>1307</v>
      </c>
      <c r="G296" s="1072">
        <f>tkeTA!AS135+tkeTA2!AP93</f>
        <v>23</v>
      </c>
      <c r="H296" s="27">
        <f>G296*G266</f>
        <v>66148</v>
      </c>
      <c r="I296" s="25">
        <v>30500</v>
      </c>
      <c r="J296" s="25"/>
      <c r="K296" s="23"/>
      <c r="L296" s="23"/>
      <c r="M296" s="23"/>
      <c r="N296" s="807">
        <f t="shared" si="24"/>
        <v>701500</v>
      </c>
      <c r="O296" s="807"/>
      <c r="P296" s="1061"/>
      <c r="Q296" s="1061"/>
      <c r="R296" s="1061"/>
    </row>
    <row r="297" spans="1:18" ht="15" customHeight="1">
      <c r="A297" s="30" t="s">
        <v>6077</v>
      </c>
      <c r="B297" s="22"/>
      <c r="C297" s="571"/>
      <c r="D297" s="639">
        <v>0</v>
      </c>
      <c r="E297" s="14" t="s">
        <v>6078</v>
      </c>
      <c r="F297" s="18" t="s">
        <v>1307</v>
      </c>
      <c r="G297" s="1072">
        <f>tkeTA!AT135+tkeTA2!AQ93</f>
        <v>22</v>
      </c>
      <c r="H297" s="27">
        <f>G297*G269</f>
        <v>2046</v>
      </c>
      <c r="I297" s="25">
        <v>43100</v>
      </c>
      <c r="J297" s="25"/>
      <c r="K297" s="23"/>
      <c r="L297" s="23"/>
      <c r="M297" s="23"/>
      <c r="N297" s="807">
        <f t="shared" si="24"/>
        <v>948200</v>
      </c>
      <c r="O297" s="807"/>
      <c r="P297" s="1061"/>
      <c r="Q297" s="1061"/>
      <c r="R297" s="1061"/>
    </row>
    <row r="298" spans="1:18" ht="15" customHeight="1">
      <c r="A298" s="30" t="s">
        <v>4795</v>
      </c>
      <c r="B298" s="22"/>
      <c r="C298" s="571"/>
      <c r="D298" s="639">
        <v>0</v>
      </c>
      <c r="E298" s="14" t="s">
        <v>4796</v>
      </c>
      <c r="F298" s="18" t="s">
        <v>1307</v>
      </c>
      <c r="G298" s="1072">
        <f>tkeTA!AU135+tkeTA2!AS93</f>
        <v>10</v>
      </c>
      <c r="H298" s="27">
        <f>G298*G269</f>
        <v>930</v>
      </c>
      <c r="I298" s="25">
        <v>28800</v>
      </c>
      <c r="J298" s="25"/>
      <c r="K298" s="23"/>
      <c r="L298" s="23"/>
      <c r="M298" s="23"/>
      <c r="N298" s="807">
        <f t="shared" si="24"/>
        <v>288000</v>
      </c>
      <c r="O298" s="807"/>
      <c r="P298" s="1061"/>
      <c r="Q298" s="1061"/>
      <c r="R298" s="1061"/>
    </row>
    <row r="299" spans="1:18">
      <c r="A299" s="30" t="s">
        <v>4799</v>
      </c>
      <c r="B299" s="22"/>
      <c r="C299" s="571"/>
      <c r="D299" s="639">
        <v>44316600</v>
      </c>
      <c r="E299" s="14" t="s">
        <v>4800</v>
      </c>
      <c r="F299" s="18" t="s">
        <v>1307</v>
      </c>
      <c r="G299" s="1072">
        <f>tkeTA!AV135+tkeTA2!AT93</f>
        <v>10</v>
      </c>
      <c r="H299" s="27">
        <f>G299*G269</f>
        <v>930</v>
      </c>
      <c r="I299" s="25">
        <v>32500</v>
      </c>
      <c r="J299" s="25"/>
      <c r="K299" s="23"/>
      <c r="L299" s="23"/>
      <c r="M299" s="23"/>
      <c r="N299" s="807">
        <f t="shared" si="24"/>
        <v>325000</v>
      </c>
      <c r="O299" s="807"/>
      <c r="P299" s="1061"/>
      <c r="Q299" s="1061"/>
      <c r="R299" s="1061"/>
    </row>
    <row r="300" spans="1:18">
      <c r="A300" s="30" t="s">
        <v>4805</v>
      </c>
      <c r="B300" s="22"/>
      <c r="C300" s="571"/>
      <c r="D300" s="639">
        <v>0</v>
      </c>
      <c r="E300" s="14" t="s">
        <v>4806</v>
      </c>
      <c r="F300" s="18" t="s">
        <v>1307</v>
      </c>
      <c r="G300" s="1072">
        <f>tkeTA!AW135+tkeTA2!AT93</f>
        <v>10</v>
      </c>
      <c r="H300" s="27">
        <f>G300*G270</f>
        <v>1510</v>
      </c>
      <c r="I300" s="25">
        <v>37800</v>
      </c>
      <c r="J300" s="25"/>
      <c r="K300" s="23"/>
      <c r="L300" s="23"/>
      <c r="M300" s="23"/>
      <c r="N300" s="807">
        <f t="shared" si="24"/>
        <v>378000</v>
      </c>
      <c r="O300" s="807"/>
      <c r="P300" s="1061"/>
      <c r="Q300" s="1061"/>
      <c r="R300" s="1061"/>
    </row>
    <row r="301" spans="1:18">
      <c r="A301" s="1183" t="s">
        <v>866</v>
      </c>
      <c r="B301" s="22"/>
      <c r="C301" s="571"/>
      <c r="D301" s="639">
        <v>0</v>
      </c>
      <c r="E301" s="14" t="s">
        <v>4038</v>
      </c>
      <c r="F301" s="18" t="s">
        <v>1307</v>
      </c>
      <c r="G301" s="1072">
        <f>G294+G295+G297+G298*2+G300*2</f>
        <v>94</v>
      </c>
      <c r="H301" s="27">
        <f>G301*G262</f>
        <v>94</v>
      </c>
      <c r="I301" s="25">
        <v>2300</v>
      </c>
      <c r="J301" s="25"/>
      <c r="K301" s="23"/>
      <c r="L301" s="23"/>
      <c r="M301" s="23"/>
      <c r="N301" s="807">
        <f>ROUND($G301*I301,0)</f>
        <v>216200</v>
      </c>
      <c r="O301" s="807"/>
      <c r="P301" s="1061"/>
      <c r="Q301" s="1061"/>
      <c r="R301" s="1061"/>
    </row>
    <row r="302" spans="1:18" ht="20.100000000000001" customHeight="1">
      <c r="A302" s="1186" t="s">
        <v>4581</v>
      </c>
      <c r="B302" s="22"/>
      <c r="C302" s="571" t="s">
        <v>4581</v>
      </c>
      <c r="D302" s="639" t="s">
        <v>4581</v>
      </c>
      <c r="E302" s="14" t="s">
        <v>2736</v>
      </c>
      <c r="F302" s="18" t="s">
        <v>6555</v>
      </c>
      <c r="G302" s="1472">
        <f>tkeTA!G135/1000</f>
        <v>10.481999999999999</v>
      </c>
      <c r="H302" s="28"/>
      <c r="I302" s="23"/>
      <c r="J302" s="25"/>
      <c r="K302" s="1352">
        <v>37576</v>
      </c>
      <c r="L302" s="1352">
        <v>5073847.9000000004</v>
      </c>
      <c r="M302" s="1352">
        <v>209889.90000000002</v>
      </c>
      <c r="N302" s="1061"/>
      <c r="O302" s="807"/>
      <c r="P302" s="807">
        <f t="shared" ref="P302:R303" si="25">ROUND($G302*K302,0)</f>
        <v>393872</v>
      </c>
      <c r="Q302" s="807">
        <f t="shared" si="25"/>
        <v>53184074</v>
      </c>
      <c r="R302" s="807">
        <f t="shared" si="25"/>
        <v>2200066</v>
      </c>
    </row>
    <row r="303" spans="1:18" ht="20.100000000000001" customHeight="1">
      <c r="A303" s="1186" t="s">
        <v>2735</v>
      </c>
      <c r="B303" s="22"/>
      <c r="C303" s="571" t="s">
        <v>2735</v>
      </c>
      <c r="D303" s="639" t="s">
        <v>2735</v>
      </c>
      <c r="E303" s="14" t="s">
        <v>2738</v>
      </c>
      <c r="F303" s="18" t="s">
        <v>6555</v>
      </c>
      <c r="G303" s="1472">
        <f>tkeTA2!F93/1000</f>
        <v>1.4610000000000001</v>
      </c>
      <c r="H303" s="28"/>
      <c r="I303" s="23"/>
      <c r="J303" s="25"/>
      <c r="K303" s="1352">
        <v>41311.600000000006</v>
      </c>
      <c r="L303" s="1352">
        <v>1924109.0000000002</v>
      </c>
      <c r="M303" s="1352">
        <v>155805.1</v>
      </c>
      <c r="N303" s="1061"/>
      <c r="O303" s="807"/>
      <c r="P303" s="807">
        <f t="shared" si="25"/>
        <v>60356</v>
      </c>
      <c r="Q303" s="807">
        <f t="shared" si="25"/>
        <v>2811123</v>
      </c>
      <c r="R303" s="807">
        <f t="shared" si="25"/>
        <v>227631</v>
      </c>
    </row>
    <row r="304" spans="1:18" ht="20.100000000000001" customHeight="1">
      <c r="A304" s="1186" t="s">
        <v>4581</v>
      </c>
      <c r="B304" s="22"/>
      <c r="C304" s="571" t="s">
        <v>4581</v>
      </c>
      <c r="D304" s="639" t="s">
        <v>4581</v>
      </c>
      <c r="E304" s="14" t="s">
        <v>6556</v>
      </c>
      <c r="F304" s="18" t="s">
        <v>6555</v>
      </c>
      <c r="G304" s="1472">
        <f>tkeTA!H135/1000</f>
        <v>3.9990000000000001</v>
      </c>
      <c r="H304" s="28"/>
      <c r="I304" s="23"/>
      <c r="J304" s="25"/>
      <c r="K304" s="1352">
        <v>34160</v>
      </c>
      <c r="L304" s="1352">
        <v>4612589</v>
      </c>
      <c r="M304" s="1352">
        <v>190809</v>
      </c>
      <c r="N304" s="1061"/>
      <c r="O304" s="807"/>
      <c r="P304" s="807">
        <f t="shared" ref="P304:R313" si="26">ROUND($G304*K304,0)</f>
        <v>136606</v>
      </c>
      <c r="Q304" s="807">
        <f t="shared" si="26"/>
        <v>18445743</v>
      </c>
      <c r="R304" s="807">
        <f t="shared" si="26"/>
        <v>763045</v>
      </c>
    </row>
    <row r="305" spans="1:255">
      <c r="A305" s="1186" t="s">
        <v>2735</v>
      </c>
      <c r="B305" s="22"/>
      <c r="C305" s="571" t="s">
        <v>2735</v>
      </c>
      <c r="D305" s="639" t="s">
        <v>2735</v>
      </c>
      <c r="E305" s="14" t="s">
        <v>2737</v>
      </c>
      <c r="F305" s="18" t="s">
        <v>6555</v>
      </c>
      <c r="G305" s="1472">
        <f>tkeTA2!G93/1000</f>
        <v>1.4570000000000001</v>
      </c>
      <c r="H305" s="28"/>
      <c r="I305" s="23"/>
      <c r="J305" s="25"/>
      <c r="K305" s="1352">
        <v>37556</v>
      </c>
      <c r="L305" s="1352">
        <v>1749190</v>
      </c>
      <c r="M305" s="1352">
        <v>141641</v>
      </c>
      <c r="N305" s="1061"/>
      <c r="O305" s="807"/>
      <c r="P305" s="807">
        <f>ROUND($G305*K305,0)</f>
        <v>54719</v>
      </c>
      <c r="Q305" s="807">
        <f>ROUND($G305*L305,0)</f>
        <v>2548570</v>
      </c>
      <c r="R305" s="807">
        <f>ROUND($G305*M305,0)</f>
        <v>206371</v>
      </c>
    </row>
    <row r="306" spans="1:255">
      <c r="A306" s="1186" t="s">
        <v>4582</v>
      </c>
      <c r="B306" s="22"/>
      <c r="C306" s="571" t="s">
        <v>4582</v>
      </c>
      <c r="D306" s="639" t="s">
        <v>4582</v>
      </c>
      <c r="E306" s="14" t="s">
        <v>6557</v>
      </c>
      <c r="F306" s="18" t="s">
        <v>639</v>
      </c>
      <c r="G306" s="1244">
        <f>tkeTA!J140+tkeTA!J139</f>
        <v>196</v>
      </c>
      <c r="H306" s="28"/>
      <c r="I306" s="23"/>
      <c r="J306" s="25"/>
      <c r="K306" s="25">
        <v>3300</v>
      </c>
      <c r="L306" s="25">
        <v>26400</v>
      </c>
      <c r="M306" s="25">
        <v>0</v>
      </c>
      <c r="N306" s="1061"/>
      <c r="O306" s="807"/>
      <c r="P306" s="807">
        <f t="shared" si="26"/>
        <v>646800</v>
      </c>
      <c r="Q306" s="807">
        <f t="shared" si="26"/>
        <v>5174400</v>
      </c>
      <c r="R306" s="807">
        <f t="shared" si="26"/>
        <v>0</v>
      </c>
    </row>
    <row r="307" spans="1:255">
      <c r="A307" s="1186" t="s">
        <v>3839</v>
      </c>
      <c r="B307" s="22"/>
      <c r="C307" s="571" t="s">
        <v>3839</v>
      </c>
      <c r="D307" s="639" t="s">
        <v>3839</v>
      </c>
      <c r="E307" s="14" t="s">
        <v>6558</v>
      </c>
      <c r="F307" s="18" t="s">
        <v>639</v>
      </c>
      <c r="G307" s="1244">
        <f>tkeTA2!D93</f>
        <v>5</v>
      </c>
      <c r="H307" s="28"/>
      <c r="I307" s="23"/>
      <c r="J307" s="25"/>
      <c r="K307" s="25">
        <v>3300</v>
      </c>
      <c r="L307" s="25">
        <v>11000</v>
      </c>
      <c r="M307" s="25">
        <v>0</v>
      </c>
      <c r="N307" s="1061"/>
      <c r="O307" s="807"/>
      <c r="P307" s="807">
        <f>ROUND($G307*K307,0)</f>
        <v>16500</v>
      </c>
      <c r="Q307" s="807">
        <f>ROUND($G307*L307,0)</f>
        <v>55000</v>
      </c>
      <c r="R307" s="807">
        <f>ROUND($G307*M307,0)</f>
        <v>0</v>
      </c>
      <c r="S307" s="1222"/>
      <c r="IU307" s="1223"/>
    </row>
    <row r="308" spans="1:255" s="15" customFormat="1">
      <c r="A308" s="1120" t="s">
        <v>1190</v>
      </c>
      <c r="B308" s="22"/>
      <c r="C308" s="571" t="s">
        <v>1190</v>
      </c>
      <c r="D308" s="639" t="s">
        <v>1190</v>
      </c>
      <c r="E308" s="14" t="s">
        <v>6559</v>
      </c>
      <c r="F308" s="18" t="s">
        <v>1297</v>
      </c>
      <c r="G308" s="1072">
        <f>+G270</f>
        <v>151</v>
      </c>
      <c r="H308" s="29"/>
      <c r="I308" s="23"/>
      <c r="J308" s="25"/>
      <c r="K308" s="25">
        <v>875</v>
      </c>
      <c r="L308" s="25">
        <v>55440</v>
      </c>
      <c r="M308" s="25">
        <v>0</v>
      </c>
      <c r="N308" s="1061"/>
      <c r="O308" s="807"/>
      <c r="P308" s="807">
        <f t="shared" si="26"/>
        <v>132125</v>
      </c>
      <c r="Q308" s="807">
        <f t="shared" si="26"/>
        <v>8371440</v>
      </c>
      <c r="R308" s="807">
        <f t="shared" si="26"/>
        <v>0</v>
      </c>
    </row>
    <row r="309" spans="1:255" s="15" customFormat="1">
      <c r="A309" s="1120" t="s">
        <v>1191</v>
      </c>
      <c r="B309" s="22"/>
      <c r="C309" s="571" t="s">
        <v>1191</v>
      </c>
      <c r="D309" s="639" t="s">
        <v>1191</v>
      </c>
      <c r="E309" s="14" t="s">
        <v>6560</v>
      </c>
      <c r="F309" s="18" t="s">
        <v>1000</v>
      </c>
      <c r="G309" s="1072">
        <f>+G276</f>
        <v>354</v>
      </c>
      <c r="H309" s="29"/>
      <c r="I309" s="23"/>
      <c r="J309" s="25"/>
      <c r="K309" s="25">
        <v>877</v>
      </c>
      <c r="L309" s="25">
        <v>46069</v>
      </c>
      <c r="M309" s="25">
        <v>0</v>
      </c>
      <c r="N309" s="1061"/>
      <c r="O309" s="807"/>
      <c r="P309" s="807">
        <f t="shared" si="26"/>
        <v>310458</v>
      </c>
      <c r="Q309" s="807">
        <f t="shared" si="26"/>
        <v>16308426</v>
      </c>
      <c r="R309" s="807">
        <f t="shared" si="26"/>
        <v>0</v>
      </c>
    </row>
    <row r="310" spans="1:255" s="15" customFormat="1">
      <c r="A310" s="1186" t="s">
        <v>2504</v>
      </c>
      <c r="B310" s="22"/>
      <c r="C310" s="571" t="s">
        <v>2504</v>
      </c>
      <c r="D310" s="639" t="s">
        <v>2504</v>
      </c>
      <c r="E310" s="14" t="s">
        <v>6561</v>
      </c>
      <c r="F310" s="18" t="s">
        <v>1297</v>
      </c>
      <c r="G310" s="1072">
        <f>+G281</f>
        <v>90</v>
      </c>
      <c r="H310" s="29"/>
      <c r="I310" s="23"/>
      <c r="J310" s="25"/>
      <c r="K310" s="25">
        <v>0</v>
      </c>
      <c r="L310" s="25">
        <v>14269</v>
      </c>
      <c r="M310" s="25">
        <v>0</v>
      </c>
      <c r="N310" s="1061"/>
      <c r="O310" s="807"/>
      <c r="P310" s="807">
        <f t="shared" si="26"/>
        <v>0</v>
      </c>
      <c r="Q310" s="807">
        <f t="shared" si="26"/>
        <v>1284210</v>
      </c>
      <c r="R310" s="807">
        <f t="shared" si="26"/>
        <v>0</v>
      </c>
    </row>
    <row r="311" spans="1:255" s="15" customFormat="1">
      <c r="A311" s="1120" t="s">
        <v>2505</v>
      </c>
      <c r="B311" s="22"/>
      <c r="C311" s="571" t="s">
        <v>2505</v>
      </c>
      <c r="D311" s="639" t="s">
        <v>2505</v>
      </c>
      <c r="E311" s="14" t="s">
        <v>6562</v>
      </c>
      <c r="F311" s="18" t="s">
        <v>4091</v>
      </c>
      <c r="G311" s="1072">
        <f>G284/2</f>
        <v>0</v>
      </c>
      <c r="H311" s="29"/>
      <c r="I311" s="23"/>
      <c r="J311" s="25"/>
      <c r="K311" s="25"/>
      <c r="L311" s="25"/>
      <c r="M311" s="25"/>
      <c r="N311" s="1061"/>
      <c r="O311" s="807"/>
      <c r="P311" s="807">
        <f t="shared" si="26"/>
        <v>0</v>
      </c>
      <c r="Q311" s="807">
        <f t="shared" si="26"/>
        <v>0</v>
      </c>
      <c r="R311" s="807">
        <f t="shared" si="26"/>
        <v>0</v>
      </c>
    </row>
    <row r="312" spans="1:255" s="15" customFormat="1">
      <c r="A312" s="1120" t="s">
        <v>4583</v>
      </c>
      <c r="B312" s="22"/>
      <c r="C312" s="571" t="s">
        <v>4583</v>
      </c>
      <c r="D312" s="639" t="s">
        <v>4583</v>
      </c>
      <c r="E312" s="14" t="s">
        <v>6563</v>
      </c>
      <c r="F312" s="18" t="s">
        <v>4475</v>
      </c>
      <c r="G312" s="1245">
        <f>G291/10</f>
        <v>0</v>
      </c>
      <c r="H312" s="29"/>
      <c r="I312" s="23"/>
      <c r="J312" s="25"/>
      <c r="K312" s="25">
        <v>0</v>
      </c>
      <c r="L312" s="25">
        <v>316292</v>
      </c>
      <c r="M312" s="25">
        <v>45947</v>
      </c>
      <c r="N312" s="1061"/>
      <c r="O312" s="807"/>
      <c r="P312" s="807">
        <f t="shared" si="26"/>
        <v>0</v>
      </c>
      <c r="Q312" s="807">
        <f t="shared" si="26"/>
        <v>0</v>
      </c>
      <c r="R312" s="807">
        <f t="shared" si="26"/>
        <v>0</v>
      </c>
      <c r="U312" s="10" t="s">
        <v>865</v>
      </c>
    </row>
    <row r="313" spans="1:255" s="15" customFormat="1">
      <c r="A313" s="1120" t="s">
        <v>2506</v>
      </c>
      <c r="B313" s="22"/>
      <c r="C313" s="571" t="s">
        <v>2506</v>
      </c>
      <c r="D313" s="639" t="s">
        <v>2506</v>
      </c>
      <c r="E313" s="14" t="s">
        <v>6545</v>
      </c>
      <c r="F313" s="18" t="s">
        <v>1297</v>
      </c>
      <c r="G313" s="1072">
        <f>G286+G284/2</f>
        <v>16</v>
      </c>
      <c r="H313" s="29"/>
      <c r="I313" s="23"/>
      <c r="J313" s="25"/>
      <c r="K313" s="25"/>
      <c r="L313" s="25"/>
      <c r="M313" s="25">
        <v>0</v>
      </c>
      <c r="N313" s="1061"/>
      <c r="O313" s="807"/>
      <c r="P313" s="807">
        <f t="shared" si="26"/>
        <v>0</v>
      </c>
      <c r="Q313" s="807">
        <f t="shared" si="26"/>
        <v>0</v>
      </c>
      <c r="R313" s="807">
        <f t="shared" si="26"/>
        <v>0</v>
      </c>
    </row>
    <row r="314" spans="1:255" s="15" customFormat="1">
      <c r="A314" s="1115">
        <f>A262</f>
        <v>21</v>
      </c>
      <c r="B314" s="22"/>
      <c r="C314" s="571"/>
      <c r="D314" s="639"/>
      <c r="E314" s="14"/>
      <c r="F314" s="18"/>
      <c r="G314" s="1246"/>
      <c r="H314" s="28"/>
      <c r="I314" s="23"/>
      <c r="J314" s="23"/>
      <c r="K314" s="23"/>
      <c r="L314" s="23"/>
      <c r="M314" s="23"/>
      <c r="N314" s="1061"/>
      <c r="O314" s="1061"/>
      <c r="P314" s="1061"/>
      <c r="Q314" s="1061"/>
      <c r="R314" s="1061"/>
    </row>
    <row r="315" spans="1:255" s="15" customFormat="1">
      <c r="A315" s="1116"/>
      <c r="B315" s="1095" t="s">
        <v>4085</v>
      </c>
      <c r="C315" s="196"/>
      <c r="D315" s="196"/>
      <c r="E315" s="206" t="s">
        <v>3452</v>
      </c>
      <c r="F315" s="1094" t="s">
        <v>419</v>
      </c>
      <c r="G315" s="1470">
        <v>1</v>
      </c>
      <c r="H315" s="208"/>
      <c r="I315" s="21"/>
      <c r="J315" s="21"/>
      <c r="K315" s="21"/>
      <c r="L315" s="21"/>
      <c r="M315" s="21"/>
      <c r="N315" s="1055">
        <f>SUM(N316:N323)</f>
        <v>70040000</v>
      </c>
      <c r="O315" s="1055">
        <f>SUM(O316:O323)</f>
        <v>0</v>
      </c>
      <c r="P315" s="1055">
        <f>SUM(P316:P323)</f>
        <v>1673441</v>
      </c>
      <c r="Q315" s="1055">
        <f>SUM(Q316:Q323)</f>
        <v>44308212</v>
      </c>
      <c r="R315" s="1055">
        <f>SUM(R316:R323)</f>
        <v>5951931</v>
      </c>
      <c r="U315" s="10" t="s">
        <v>865</v>
      </c>
    </row>
    <row r="316" spans="1:255" s="15" customFormat="1">
      <c r="A316" s="1484" t="s">
        <v>168</v>
      </c>
      <c r="B316" s="1091"/>
      <c r="C316" s="1091"/>
      <c r="D316" s="639">
        <v>33022625</v>
      </c>
      <c r="E316" s="14" t="s">
        <v>6015</v>
      </c>
      <c r="F316" s="18" t="s">
        <v>1307</v>
      </c>
      <c r="G316" s="1092">
        <f>tkeTA2!AU93</f>
        <v>2</v>
      </c>
      <c r="H316" s="251">
        <f>G316*G315</f>
        <v>2</v>
      </c>
      <c r="I316" s="25">
        <v>3520000</v>
      </c>
      <c r="J316" s="25"/>
      <c r="K316" s="23"/>
      <c r="L316" s="23"/>
      <c r="M316" s="23"/>
      <c r="N316" s="807">
        <f>ROUND($G316*I316,0)</f>
        <v>7040000</v>
      </c>
      <c r="O316" s="807"/>
      <c r="P316" s="1061"/>
      <c r="Q316" s="1061"/>
      <c r="R316" s="1061"/>
    </row>
    <row r="317" spans="1:255" s="15" customFormat="1">
      <c r="A317" s="38" t="s">
        <v>1298</v>
      </c>
      <c r="B317" s="1091"/>
      <c r="C317" s="1091"/>
      <c r="D317" s="639">
        <v>34215240</v>
      </c>
      <c r="E317" s="14" t="s">
        <v>1299</v>
      </c>
      <c r="F317" s="18" t="s">
        <v>1307</v>
      </c>
      <c r="G317" s="1092">
        <f>tkeTA!AX135</f>
        <v>6</v>
      </c>
      <c r="H317" s="251">
        <f>G317*G316</f>
        <v>12</v>
      </c>
      <c r="I317" s="25">
        <v>10500000</v>
      </c>
      <c r="J317" s="25"/>
      <c r="K317" s="23"/>
      <c r="L317" s="23"/>
      <c r="M317" s="23"/>
      <c r="N317" s="807">
        <f>ROUND($G317*I317,0)</f>
        <v>63000000</v>
      </c>
      <c r="O317" s="807"/>
      <c r="P317" s="1061"/>
      <c r="Q317" s="1061"/>
      <c r="R317" s="1061"/>
    </row>
    <row r="318" spans="1:255" s="15" customFormat="1">
      <c r="A318" s="1122" t="s">
        <v>4585</v>
      </c>
      <c r="B318" s="1091"/>
      <c r="C318" s="571" t="s">
        <v>4585</v>
      </c>
      <c r="D318" s="639"/>
      <c r="E318" s="14" t="s">
        <v>4586</v>
      </c>
      <c r="F318" s="18" t="s">
        <v>1297</v>
      </c>
      <c r="G318" s="1092">
        <f>tkeTA!AX135+tkeTA!AY135</f>
        <v>15</v>
      </c>
      <c r="H318" s="1092"/>
      <c r="I318" s="23"/>
      <c r="J318" s="25"/>
      <c r="K318" s="25">
        <v>13700</v>
      </c>
      <c r="L318" s="25">
        <v>546322</v>
      </c>
      <c r="M318" s="25">
        <v>153055</v>
      </c>
      <c r="N318" s="1061"/>
      <c r="O318" s="807"/>
      <c r="P318" s="807">
        <f t="shared" ref="P318:R323" si="27">ROUND($G318*K318,0)</f>
        <v>205500</v>
      </c>
      <c r="Q318" s="807">
        <f t="shared" si="27"/>
        <v>8194830</v>
      </c>
      <c r="R318" s="807">
        <f t="shared" si="27"/>
        <v>2295825</v>
      </c>
      <c r="U318" s="10" t="s">
        <v>865</v>
      </c>
    </row>
    <row r="319" spans="1:255" s="15" customFormat="1">
      <c r="A319" s="1122" t="s">
        <v>5212</v>
      </c>
      <c r="B319" s="1091"/>
      <c r="C319" s="571" t="s">
        <v>5212</v>
      </c>
      <c r="D319" s="639"/>
      <c r="E319" s="14" t="s">
        <v>6564</v>
      </c>
      <c r="F319" s="18" t="s">
        <v>1297</v>
      </c>
      <c r="G319" s="1092">
        <f>tkeTA!AZ135+tkeTA2!AU93</f>
        <v>35</v>
      </c>
      <c r="H319" s="1092"/>
      <c r="I319" s="23"/>
      <c r="J319" s="25"/>
      <c r="K319" s="25">
        <v>11820.333333333334</v>
      </c>
      <c r="L319" s="25">
        <v>176000</v>
      </c>
      <c r="M319" s="25">
        <v>0</v>
      </c>
      <c r="N319" s="1061"/>
      <c r="O319" s="807"/>
      <c r="P319" s="807">
        <f t="shared" si="27"/>
        <v>413712</v>
      </c>
      <c r="Q319" s="807">
        <f t="shared" si="27"/>
        <v>6160000</v>
      </c>
      <c r="R319" s="807">
        <f t="shared" si="27"/>
        <v>0</v>
      </c>
    </row>
    <row r="320" spans="1:255" s="15" customFormat="1">
      <c r="A320" s="1122" t="s">
        <v>1634</v>
      </c>
      <c r="B320" s="1091"/>
      <c r="C320" s="571" t="s">
        <v>1634</v>
      </c>
      <c r="D320" s="639"/>
      <c r="E320" s="14" t="s">
        <v>6565</v>
      </c>
      <c r="F320" s="18" t="s">
        <v>1297</v>
      </c>
      <c r="G320" s="1092">
        <f>tkeTA!BA135</f>
        <v>39</v>
      </c>
      <c r="H320" s="1092"/>
      <c r="I320" s="23"/>
      <c r="J320" s="25"/>
      <c r="K320" s="25">
        <v>16554</v>
      </c>
      <c r="L320" s="25">
        <v>330000</v>
      </c>
      <c r="M320" s="25">
        <v>0</v>
      </c>
      <c r="N320" s="1061"/>
      <c r="O320" s="807"/>
      <c r="P320" s="807">
        <f t="shared" si="27"/>
        <v>645606</v>
      </c>
      <c r="Q320" s="807">
        <f t="shared" si="27"/>
        <v>12870000</v>
      </c>
      <c r="R320" s="807">
        <f t="shared" si="27"/>
        <v>0</v>
      </c>
    </row>
    <row r="321" spans="1:21" s="15" customFormat="1">
      <c r="A321" s="1122" t="s">
        <v>3413</v>
      </c>
      <c r="B321" s="1091"/>
      <c r="C321" s="571" t="s">
        <v>3413</v>
      </c>
      <c r="D321" s="639"/>
      <c r="E321" s="14" t="s">
        <v>6566</v>
      </c>
      <c r="F321" s="18" t="s">
        <v>1297</v>
      </c>
      <c r="G321" s="1092">
        <f>tkeTA!BB135</f>
        <v>8</v>
      </c>
      <c r="H321" s="1092"/>
      <c r="I321" s="23"/>
      <c r="J321" s="25"/>
      <c r="K321" s="25">
        <v>7951.666666666667</v>
      </c>
      <c r="L321" s="25">
        <v>220000</v>
      </c>
      <c r="M321" s="25">
        <v>82554</v>
      </c>
      <c r="N321" s="1061"/>
      <c r="O321" s="807"/>
      <c r="P321" s="807">
        <f t="shared" si="27"/>
        <v>63613</v>
      </c>
      <c r="Q321" s="807">
        <f t="shared" si="27"/>
        <v>1760000</v>
      </c>
      <c r="R321" s="807">
        <f t="shared" si="27"/>
        <v>660432</v>
      </c>
    </row>
    <row r="322" spans="1:21" s="15" customFormat="1">
      <c r="A322" s="1122" t="s">
        <v>3414</v>
      </c>
      <c r="B322" s="1091"/>
      <c r="C322" s="571" t="s">
        <v>3414</v>
      </c>
      <c r="D322" s="639"/>
      <c r="E322" s="14" t="s">
        <v>6567</v>
      </c>
      <c r="F322" s="18" t="s">
        <v>6568</v>
      </c>
      <c r="G322" s="1092">
        <f>tkeTA!BD135*2</f>
        <v>16</v>
      </c>
      <c r="H322" s="1092"/>
      <c r="I322" s="23"/>
      <c r="J322" s="25"/>
      <c r="K322" s="25">
        <v>5839</v>
      </c>
      <c r="L322" s="25">
        <v>507984</v>
      </c>
      <c r="M322" s="25">
        <v>140793</v>
      </c>
      <c r="N322" s="1061"/>
      <c r="O322" s="807"/>
      <c r="P322" s="807">
        <f t="shared" si="27"/>
        <v>93424</v>
      </c>
      <c r="Q322" s="807">
        <f t="shared" si="27"/>
        <v>8127744</v>
      </c>
      <c r="R322" s="807">
        <f t="shared" si="27"/>
        <v>2252688</v>
      </c>
    </row>
    <row r="323" spans="1:21" s="15" customFormat="1">
      <c r="A323" s="1122" t="s">
        <v>3415</v>
      </c>
      <c r="B323" s="1091"/>
      <c r="C323" s="571" t="s">
        <v>3415</v>
      </c>
      <c r="D323" s="639"/>
      <c r="E323" s="14" t="s">
        <v>6569</v>
      </c>
      <c r="F323" s="18" t="s">
        <v>1027</v>
      </c>
      <c r="G323" s="1092">
        <f>tkeTA!BC135</f>
        <v>3</v>
      </c>
      <c r="H323" s="1092"/>
      <c r="I323" s="23"/>
      <c r="J323" s="25"/>
      <c r="K323" s="25">
        <v>83862</v>
      </c>
      <c r="L323" s="25">
        <v>2398546</v>
      </c>
      <c r="M323" s="25">
        <v>247662</v>
      </c>
      <c r="N323" s="1061"/>
      <c r="O323" s="807"/>
      <c r="P323" s="807">
        <f t="shared" si="27"/>
        <v>251586</v>
      </c>
      <c r="Q323" s="807">
        <f t="shared" si="27"/>
        <v>7195638</v>
      </c>
      <c r="R323" s="807">
        <f t="shared" si="27"/>
        <v>742986</v>
      </c>
    </row>
    <row r="324" spans="1:21" s="15" customFormat="1">
      <c r="A324" s="1115"/>
      <c r="B324" s="19"/>
      <c r="C324" s="571"/>
      <c r="D324" s="639"/>
      <c r="E324" s="14"/>
      <c r="F324" s="18"/>
      <c r="G324" s="1246"/>
      <c r="H324" s="28"/>
      <c r="I324" s="23"/>
      <c r="J324" s="23"/>
      <c r="K324" s="23"/>
      <c r="L324" s="23"/>
      <c r="M324" s="23"/>
      <c r="N324" s="1061"/>
      <c r="O324" s="1061"/>
      <c r="P324" s="1061"/>
      <c r="Q324" s="1061"/>
      <c r="R324" s="1061"/>
    </row>
    <row r="325" spans="1:21" s="15" customFormat="1" ht="15.75">
      <c r="A325" s="469"/>
      <c r="B325" s="1096" t="s">
        <v>4065</v>
      </c>
      <c r="C325" s="199"/>
      <c r="D325" s="199"/>
      <c r="E325" s="200" t="s">
        <v>4652</v>
      </c>
      <c r="F325" s="201"/>
      <c r="G325" s="202"/>
      <c r="H325" s="202"/>
      <c r="I325" s="203"/>
      <c r="J325" s="203"/>
      <c r="K325" s="203"/>
      <c r="L325" s="204"/>
      <c r="M325" s="203"/>
      <c r="N325" s="205"/>
      <c r="O325" s="205"/>
      <c r="P325" s="205"/>
      <c r="Q325" s="205"/>
      <c r="R325" s="205"/>
    </row>
    <row r="326" spans="1:21" s="15" customFormat="1">
      <c r="A326" s="1048">
        <v>1</v>
      </c>
      <c r="B326" s="571" t="str">
        <f>"IV."&amp;+A326</f>
        <v>IV.1</v>
      </c>
      <c r="C326" s="571"/>
      <c r="D326" s="639"/>
      <c r="E326" s="1049" t="s">
        <v>3959</v>
      </c>
      <c r="F326" s="24" t="s">
        <v>5687</v>
      </c>
      <c r="G326" s="26">
        <f>tkeTA_hh!L129-G329</f>
        <v>18</v>
      </c>
      <c r="H326" s="26"/>
      <c r="I326" s="1070"/>
      <c r="J326" s="1070"/>
      <c r="K326" s="1070"/>
      <c r="L326" s="1071"/>
      <c r="M326" s="1070"/>
      <c r="N326" s="1055">
        <f>SUM(N327:N327)</f>
        <v>0</v>
      </c>
      <c r="O326" s="1055"/>
      <c r="P326" s="1055">
        <f>SUM(P327:P327)</f>
        <v>11875</v>
      </c>
      <c r="Q326" s="1055">
        <f>SUM(Q327:Q327)</f>
        <v>1091412</v>
      </c>
      <c r="R326" s="1055">
        <f>SUM(R327:R327)</f>
        <v>0</v>
      </c>
      <c r="U326" s="10" t="s">
        <v>865</v>
      </c>
    </row>
    <row r="327" spans="1:21" s="15" customFormat="1" ht="15" customHeight="1">
      <c r="A327" s="1123" t="s">
        <v>1848</v>
      </c>
      <c r="B327" s="571"/>
      <c r="C327" s="571" t="s">
        <v>1848</v>
      </c>
      <c r="D327" s="639"/>
      <c r="E327" s="1384" t="s">
        <v>6570</v>
      </c>
      <c r="F327" s="18" t="s">
        <v>5687</v>
      </c>
      <c r="G327" s="27">
        <v>1</v>
      </c>
      <c r="H327" s="27"/>
      <c r="I327" s="23"/>
      <c r="J327" s="1185"/>
      <c r="K327" s="25">
        <v>11875</v>
      </c>
      <c r="L327" s="25">
        <v>1091412</v>
      </c>
      <c r="M327" s="25">
        <v>0</v>
      </c>
      <c r="N327" s="1053"/>
      <c r="O327" s="1185"/>
      <c r="P327" s="807">
        <f>ROUND($G327*K327,0)</f>
        <v>11875</v>
      </c>
      <c r="Q327" s="807">
        <f>ROUND($G327*L327,0)</f>
        <v>1091412</v>
      </c>
      <c r="R327" s="807">
        <f>ROUND($G327*M327,0)</f>
        <v>0</v>
      </c>
    </row>
    <row r="328" spans="1:21" s="15" customFormat="1" ht="15" customHeight="1">
      <c r="A328" s="252">
        <v>1</v>
      </c>
      <c r="B328" s="19"/>
      <c r="C328" s="19"/>
      <c r="D328" s="251"/>
      <c r="E328" s="20"/>
      <c r="F328" s="18"/>
      <c r="G328" s="1074"/>
      <c r="H328" s="1057"/>
      <c r="I328" s="23"/>
      <c r="J328" s="23"/>
      <c r="K328" s="23"/>
      <c r="L328" s="23"/>
      <c r="M328" s="23"/>
      <c r="N328" s="1053"/>
      <c r="O328" s="1061"/>
      <c r="P328" s="1061"/>
      <c r="Q328" s="1061"/>
      <c r="R328" s="1061"/>
    </row>
    <row r="329" spans="1:21" s="15" customFormat="1">
      <c r="A329" s="1048">
        <v>1</v>
      </c>
      <c r="B329" s="571" t="str">
        <f>"IV."&amp;+A329</f>
        <v>IV.1</v>
      </c>
      <c r="C329" s="571"/>
      <c r="D329" s="639"/>
      <c r="E329" s="1049" t="s">
        <v>3959</v>
      </c>
      <c r="F329" s="24" t="s">
        <v>5687</v>
      </c>
      <c r="G329" s="26">
        <f>tkeTA_hh!L127</f>
        <v>2</v>
      </c>
      <c r="H329" s="26"/>
      <c r="I329" s="1070"/>
      <c r="J329" s="1070"/>
      <c r="K329" s="1070"/>
      <c r="L329" s="1071"/>
      <c r="M329" s="1070"/>
      <c r="N329" s="1055">
        <f>SUM(N330:N330)</f>
        <v>0</v>
      </c>
      <c r="O329" s="1055"/>
      <c r="P329" s="1055">
        <f>SUM(P330:P330)</f>
        <v>11875</v>
      </c>
      <c r="Q329" s="1055">
        <f>SUM(Q330:Q330)</f>
        <v>435904</v>
      </c>
      <c r="R329" s="1055">
        <f>SUM(R330:R330)</f>
        <v>165937</v>
      </c>
      <c r="U329" s="10" t="s">
        <v>865</v>
      </c>
    </row>
    <row r="330" spans="1:21" s="15" customFormat="1" ht="15" customHeight="1">
      <c r="A330" s="1123" t="s">
        <v>1849</v>
      </c>
      <c r="B330" s="571"/>
      <c r="C330" s="571" t="s">
        <v>1849</v>
      </c>
      <c r="D330" s="639"/>
      <c r="E330" s="1384" t="s">
        <v>6571</v>
      </c>
      <c r="F330" s="18" t="s">
        <v>5687</v>
      </c>
      <c r="G330" s="27">
        <v>1</v>
      </c>
      <c r="H330" s="27"/>
      <c r="I330" s="23"/>
      <c r="J330" s="1185"/>
      <c r="K330" s="25">
        <v>11875</v>
      </c>
      <c r="L330" s="25">
        <v>435904</v>
      </c>
      <c r="M330" s="25">
        <v>165937</v>
      </c>
      <c r="N330" s="1053"/>
      <c r="O330" s="1185"/>
      <c r="P330" s="807">
        <f>ROUND($G330*K330,0)</f>
        <v>11875</v>
      </c>
      <c r="Q330" s="807">
        <f>ROUND($G330*L330,0)</f>
        <v>435904</v>
      </c>
      <c r="R330" s="807">
        <f>ROUND($G330*M330,0)</f>
        <v>165937</v>
      </c>
    </row>
    <row r="331" spans="1:21" s="15" customFormat="1" ht="15" customHeight="1">
      <c r="A331" s="252">
        <v>1</v>
      </c>
      <c r="B331" s="19"/>
      <c r="C331" s="19"/>
      <c r="D331" s="251"/>
      <c r="E331" s="20"/>
      <c r="F331" s="18"/>
      <c r="G331" s="1074"/>
      <c r="H331" s="1057"/>
      <c r="I331" s="23"/>
      <c r="J331" s="23"/>
      <c r="K331" s="23"/>
      <c r="L331" s="23"/>
      <c r="M331" s="23"/>
      <c r="N331" s="1053"/>
      <c r="O331" s="1061"/>
      <c r="P331" s="1061"/>
      <c r="Q331" s="1061"/>
      <c r="R331" s="1061"/>
    </row>
    <row r="332" spans="1:21" s="15" customFormat="1" ht="15" customHeight="1">
      <c r="A332" s="1048">
        <f>A328+1</f>
        <v>2</v>
      </c>
      <c r="B332" s="571" t="str">
        <f>"IV."&amp;+A332</f>
        <v>IV.2</v>
      </c>
      <c r="C332" s="571"/>
      <c r="D332" s="639"/>
      <c r="E332" s="806" t="s">
        <v>4552</v>
      </c>
      <c r="F332" s="24" t="s">
        <v>1297</v>
      </c>
      <c r="G332" s="26">
        <f>tkeTA_hh!W129+tkeTA_hh!X129</f>
        <v>17</v>
      </c>
      <c r="H332" s="26"/>
      <c r="I332" s="1070"/>
      <c r="J332" s="1070"/>
      <c r="K332" s="1070"/>
      <c r="L332" s="1071"/>
      <c r="M332" s="1070"/>
      <c r="N332" s="1055">
        <f>SUM(N333:N333)</f>
        <v>0</v>
      </c>
      <c r="O332" s="1055"/>
      <c r="P332" s="1055">
        <f>SUM(P333:P333)</f>
        <v>0</v>
      </c>
      <c r="Q332" s="1055">
        <f>SUM(Q333:Q333)</f>
        <v>379766</v>
      </c>
      <c r="R332" s="1055">
        <f>SUM(R333:R333)</f>
        <v>0</v>
      </c>
    </row>
    <row r="333" spans="1:21" s="15" customFormat="1">
      <c r="A333" s="1123" t="s">
        <v>3400</v>
      </c>
      <c r="B333" s="571"/>
      <c r="C333" s="571" t="s">
        <v>3400</v>
      </c>
      <c r="D333" s="639"/>
      <c r="E333" s="14" t="s">
        <v>6572</v>
      </c>
      <c r="F333" s="18" t="s">
        <v>1297</v>
      </c>
      <c r="G333" s="1214">
        <v>2</v>
      </c>
      <c r="H333" s="28"/>
      <c r="I333" s="23"/>
      <c r="J333" s="23"/>
      <c r="K333" s="25">
        <v>0</v>
      </c>
      <c r="L333" s="25">
        <v>189883</v>
      </c>
      <c r="M333" s="25">
        <v>0</v>
      </c>
      <c r="N333" s="1061"/>
      <c r="O333" s="1061"/>
      <c r="P333" s="807">
        <f>ROUND($G333*K333,0)</f>
        <v>0</v>
      </c>
      <c r="Q333" s="807">
        <f>ROUND($G333*L333,0)</f>
        <v>379766</v>
      </c>
      <c r="R333" s="807">
        <f>ROUND($G333*M333,0)</f>
        <v>0</v>
      </c>
      <c r="U333" s="10" t="s">
        <v>865</v>
      </c>
    </row>
    <row r="334" spans="1:21" s="15" customFormat="1" ht="15" customHeight="1">
      <c r="A334" s="1113">
        <f>A332</f>
        <v>2</v>
      </c>
      <c r="B334" s="571"/>
      <c r="C334" s="231"/>
      <c r="D334" s="1076"/>
      <c r="E334" s="1077"/>
      <c r="F334" s="16"/>
      <c r="G334" s="1215"/>
      <c r="H334" s="1078"/>
      <c r="I334" s="1047"/>
      <c r="J334" s="1047"/>
      <c r="K334" s="1047"/>
      <c r="L334" s="1079"/>
      <c r="M334" s="1047"/>
      <c r="N334" s="1090"/>
      <c r="O334" s="1090"/>
      <c r="P334" s="1090"/>
      <c r="Q334" s="1090"/>
      <c r="R334" s="1090"/>
    </row>
    <row r="335" spans="1:21" s="15" customFormat="1" ht="15" customHeight="1">
      <c r="A335" s="1048">
        <f>A334+1</f>
        <v>3</v>
      </c>
      <c r="B335" s="571" t="str">
        <f>"IV."&amp;+A335</f>
        <v>IV.3</v>
      </c>
      <c r="C335" s="571"/>
      <c r="D335" s="639"/>
      <c r="E335" s="806" t="s">
        <v>1836</v>
      </c>
      <c r="F335" s="24" t="s">
        <v>1297</v>
      </c>
      <c r="G335" s="26">
        <f>tkeTA!X135</f>
        <v>2</v>
      </c>
      <c r="H335" s="26"/>
      <c r="I335" s="1070"/>
      <c r="J335" s="1070"/>
      <c r="K335" s="1070"/>
      <c r="L335" s="1071"/>
      <c r="M335" s="1070"/>
      <c r="N335" s="1055">
        <f>SUM(N336:N336)</f>
        <v>0</v>
      </c>
      <c r="O335" s="1055"/>
      <c r="P335" s="1055">
        <f>SUM(P336:P336)</f>
        <v>0</v>
      </c>
      <c r="Q335" s="1055">
        <f>SUM(Q336:Q336)</f>
        <v>379766</v>
      </c>
      <c r="R335" s="1055">
        <f>SUM(R336:R336)</f>
        <v>0</v>
      </c>
    </row>
    <row r="336" spans="1:21" s="15" customFormat="1">
      <c r="A336" s="1123" t="s">
        <v>3400</v>
      </c>
      <c r="B336" s="571"/>
      <c r="C336" s="571" t="s">
        <v>3400</v>
      </c>
      <c r="D336" s="639"/>
      <c r="E336" s="14" t="s">
        <v>6572</v>
      </c>
      <c r="F336" s="18" t="s">
        <v>1297</v>
      </c>
      <c r="G336" s="1214">
        <v>2</v>
      </c>
      <c r="H336" s="28"/>
      <c r="I336" s="23"/>
      <c r="J336" s="23"/>
      <c r="K336" s="25">
        <v>0</v>
      </c>
      <c r="L336" s="25">
        <v>189883</v>
      </c>
      <c r="M336" s="25">
        <v>0</v>
      </c>
      <c r="N336" s="1061"/>
      <c r="O336" s="1061"/>
      <c r="P336" s="807">
        <f>ROUND($G336*K336,0)</f>
        <v>0</v>
      </c>
      <c r="Q336" s="807">
        <f>ROUND($G336*L336,0)</f>
        <v>379766</v>
      </c>
      <c r="R336" s="807">
        <f>ROUND($G336*M336,0)</f>
        <v>0</v>
      </c>
    </row>
    <row r="337" spans="1:18">
      <c r="A337" s="1113">
        <f>A335</f>
        <v>3</v>
      </c>
      <c r="B337" s="571"/>
      <c r="C337" s="231"/>
      <c r="D337" s="1076"/>
      <c r="E337" s="1077"/>
      <c r="F337" s="16"/>
      <c r="G337" s="1215"/>
      <c r="H337" s="1078"/>
      <c r="I337" s="1047"/>
      <c r="J337" s="1047"/>
      <c r="K337" s="1047"/>
      <c r="L337" s="1079"/>
      <c r="M337" s="1047"/>
      <c r="N337" s="1090"/>
      <c r="O337" s="1090"/>
      <c r="P337" s="1090"/>
      <c r="Q337" s="1090"/>
      <c r="R337" s="1090"/>
    </row>
    <row r="338" spans="1:18">
      <c r="A338" s="1048">
        <f>A337+1</f>
        <v>4</v>
      </c>
      <c r="B338" s="571" t="str">
        <f>"IV."&amp;+A338</f>
        <v>IV.4</v>
      </c>
      <c r="C338" s="571"/>
      <c r="D338" s="639"/>
      <c r="E338" s="806" t="s">
        <v>5624</v>
      </c>
      <c r="F338" s="24" t="s">
        <v>1297</v>
      </c>
      <c r="G338" s="26">
        <f>tkeTA_hh!AB129</f>
        <v>16</v>
      </c>
      <c r="H338" s="26"/>
      <c r="I338" s="1070"/>
      <c r="J338" s="1070"/>
      <c r="K338" s="1070"/>
      <c r="L338" s="1071"/>
      <c r="M338" s="1070"/>
      <c r="N338" s="1055">
        <f>SUM(N339:N339)</f>
        <v>0</v>
      </c>
      <c r="O338" s="1055"/>
      <c r="P338" s="1055">
        <f>SUM(P339:P339)</f>
        <v>0</v>
      </c>
      <c r="Q338" s="1055">
        <f>SUM(Q339:Q339)</f>
        <v>189883</v>
      </c>
      <c r="R338" s="1055">
        <f>SUM(R339:R339)</f>
        <v>0</v>
      </c>
    </row>
    <row r="339" spans="1:18" s="15" customFormat="1">
      <c r="A339" s="1123" t="s">
        <v>3400</v>
      </c>
      <c r="B339" s="571"/>
      <c r="C339" s="571" t="s">
        <v>3400</v>
      </c>
      <c r="D339" s="639"/>
      <c r="E339" s="14" t="s">
        <v>6572</v>
      </c>
      <c r="F339" s="18" t="s">
        <v>1297</v>
      </c>
      <c r="G339" s="1214">
        <v>1</v>
      </c>
      <c r="H339" s="28"/>
      <c r="I339" s="23"/>
      <c r="J339" s="23"/>
      <c r="K339" s="25">
        <v>0</v>
      </c>
      <c r="L339" s="25">
        <v>189883</v>
      </c>
      <c r="M339" s="25">
        <v>0</v>
      </c>
      <c r="N339" s="1061"/>
      <c r="O339" s="1061"/>
      <c r="P339" s="807">
        <f>ROUND($G339*K339,0)</f>
        <v>0</v>
      </c>
      <c r="Q339" s="807">
        <f>ROUND($G339*L339,0)</f>
        <v>189883</v>
      </c>
      <c r="R339" s="807">
        <f>ROUND($G339*M339,0)</f>
        <v>0</v>
      </c>
    </row>
    <row r="340" spans="1:18">
      <c r="A340" s="1113">
        <f>A338</f>
        <v>4</v>
      </c>
      <c r="B340" s="571"/>
      <c r="C340" s="231"/>
      <c r="D340" s="1076"/>
      <c r="E340" s="1077"/>
      <c r="F340" s="16"/>
      <c r="G340" s="1215"/>
      <c r="H340" s="1078"/>
      <c r="I340" s="1047"/>
      <c r="J340" s="1047"/>
      <c r="K340" s="1047"/>
      <c r="L340" s="1079"/>
      <c r="M340" s="1047"/>
      <c r="N340" s="1090"/>
      <c r="O340" s="1090"/>
      <c r="P340" s="1090"/>
      <c r="Q340" s="1090"/>
      <c r="R340" s="1090"/>
    </row>
    <row r="341" spans="1:18">
      <c r="A341" s="1048">
        <f>A340+1</f>
        <v>5</v>
      </c>
      <c r="B341" s="571" t="str">
        <f>"IV."&amp;+A341</f>
        <v>IV.5</v>
      </c>
      <c r="C341" s="571"/>
      <c r="D341" s="639"/>
      <c r="E341" s="806" t="s">
        <v>5210</v>
      </c>
      <c r="F341" s="24" t="s">
        <v>1297</v>
      </c>
      <c r="G341" s="26">
        <f>tkeTA_hh!AA129</f>
        <v>26</v>
      </c>
      <c r="H341" s="26"/>
      <c r="I341" s="1070"/>
      <c r="J341" s="1070"/>
      <c r="K341" s="1070"/>
      <c r="L341" s="1071"/>
      <c r="M341" s="1070"/>
      <c r="N341" s="1055">
        <f>SUM(N342:N342)</f>
        <v>0</v>
      </c>
      <c r="O341" s="1055"/>
      <c r="P341" s="1055">
        <f>SUM(P342:P342)</f>
        <v>0</v>
      </c>
      <c r="Q341" s="1055">
        <f>SUM(Q342:Q342)</f>
        <v>140348</v>
      </c>
      <c r="R341" s="1055">
        <f>SUM(R342:R342)</f>
        <v>0</v>
      </c>
    </row>
    <row r="342" spans="1:18">
      <c r="A342" s="1123" t="s">
        <v>3401</v>
      </c>
      <c r="B342" s="571"/>
      <c r="C342" s="571" t="s">
        <v>3401</v>
      </c>
      <c r="D342" s="639"/>
      <c r="E342" s="14" t="s">
        <v>6573</v>
      </c>
      <c r="F342" s="18" t="s">
        <v>1297</v>
      </c>
      <c r="G342" s="28">
        <v>1</v>
      </c>
      <c r="H342" s="28"/>
      <c r="I342" s="23"/>
      <c r="J342" s="23"/>
      <c r="K342" s="25">
        <v>0</v>
      </c>
      <c r="L342" s="25">
        <v>140348</v>
      </c>
      <c r="M342" s="25">
        <v>0</v>
      </c>
      <c r="N342" s="1061"/>
      <c r="O342" s="1061"/>
      <c r="P342" s="807">
        <f>ROUND($G342*K342,0)</f>
        <v>0</v>
      </c>
      <c r="Q342" s="807">
        <f>ROUND($G342*L342,0)</f>
        <v>140348</v>
      </c>
      <c r="R342" s="807">
        <f>ROUND($G342*M342,0)</f>
        <v>0</v>
      </c>
    </row>
    <row r="343" spans="1:18">
      <c r="A343" s="252">
        <f>A341</f>
        <v>5</v>
      </c>
      <c r="B343" s="19"/>
      <c r="C343" s="571"/>
      <c r="D343" s="639"/>
      <c r="E343" s="14"/>
      <c r="F343" s="18"/>
      <c r="G343" s="1057"/>
      <c r="H343" s="1057"/>
      <c r="I343" s="23"/>
      <c r="J343" s="23"/>
      <c r="K343" s="23"/>
      <c r="L343" s="23"/>
      <c r="M343" s="23"/>
      <c r="N343" s="1345"/>
      <c r="O343" s="1345"/>
      <c r="P343" s="1345"/>
      <c r="Q343" s="1346"/>
      <c r="R343" s="1347"/>
    </row>
    <row r="344" spans="1:18" s="15" customFormat="1">
      <c r="A344" s="1048">
        <f>A343+1</f>
        <v>6</v>
      </c>
      <c r="B344" s="571" t="str">
        <f>"IV."&amp;+A344</f>
        <v>IV.6</v>
      </c>
      <c r="C344" s="571"/>
      <c r="D344" s="639"/>
      <c r="E344" s="1049" t="s">
        <v>1844</v>
      </c>
      <c r="F344" s="24" t="s">
        <v>1297</v>
      </c>
      <c r="G344" s="26">
        <f>tkeTA_hh!S129</f>
        <v>6</v>
      </c>
      <c r="H344" s="26"/>
      <c r="I344" s="1070"/>
      <c r="J344" s="1070"/>
      <c r="K344" s="1070"/>
      <c r="L344" s="1071"/>
      <c r="M344" s="1070"/>
      <c r="N344" s="1055">
        <f>SUM(N345:N345)</f>
        <v>0</v>
      </c>
      <c r="O344" s="1055"/>
      <c r="P344" s="1055">
        <f>SUM(P345:P345)</f>
        <v>0</v>
      </c>
      <c r="Q344" s="1055">
        <f>SUM(Q345:Q345)</f>
        <v>297000</v>
      </c>
      <c r="R344" s="1055">
        <f>SUM(R345:R345)</f>
        <v>0</v>
      </c>
    </row>
    <row r="345" spans="1:18" s="15" customFormat="1">
      <c r="A345" s="1120" t="s">
        <v>742</v>
      </c>
      <c r="B345" s="571"/>
      <c r="C345" s="571" t="s">
        <v>742</v>
      </c>
      <c r="D345" s="639"/>
      <c r="E345" s="14" t="s">
        <v>6540</v>
      </c>
      <c r="F345" s="18" t="s">
        <v>1297</v>
      </c>
      <c r="G345" s="28">
        <v>3</v>
      </c>
      <c r="H345" s="28"/>
      <c r="I345" s="23"/>
      <c r="J345" s="23"/>
      <c r="K345" s="25">
        <v>0</v>
      </c>
      <c r="L345" s="25">
        <v>99000</v>
      </c>
      <c r="M345" s="25">
        <v>0</v>
      </c>
      <c r="N345" s="1061"/>
      <c r="O345" s="1061"/>
      <c r="P345" s="807">
        <f>ROUND($G345*K345,0)</f>
        <v>0</v>
      </c>
      <c r="Q345" s="807">
        <f>ROUND($G345*L345,0)</f>
        <v>297000</v>
      </c>
      <c r="R345" s="807">
        <f>ROUND($G345*M345,0)</f>
        <v>0</v>
      </c>
    </row>
    <row r="346" spans="1:18" s="15" customFormat="1">
      <c r="A346" s="252">
        <f>A344</f>
        <v>6</v>
      </c>
      <c r="B346" s="571"/>
      <c r="C346" s="571"/>
      <c r="D346" s="639"/>
      <c r="E346" s="14"/>
      <c r="F346" s="18"/>
      <c r="G346" s="28"/>
      <c r="H346" s="28"/>
      <c r="I346" s="23"/>
      <c r="J346" s="23"/>
      <c r="K346" s="23"/>
      <c r="L346" s="23"/>
      <c r="M346" s="23"/>
      <c r="N346" s="23"/>
      <c r="O346" s="23"/>
      <c r="P346" s="23"/>
      <c r="Q346" s="23"/>
      <c r="R346" s="23"/>
    </row>
    <row r="347" spans="1:18">
      <c r="A347" s="1048">
        <f>A346+1</f>
        <v>7</v>
      </c>
      <c r="B347" s="571" t="str">
        <f>"IV."&amp;+A347</f>
        <v>IV.7</v>
      </c>
      <c r="C347" s="231"/>
      <c r="D347" s="231"/>
      <c r="E347" s="1341" t="s">
        <v>3402</v>
      </c>
      <c r="F347" s="1225" t="s">
        <v>1297</v>
      </c>
      <c r="G347" s="233">
        <f>tkeTA_hh!T129+tkeTA_hh!U129+tkeTA_hh!V129</f>
        <v>18</v>
      </c>
      <c r="H347" s="233"/>
      <c r="I347" s="1318"/>
      <c r="J347" s="1318"/>
      <c r="K347" s="1318"/>
      <c r="L347" s="1319"/>
      <c r="M347" s="1318"/>
      <c r="N347" s="1107">
        <f>SUM(N349:N349)</f>
        <v>0</v>
      </c>
      <c r="O347" s="1107"/>
      <c r="P347" s="1107">
        <f>SUM(P348:P349)</f>
        <v>2511</v>
      </c>
      <c r="Q347" s="1107">
        <f>SUM(Q348:Q349)</f>
        <v>240394</v>
      </c>
      <c r="R347" s="1107">
        <f>SUM(R348:R349)</f>
        <v>0</v>
      </c>
    </row>
    <row r="348" spans="1:18">
      <c r="A348" s="1184" t="s">
        <v>4929</v>
      </c>
      <c r="B348" s="571"/>
      <c r="C348" s="571" t="s">
        <v>4929</v>
      </c>
      <c r="D348" s="571"/>
      <c r="E348" s="14" t="s">
        <v>3881</v>
      </c>
      <c r="F348" s="18" t="s">
        <v>1297</v>
      </c>
      <c r="G348" s="28">
        <v>1</v>
      </c>
      <c r="H348" s="27"/>
      <c r="I348" s="23"/>
      <c r="J348" s="23"/>
      <c r="K348" s="25">
        <v>2511</v>
      </c>
      <c r="L348" s="25">
        <v>121000</v>
      </c>
      <c r="M348" s="25">
        <v>0</v>
      </c>
      <c r="N348" s="1061"/>
      <c r="O348" s="1061"/>
      <c r="P348" s="807">
        <f t="shared" ref="P348:R349" si="28">ROUND($G348*K348,0)</f>
        <v>2511</v>
      </c>
      <c r="Q348" s="807">
        <f t="shared" si="28"/>
        <v>121000</v>
      </c>
      <c r="R348" s="807">
        <f t="shared" si="28"/>
        <v>0</v>
      </c>
    </row>
    <row r="349" spans="1:18">
      <c r="A349" s="1123" t="s">
        <v>2168</v>
      </c>
      <c r="B349" s="571"/>
      <c r="C349" s="571" t="s">
        <v>2168</v>
      </c>
      <c r="D349" s="571"/>
      <c r="E349" s="14" t="s">
        <v>6574</v>
      </c>
      <c r="F349" s="18" t="s">
        <v>1297</v>
      </c>
      <c r="G349" s="28">
        <v>1</v>
      </c>
      <c r="H349" s="27"/>
      <c r="I349" s="23"/>
      <c r="J349" s="23"/>
      <c r="K349" s="25">
        <v>0</v>
      </c>
      <c r="L349" s="25">
        <v>119394</v>
      </c>
      <c r="M349" s="25">
        <v>0</v>
      </c>
      <c r="N349" s="1061"/>
      <c r="O349" s="1061"/>
      <c r="P349" s="807">
        <f t="shared" si="28"/>
        <v>0</v>
      </c>
      <c r="Q349" s="807">
        <f t="shared" si="28"/>
        <v>119394</v>
      </c>
      <c r="R349" s="807">
        <f t="shared" si="28"/>
        <v>0</v>
      </c>
    </row>
    <row r="350" spans="1:18">
      <c r="A350" s="252">
        <f>A347</f>
        <v>7</v>
      </c>
      <c r="B350" s="571"/>
      <c r="C350" s="571"/>
      <c r="D350" s="571"/>
      <c r="E350" s="14"/>
      <c r="F350" s="18"/>
      <c r="G350" s="1057"/>
      <c r="H350" s="1057"/>
      <c r="I350" s="23"/>
      <c r="J350" s="23"/>
      <c r="K350" s="23"/>
      <c r="L350" s="23"/>
      <c r="M350" s="23"/>
      <c r="N350" s="1345"/>
      <c r="O350" s="1345"/>
      <c r="P350" s="1345"/>
      <c r="Q350" s="1346"/>
      <c r="R350" s="1347"/>
    </row>
    <row r="351" spans="1:18">
      <c r="A351" s="1114">
        <f>A350+1</f>
        <v>8</v>
      </c>
      <c r="B351" s="571" t="str">
        <f>"IV."&amp;+A351</f>
        <v>IV.8</v>
      </c>
      <c r="C351" s="19"/>
      <c r="D351" s="251"/>
      <c r="E351" s="20" t="s">
        <v>5625</v>
      </c>
      <c r="F351" s="24" t="s">
        <v>419</v>
      </c>
      <c r="G351" s="1093">
        <v>1</v>
      </c>
      <c r="H351" s="26"/>
      <c r="I351" s="1070"/>
      <c r="J351" s="1070"/>
      <c r="K351" s="1070"/>
      <c r="L351" s="1071"/>
      <c r="M351" s="1070"/>
      <c r="N351" s="1055">
        <f>SUM(N352:N358)</f>
        <v>0</v>
      </c>
      <c r="O351" s="1055">
        <f>SUM(O352:O358)</f>
        <v>0</v>
      </c>
      <c r="P351" s="1055">
        <f>SUM(P352:P358)</f>
        <v>1936458</v>
      </c>
      <c r="Q351" s="1055">
        <f>SUM(Q352:Q358)</f>
        <v>38157208</v>
      </c>
      <c r="R351" s="1055">
        <f>SUM(R352:R358)</f>
        <v>0</v>
      </c>
    </row>
    <row r="352" spans="1:18">
      <c r="A352" s="1186" t="s">
        <v>3403</v>
      </c>
      <c r="B352" s="22"/>
      <c r="C352" s="571" t="s">
        <v>3403</v>
      </c>
      <c r="D352" s="639" t="s">
        <v>3403</v>
      </c>
      <c r="E352" s="14" t="s">
        <v>6575</v>
      </c>
      <c r="F352" s="18" t="s">
        <v>6555</v>
      </c>
      <c r="G352" s="1472">
        <f>tkeTA_hh!I134/1000</f>
        <v>2.4740000000000002</v>
      </c>
      <c r="H352" s="28"/>
      <c r="I352" s="23"/>
      <c r="J352" s="25"/>
      <c r="K352" s="25">
        <v>344748</v>
      </c>
      <c r="L352" s="25">
        <v>7715004</v>
      </c>
      <c r="M352" s="25">
        <v>0</v>
      </c>
      <c r="N352" s="1061"/>
      <c r="O352" s="807"/>
      <c r="P352" s="807">
        <f t="shared" ref="P352:P358" si="29">ROUND($G352*K352,0)</f>
        <v>852907</v>
      </c>
      <c r="Q352" s="807">
        <f t="shared" ref="Q352:Q358" si="30">ROUND($G352*L352,0)</f>
        <v>19086920</v>
      </c>
      <c r="R352" s="807">
        <f t="shared" ref="R352:R358" si="31">ROUND($G352*M352,0)</f>
        <v>0</v>
      </c>
    </row>
    <row r="353" spans="1:18">
      <c r="A353" s="1186" t="s">
        <v>3404</v>
      </c>
      <c r="B353" s="22"/>
      <c r="C353" s="571" t="s">
        <v>3404</v>
      </c>
      <c r="D353" s="639" t="s">
        <v>3404</v>
      </c>
      <c r="E353" s="14" t="s">
        <v>6576</v>
      </c>
      <c r="F353" s="18" t="s">
        <v>6555</v>
      </c>
      <c r="G353" s="1472">
        <f>tkeTA_hh!I129/1000</f>
        <v>1.1870000000000001</v>
      </c>
      <c r="H353" s="28"/>
      <c r="I353" s="23"/>
      <c r="J353" s="25"/>
      <c r="K353" s="25">
        <v>344748</v>
      </c>
      <c r="L353" s="25">
        <v>6375796</v>
      </c>
      <c r="M353" s="25">
        <v>0</v>
      </c>
      <c r="N353" s="1061"/>
      <c r="O353" s="807"/>
      <c r="P353" s="807">
        <f t="shared" si="29"/>
        <v>409216</v>
      </c>
      <c r="Q353" s="807">
        <f t="shared" si="30"/>
        <v>7568070</v>
      </c>
      <c r="R353" s="807">
        <f t="shared" si="31"/>
        <v>0</v>
      </c>
    </row>
    <row r="354" spans="1:18">
      <c r="A354" s="1186" t="s">
        <v>4582</v>
      </c>
      <c r="B354" s="22"/>
      <c r="C354" s="571" t="s">
        <v>4582</v>
      </c>
      <c r="D354" s="639" t="s">
        <v>4582</v>
      </c>
      <c r="E354" s="14" t="s">
        <v>6557</v>
      </c>
      <c r="F354" s="18" t="s">
        <v>639</v>
      </c>
      <c r="G354" s="1244">
        <f>tkeTA_hh!I136+tkeTA_hh!I137</f>
        <v>162</v>
      </c>
      <c r="H354" s="28"/>
      <c r="I354" s="23"/>
      <c r="J354" s="25"/>
      <c r="K354" s="25">
        <v>3300</v>
      </c>
      <c r="L354" s="25">
        <v>26400</v>
      </c>
      <c r="M354" s="25">
        <v>0</v>
      </c>
      <c r="N354" s="1061"/>
      <c r="O354" s="807"/>
      <c r="P354" s="807">
        <f t="shared" si="29"/>
        <v>534600</v>
      </c>
      <c r="Q354" s="807">
        <f t="shared" si="30"/>
        <v>4276800</v>
      </c>
      <c r="R354" s="807">
        <f t="shared" si="31"/>
        <v>0</v>
      </c>
    </row>
    <row r="355" spans="1:18">
      <c r="A355" s="1120" t="s">
        <v>3405</v>
      </c>
      <c r="B355" s="22"/>
      <c r="C355" s="571" t="s">
        <v>3405</v>
      </c>
      <c r="D355" s="639" t="s">
        <v>3405</v>
      </c>
      <c r="E355" s="14" t="s">
        <v>710</v>
      </c>
      <c r="F355" s="18" t="s">
        <v>5450</v>
      </c>
      <c r="G355" s="1072">
        <f>tkeTA_hh!AE129</f>
        <v>49</v>
      </c>
      <c r="H355" s="29"/>
      <c r="I355" s="23"/>
      <c r="J355" s="25"/>
      <c r="K355" s="25">
        <v>875</v>
      </c>
      <c r="L355" s="25">
        <v>44946</v>
      </c>
      <c r="M355" s="25">
        <v>0</v>
      </c>
      <c r="N355" s="1061"/>
      <c r="O355" s="807"/>
      <c r="P355" s="807">
        <f t="shared" si="29"/>
        <v>42875</v>
      </c>
      <c r="Q355" s="807">
        <f t="shared" si="30"/>
        <v>2202354</v>
      </c>
      <c r="R355" s="807">
        <f t="shared" si="31"/>
        <v>0</v>
      </c>
    </row>
    <row r="356" spans="1:18">
      <c r="A356" s="1120" t="s">
        <v>3406</v>
      </c>
      <c r="B356" s="22"/>
      <c r="C356" s="571" t="s">
        <v>3406</v>
      </c>
      <c r="D356" s="639" t="s">
        <v>3406</v>
      </c>
      <c r="E356" s="14" t="s">
        <v>6577</v>
      </c>
      <c r="F356" s="18" t="s">
        <v>1000</v>
      </c>
      <c r="G356" s="1245">
        <f>tkeTA_hh!AF129</f>
        <v>116</v>
      </c>
      <c r="H356" s="29"/>
      <c r="I356" s="23"/>
      <c r="J356" s="25"/>
      <c r="K356" s="25">
        <v>835</v>
      </c>
      <c r="L356" s="25">
        <v>37324</v>
      </c>
      <c r="M356" s="25">
        <v>0</v>
      </c>
      <c r="N356" s="1061"/>
      <c r="O356" s="807"/>
      <c r="P356" s="807">
        <f t="shared" si="29"/>
        <v>96860</v>
      </c>
      <c r="Q356" s="807">
        <f t="shared" si="30"/>
        <v>4329584</v>
      </c>
      <c r="R356" s="807">
        <f t="shared" si="31"/>
        <v>0</v>
      </c>
    </row>
    <row r="357" spans="1:18">
      <c r="A357" s="1186" t="s">
        <v>3407</v>
      </c>
      <c r="B357" s="22"/>
      <c r="C357" s="571" t="s">
        <v>3407</v>
      </c>
      <c r="D357" s="639" t="s">
        <v>3407</v>
      </c>
      <c r="E357" s="14" t="s">
        <v>6578</v>
      </c>
      <c r="F357" s="18" t="s">
        <v>1000</v>
      </c>
      <c r="G357" s="1072">
        <f>tkeTA_hh!AK129</f>
        <v>60</v>
      </c>
      <c r="H357" s="29"/>
      <c r="I357" s="23"/>
      <c r="J357" s="25"/>
      <c r="K357" s="25">
        <v>0</v>
      </c>
      <c r="L357" s="25">
        <v>11558</v>
      </c>
      <c r="M357" s="25">
        <v>0</v>
      </c>
      <c r="N357" s="1061"/>
      <c r="O357" s="807"/>
      <c r="P357" s="807">
        <f t="shared" si="29"/>
        <v>0</v>
      </c>
      <c r="Q357" s="807">
        <f t="shared" si="30"/>
        <v>693480</v>
      </c>
      <c r="R357" s="807">
        <f t="shared" si="31"/>
        <v>0</v>
      </c>
    </row>
    <row r="358" spans="1:18">
      <c r="A358" s="1120" t="s">
        <v>2506</v>
      </c>
      <c r="B358" s="22"/>
      <c r="C358" s="571" t="s">
        <v>2506</v>
      </c>
      <c r="D358" s="639" t="s">
        <v>2506</v>
      </c>
      <c r="E358" s="14" t="s">
        <v>6545</v>
      </c>
      <c r="F358" s="18" t="s">
        <v>1297</v>
      </c>
      <c r="G358" s="1072">
        <f>tkeTA_hh!AO129</f>
        <v>26</v>
      </c>
      <c r="H358" s="29"/>
      <c r="I358" s="23"/>
      <c r="J358" s="25"/>
      <c r="K358" s="25"/>
      <c r="L358" s="25"/>
      <c r="M358" s="25">
        <v>0</v>
      </c>
      <c r="N358" s="1061"/>
      <c r="O358" s="807"/>
      <c r="P358" s="807">
        <f t="shared" si="29"/>
        <v>0</v>
      </c>
      <c r="Q358" s="807">
        <f t="shared" si="30"/>
        <v>0</v>
      </c>
      <c r="R358" s="807">
        <f t="shared" si="31"/>
        <v>0</v>
      </c>
    </row>
    <row r="359" spans="1:18">
      <c r="A359" s="1115">
        <f>A351</f>
        <v>8</v>
      </c>
      <c r="B359" s="22"/>
      <c r="C359" s="571"/>
      <c r="D359" s="639"/>
      <c r="E359" s="14"/>
      <c r="F359" s="18"/>
      <c r="G359" s="1246"/>
      <c r="H359" s="28"/>
      <c r="I359" s="23"/>
      <c r="J359" s="23"/>
      <c r="K359" s="23"/>
      <c r="L359" s="23"/>
      <c r="M359" s="23"/>
      <c r="N359" s="1061"/>
      <c r="O359" s="1061"/>
      <c r="P359" s="1061"/>
      <c r="Q359" s="1061"/>
      <c r="R359" s="1061"/>
    </row>
    <row r="360" spans="1:18">
      <c r="B360" s="1095" t="s">
        <v>173</v>
      </c>
      <c r="C360" s="196"/>
      <c r="D360" s="196"/>
      <c r="E360" s="206" t="s">
        <v>3408</v>
      </c>
      <c r="F360" s="1094" t="s">
        <v>419</v>
      </c>
      <c r="G360" s="1470">
        <v>1</v>
      </c>
      <c r="H360" s="208"/>
      <c r="I360" s="21"/>
      <c r="J360" s="21"/>
      <c r="K360" s="21"/>
      <c r="L360" s="21"/>
      <c r="M360" s="21"/>
      <c r="N360" s="1055">
        <f>SUM(N363:N363)</f>
        <v>0</v>
      </c>
      <c r="O360" s="1055">
        <f>SUM(O363:O363)</f>
        <v>0</v>
      </c>
      <c r="P360" s="1055">
        <f>SUM(P361:P366)</f>
        <v>970280</v>
      </c>
      <c r="Q360" s="1055">
        <f>SUM(Q361:Q366)</f>
        <v>28989327</v>
      </c>
      <c r="R360" s="1055">
        <f>SUM(R361:R366)</f>
        <v>5354835</v>
      </c>
    </row>
    <row r="361" spans="1:18">
      <c r="A361" s="1122" t="s">
        <v>2166</v>
      </c>
      <c r="B361" s="1091"/>
      <c r="C361" s="571" t="s">
        <v>2166</v>
      </c>
      <c r="D361" s="639"/>
      <c r="E361" s="14" t="s">
        <v>6579</v>
      </c>
      <c r="F361" s="18" t="s">
        <v>1297</v>
      </c>
      <c r="G361" s="1092">
        <f>tkeTA_hh!BA129</f>
        <v>26</v>
      </c>
      <c r="H361" s="1092"/>
      <c r="I361" s="23"/>
      <c r="J361" s="25"/>
      <c r="K361" s="25">
        <v>11820.333333333334</v>
      </c>
      <c r="L361" s="25">
        <v>88000</v>
      </c>
      <c r="M361" s="25">
        <v>0</v>
      </c>
      <c r="N361" s="1061"/>
      <c r="O361" s="807"/>
      <c r="P361" s="807">
        <f t="shared" ref="P361:R366" si="32">ROUND($G361*K361,0)</f>
        <v>307329</v>
      </c>
      <c r="Q361" s="807">
        <f t="shared" si="32"/>
        <v>2288000</v>
      </c>
      <c r="R361" s="807">
        <f t="shared" si="32"/>
        <v>0</v>
      </c>
    </row>
    <row r="362" spans="1:18">
      <c r="A362" s="1122" t="s">
        <v>3409</v>
      </c>
      <c r="B362" s="1091"/>
      <c r="C362" s="571" t="s">
        <v>3409</v>
      </c>
      <c r="D362" s="639"/>
      <c r="E362" s="14" t="s">
        <v>6580</v>
      </c>
      <c r="F362" s="18" t="s">
        <v>1297</v>
      </c>
      <c r="G362" s="1092">
        <f>tkeTA_hh!BB129</f>
        <v>29</v>
      </c>
      <c r="H362" s="1092"/>
      <c r="I362" s="23"/>
      <c r="J362" s="25"/>
      <c r="K362" s="25">
        <v>0</v>
      </c>
      <c r="L362" s="25">
        <v>445500</v>
      </c>
      <c r="M362" s="25">
        <v>0</v>
      </c>
      <c r="N362" s="1061"/>
      <c r="O362" s="807"/>
      <c r="P362" s="807">
        <f t="shared" si="32"/>
        <v>0</v>
      </c>
      <c r="Q362" s="807">
        <f t="shared" si="32"/>
        <v>12919500</v>
      </c>
      <c r="R362" s="807">
        <f t="shared" si="32"/>
        <v>0</v>
      </c>
    </row>
    <row r="363" spans="1:18">
      <c r="A363" s="1122" t="s">
        <v>711</v>
      </c>
      <c r="B363" s="1091"/>
      <c r="C363" s="571" t="s">
        <v>711</v>
      </c>
      <c r="D363" s="639"/>
      <c r="E363" s="14" t="s">
        <v>6581</v>
      </c>
      <c r="F363" s="18" t="s">
        <v>1297</v>
      </c>
      <c r="G363" s="1092">
        <f>tkeTA_hh!AZ129</f>
        <v>15</v>
      </c>
      <c r="H363" s="1092"/>
      <c r="I363" s="23"/>
      <c r="J363" s="25"/>
      <c r="K363" s="25">
        <v>13700</v>
      </c>
      <c r="L363" s="25">
        <v>273161</v>
      </c>
      <c r="M363" s="25">
        <v>153055</v>
      </c>
      <c r="N363" s="1061"/>
      <c r="O363" s="807"/>
      <c r="P363" s="807">
        <f t="shared" si="32"/>
        <v>205500</v>
      </c>
      <c r="Q363" s="807">
        <f t="shared" si="32"/>
        <v>4097415</v>
      </c>
      <c r="R363" s="807">
        <f t="shared" si="32"/>
        <v>2295825</v>
      </c>
    </row>
    <row r="364" spans="1:18">
      <c r="A364" s="1122" t="s">
        <v>3412</v>
      </c>
      <c r="B364" s="1091"/>
      <c r="C364" s="571" t="s">
        <v>3412</v>
      </c>
      <c r="D364" s="639"/>
      <c r="E364" s="14" t="s">
        <v>6582</v>
      </c>
      <c r="F364" s="18" t="s">
        <v>1297</v>
      </c>
      <c r="G364" s="1092">
        <f>tkeTA_hh!BD129</f>
        <v>8</v>
      </c>
      <c r="H364" s="1092"/>
      <c r="I364" s="23"/>
      <c r="J364" s="25"/>
      <c r="K364" s="25">
        <v>7951.666666666667</v>
      </c>
      <c r="L364" s="25">
        <v>110000</v>
      </c>
      <c r="M364" s="25">
        <v>82554</v>
      </c>
      <c r="N364" s="1061"/>
      <c r="O364" s="807"/>
      <c r="P364" s="807">
        <f t="shared" si="32"/>
        <v>63613</v>
      </c>
      <c r="Q364" s="807">
        <f t="shared" si="32"/>
        <v>880000</v>
      </c>
      <c r="R364" s="807">
        <f t="shared" si="32"/>
        <v>660432</v>
      </c>
    </row>
    <row r="365" spans="1:18">
      <c r="A365" s="1122" t="s">
        <v>3410</v>
      </c>
      <c r="B365" s="1091"/>
      <c r="C365" s="571" t="s">
        <v>3410</v>
      </c>
      <c r="D365" s="639"/>
      <c r="E365" s="14" t="s">
        <v>6583</v>
      </c>
      <c r="F365" s="18" t="s">
        <v>6568</v>
      </c>
      <c r="G365" s="1092">
        <f>tkeTA_hh!BC129*2</f>
        <v>10</v>
      </c>
      <c r="H365" s="1092"/>
      <c r="I365" s="23"/>
      <c r="J365" s="25"/>
      <c r="K365" s="25">
        <v>5839</v>
      </c>
      <c r="L365" s="25">
        <v>304790</v>
      </c>
      <c r="M365" s="25">
        <v>140793</v>
      </c>
      <c r="N365" s="1061"/>
      <c r="O365" s="807"/>
      <c r="P365" s="807">
        <f t="shared" si="32"/>
        <v>58390</v>
      </c>
      <c r="Q365" s="807">
        <f t="shared" si="32"/>
        <v>3047900</v>
      </c>
      <c r="R365" s="807">
        <f t="shared" si="32"/>
        <v>1407930</v>
      </c>
    </row>
    <row r="366" spans="1:18">
      <c r="A366" s="1122" t="s">
        <v>3411</v>
      </c>
      <c r="B366" s="1091"/>
      <c r="C366" s="571" t="s">
        <v>3411</v>
      </c>
      <c r="D366" s="639"/>
      <c r="E366" s="14" t="s">
        <v>6584</v>
      </c>
      <c r="F366" s="18" t="s">
        <v>1027</v>
      </c>
      <c r="G366" s="1092">
        <f>tkeTA_hh!BE129</f>
        <v>4</v>
      </c>
      <c r="H366" s="1092"/>
      <c r="I366" s="23"/>
      <c r="J366" s="25"/>
      <c r="K366" s="25">
        <v>83862</v>
      </c>
      <c r="L366" s="25">
        <v>1439128</v>
      </c>
      <c r="M366" s="25">
        <v>247662</v>
      </c>
      <c r="N366" s="1061"/>
      <c r="O366" s="807"/>
      <c r="P366" s="807">
        <f t="shared" si="32"/>
        <v>335448</v>
      </c>
      <c r="Q366" s="807">
        <f t="shared" si="32"/>
        <v>5756512</v>
      </c>
      <c r="R366" s="807">
        <f t="shared" si="32"/>
        <v>990648</v>
      </c>
    </row>
  </sheetData>
  <mergeCells count="9">
    <mergeCell ref="B2:R2"/>
    <mergeCell ref="B3:R3"/>
    <mergeCell ref="B5:B6"/>
    <mergeCell ref="C5:C6"/>
    <mergeCell ref="E5:E6"/>
    <mergeCell ref="F5:F6"/>
    <mergeCell ref="G5:G6"/>
    <mergeCell ref="H5:H6"/>
    <mergeCell ref="D5:D6"/>
  </mergeCells>
  <phoneticPr fontId="0" type="noConversion"/>
  <printOptions horizontalCentered="1"/>
  <pageMargins left="0.19685039370078741" right="0.19685039370078741" top="0.39370078740157483" bottom="0.19685039370078741" header="0.19685039370078741" footer="0.19685039370078741"/>
  <pageSetup paperSize="9" scale="90" firstPageNumber="32" orientation="landscape" blackAndWhite="1" useFirstPageNumber="1"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42"/>
  </sheetPr>
  <dimension ref="A1:BL77"/>
  <sheetViews>
    <sheetView showZeros="0" workbookViewId="0">
      <selection activeCell="U62" sqref="U62"/>
    </sheetView>
  </sheetViews>
  <sheetFormatPr defaultColWidth="9.33203125" defaultRowHeight="12.75"/>
  <cols>
    <col min="1" max="1" width="12.5" style="38" customWidth="1"/>
    <col min="2" max="2" width="8.6640625" style="38" customWidth="1"/>
    <col min="3" max="3" width="5.33203125" style="38" customWidth="1"/>
    <col min="4" max="10" width="6.1640625" style="38" customWidth="1"/>
    <col min="11" max="11" width="6" style="38" customWidth="1"/>
    <col min="12" max="13" width="4" style="38" customWidth="1"/>
    <col min="14" max="15" width="3.83203125" style="38" customWidth="1"/>
    <col min="16" max="62" width="4" style="38" customWidth="1"/>
    <col min="63" max="63" width="22.5" style="38" customWidth="1"/>
    <col min="64" max="64" width="8.83203125" style="38" customWidth="1"/>
    <col min="65" max="16384" width="9.33203125" style="38"/>
  </cols>
  <sheetData>
    <row r="1" spans="1:64" ht="18.75">
      <c r="A1" s="963" t="s">
        <v>4162</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7"/>
    </row>
    <row r="2" spans="1:64" ht="8.25" customHeight="1"/>
    <row r="3" spans="1:64" ht="14.25" customHeight="1">
      <c r="A3" s="2071" t="s">
        <v>2541</v>
      </c>
      <c r="B3" s="2071" t="s">
        <v>2542</v>
      </c>
      <c r="C3" s="2071" t="s">
        <v>2543</v>
      </c>
      <c r="D3" s="56" t="s">
        <v>2544</v>
      </c>
      <c r="E3" s="56"/>
      <c r="F3" s="56"/>
      <c r="G3" s="56"/>
      <c r="H3" s="56"/>
      <c r="I3" s="56"/>
      <c r="J3" s="56"/>
      <c r="K3" s="56"/>
      <c r="L3" s="56" t="s">
        <v>2545</v>
      </c>
      <c r="M3" s="56"/>
      <c r="N3" s="56"/>
      <c r="O3" s="56"/>
      <c r="P3" s="57" t="s">
        <v>2546</v>
      </c>
      <c r="Q3" s="57"/>
      <c r="R3" s="57"/>
      <c r="S3" s="57"/>
      <c r="T3" s="57"/>
      <c r="U3" s="57"/>
      <c r="V3" s="56" t="s">
        <v>2547</v>
      </c>
      <c r="W3" s="56"/>
      <c r="X3" s="56"/>
      <c r="Y3" s="56"/>
      <c r="Z3" s="56"/>
      <c r="AA3" s="58" t="s">
        <v>3847</v>
      </c>
      <c r="AB3" s="58"/>
      <c r="AC3" s="58"/>
      <c r="AD3" s="58"/>
      <c r="AE3" s="58"/>
      <c r="AF3" s="58"/>
      <c r="AG3" s="58"/>
      <c r="AH3" s="58"/>
      <c r="AI3" s="58"/>
      <c r="AJ3" s="2069" t="s">
        <v>3027</v>
      </c>
      <c r="AK3" s="2068" t="s">
        <v>2548</v>
      </c>
      <c r="AL3" s="2068" t="s">
        <v>2549</v>
      </c>
      <c r="AM3" s="2069" t="s">
        <v>5506</v>
      </c>
      <c r="AN3" s="2068" t="s">
        <v>4348</v>
      </c>
      <c r="AO3" s="2068" t="s">
        <v>1692</v>
      </c>
      <c r="AP3" s="2069" t="s">
        <v>5520</v>
      </c>
      <c r="AQ3" s="2069" t="s">
        <v>4349</v>
      </c>
      <c r="AR3" s="2069" t="s">
        <v>1884</v>
      </c>
      <c r="AS3" s="2069" t="s">
        <v>5519</v>
      </c>
      <c r="AT3" s="2070" t="s">
        <v>1885</v>
      </c>
      <c r="AU3" s="2070" t="s">
        <v>1898</v>
      </c>
      <c r="AV3" s="2070" t="s">
        <v>1899</v>
      </c>
      <c r="AW3" s="2070" t="s">
        <v>1886</v>
      </c>
      <c r="AX3" s="2069" t="s">
        <v>5521</v>
      </c>
      <c r="AY3" s="2069" t="s">
        <v>1900</v>
      </c>
      <c r="AZ3" s="2069" t="s">
        <v>4763</v>
      </c>
      <c r="BA3" s="2068" t="s">
        <v>1887</v>
      </c>
      <c r="BB3" s="2068" t="s">
        <v>1888</v>
      </c>
      <c r="BC3" s="2069" t="s">
        <v>5517</v>
      </c>
      <c r="BD3" s="2069" t="s">
        <v>4759</v>
      </c>
      <c r="BE3" s="2068" t="s">
        <v>1889</v>
      </c>
      <c r="BF3" s="2068" t="s">
        <v>1890</v>
      </c>
      <c r="BG3" s="2069" t="s">
        <v>893</v>
      </c>
      <c r="BH3" s="2069" t="s">
        <v>6015</v>
      </c>
      <c r="BI3" s="2069" t="s">
        <v>1891</v>
      </c>
      <c r="BJ3" s="2071" t="s">
        <v>5518</v>
      </c>
      <c r="BK3" s="2063" t="s">
        <v>6403</v>
      </c>
    </row>
    <row r="4" spans="1:64" ht="141" customHeight="1">
      <c r="A4" s="2074"/>
      <c r="B4" s="2071"/>
      <c r="C4" s="2071"/>
      <c r="D4" s="927" t="s">
        <v>2592</v>
      </c>
      <c r="E4" s="51" t="s">
        <v>4343</v>
      </c>
      <c r="F4" s="51" t="s">
        <v>1403</v>
      </c>
      <c r="G4" s="51" t="s">
        <v>1689</v>
      </c>
      <c r="H4" s="51" t="s">
        <v>1688</v>
      </c>
      <c r="I4" s="51" t="s">
        <v>1686</v>
      </c>
      <c r="J4" s="51" t="s">
        <v>1687</v>
      </c>
      <c r="K4" s="51" t="s">
        <v>4342</v>
      </c>
      <c r="L4" s="51" t="s">
        <v>3055</v>
      </c>
      <c r="M4" s="51" t="s">
        <v>5507</v>
      </c>
      <c r="N4" s="51" t="s">
        <v>3959</v>
      </c>
      <c r="O4" s="51" t="s">
        <v>3891</v>
      </c>
      <c r="P4" s="75" t="s">
        <v>3056</v>
      </c>
      <c r="Q4" s="75" t="s">
        <v>5508</v>
      </c>
      <c r="R4" s="75" t="s">
        <v>280</v>
      </c>
      <c r="S4" s="75" t="s">
        <v>3961</v>
      </c>
      <c r="T4" s="75" t="s">
        <v>2374</v>
      </c>
      <c r="U4" s="75" t="s">
        <v>2375</v>
      </c>
      <c r="V4" s="51" t="s">
        <v>3057</v>
      </c>
      <c r="W4" s="51" t="s">
        <v>3026</v>
      </c>
      <c r="X4" s="51" t="s">
        <v>2192</v>
      </c>
      <c r="Y4" s="51" t="s">
        <v>2193</v>
      </c>
      <c r="Z4" s="51" t="s">
        <v>2194</v>
      </c>
      <c r="AA4" s="59" t="s">
        <v>1402</v>
      </c>
      <c r="AB4" s="59" t="s">
        <v>3028</v>
      </c>
      <c r="AC4" s="59" t="s">
        <v>3029</v>
      </c>
      <c r="AD4" s="59" t="s">
        <v>4761</v>
      </c>
      <c r="AE4" s="59" t="s">
        <v>4762</v>
      </c>
      <c r="AF4" s="59" t="s">
        <v>4760</v>
      </c>
      <c r="AG4" s="59" t="s">
        <v>3849</v>
      </c>
      <c r="AH4" s="59" t="s">
        <v>3848</v>
      </c>
      <c r="AI4" s="59" t="s">
        <v>3477</v>
      </c>
      <c r="AJ4" s="2069"/>
      <c r="AK4" s="2068"/>
      <c r="AL4" s="2068"/>
      <c r="AM4" s="2069"/>
      <c r="AN4" s="2068"/>
      <c r="AO4" s="2068"/>
      <c r="AP4" s="2069"/>
      <c r="AQ4" s="2069"/>
      <c r="AR4" s="2069"/>
      <c r="AS4" s="2069"/>
      <c r="AT4" s="2070"/>
      <c r="AU4" s="2070"/>
      <c r="AV4" s="2070"/>
      <c r="AW4" s="2070"/>
      <c r="AX4" s="2069"/>
      <c r="AY4" s="2069"/>
      <c r="AZ4" s="2069"/>
      <c r="BA4" s="2068"/>
      <c r="BB4" s="2068"/>
      <c r="BC4" s="2069"/>
      <c r="BD4" s="2069"/>
      <c r="BE4" s="2068"/>
      <c r="BF4" s="2068"/>
      <c r="BG4" s="2069"/>
      <c r="BH4" s="2069"/>
      <c r="BI4" s="2069"/>
      <c r="BJ4" s="2072"/>
      <c r="BK4" s="2063"/>
    </row>
    <row r="5" spans="1:64">
      <c r="A5" s="932"/>
      <c r="B5" s="933"/>
      <c r="C5" s="934"/>
      <c r="D5" s="935"/>
      <c r="E5" s="935"/>
      <c r="F5" s="935"/>
      <c r="G5" s="935"/>
      <c r="H5" s="935"/>
      <c r="I5" s="935"/>
      <c r="J5" s="935"/>
      <c r="K5" s="935"/>
      <c r="L5" s="935"/>
      <c r="M5" s="935"/>
      <c r="N5" s="936"/>
      <c r="O5" s="936"/>
      <c r="P5" s="937"/>
      <c r="Q5" s="937"/>
      <c r="R5" s="937"/>
      <c r="S5" s="937"/>
      <c r="T5" s="937"/>
      <c r="U5" s="937"/>
      <c r="V5" s="938"/>
      <c r="W5" s="938"/>
      <c r="X5" s="938"/>
      <c r="Y5" s="938"/>
      <c r="Z5" s="938"/>
      <c r="AA5" s="939"/>
      <c r="AB5" s="939"/>
      <c r="AC5" s="939"/>
      <c r="AD5" s="939"/>
      <c r="AE5" s="939"/>
      <c r="AF5" s="939"/>
      <c r="AG5" s="939"/>
      <c r="AH5" s="939"/>
      <c r="AI5" s="939"/>
      <c r="AJ5" s="938"/>
      <c r="AK5" s="939"/>
      <c r="AL5" s="939"/>
      <c r="AM5" s="938"/>
      <c r="AN5" s="939"/>
      <c r="AO5" s="938"/>
      <c r="AP5" s="938"/>
      <c r="AQ5" s="938"/>
      <c r="AR5" s="938"/>
      <c r="AS5" s="938"/>
      <c r="AT5" s="938"/>
      <c r="AU5" s="938"/>
      <c r="AV5" s="938"/>
      <c r="AW5" s="938"/>
      <c r="AX5" s="938"/>
      <c r="AY5" s="938"/>
      <c r="AZ5" s="938"/>
      <c r="BA5" s="938"/>
      <c r="BB5" s="938"/>
      <c r="BC5" s="938"/>
      <c r="BD5" s="938"/>
      <c r="BE5" s="938"/>
      <c r="BF5" s="938"/>
      <c r="BG5" s="938"/>
      <c r="BH5" s="938"/>
      <c r="BI5" s="938"/>
      <c r="BJ5" s="938"/>
      <c r="BK5" s="938"/>
    </row>
    <row r="6" spans="1:64" hidden="1">
      <c r="A6" s="931"/>
      <c r="B6" s="929"/>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4" hidden="1">
      <c r="A7" s="931">
        <v>1</v>
      </c>
      <c r="B7" s="929" t="s">
        <v>3120</v>
      </c>
      <c r="C7" s="72"/>
      <c r="D7" s="72"/>
      <c r="E7" s="72"/>
      <c r="F7" s="72"/>
      <c r="G7" s="72"/>
      <c r="H7" s="72"/>
      <c r="I7" s="72"/>
      <c r="J7" s="72"/>
      <c r="K7" s="76"/>
      <c r="L7" s="72"/>
      <c r="M7" s="72"/>
      <c r="N7" s="72">
        <v>1</v>
      </c>
      <c r="O7" s="72"/>
      <c r="P7" s="71"/>
      <c r="Q7" s="71"/>
      <c r="R7" s="71">
        <v>1</v>
      </c>
      <c r="S7" s="71"/>
      <c r="T7" s="71"/>
      <c r="U7" s="71"/>
      <c r="V7" s="72"/>
      <c r="W7" s="72"/>
      <c r="X7" s="72"/>
      <c r="Y7" s="72"/>
      <c r="Z7" s="72"/>
      <c r="AA7" s="72"/>
      <c r="AB7" s="72"/>
      <c r="AC7" s="72"/>
      <c r="AD7" s="72">
        <v>1</v>
      </c>
      <c r="AE7" s="72"/>
      <c r="AF7" s="72"/>
      <c r="AG7" s="72"/>
      <c r="AH7" s="72"/>
      <c r="AI7" s="72"/>
      <c r="AJ7" s="72"/>
      <c r="AK7" s="72"/>
      <c r="AL7" s="72"/>
      <c r="AM7" s="72"/>
      <c r="AN7" s="72">
        <v>1</v>
      </c>
      <c r="AO7" s="72"/>
      <c r="AP7" s="72"/>
      <c r="AQ7" s="72"/>
      <c r="AR7" s="72"/>
      <c r="AS7" s="72"/>
      <c r="AT7" s="72"/>
      <c r="AU7" s="72"/>
      <c r="AV7" s="72"/>
      <c r="AW7" s="72"/>
      <c r="AX7" s="72"/>
      <c r="AY7" s="72"/>
      <c r="AZ7" s="72"/>
      <c r="BA7" s="72">
        <v>1</v>
      </c>
      <c r="BB7" s="72"/>
      <c r="BC7" s="72"/>
      <c r="BD7" s="72"/>
      <c r="BE7" s="72"/>
      <c r="BF7" s="72"/>
      <c r="BG7" s="72"/>
      <c r="BH7" s="72"/>
      <c r="BI7" s="72"/>
      <c r="BJ7" s="72"/>
      <c r="BK7" s="72"/>
    </row>
    <row r="8" spans="1:64" hidden="1">
      <c r="A8" s="931"/>
      <c r="B8" s="929" t="s">
        <v>3121</v>
      </c>
      <c r="C8" s="72"/>
      <c r="D8" s="72"/>
      <c r="E8" s="72"/>
      <c r="F8" s="72"/>
      <c r="G8" s="72"/>
      <c r="H8" s="72"/>
      <c r="I8" s="72"/>
      <c r="J8" s="72"/>
      <c r="K8" s="76"/>
      <c r="L8" s="72"/>
      <c r="M8" s="72"/>
      <c r="N8" s="72">
        <v>1</v>
      </c>
      <c r="O8" s="72"/>
      <c r="P8" s="71"/>
      <c r="Q8" s="71"/>
      <c r="R8" s="71">
        <v>1</v>
      </c>
      <c r="S8" s="71"/>
      <c r="T8" s="71"/>
      <c r="U8" s="71"/>
      <c r="V8" s="72"/>
      <c r="W8" s="72"/>
      <c r="X8" s="72">
        <v>1</v>
      </c>
      <c r="Y8" s="72"/>
      <c r="Z8" s="72"/>
      <c r="AA8" s="72"/>
      <c r="AB8" s="72"/>
      <c r="AC8" s="72"/>
      <c r="AD8" s="72"/>
      <c r="AE8" s="72"/>
      <c r="AF8" s="72">
        <v>1</v>
      </c>
      <c r="AG8" s="72"/>
      <c r="AH8" s="72"/>
      <c r="AI8" s="72"/>
      <c r="AJ8" s="72"/>
      <c r="AK8" s="72"/>
      <c r="AL8" s="72"/>
      <c r="AM8" s="72"/>
      <c r="AN8" s="72">
        <v>1</v>
      </c>
      <c r="AO8" s="72"/>
      <c r="AP8" s="72"/>
      <c r="AQ8" s="72"/>
      <c r="AR8" s="72"/>
      <c r="AS8" s="72"/>
      <c r="AT8" s="72"/>
      <c r="AU8" s="72"/>
      <c r="AV8" s="72"/>
      <c r="AW8" s="72"/>
      <c r="AX8" s="72"/>
      <c r="AY8" s="72"/>
      <c r="AZ8" s="72"/>
      <c r="BA8" s="72">
        <v>1</v>
      </c>
      <c r="BB8" s="72"/>
      <c r="BC8" s="72"/>
      <c r="BD8" s="72"/>
      <c r="BE8" s="72"/>
      <c r="BF8" s="72"/>
      <c r="BG8" s="72"/>
      <c r="BH8" s="72"/>
      <c r="BI8" s="72"/>
      <c r="BJ8" s="72"/>
      <c r="BK8" s="72"/>
    </row>
    <row r="9" spans="1:64" hidden="1">
      <c r="A9" s="931"/>
      <c r="B9" s="929" t="s">
        <v>3122</v>
      </c>
      <c r="C9" s="72"/>
      <c r="D9" s="72"/>
      <c r="E9" s="72"/>
      <c r="F9" s="72"/>
      <c r="G9" s="72"/>
      <c r="H9" s="72"/>
      <c r="I9" s="72"/>
      <c r="J9" s="72"/>
      <c r="K9" s="76"/>
      <c r="L9" s="72"/>
      <c r="M9" s="72"/>
      <c r="N9" s="72">
        <v>1</v>
      </c>
      <c r="O9" s="72"/>
      <c r="P9" s="71"/>
      <c r="Q9" s="71"/>
      <c r="R9" s="71">
        <v>1</v>
      </c>
      <c r="S9" s="71"/>
      <c r="T9" s="71"/>
      <c r="U9" s="71"/>
      <c r="V9" s="72"/>
      <c r="W9" s="72"/>
      <c r="X9" s="72">
        <v>2</v>
      </c>
      <c r="Y9" s="72"/>
      <c r="Z9" s="72"/>
      <c r="AA9" s="72"/>
      <c r="AB9" s="72"/>
      <c r="AC9" s="72"/>
      <c r="AD9" s="72"/>
      <c r="AE9" s="72">
        <v>1</v>
      </c>
      <c r="AF9" s="72"/>
      <c r="AG9" s="72"/>
      <c r="AH9" s="72"/>
      <c r="AI9" s="72"/>
      <c r="AJ9" s="72"/>
      <c r="AK9" s="72">
        <v>2</v>
      </c>
      <c r="AL9" s="72"/>
      <c r="AM9" s="72"/>
      <c r="AN9" s="72">
        <v>2</v>
      </c>
      <c r="AO9" s="72">
        <v>4</v>
      </c>
      <c r="AP9" s="72"/>
      <c r="AQ9" s="72">
        <v>2</v>
      </c>
      <c r="AR9" s="72"/>
      <c r="AS9" s="72"/>
      <c r="AT9" s="72"/>
      <c r="AU9" s="72"/>
      <c r="AV9" s="72"/>
      <c r="AW9" s="72"/>
      <c r="AX9" s="72"/>
      <c r="AY9" s="72"/>
      <c r="AZ9" s="72">
        <v>2</v>
      </c>
      <c r="BA9" s="72">
        <v>2</v>
      </c>
      <c r="BB9" s="72"/>
      <c r="BC9" s="72">
        <v>2</v>
      </c>
      <c r="BD9" s="72"/>
      <c r="BE9" s="72"/>
      <c r="BF9" s="72"/>
      <c r="BG9" s="72"/>
      <c r="BH9" s="72"/>
      <c r="BI9" s="72"/>
      <c r="BJ9" s="72">
        <v>1</v>
      </c>
      <c r="BK9" s="72"/>
    </row>
    <row r="10" spans="1:64" hidden="1">
      <c r="A10" s="931"/>
      <c r="B10" s="929" t="s">
        <v>3123</v>
      </c>
      <c r="C10" s="72"/>
      <c r="D10" s="72"/>
      <c r="E10" s="72"/>
      <c r="F10" s="72"/>
      <c r="G10" s="72"/>
      <c r="H10" s="72"/>
      <c r="I10" s="72"/>
      <c r="J10" s="72"/>
      <c r="K10" s="76"/>
      <c r="L10" s="72"/>
      <c r="M10" s="72"/>
      <c r="N10" s="72">
        <v>1</v>
      </c>
      <c r="O10" s="72"/>
      <c r="P10" s="71"/>
      <c r="Q10" s="71"/>
      <c r="R10" s="71">
        <v>1</v>
      </c>
      <c r="S10" s="71"/>
      <c r="T10" s="71"/>
      <c r="U10" s="71"/>
      <c r="V10" s="72"/>
      <c r="W10" s="72"/>
      <c r="X10" s="72">
        <v>2</v>
      </c>
      <c r="Y10" s="72"/>
      <c r="Z10" s="72"/>
      <c r="AA10" s="72"/>
      <c r="AB10" s="72"/>
      <c r="AC10" s="72"/>
      <c r="AD10" s="72"/>
      <c r="AE10" s="72"/>
      <c r="AF10" s="72"/>
      <c r="AG10" s="72"/>
      <c r="AH10" s="72"/>
      <c r="AI10" s="72"/>
      <c r="AJ10" s="72"/>
      <c r="AK10" s="72">
        <v>2</v>
      </c>
      <c r="AL10" s="72"/>
      <c r="AM10" s="72"/>
      <c r="AN10" s="72">
        <v>2</v>
      </c>
      <c r="AO10" s="72">
        <v>4</v>
      </c>
      <c r="AP10" s="72"/>
      <c r="AQ10" s="72">
        <v>2</v>
      </c>
      <c r="AR10" s="72"/>
      <c r="AS10" s="72"/>
      <c r="AT10" s="72"/>
      <c r="AU10" s="72"/>
      <c r="AV10" s="72"/>
      <c r="AW10" s="72"/>
      <c r="AX10" s="72"/>
      <c r="AY10" s="72"/>
      <c r="AZ10" s="72">
        <v>2</v>
      </c>
      <c r="BA10" s="72">
        <v>2</v>
      </c>
      <c r="BB10" s="72"/>
      <c r="BC10" s="72">
        <v>2</v>
      </c>
      <c r="BD10" s="72"/>
      <c r="BE10" s="72"/>
      <c r="BF10" s="72"/>
      <c r="BG10" s="72"/>
      <c r="BH10" s="72"/>
      <c r="BI10" s="72"/>
      <c r="BJ10" s="72">
        <v>1</v>
      </c>
      <c r="BK10" s="72"/>
    </row>
    <row r="11" spans="1:64" hidden="1">
      <c r="A11" s="931"/>
      <c r="B11" s="929" t="s">
        <v>3124</v>
      </c>
      <c r="C11" s="72"/>
      <c r="D11" s="72"/>
      <c r="E11" s="72"/>
      <c r="F11" s="72"/>
      <c r="G11" s="72"/>
      <c r="H11" s="72"/>
      <c r="I11" s="72"/>
      <c r="J11" s="72"/>
      <c r="K11" s="76"/>
      <c r="L11" s="72"/>
      <c r="M11" s="72"/>
      <c r="N11" s="72">
        <v>1</v>
      </c>
      <c r="O11" s="72"/>
      <c r="P11" s="71"/>
      <c r="Q11" s="71"/>
      <c r="R11" s="71">
        <v>1</v>
      </c>
      <c r="S11" s="71"/>
      <c r="T11" s="71"/>
      <c r="U11" s="71"/>
      <c r="V11" s="72"/>
      <c r="W11" s="72"/>
      <c r="X11" s="72">
        <v>1</v>
      </c>
      <c r="Y11" s="72"/>
      <c r="Z11" s="72"/>
      <c r="AA11" s="72"/>
      <c r="AB11" s="72"/>
      <c r="AC11" s="72"/>
      <c r="AD11" s="72"/>
      <c r="AE11" s="72"/>
      <c r="AF11" s="72"/>
      <c r="AG11" s="72"/>
      <c r="AH11" s="72"/>
      <c r="AI11" s="72"/>
      <c r="AJ11" s="72"/>
      <c r="AK11" s="72">
        <v>1</v>
      </c>
      <c r="AL11" s="72"/>
      <c r="AM11" s="72"/>
      <c r="AN11" s="72">
        <v>1</v>
      </c>
      <c r="AO11" s="72">
        <v>2</v>
      </c>
      <c r="AP11" s="72"/>
      <c r="AQ11" s="72">
        <v>1</v>
      </c>
      <c r="AR11" s="72"/>
      <c r="AS11" s="72"/>
      <c r="AT11" s="72"/>
      <c r="AU11" s="72"/>
      <c r="AV11" s="72"/>
      <c r="AW11" s="72"/>
      <c r="AX11" s="72"/>
      <c r="AY11" s="72"/>
      <c r="AZ11" s="72"/>
      <c r="BA11" s="72">
        <v>1</v>
      </c>
      <c r="BB11" s="72"/>
      <c r="BC11" s="72">
        <v>1</v>
      </c>
      <c r="BD11" s="72"/>
      <c r="BE11" s="72"/>
      <c r="BF11" s="72"/>
      <c r="BG11" s="72"/>
      <c r="BH11" s="72"/>
      <c r="BI11" s="72"/>
      <c r="BJ11" s="72">
        <v>1</v>
      </c>
      <c r="BK11" s="72"/>
    </row>
    <row r="12" spans="1:64" hidden="1">
      <c r="A12" s="931"/>
      <c r="B12" s="928"/>
      <c r="C12" s="72"/>
      <c r="D12" s="72"/>
      <c r="E12" s="72"/>
      <c r="F12" s="72"/>
      <c r="G12" s="72"/>
      <c r="H12" s="72"/>
      <c r="I12" s="72"/>
      <c r="J12" s="72"/>
      <c r="K12" s="72"/>
      <c r="L12" s="72"/>
      <c r="M12" s="72"/>
      <c r="N12" s="72"/>
      <c r="O12" s="72"/>
      <c r="P12" s="71"/>
      <c r="Q12" s="71"/>
      <c r="R12" s="71"/>
      <c r="S12" s="71"/>
      <c r="T12" s="71"/>
      <c r="U12" s="71"/>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row>
    <row r="13" spans="1:64" hidden="1">
      <c r="A13" s="931">
        <v>2</v>
      </c>
      <c r="B13" s="929" t="s">
        <v>3125</v>
      </c>
      <c r="C13" s="72"/>
      <c r="D13" s="72"/>
      <c r="E13" s="72">
        <v>2</v>
      </c>
      <c r="F13" s="72"/>
      <c r="G13" s="72"/>
      <c r="H13" s="72"/>
      <c r="I13" s="72">
        <v>2</v>
      </c>
      <c r="J13" s="72"/>
      <c r="K13" s="72">
        <v>2</v>
      </c>
      <c r="L13" s="72"/>
      <c r="M13" s="72"/>
      <c r="N13" s="72">
        <v>1</v>
      </c>
      <c r="O13" s="72"/>
      <c r="P13" s="71"/>
      <c r="Q13" s="71"/>
      <c r="R13" s="71">
        <v>1</v>
      </c>
      <c r="S13" s="71"/>
      <c r="T13" s="71"/>
      <c r="U13" s="71"/>
      <c r="V13" s="72"/>
      <c r="W13" s="72"/>
      <c r="X13" s="72">
        <v>1</v>
      </c>
      <c r="Y13" s="72"/>
      <c r="Z13" s="72"/>
      <c r="AA13" s="72">
        <v>1</v>
      </c>
      <c r="AB13" s="72"/>
      <c r="AC13" s="72"/>
      <c r="AD13" s="72">
        <v>1</v>
      </c>
      <c r="AE13" s="72"/>
      <c r="AF13" s="72"/>
      <c r="AG13" s="72"/>
      <c r="AH13" s="72"/>
      <c r="AI13" s="72"/>
      <c r="AJ13" s="72"/>
      <c r="AK13" s="72">
        <v>1</v>
      </c>
      <c r="AL13" s="72"/>
      <c r="AM13" s="72"/>
      <c r="AN13" s="72">
        <v>2</v>
      </c>
      <c r="AO13" s="72">
        <v>2</v>
      </c>
      <c r="AP13" s="72"/>
      <c r="AQ13" s="72">
        <v>1</v>
      </c>
      <c r="AR13" s="72"/>
      <c r="AS13" s="72">
        <v>2</v>
      </c>
      <c r="AT13" s="72"/>
      <c r="AU13" s="72">
        <v>1</v>
      </c>
      <c r="AV13" s="72"/>
      <c r="AW13" s="72">
        <v>1</v>
      </c>
      <c r="AX13" s="72"/>
      <c r="AY13" s="72"/>
      <c r="AZ13" s="72"/>
      <c r="BA13" s="72">
        <v>2</v>
      </c>
      <c r="BB13" s="72"/>
      <c r="BC13" s="72">
        <v>1</v>
      </c>
      <c r="BD13" s="72"/>
      <c r="BE13" s="72"/>
      <c r="BF13" s="72"/>
      <c r="BG13" s="72"/>
      <c r="BH13" s="72">
        <v>1</v>
      </c>
      <c r="BI13" s="72">
        <v>1</v>
      </c>
      <c r="BJ13" s="72">
        <v>1</v>
      </c>
      <c r="BK13" s="72"/>
    </row>
    <row r="14" spans="1:64" hidden="1">
      <c r="A14" s="931"/>
      <c r="B14" s="929" t="s">
        <v>3126</v>
      </c>
      <c r="C14" s="72"/>
      <c r="D14" s="72"/>
      <c r="E14" s="72">
        <v>2</v>
      </c>
      <c r="F14" s="72"/>
      <c r="G14" s="72"/>
      <c r="H14" s="72"/>
      <c r="I14" s="72">
        <v>2</v>
      </c>
      <c r="J14" s="72"/>
      <c r="K14" s="72">
        <v>2</v>
      </c>
      <c r="L14" s="72"/>
      <c r="M14" s="72"/>
      <c r="N14" s="72">
        <v>1</v>
      </c>
      <c r="O14" s="72"/>
      <c r="P14" s="71"/>
      <c r="Q14" s="71"/>
      <c r="R14" s="71">
        <v>1</v>
      </c>
      <c r="S14" s="71"/>
      <c r="T14" s="71"/>
      <c r="U14" s="71"/>
      <c r="V14" s="72"/>
      <c r="W14" s="72"/>
      <c r="X14" s="72">
        <v>1</v>
      </c>
      <c r="Y14" s="72"/>
      <c r="Z14" s="72"/>
      <c r="AA14" s="72">
        <v>1</v>
      </c>
      <c r="AB14" s="72"/>
      <c r="AC14" s="72"/>
      <c r="AD14" s="72"/>
      <c r="AE14" s="72"/>
      <c r="AF14" s="72">
        <v>1</v>
      </c>
      <c r="AG14" s="72"/>
      <c r="AH14" s="72"/>
      <c r="AI14" s="72"/>
      <c r="AJ14" s="72"/>
      <c r="AK14" s="72">
        <v>1</v>
      </c>
      <c r="AL14" s="72"/>
      <c r="AM14" s="72"/>
      <c r="AN14" s="72">
        <v>2</v>
      </c>
      <c r="AO14" s="72">
        <v>2</v>
      </c>
      <c r="AP14" s="72"/>
      <c r="AQ14" s="72">
        <v>1</v>
      </c>
      <c r="AR14" s="72"/>
      <c r="AS14" s="72">
        <v>2</v>
      </c>
      <c r="AT14" s="72"/>
      <c r="AU14" s="72">
        <v>1</v>
      </c>
      <c r="AV14" s="72"/>
      <c r="AW14" s="72">
        <v>1</v>
      </c>
      <c r="AX14" s="72"/>
      <c r="AY14" s="72"/>
      <c r="AZ14" s="72"/>
      <c r="BA14" s="72">
        <v>2</v>
      </c>
      <c r="BB14" s="72"/>
      <c r="BC14" s="72">
        <v>1</v>
      </c>
      <c r="BD14" s="72"/>
      <c r="BE14" s="72"/>
      <c r="BF14" s="72"/>
      <c r="BG14" s="72"/>
      <c r="BH14" s="72">
        <v>1</v>
      </c>
      <c r="BI14" s="72">
        <v>1</v>
      </c>
      <c r="BJ14" s="72">
        <v>1</v>
      </c>
      <c r="BK14" s="72"/>
    </row>
    <row r="15" spans="1:64" hidden="1">
      <c r="A15" s="931"/>
      <c r="B15" s="929" t="s">
        <v>3127</v>
      </c>
      <c r="C15" s="72"/>
      <c r="D15" s="72"/>
      <c r="E15" s="72">
        <v>2</v>
      </c>
      <c r="F15" s="72"/>
      <c r="G15" s="72"/>
      <c r="H15" s="72"/>
      <c r="I15" s="72">
        <v>2</v>
      </c>
      <c r="J15" s="72"/>
      <c r="K15" s="72">
        <v>2</v>
      </c>
      <c r="L15" s="72"/>
      <c r="M15" s="72"/>
      <c r="N15" s="72">
        <v>1</v>
      </c>
      <c r="O15" s="72"/>
      <c r="P15" s="71"/>
      <c r="Q15" s="71"/>
      <c r="R15" s="71">
        <v>1</v>
      </c>
      <c r="S15" s="71"/>
      <c r="T15" s="71"/>
      <c r="U15" s="71"/>
      <c r="V15" s="72"/>
      <c r="W15" s="72"/>
      <c r="X15" s="72">
        <v>3</v>
      </c>
      <c r="Y15" s="72"/>
      <c r="Z15" s="72"/>
      <c r="AA15" s="72">
        <v>1</v>
      </c>
      <c r="AB15" s="72"/>
      <c r="AC15" s="72"/>
      <c r="AD15" s="72"/>
      <c r="AE15" s="72">
        <v>1</v>
      </c>
      <c r="AF15" s="72"/>
      <c r="AG15" s="72"/>
      <c r="AH15" s="72"/>
      <c r="AI15" s="72"/>
      <c r="AJ15" s="72"/>
      <c r="AK15" s="72">
        <v>3</v>
      </c>
      <c r="AL15" s="72"/>
      <c r="AM15" s="72"/>
      <c r="AN15" s="72">
        <v>3</v>
      </c>
      <c r="AO15" s="72">
        <v>6</v>
      </c>
      <c r="AP15" s="72"/>
      <c r="AQ15" s="72">
        <v>3</v>
      </c>
      <c r="AR15" s="72"/>
      <c r="AS15" s="72">
        <v>2</v>
      </c>
      <c r="AT15" s="72"/>
      <c r="AU15" s="72">
        <v>1</v>
      </c>
      <c r="AV15" s="72"/>
      <c r="AW15" s="72">
        <v>1</v>
      </c>
      <c r="AX15" s="72"/>
      <c r="AY15" s="72"/>
      <c r="AZ15" s="72">
        <v>2</v>
      </c>
      <c r="BA15" s="72">
        <v>3</v>
      </c>
      <c r="BB15" s="72"/>
      <c r="BC15" s="72">
        <v>3</v>
      </c>
      <c r="BD15" s="72"/>
      <c r="BE15" s="72"/>
      <c r="BF15" s="72"/>
      <c r="BG15" s="72"/>
      <c r="BH15" s="72">
        <v>1</v>
      </c>
      <c r="BI15" s="72">
        <v>1</v>
      </c>
      <c r="BJ15" s="72">
        <v>1</v>
      </c>
      <c r="BK15" s="72"/>
    </row>
    <row r="16" spans="1:64" hidden="1">
      <c r="A16" s="931"/>
      <c r="B16" s="929" t="s">
        <v>3128</v>
      </c>
      <c r="C16" s="72"/>
      <c r="D16" s="72"/>
      <c r="E16" s="72">
        <v>2</v>
      </c>
      <c r="F16" s="72"/>
      <c r="G16" s="72"/>
      <c r="H16" s="72"/>
      <c r="I16" s="72">
        <v>2</v>
      </c>
      <c r="J16" s="72"/>
      <c r="K16" s="72">
        <v>2</v>
      </c>
      <c r="L16" s="72"/>
      <c r="M16" s="72"/>
      <c r="N16" s="72">
        <v>1</v>
      </c>
      <c r="O16" s="72"/>
      <c r="P16" s="71"/>
      <c r="Q16" s="71"/>
      <c r="R16" s="71">
        <v>1</v>
      </c>
      <c r="S16" s="71"/>
      <c r="T16" s="71"/>
      <c r="U16" s="71"/>
      <c r="V16" s="72"/>
      <c r="W16" s="72"/>
      <c r="X16" s="72">
        <v>3</v>
      </c>
      <c r="Y16" s="72"/>
      <c r="Z16" s="72"/>
      <c r="AA16" s="72">
        <v>1</v>
      </c>
      <c r="AB16" s="72"/>
      <c r="AC16" s="72"/>
      <c r="AD16" s="72"/>
      <c r="AE16" s="72"/>
      <c r="AF16" s="72"/>
      <c r="AG16" s="72"/>
      <c r="AH16" s="72"/>
      <c r="AI16" s="72"/>
      <c r="AJ16" s="72"/>
      <c r="AK16" s="72">
        <v>3</v>
      </c>
      <c r="AL16" s="72"/>
      <c r="AM16" s="72"/>
      <c r="AN16" s="72">
        <v>3</v>
      </c>
      <c r="AO16" s="72">
        <v>6</v>
      </c>
      <c r="AP16" s="72"/>
      <c r="AQ16" s="72">
        <v>3</v>
      </c>
      <c r="AR16" s="72"/>
      <c r="AS16" s="72">
        <v>2</v>
      </c>
      <c r="AT16" s="72"/>
      <c r="AU16" s="72">
        <v>1</v>
      </c>
      <c r="AV16" s="72"/>
      <c r="AW16" s="72">
        <v>1</v>
      </c>
      <c r="AX16" s="72"/>
      <c r="AY16" s="72"/>
      <c r="AZ16" s="72">
        <v>2</v>
      </c>
      <c r="BA16" s="72">
        <v>3</v>
      </c>
      <c r="BB16" s="72"/>
      <c r="BC16" s="72">
        <v>3</v>
      </c>
      <c r="BD16" s="72"/>
      <c r="BE16" s="72"/>
      <c r="BF16" s="72"/>
      <c r="BG16" s="72"/>
      <c r="BH16" s="72">
        <v>1</v>
      </c>
      <c r="BI16" s="72">
        <v>1</v>
      </c>
      <c r="BJ16" s="72">
        <v>1</v>
      </c>
      <c r="BK16" s="72"/>
    </row>
    <row r="17" spans="1:63" hidden="1">
      <c r="A17" s="931"/>
      <c r="B17" s="929" t="s">
        <v>3129</v>
      </c>
      <c r="C17" s="72"/>
      <c r="D17" s="72"/>
      <c r="E17" s="72">
        <v>2</v>
      </c>
      <c r="F17" s="72"/>
      <c r="G17" s="72"/>
      <c r="H17" s="72"/>
      <c r="I17" s="72">
        <v>2</v>
      </c>
      <c r="J17" s="72"/>
      <c r="K17" s="72">
        <v>2</v>
      </c>
      <c r="L17" s="72"/>
      <c r="M17" s="72"/>
      <c r="N17" s="72">
        <v>1</v>
      </c>
      <c r="O17" s="72"/>
      <c r="P17" s="71"/>
      <c r="Q17" s="71"/>
      <c r="R17" s="71">
        <v>1</v>
      </c>
      <c r="S17" s="71"/>
      <c r="T17" s="71"/>
      <c r="U17" s="71"/>
      <c r="V17" s="72"/>
      <c r="W17" s="72"/>
      <c r="X17" s="72">
        <v>2</v>
      </c>
      <c r="Y17" s="72"/>
      <c r="Z17" s="72"/>
      <c r="AA17" s="72">
        <v>1</v>
      </c>
      <c r="AB17" s="72"/>
      <c r="AC17" s="72"/>
      <c r="AD17" s="72"/>
      <c r="AE17" s="72"/>
      <c r="AF17" s="72"/>
      <c r="AG17" s="72"/>
      <c r="AH17" s="72"/>
      <c r="AI17" s="72"/>
      <c r="AJ17" s="72"/>
      <c r="AK17" s="72">
        <v>2</v>
      </c>
      <c r="AL17" s="72"/>
      <c r="AM17" s="72"/>
      <c r="AN17" s="72">
        <v>2</v>
      </c>
      <c r="AO17" s="72">
        <v>4</v>
      </c>
      <c r="AP17" s="72"/>
      <c r="AQ17" s="72">
        <v>2</v>
      </c>
      <c r="AR17" s="72"/>
      <c r="AS17" s="72">
        <v>2</v>
      </c>
      <c r="AT17" s="72"/>
      <c r="AU17" s="72">
        <v>1</v>
      </c>
      <c r="AV17" s="72"/>
      <c r="AW17" s="72">
        <v>1</v>
      </c>
      <c r="AX17" s="72"/>
      <c r="AY17" s="72"/>
      <c r="AZ17" s="72"/>
      <c r="BA17" s="72">
        <v>2</v>
      </c>
      <c r="BB17" s="72"/>
      <c r="BC17" s="72">
        <v>2</v>
      </c>
      <c r="BD17" s="72"/>
      <c r="BE17" s="72"/>
      <c r="BF17" s="72"/>
      <c r="BG17" s="72"/>
      <c r="BH17" s="72">
        <v>1</v>
      </c>
      <c r="BI17" s="72">
        <v>1</v>
      </c>
      <c r="BJ17" s="72">
        <v>1</v>
      </c>
      <c r="BK17" s="72"/>
    </row>
    <row r="18" spans="1:63" hidden="1">
      <c r="A18" s="931"/>
      <c r="B18" s="928"/>
      <c r="C18" s="72"/>
      <c r="D18" s="72"/>
      <c r="E18" s="72"/>
      <c r="F18" s="72"/>
      <c r="G18" s="72"/>
      <c r="H18" s="72"/>
      <c r="I18" s="72"/>
      <c r="J18" s="72"/>
      <c r="K18" s="72"/>
      <c r="L18" s="72"/>
      <c r="M18" s="72"/>
      <c r="N18" s="72"/>
      <c r="O18" s="72"/>
      <c r="P18" s="71"/>
      <c r="Q18" s="71"/>
      <c r="R18" s="71"/>
      <c r="S18" s="71"/>
      <c r="T18" s="71"/>
      <c r="U18" s="71"/>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row>
    <row r="19" spans="1:63" hidden="1">
      <c r="A19" s="931">
        <v>3</v>
      </c>
      <c r="B19" s="930" t="s">
        <v>3130</v>
      </c>
      <c r="C19" s="72"/>
      <c r="D19" s="72"/>
      <c r="E19" s="72"/>
      <c r="F19" s="72"/>
      <c r="G19" s="72"/>
      <c r="H19" s="72"/>
      <c r="I19" s="72"/>
      <c r="J19" s="72"/>
      <c r="K19" s="72"/>
      <c r="L19" s="72"/>
      <c r="M19" s="72"/>
      <c r="N19" s="72">
        <v>1</v>
      </c>
      <c r="O19" s="72"/>
      <c r="P19" s="71"/>
      <c r="Q19" s="71"/>
      <c r="R19" s="71">
        <v>1</v>
      </c>
      <c r="S19" s="71"/>
      <c r="T19" s="71"/>
      <c r="U19" s="71"/>
      <c r="V19" s="72"/>
      <c r="W19" s="72"/>
      <c r="X19" s="72"/>
      <c r="Y19" s="72"/>
      <c r="Z19" s="72"/>
      <c r="AA19" s="72"/>
      <c r="AB19" s="72"/>
      <c r="AC19" s="72"/>
      <c r="AD19" s="72"/>
      <c r="AE19" s="72"/>
      <c r="AF19" s="72"/>
      <c r="AG19" s="72"/>
      <c r="AH19" s="72">
        <v>1</v>
      </c>
      <c r="AI19" s="72"/>
      <c r="AJ19" s="72"/>
      <c r="AK19" s="72"/>
      <c r="AL19" s="72">
        <v>3</v>
      </c>
      <c r="AM19" s="72"/>
      <c r="AN19" s="72">
        <v>1</v>
      </c>
      <c r="AO19" s="72"/>
      <c r="AP19" s="72"/>
      <c r="AQ19" s="72"/>
      <c r="AR19" s="72"/>
      <c r="AS19" s="72"/>
      <c r="AT19" s="72"/>
      <c r="AU19" s="72"/>
      <c r="AV19" s="72"/>
      <c r="AW19" s="72"/>
      <c r="AX19" s="72"/>
      <c r="AY19" s="72"/>
      <c r="AZ19" s="72"/>
      <c r="BA19" s="72">
        <v>1</v>
      </c>
      <c r="BB19" s="72"/>
      <c r="BC19" s="72"/>
      <c r="BD19" s="72"/>
      <c r="BE19" s="72"/>
      <c r="BF19" s="72"/>
      <c r="BG19" s="72"/>
      <c r="BH19" s="72"/>
      <c r="BI19" s="72"/>
      <c r="BJ19" s="72"/>
      <c r="BK19" s="72"/>
    </row>
    <row r="20" spans="1:63" hidden="1">
      <c r="A20" s="931"/>
      <c r="B20" s="930" t="s">
        <v>3131</v>
      </c>
      <c r="C20" s="72"/>
      <c r="D20" s="72"/>
      <c r="E20" s="72"/>
      <c r="F20" s="72"/>
      <c r="G20" s="72"/>
      <c r="H20" s="72"/>
      <c r="I20" s="72"/>
      <c r="J20" s="72"/>
      <c r="K20" s="72"/>
      <c r="L20" s="72"/>
      <c r="M20" s="72"/>
      <c r="N20" s="72">
        <v>1</v>
      </c>
      <c r="O20" s="72"/>
      <c r="P20" s="71"/>
      <c r="Q20" s="71"/>
      <c r="R20" s="71">
        <v>1</v>
      </c>
      <c r="S20" s="71"/>
      <c r="T20" s="71"/>
      <c r="U20" s="71"/>
      <c r="V20" s="72"/>
      <c r="W20" s="72"/>
      <c r="X20" s="72">
        <v>1</v>
      </c>
      <c r="Y20" s="72"/>
      <c r="Z20" s="72"/>
      <c r="AA20" s="72"/>
      <c r="AB20" s="72"/>
      <c r="AC20" s="72"/>
      <c r="AD20" s="72"/>
      <c r="AE20" s="72"/>
      <c r="AF20" s="72"/>
      <c r="AG20" s="72"/>
      <c r="AH20" s="72"/>
      <c r="AI20" s="72">
        <v>1</v>
      </c>
      <c r="AJ20" s="72"/>
      <c r="AK20" s="72"/>
      <c r="AL20" s="72">
        <v>6</v>
      </c>
      <c r="AM20" s="72"/>
      <c r="AN20" s="72">
        <v>1</v>
      </c>
      <c r="AO20" s="72"/>
      <c r="AP20" s="72"/>
      <c r="AQ20" s="72"/>
      <c r="AR20" s="72"/>
      <c r="AS20" s="72"/>
      <c r="AT20" s="72"/>
      <c r="AU20" s="72"/>
      <c r="AV20" s="72"/>
      <c r="AW20" s="72"/>
      <c r="AX20" s="72"/>
      <c r="AY20" s="72"/>
      <c r="AZ20" s="72"/>
      <c r="BA20" s="72">
        <v>1</v>
      </c>
      <c r="BB20" s="72"/>
      <c r="BC20" s="72"/>
      <c r="BD20" s="72"/>
      <c r="BE20" s="72"/>
      <c r="BF20" s="72"/>
      <c r="BG20" s="72"/>
      <c r="BH20" s="72"/>
      <c r="BI20" s="72"/>
      <c r="BJ20" s="72"/>
      <c r="BK20" s="72"/>
    </row>
    <row r="21" spans="1:63" hidden="1">
      <c r="A21" s="931"/>
      <c r="B21" s="930" t="s">
        <v>3132</v>
      </c>
      <c r="C21" s="72"/>
      <c r="D21" s="72"/>
      <c r="E21" s="72"/>
      <c r="F21" s="72"/>
      <c r="G21" s="72"/>
      <c r="H21" s="72"/>
      <c r="I21" s="72"/>
      <c r="J21" s="72"/>
      <c r="K21" s="72"/>
      <c r="L21" s="72"/>
      <c r="M21" s="72"/>
      <c r="N21" s="72">
        <v>1</v>
      </c>
      <c r="O21" s="72"/>
      <c r="P21" s="71"/>
      <c r="Q21" s="71"/>
      <c r="R21" s="71">
        <v>1</v>
      </c>
      <c r="S21" s="71"/>
      <c r="T21" s="71"/>
      <c r="U21" s="71"/>
      <c r="V21" s="72"/>
      <c r="W21" s="72"/>
      <c r="X21" s="72">
        <v>2</v>
      </c>
      <c r="Y21" s="72"/>
      <c r="Z21" s="72"/>
      <c r="AA21" s="72"/>
      <c r="AB21" s="72"/>
      <c r="AC21" s="72"/>
      <c r="AD21" s="72"/>
      <c r="AE21" s="72"/>
      <c r="AF21" s="72"/>
      <c r="AG21" s="72"/>
      <c r="AH21" s="72"/>
      <c r="AI21" s="72">
        <v>1</v>
      </c>
      <c r="AJ21" s="72"/>
      <c r="AK21" s="72">
        <v>6</v>
      </c>
      <c r="AL21" s="72">
        <v>1</v>
      </c>
      <c r="AM21" s="72"/>
      <c r="AN21" s="72">
        <v>2</v>
      </c>
      <c r="AO21" s="72">
        <v>4</v>
      </c>
      <c r="AP21" s="72"/>
      <c r="AQ21" s="72">
        <v>6</v>
      </c>
      <c r="AR21" s="72"/>
      <c r="AS21" s="72"/>
      <c r="AT21" s="72"/>
      <c r="AU21" s="72"/>
      <c r="AV21" s="72"/>
      <c r="AW21" s="72"/>
      <c r="AX21" s="72"/>
      <c r="AY21" s="72"/>
      <c r="AZ21" s="72">
        <v>4</v>
      </c>
      <c r="BA21" s="72">
        <v>2</v>
      </c>
      <c r="BB21" s="72"/>
      <c r="BC21" s="72"/>
      <c r="BD21" s="72"/>
      <c r="BE21" s="72"/>
      <c r="BF21" s="72"/>
      <c r="BG21" s="72"/>
      <c r="BH21" s="72"/>
      <c r="BI21" s="72"/>
      <c r="BJ21" s="72">
        <v>1</v>
      </c>
      <c r="BK21" s="72"/>
    </row>
    <row r="22" spans="1:63" hidden="1">
      <c r="A22" s="931"/>
      <c r="B22" s="930" t="s">
        <v>3133</v>
      </c>
      <c r="C22" s="72"/>
      <c r="D22" s="72"/>
      <c r="E22" s="72"/>
      <c r="F22" s="72"/>
      <c r="G22" s="72"/>
      <c r="H22" s="72"/>
      <c r="I22" s="72"/>
      <c r="J22" s="72"/>
      <c r="K22" s="72"/>
      <c r="L22" s="72"/>
      <c r="M22" s="72"/>
      <c r="N22" s="72">
        <v>1</v>
      </c>
      <c r="O22" s="72"/>
      <c r="P22" s="71"/>
      <c r="Q22" s="71"/>
      <c r="R22" s="71">
        <v>1</v>
      </c>
      <c r="S22" s="71"/>
      <c r="T22" s="71"/>
      <c r="U22" s="71"/>
      <c r="V22" s="72"/>
      <c r="W22" s="72"/>
      <c r="X22" s="72">
        <v>2</v>
      </c>
      <c r="Y22" s="72"/>
      <c r="Z22" s="72"/>
      <c r="AA22" s="72"/>
      <c r="AB22" s="72"/>
      <c r="AC22" s="72"/>
      <c r="AD22" s="72"/>
      <c r="AE22" s="72"/>
      <c r="AF22" s="72"/>
      <c r="AG22" s="72"/>
      <c r="AH22" s="72"/>
      <c r="AI22" s="72">
        <v>2</v>
      </c>
      <c r="AJ22" s="72"/>
      <c r="AK22" s="72">
        <v>6</v>
      </c>
      <c r="AL22" s="72">
        <v>4</v>
      </c>
      <c r="AM22" s="72"/>
      <c r="AN22" s="72">
        <v>2</v>
      </c>
      <c r="AO22" s="72">
        <v>4</v>
      </c>
      <c r="AP22" s="72"/>
      <c r="AQ22" s="72">
        <v>6</v>
      </c>
      <c r="AR22" s="72"/>
      <c r="AS22" s="72"/>
      <c r="AT22" s="72"/>
      <c r="AU22" s="72"/>
      <c r="AV22" s="72"/>
      <c r="AW22" s="72"/>
      <c r="AX22" s="72"/>
      <c r="AY22" s="72"/>
      <c r="AZ22" s="72">
        <v>4</v>
      </c>
      <c r="BA22" s="72">
        <v>2</v>
      </c>
      <c r="BB22" s="72"/>
      <c r="BC22" s="72"/>
      <c r="BD22" s="72"/>
      <c r="BE22" s="72"/>
      <c r="BF22" s="72"/>
      <c r="BG22" s="72"/>
      <c r="BH22" s="72"/>
      <c r="BI22" s="72"/>
      <c r="BJ22" s="72">
        <v>1</v>
      </c>
      <c r="BK22" s="72"/>
    </row>
    <row r="23" spans="1:63" hidden="1">
      <c r="A23" s="931"/>
      <c r="B23" s="930" t="s">
        <v>3134</v>
      </c>
      <c r="C23" s="72"/>
      <c r="D23" s="72"/>
      <c r="E23" s="72"/>
      <c r="F23" s="72"/>
      <c r="G23" s="72"/>
      <c r="H23" s="72"/>
      <c r="I23" s="72"/>
      <c r="J23" s="72"/>
      <c r="K23" s="72"/>
      <c r="L23" s="72"/>
      <c r="M23" s="72"/>
      <c r="N23" s="72">
        <v>1</v>
      </c>
      <c r="O23" s="72"/>
      <c r="P23" s="71"/>
      <c r="Q23" s="71"/>
      <c r="R23" s="71">
        <v>1</v>
      </c>
      <c r="S23" s="71"/>
      <c r="T23" s="71"/>
      <c r="U23" s="71"/>
      <c r="V23" s="72"/>
      <c r="W23" s="72"/>
      <c r="X23" s="72">
        <v>1</v>
      </c>
      <c r="Y23" s="72"/>
      <c r="Z23" s="72"/>
      <c r="AA23" s="72"/>
      <c r="AB23" s="72"/>
      <c r="AC23" s="72"/>
      <c r="AD23" s="72"/>
      <c r="AE23" s="72"/>
      <c r="AF23" s="72"/>
      <c r="AG23" s="72"/>
      <c r="AH23" s="72"/>
      <c r="AI23" s="72">
        <v>1</v>
      </c>
      <c r="AJ23" s="72"/>
      <c r="AK23" s="72">
        <v>3</v>
      </c>
      <c r="AL23" s="72"/>
      <c r="AM23" s="72"/>
      <c r="AN23" s="72">
        <v>1</v>
      </c>
      <c r="AO23" s="72">
        <v>2</v>
      </c>
      <c r="AP23" s="72"/>
      <c r="AQ23" s="72">
        <v>3</v>
      </c>
      <c r="AR23" s="72"/>
      <c r="AS23" s="72"/>
      <c r="AT23" s="72"/>
      <c r="AU23" s="72"/>
      <c r="AV23" s="72"/>
      <c r="AW23" s="72"/>
      <c r="AX23" s="72"/>
      <c r="AY23" s="72"/>
      <c r="AZ23" s="72"/>
      <c r="BA23" s="72">
        <v>1</v>
      </c>
      <c r="BB23" s="72"/>
      <c r="BC23" s="72"/>
      <c r="BD23" s="72"/>
      <c r="BE23" s="72"/>
      <c r="BF23" s="72"/>
      <c r="BG23" s="72"/>
      <c r="BH23" s="72"/>
      <c r="BI23" s="72"/>
      <c r="BJ23" s="72">
        <v>1</v>
      </c>
      <c r="BK23" s="72"/>
    </row>
    <row r="24" spans="1:63" hidden="1">
      <c r="A24" s="931"/>
      <c r="B24" s="928"/>
      <c r="C24" s="72"/>
      <c r="D24" s="72"/>
      <c r="E24" s="72"/>
      <c r="F24" s="72"/>
      <c r="G24" s="72"/>
      <c r="H24" s="72"/>
      <c r="I24" s="72"/>
      <c r="J24" s="72"/>
      <c r="K24" s="72"/>
      <c r="L24" s="72"/>
      <c r="M24" s="72"/>
      <c r="N24" s="72"/>
      <c r="O24" s="72"/>
      <c r="P24" s="71"/>
      <c r="Q24" s="71"/>
      <c r="R24" s="71"/>
      <c r="S24" s="71"/>
      <c r="T24" s="71"/>
      <c r="U24" s="71"/>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row>
    <row r="25" spans="1:63" hidden="1">
      <c r="A25" s="931">
        <v>4</v>
      </c>
      <c r="B25" s="930" t="s">
        <v>3135</v>
      </c>
      <c r="C25" s="72"/>
      <c r="D25" s="72"/>
      <c r="E25" s="72">
        <v>2</v>
      </c>
      <c r="F25" s="72"/>
      <c r="G25" s="72"/>
      <c r="H25" s="72"/>
      <c r="I25" s="72">
        <v>2</v>
      </c>
      <c r="J25" s="72"/>
      <c r="K25" s="72">
        <v>2</v>
      </c>
      <c r="L25" s="72"/>
      <c r="M25" s="72"/>
      <c r="N25" s="72">
        <v>1</v>
      </c>
      <c r="O25" s="72"/>
      <c r="P25" s="71"/>
      <c r="Q25" s="71"/>
      <c r="R25" s="71">
        <v>1</v>
      </c>
      <c r="S25" s="71"/>
      <c r="T25" s="71"/>
      <c r="U25" s="71"/>
      <c r="V25" s="72"/>
      <c r="W25" s="72"/>
      <c r="X25" s="72">
        <v>1</v>
      </c>
      <c r="Y25" s="72"/>
      <c r="Z25" s="72"/>
      <c r="AA25" s="72">
        <v>1</v>
      </c>
      <c r="AB25" s="72"/>
      <c r="AC25" s="72"/>
      <c r="AD25" s="72"/>
      <c r="AE25" s="72"/>
      <c r="AF25" s="72"/>
      <c r="AG25" s="72"/>
      <c r="AH25" s="72">
        <v>1</v>
      </c>
      <c r="AI25" s="72"/>
      <c r="AJ25" s="72"/>
      <c r="AK25" s="72">
        <v>1</v>
      </c>
      <c r="AL25" s="72">
        <v>3</v>
      </c>
      <c r="AM25" s="72"/>
      <c r="AN25" s="72">
        <v>2</v>
      </c>
      <c r="AO25" s="72">
        <v>2</v>
      </c>
      <c r="AP25" s="72"/>
      <c r="AQ25" s="72">
        <v>1</v>
      </c>
      <c r="AR25" s="72">
        <v>2</v>
      </c>
      <c r="AS25" s="72"/>
      <c r="AT25" s="72">
        <v>1</v>
      </c>
      <c r="AU25" s="72"/>
      <c r="AV25" s="72"/>
      <c r="AW25" s="72">
        <v>1</v>
      </c>
      <c r="AX25" s="72"/>
      <c r="AY25" s="72"/>
      <c r="AZ25" s="72"/>
      <c r="BA25" s="72">
        <v>2</v>
      </c>
      <c r="BB25" s="72"/>
      <c r="BC25" s="72">
        <v>1</v>
      </c>
      <c r="BD25" s="72"/>
      <c r="BE25" s="72"/>
      <c r="BF25" s="72"/>
      <c r="BG25" s="72"/>
      <c r="BH25" s="72">
        <v>1</v>
      </c>
      <c r="BI25" s="72">
        <v>1</v>
      </c>
      <c r="BJ25" s="72">
        <v>1</v>
      </c>
      <c r="BK25" s="72"/>
    </row>
    <row r="26" spans="1:63" hidden="1">
      <c r="A26" s="931"/>
      <c r="B26" s="930" t="s">
        <v>3136</v>
      </c>
      <c r="C26" s="72"/>
      <c r="D26" s="72"/>
      <c r="E26" s="72">
        <v>2</v>
      </c>
      <c r="F26" s="72"/>
      <c r="G26" s="72"/>
      <c r="H26" s="72"/>
      <c r="I26" s="72">
        <v>2</v>
      </c>
      <c r="J26" s="72"/>
      <c r="K26" s="72">
        <v>2</v>
      </c>
      <c r="L26" s="72"/>
      <c r="M26" s="72"/>
      <c r="N26" s="72">
        <v>1</v>
      </c>
      <c r="O26" s="72"/>
      <c r="P26" s="71"/>
      <c r="Q26" s="71"/>
      <c r="R26" s="71">
        <v>1</v>
      </c>
      <c r="S26" s="71"/>
      <c r="T26" s="71"/>
      <c r="U26" s="71"/>
      <c r="V26" s="72"/>
      <c r="W26" s="72"/>
      <c r="X26" s="72">
        <v>1</v>
      </c>
      <c r="Y26" s="72"/>
      <c r="Z26" s="72"/>
      <c r="AA26" s="72">
        <v>1</v>
      </c>
      <c r="AB26" s="72"/>
      <c r="AC26" s="72"/>
      <c r="AD26" s="72"/>
      <c r="AE26" s="72"/>
      <c r="AF26" s="72"/>
      <c r="AG26" s="72"/>
      <c r="AH26" s="72"/>
      <c r="AI26" s="72">
        <v>1</v>
      </c>
      <c r="AJ26" s="72"/>
      <c r="AK26" s="72">
        <v>1</v>
      </c>
      <c r="AL26" s="72">
        <v>6</v>
      </c>
      <c r="AM26" s="72"/>
      <c r="AN26" s="72">
        <v>2</v>
      </c>
      <c r="AO26" s="72">
        <v>2</v>
      </c>
      <c r="AP26" s="72"/>
      <c r="AQ26" s="72">
        <v>1</v>
      </c>
      <c r="AR26" s="72">
        <v>2</v>
      </c>
      <c r="AS26" s="72"/>
      <c r="AT26" s="72">
        <v>1</v>
      </c>
      <c r="AU26" s="72"/>
      <c r="AV26" s="72"/>
      <c r="AW26" s="72">
        <v>1</v>
      </c>
      <c r="AX26" s="72"/>
      <c r="AY26" s="72"/>
      <c r="AZ26" s="72"/>
      <c r="BA26" s="72">
        <v>2</v>
      </c>
      <c r="BB26" s="72"/>
      <c r="BC26" s="72">
        <v>1</v>
      </c>
      <c r="BD26" s="72"/>
      <c r="BE26" s="72"/>
      <c r="BF26" s="72"/>
      <c r="BG26" s="72"/>
      <c r="BH26" s="72">
        <v>1</v>
      </c>
      <c r="BI26" s="72">
        <v>1</v>
      </c>
      <c r="BJ26" s="72">
        <v>1</v>
      </c>
      <c r="BK26" s="72"/>
    </row>
    <row r="27" spans="1:63" hidden="1">
      <c r="A27" s="931"/>
      <c r="B27" s="930" t="s">
        <v>3137</v>
      </c>
      <c r="C27" s="72"/>
      <c r="D27" s="72"/>
      <c r="E27" s="72">
        <v>2</v>
      </c>
      <c r="F27" s="72"/>
      <c r="G27" s="72"/>
      <c r="H27" s="72"/>
      <c r="I27" s="72">
        <v>2</v>
      </c>
      <c r="J27" s="72"/>
      <c r="K27" s="72">
        <v>2</v>
      </c>
      <c r="L27" s="72"/>
      <c r="M27" s="72"/>
      <c r="N27" s="72">
        <v>1</v>
      </c>
      <c r="O27" s="72"/>
      <c r="P27" s="71"/>
      <c r="Q27" s="71"/>
      <c r="R27" s="71">
        <v>1</v>
      </c>
      <c r="S27" s="71"/>
      <c r="T27" s="71"/>
      <c r="U27" s="71"/>
      <c r="V27" s="72"/>
      <c r="W27" s="72"/>
      <c r="X27" s="72">
        <v>3</v>
      </c>
      <c r="Y27" s="72"/>
      <c r="Z27" s="72"/>
      <c r="AA27" s="72">
        <v>1</v>
      </c>
      <c r="AB27" s="72"/>
      <c r="AC27" s="72"/>
      <c r="AD27" s="72"/>
      <c r="AE27" s="72"/>
      <c r="AF27" s="72"/>
      <c r="AG27" s="72"/>
      <c r="AH27" s="72"/>
      <c r="AI27" s="72">
        <v>1</v>
      </c>
      <c r="AJ27" s="72"/>
      <c r="AK27" s="72">
        <v>7</v>
      </c>
      <c r="AL27" s="72">
        <v>1</v>
      </c>
      <c r="AM27" s="72"/>
      <c r="AN27" s="72">
        <v>3</v>
      </c>
      <c r="AO27" s="72">
        <v>6</v>
      </c>
      <c r="AP27" s="72"/>
      <c r="AQ27" s="72">
        <v>7</v>
      </c>
      <c r="AR27" s="72">
        <v>2</v>
      </c>
      <c r="AS27" s="72"/>
      <c r="AT27" s="72">
        <v>1</v>
      </c>
      <c r="AU27" s="72"/>
      <c r="AV27" s="72"/>
      <c r="AW27" s="72">
        <v>1</v>
      </c>
      <c r="AX27" s="72"/>
      <c r="AY27" s="72"/>
      <c r="AZ27" s="72">
        <v>4</v>
      </c>
      <c r="BA27" s="72">
        <v>3</v>
      </c>
      <c r="BB27" s="72"/>
      <c r="BC27" s="72">
        <v>1</v>
      </c>
      <c r="BD27" s="72"/>
      <c r="BE27" s="72"/>
      <c r="BF27" s="72"/>
      <c r="BG27" s="72"/>
      <c r="BH27" s="72">
        <v>1</v>
      </c>
      <c r="BI27" s="72">
        <v>1</v>
      </c>
      <c r="BJ27" s="72">
        <v>1</v>
      </c>
      <c r="BK27" s="72"/>
    </row>
    <row r="28" spans="1:63" hidden="1">
      <c r="A28" s="931"/>
      <c r="B28" s="930" t="s">
        <v>3138</v>
      </c>
      <c r="C28" s="72"/>
      <c r="D28" s="72"/>
      <c r="E28" s="72">
        <v>2</v>
      </c>
      <c r="F28" s="72"/>
      <c r="G28" s="72"/>
      <c r="H28" s="72"/>
      <c r="I28" s="72">
        <v>2</v>
      </c>
      <c r="J28" s="72"/>
      <c r="K28" s="72">
        <v>2</v>
      </c>
      <c r="L28" s="72"/>
      <c r="M28" s="72"/>
      <c r="N28" s="72">
        <v>1</v>
      </c>
      <c r="O28" s="72"/>
      <c r="P28" s="71"/>
      <c r="Q28" s="71"/>
      <c r="R28" s="71">
        <v>1</v>
      </c>
      <c r="S28" s="71"/>
      <c r="T28" s="71"/>
      <c r="U28" s="71"/>
      <c r="V28" s="72"/>
      <c r="W28" s="72"/>
      <c r="X28" s="72">
        <v>2</v>
      </c>
      <c r="Y28" s="72"/>
      <c r="Z28" s="72"/>
      <c r="AA28" s="72"/>
      <c r="AB28" s="72"/>
      <c r="AC28" s="72"/>
      <c r="AD28" s="72"/>
      <c r="AE28" s="72"/>
      <c r="AF28" s="72"/>
      <c r="AG28" s="72"/>
      <c r="AH28" s="72"/>
      <c r="AI28" s="72">
        <v>2</v>
      </c>
      <c r="AJ28" s="72"/>
      <c r="AK28" s="72">
        <v>7</v>
      </c>
      <c r="AL28" s="72">
        <v>4</v>
      </c>
      <c r="AM28" s="72"/>
      <c r="AN28" s="72">
        <v>3</v>
      </c>
      <c r="AO28" s="72">
        <v>6</v>
      </c>
      <c r="AP28" s="72"/>
      <c r="AQ28" s="72">
        <v>7</v>
      </c>
      <c r="AR28" s="72">
        <v>2</v>
      </c>
      <c r="AS28" s="72"/>
      <c r="AT28" s="72">
        <v>1</v>
      </c>
      <c r="AU28" s="72"/>
      <c r="AV28" s="72"/>
      <c r="AW28" s="72">
        <v>1</v>
      </c>
      <c r="AX28" s="72"/>
      <c r="AY28" s="72"/>
      <c r="AZ28" s="72">
        <v>4</v>
      </c>
      <c r="BA28" s="72">
        <v>3</v>
      </c>
      <c r="BB28" s="72"/>
      <c r="BC28" s="72"/>
      <c r="BD28" s="72"/>
      <c r="BE28" s="72"/>
      <c r="BF28" s="72"/>
      <c r="BG28" s="72"/>
      <c r="BH28" s="72">
        <v>1</v>
      </c>
      <c r="BI28" s="72">
        <v>1</v>
      </c>
      <c r="BJ28" s="72">
        <v>1</v>
      </c>
      <c r="BK28" s="72"/>
    </row>
    <row r="29" spans="1:63" hidden="1">
      <c r="A29" s="931"/>
      <c r="B29" s="930" t="s">
        <v>3139</v>
      </c>
      <c r="C29" s="72"/>
      <c r="D29" s="72"/>
      <c r="E29" s="72">
        <v>2</v>
      </c>
      <c r="F29" s="72"/>
      <c r="G29" s="72"/>
      <c r="H29" s="72"/>
      <c r="I29" s="72">
        <v>2</v>
      </c>
      <c r="J29" s="72"/>
      <c r="K29" s="72">
        <v>2</v>
      </c>
      <c r="L29" s="72"/>
      <c r="M29" s="72"/>
      <c r="N29" s="72">
        <v>1</v>
      </c>
      <c r="O29" s="72"/>
      <c r="P29" s="71"/>
      <c r="Q29" s="71"/>
      <c r="R29" s="71">
        <v>1</v>
      </c>
      <c r="S29" s="71"/>
      <c r="T29" s="71"/>
      <c r="U29" s="71"/>
      <c r="V29" s="72"/>
      <c r="W29" s="72"/>
      <c r="X29" s="72">
        <v>2</v>
      </c>
      <c r="Y29" s="72"/>
      <c r="Z29" s="72"/>
      <c r="AA29" s="72">
        <v>1</v>
      </c>
      <c r="AB29" s="72"/>
      <c r="AC29" s="72"/>
      <c r="AD29" s="72"/>
      <c r="AE29" s="72"/>
      <c r="AF29" s="72"/>
      <c r="AG29" s="72"/>
      <c r="AH29" s="72"/>
      <c r="AI29" s="72">
        <v>1</v>
      </c>
      <c r="AJ29" s="72"/>
      <c r="AK29" s="72">
        <v>4</v>
      </c>
      <c r="AL29" s="72"/>
      <c r="AM29" s="72"/>
      <c r="AN29" s="72">
        <v>2</v>
      </c>
      <c r="AO29" s="72">
        <v>4</v>
      </c>
      <c r="AP29" s="72"/>
      <c r="AQ29" s="72">
        <v>4</v>
      </c>
      <c r="AR29" s="72">
        <v>2</v>
      </c>
      <c r="AS29" s="72"/>
      <c r="AT29" s="72">
        <v>1</v>
      </c>
      <c r="AU29" s="72"/>
      <c r="AV29" s="72"/>
      <c r="AW29" s="72">
        <v>1</v>
      </c>
      <c r="AX29" s="72"/>
      <c r="AY29" s="72"/>
      <c r="AZ29" s="72"/>
      <c r="BA29" s="72">
        <v>2</v>
      </c>
      <c r="BB29" s="72"/>
      <c r="BC29" s="72">
        <v>1</v>
      </c>
      <c r="BD29" s="72"/>
      <c r="BE29" s="72"/>
      <c r="BF29" s="72"/>
      <c r="BG29" s="72"/>
      <c r="BH29" s="72">
        <v>1</v>
      </c>
      <c r="BI29" s="72">
        <v>1</v>
      </c>
      <c r="BJ29" s="72">
        <v>1</v>
      </c>
      <c r="BK29" s="72"/>
    </row>
    <row r="30" spans="1:63" hidden="1">
      <c r="A30" s="931"/>
      <c r="B30" s="928"/>
      <c r="C30" s="72"/>
      <c r="D30" s="72"/>
      <c r="E30" s="72"/>
      <c r="F30" s="72"/>
      <c r="G30" s="72"/>
      <c r="H30" s="72"/>
      <c r="I30" s="72"/>
      <c r="J30" s="72"/>
      <c r="K30" s="72"/>
      <c r="L30" s="72"/>
      <c r="M30" s="72"/>
      <c r="N30" s="72"/>
      <c r="O30" s="72"/>
      <c r="P30" s="71"/>
      <c r="Q30" s="71"/>
      <c r="R30" s="71"/>
      <c r="S30" s="71"/>
      <c r="T30" s="71"/>
      <c r="U30" s="71"/>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row>
    <row r="31" spans="1:63" hidden="1">
      <c r="A31" s="931">
        <v>5</v>
      </c>
      <c r="B31" s="930" t="s">
        <v>3140</v>
      </c>
      <c r="C31" s="72"/>
      <c r="D31" s="72"/>
      <c r="E31" s="72">
        <v>6</v>
      </c>
      <c r="F31" s="72"/>
      <c r="G31" s="72"/>
      <c r="H31" s="72"/>
      <c r="I31" s="72">
        <v>6</v>
      </c>
      <c r="J31" s="72"/>
      <c r="K31" s="72">
        <v>2</v>
      </c>
      <c r="L31" s="72"/>
      <c r="M31" s="72"/>
      <c r="N31" s="72">
        <v>1</v>
      </c>
      <c r="O31" s="72"/>
      <c r="P31" s="71"/>
      <c r="Q31" s="71"/>
      <c r="R31" s="71">
        <v>1</v>
      </c>
      <c r="S31" s="71"/>
      <c r="T31" s="71"/>
      <c r="U31" s="71"/>
      <c r="V31" s="72"/>
      <c r="W31" s="72"/>
      <c r="X31" s="72">
        <v>1</v>
      </c>
      <c r="Y31" s="72"/>
      <c r="Z31" s="72"/>
      <c r="AA31" s="72"/>
      <c r="AB31" s="72"/>
      <c r="AC31" s="72"/>
      <c r="AD31" s="72"/>
      <c r="AE31" s="72"/>
      <c r="AF31" s="72"/>
      <c r="AG31" s="72"/>
      <c r="AH31" s="72">
        <v>1</v>
      </c>
      <c r="AI31" s="72">
        <v>1</v>
      </c>
      <c r="AJ31" s="72"/>
      <c r="AK31" s="72">
        <v>3</v>
      </c>
      <c r="AL31" s="72">
        <v>4</v>
      </c>
      <c r="AM31" s="72"/>
      <c r="AN31" s="72">
        <v>2</v>
      </c>
      <c r="AO31" s="72">
        <v>2</v>
      </c>
      <c r="AP31" s="72"/>
      <c r="AQ31" s="72">
        <v>3</v>
      </c>
      <c r="AR31" s="72">
        <v>2</v>
      </c>
      <c r="AS31" s="72"/>
      <c r="AT31" s="72">
        <v>3</v>
      </c>
      <c r="AU31" s="72"/>
      <c r="AV31" s="72"/>
      <c r="AW31" s="72">
        <v>3</v>
      </c>
      <c r="AX31" s="72"/>
      <c r="AY31" s="72"/>
      <c r="AZ31" s="72"/>
      <c r="BA31" s="72">
        <v>2</v>
      </c>
      <c r="BB31" s="72"/>
      <c r="BC31" s="72"/>
      <c r="BD31" s="72"/>
      <c r="BE31" s="72"/>
      <c r="BF31" s="72"/>
      <c r="BG31" s="72"/>
      <c r="BH31" s="72">
        <v>3</v>
      </c>
      <c r="BI31" s="72">
        <v>1</v>
      </c>
      <c r="BJ31" s="72">
        <v>1</v>
      </c>
      <c r="BK31" s="72"/>
    </row>
    <row r="32" spans="1:63" hidden="1">
      <c r="A32" s="931"/>
      <c r="B32" s="930" t="s">
        <v>1388</v>
      </c>
      <c r="C32" s="72"/>
      <c r="D32" s="72"/>
      <c r="E32" s="72">
        <v>6</v>
      </c>
      <c r="F32" s="72"/>
      <c r="G32" s="72"/>
      <c r="H32" s="72"/>
      <c r="I32" s="72">
        <v>6</v>
      </c>
      <c r="J32" s="72"/>
      <c r="K32" s="72">
        <v>2</v>
      </c>
      <c r="L32" s="72"/>
      <c r="M32" s="72"/>
      <c r="N32" s="72">
        <v>1</v>
      </c>
      <c r="O32" s="72"/>
      <c r="P32" s="71"/>
      <c r="Q32" s="71"/>
      <c r="R32" s="71">
        <v>1</v>
      </c>
      <c r="S32" s="71"/>
      <c r="T32" s="71"/>
      <c r="U32" s="71"/>
      <c r="V32" s="72"/>
      <c r="W32" s="72"/>
      <c r="X32" s="72">
        <v>1</v>
      </c>
      <c r="Y32" s="72"/>
      <c r="Z32" s="72"/>
      <c r="AA32" s="72"/>
      <c r="AB32" s="72"/>
      <c r="AC32" s="72"/>
      <c r="AD32" s="72"/>
      <c r="AE32" s="72"/>
      <c r="AF32" s="72"/>
      <c r="AG32" s="72"/>
      <c r="AH32" s="72"/>
      <c r="AI32" s="72">
        <v>2</v>
      </c>
      <c r="AJ32" s="72"/>
      <c r="AK32" s="72">
        <v>3</v>
      </c>
      <c r="AL32" s="72">
        <v>7</v>
      </c>
      <c r="AM32" s="72"/>
      <c r="AN32" s="72">
        <v>2</v>
      </c>
      <c r="AO32" s="72">
        <v>2</v>
      </c>
      <c r="AP32" s="72"/>
      <c r="AQ32" s="72">
        <v>3</v>
      </c>
      <c r="AR32" s="72">
        <v>2</v>
      </c>
      <c r="AS32" s="72"/>
      <c r="AT32" s="72">
        <v>3</v>
      </c>
      <c r="AU32" s="72"/>
      <c r="AV32" s="72"/>
      <c r="AW32" s="72">
        <v>3</v>
      </c>
      <c r="AX32" s="72"/>
      <c r="AY32" s="72"/>
      <c r="AZ32" s="72"/>
      <c r="BA32" s="72">
        <v>2</v>
      </c>
      <c r="BB32" s="72"/>
      <c r="BC32" s="72"/>
      <c r="BD32" s="72"/>
      <c r="BE32" s="72"/>
      <c r="BF32" s="72"/>
      <c r="BG32" s="72"/>
      <c r="BH32" s="72">
        <v>3</v>
      </c>
      <c r="BI32" s="72">
        <v>1</v>
      </c>
      <c r="BJ32" s="72">
        <v>1</v>
      </c>
      <c r="BK32" s="72"/>
    </row>
    <row r="33" spans="1:63" hidden="1">
      <c r="A33" s="931"/>
      <c r="B33" s="930" t="s">
        <v>1389</v>
      </c>
      <c r="C33" s="72"/>
      <c r="D33" s="72"/>
      <c r="E33" s="72">
        <v>6</v>
      </c>
      <c r="F33" s="72"/>
      <c r="G33" s="72"/>
      <c r="H33" s="72"/>
      <c r="I33" s="72">
        <v>6</v>
      </c>
      <c r="J33" s="72"/>
      <c r="K33" s="72">
        <v>2</v>
      </c>
      <c r="L33" s="72"/>
      <c r="M33" s="72"/>
      <c r="N33" s="72">
        <v>1</v>
      </c>
      <c r="O33" s="72"/>
      <c r="P33" s="71"/>
      <c r="Q33" s="71"/>
      <c r="R33" s="71">
        <v>1</v>
      </c>
      <c r="S33" s="71"/>
      <c r="T33" s="71"/>
      <c r="U33" s="71"/>
      <c r="V33" s="72"/>
      <c r="W33" s="72"/>
      <c r="X33" s="72">
        <v>3</v>
      </c>
      <c r="Y33" s="72"/>
      <c r="Z33" s="72"/>
      <c r="AA33" s="72"/>
      <c r="AB33" s="72"/>
      <c r="AC33" s="72"/>
      <c r="AD33" s="72"/>
      <c r="AE33" s="72"/>
      <c r="AF33" s="72"/>
      <c r="AG33" s="72"/>
      <c r="AH33" s="72"/>
      <c r="AI33" s="72">
        <v>2</v>
      </c>
      <c r="AJ33" s="72"/>
      <c r="AK33" s="72">
        <v>9</v>
      </c>
      <c r="AL33" s="72">
        <v>5</v>
      </c>
      <c r="AM33" s="72"/>
      <c r="AN33" s="72">
        <v>3</v>
      </c>
      <c r="AO33" s="72">
        <v>6</v>
      </c>
      <c r="AP33" s="72"/>
      <c r="AQ33" s="72">
        <v>9</v>
      </c>
      <c r="AR33" s="72">
        <v>2</v>
      </c>
      <c r="AS33" s="72"/>
      <c r="AT33" s="72">
        <v>3</v>
      </c>
      <c r="AU33" s="72"/>
      <c r="AV33" s="72"/>
      <c r="AW33" s="72">
        <v>3</v>
      </c>
      <c r="AX33" s="72"/>
      <c r="AY33" s="72"/>
      <c r="AZ33" s="72">
        <v>4</v>
      </c>
      <c r="BA33" s="72">
        <v>3</v>
      </c>
      <c r="BB33" s="72"/>
      <c r="BC33" s="72"/>
      <c r="BD33" s="72"/>
      <c r="BE33" s="72"/>
      <c r="BF33" s="72"/>
      <c r="BG33" s="72"/>
      <c r="BH33" s="72">
        <v>3</v>
      </c>
      <c r="BI33" s="72">
        <v>1</v>
      </c>
      <c r="BJ33" s="72">
        <v>1</v>
      </c>
      <c r="BK33" s="72"/>
    </row>
    <row r="34" spans="1:63" hidden="1">
      <c r="A34" s="931"/>
      <c r="B34" s="930" t="s">
        <v>1390</v>
      </c>
      <c r="C34" s="72"/>
      <c r="D34" s="72"/>
      <c r="E34" s="72">
        <v>6</v>
      </c>
      <c r="F34" s="72"/>
      <c r="G34" s="72"/>
      <c r="H34" s="72"/>
      <c r="I34" s="72">
        <v>6</v>
      </c>
      <c r="J34" s="72"/>
      <c r="K34" s="72">
        <v>2</v>
      </c>
      <c r="L34" s="72"/>
      <c r="M34" s="72"/>
      <c r="N34" s="72">
        <v>1</v>
      </c>
      <c r="O34" s="72"/>
      <c r="P34" s="71"/>
      <c r="Q34" s="71"/>
      <c r="R34" s="71">
        <v>1</v>
      </c>
      <c r="S34" s="71"/>
      <c r="T34" s="71"/>
      <c r="U34" s="71"/>
      <c r="V34" s="72"/>
      <c r="W34" s="72"/>
      <c r="X34" s="72">
        <v>3</v>
      </c>
      <c r="Y34" s="72"/>
      <c r="Z34" s="72"/>
      <c r="AA34" s="72"/>
      <c r="AB34" s="72"/>
      <c r="AC34" s="72"/>
      <c r="AD34" s="72"/>
      <c r="AE34" s="72"/>
      <c r="AF34" s="72"/>
      <c r="AG34" s="72"/>
      <c r="AH34" s="72"/>
      <c r="AI34" s="72">
        <v>3</v>
      </c>
      <c r="AJ34" s="72"/>
      <c r="AK34" s="72">
        <v>9</v>
      </c>
      <c r="AL34" s="72">
        <v>7</v>
      </c>
      <c r="AM34" s="72"/>
      <c r="AN34" s="72">
        <v>3</v>
      </c>
      <c r="AO34" s="72">
        <v>6</v>
      </c>
      <c r="AP34" s="72"/>
      <c r="AQ34" s="72">
        <v>9</v>
      </c>
      <c r="AR34" s="72">
        <v>2</v>
      </c>
      <c r="AS34" s="72"/>
      <c r="AT34" s="72">
        <v>3</v>
      </c>
      <c r="AU34" s="72"/>
      <c r="AV34" s="72"/>
      <c r="AW34" s="72">
        <v>3</v>
      </c>
      <c r="AX34" s="72"/>
      <c r="AY34" s="72"/>
      <c r="AZ34" s="72">
        <v>4</v>
      </c>
      <c r="BA34" s="72">
        <v>3</v>
      </c>
      <c r="BB34" s="72"/>
      <c r="BC34" s="72"/>
      <c r="BD34" s="72"/>
      <c r="BE34" s="72"/>
      <c r="BF34" s="72"/>
      <c r="BG34" s="72"/>
      <c r="BH34" s="72">
        <v>3</v>
      </c>
      <c r="BI34" s="72">
        <v>1</v>
      </c>
      <c r="BJ34" s="72">
        <v>1</v>
      </c>
      <c r="BK34" s="72"/>
    </row>
    <row r="35" spans="1:63" hidden="1">
      <c r="A35" s="931"/>
      <c r="B35" s="930" t="s">
        <v>1391</v>
      </c>
      <c r="C35" s="72"/>
      <c r="D35" s="72"/>
      <c r="E35" s="72">
        <v>6</v>
      </c>
      <c r="F35" s="72"/>
      <c r="G35" s="72"/>
      <c r="H35" s="72"/>
      <c r="I35" s="72">
        <v>6</v>
      </c>
      <c r="J35" s="72"/>
      <c r="K35" s="72">
        <v>2</v>
      </c>
      <c r="L35" s="72"/>
      <c r="M35" s="72"/>
      <c r="N35" s="72">
        <v>1</v>
      </c>
      <c r="O35" s="72"/>
      <c r="P35" s="71"/>
      <c r="Q35" s="71"/>
      <c r="R35" s="71">
        <v>1</v>
      </c>
      <c r="S35" s="71"/>
      <c r="T35" s="71"/>
      <c r="U35" s="71"/>
      <c r="V35" s="72"/>
      <c r="W35" s="72"/>
      <c r="X35" s="72">
        <v>2</v>
      </c>
      <c r="Y35" s="72"/>
      <c r="Z35" s="72"/>
      <c r="AA35" s="72"/>
      <c r="AB35" s="72"/>
      <c r="AC35" s="72"/>
      <c r="AD35" s="72"/>
      <c r="AE35" s="72"/>
      <c r="AF35" s="72"/>
      <c r="AG35" s="72"/>
      <c r="AH35" s="72"/>
      <c r="AI35" s="72">
        <v>2</v>
      </c>
      <c r="AJ35" s="72"/>
      <c r="AK35" s="72">
        <v>6</v>
      </c>
      <c r="AL35" s="72">
        <v>3</v>
      </c>
      <c r="AM35" s="72"/>
      <c r="AN35" s="72">
        <v>2</v>
      </c>
      <c r="AO35" s="72">
        <v>4</v>
      </c>
      <c r="AP35" s="72"/>
      <c r="AQ35" s="72">
        <v>6</v>
      </c>
      <c r="AR35" s="72">
        <v>2</v>
      </c>
      <c r="AS35" s="72"/>
      <c r="AT35" s="72">
        <v>3</v>
      </c>
      <c r="AU35" s="72"/>
      <c r="AV35" s="72"/>
      <c r="AW35" s="72">
        <v>3</v>
      </c>
      <c r="AX35" s="72"/>
      <c r="AY35" s="72"/>
      <c r="AZ35" s="72"/>
      <c r="BA35" s="72">
        <v>2</v>
      </c>
      <c r="BB35" s="72"/>
      <c r="BC35" s="72"/>
      <c r="BD35" s="72"/>
      <c r="BE35" s="72"/>
      <c r="BF35" s="72"/>
      <c r="BG35" s="72"/>
      <c r="BH35" s="72">
        <v>3</v>
      </c>
      <c r="BI35" s="72">
        <v>1</v>
      </c>
      <c r="BJ35" s="72">
        <v>1</v>
      </c>
      <c r="BK35" s="72"/>
    </row>
    <row r="36" spans="1:63" hidden="1">
      <c r="A36" s="931"/>
      <c r="B36" s="928"/>
      <c r="C36" s="72"/>
      <c r="D36" s="72"/>
      <c r="E36" s="72"/>
      <c r="F36" s="72"/>
      <c r="G36" s="72"/>
      <c r="H36" s="72"/>
      <c r="I36" s="72"/>
      <c r="J36" s="72"/>
      <c r="K36" s="72"/>
      <c r="L36" s="72"/>
      <c r="M36" s="72"/>
      <c r="N36" s="72"/>
      <c r="O36" s="72"/>
      <c r="P36" s="71"/>
      <c r="Q36" s="71"/>
      <c r="R36" s="71"/>
      <c r="S36" s="71"/>
      <c r="T36" s="71"/>
      <c r="U36" s="71"/>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row>
    <row r="37" spans="1:63" hidden="1">
      <c r="A37" s="931">
        <v>6</v>
      </c>
      <c r="B37" s="929" t="s">
        <v>1392</v>
      </c>
      <c r="C37" s="72"/>
      <c r="D37" s="72"/>
      <c r="E37" s="72"/>
      <c r="F37" s="72"/>
      <c r="G37" s="72"/>
      <c r="H37" s="72"/>
      <c r="I37" s="72"/>
      <c r="J37" s="72"/>
      <c r="K37" s="72"/>
      <c r="L37" s="72"/>
      <c r="M37" s="72"/>
      <c r="N37" s="72">
        <v>1</v>
      </c>
      <c r="O37" s="72"/>
      <c r="P37" s="71"/>
      <c r="Q37" s="71"/>
      <c r="R37" s="71">
        <v>1</v>
      </c>
      <c r="S37" s="71"/>
      <c r="T37" s="71"/>
      <c r="U37" s="71"/>
      <c r="V37" s="72"/>
      <c r="W37" s="72"/>
      <c r="X37" s="72"/>
      <c r="Y37" s="72"/>
      <c r="Z37" s="72"/>
      <c r="AA37" s="72"/>
      <c r="AB37" s="72"/>
      <c r="AC37" s="72"/>
      <c r="AD37" s="72">
        <v>1</v>
      </c>
      <c r="AE37" s="72"/>
      <c r="AF37" s="72"/>
      <c r="AG37" s="72"/>
      <c r="AH37" s="72"/>
      <c r="AI37" s="72"/>
      <c r="AJ37" s="72"/>
      <c r="AK37" s="72"/>
      <c r="AL37" s="72"/>
      <c r="AM37" s="72"/>
      <c r="AN37" s="72">
        <v>1</v>
      </c>
      <c r="AO37" s="72"/>
      <c r="AP37" s="72"/>
      <c r="AQ37" s="72"/>
      <c r="AR37" s="72"/>
      <c r="AS37" s="72"/>
      <c r="AT37" s="72"/>
      <c r="AU37" s="72"/>
      <c r="AV37" s="72"/>
      <c r="AW37" s="72"/>
      <c r="AX37" s="72"/>
      <c r="AY37" s="72"/>
      <c r="AZ37" s="72"/>
      <c r="BA37" s="72">
        <v>1</v>
      </c>
      <c r="BB37" s="72"/>
      <c r="BC37" s="72"/>
      <c r="BD37" s="72"/>
      <c r="BE37" s="72"/>
      <c r="BF37" s="72"/>
      <c r="BG37" s="72"/>
      <c r="BH37" s="72"/>
      <c r="BI37" s="72"/>
      <c r="BJ37" s="72"/>
      <c r="BK37" s="72"/>
    </row>
    <row r="38" spans="1:63" hidden="1">
      <c r="A38" s="931"/>
      <c r="B38" s="929" t="s">
        <v>1393</v>
      </c>
      <c r="C38" s="72"/>
      <c r="D38" s="72"/>
      <c r="E38" s="72"/>
      <c r="F38" s="72"/>
      <c r="G38" s="72"/>
      <c r="H38" s="72"/>
      <c r="I38" s="72"/>
      <c r="J38" s="72"/>
      <c r="K38" s="72"/>
      <c r="L38" s="72"/>
      <c r="M38" s="72"/>
      <c r="N38" s="72">
        <v>1</v>
      </c>
      <c r="O38" s="72"/>
      <c r="P38" s="71"/>
      <c r="Q38" s="71"/>
      <c r="R38" s="71">
        <v>1</v>
      </c>
      <c r="S38" s="71"/>
      <c r="T38" s="71"/>
      <c r="U38" s="71"/>
      <c r="V38" s="72"/>
      <c r="W38" s="72"/>
      <c r="X38" s="72">
        <v>1</v>
      </c>
      <c r="Y38" s="72"/>
      <c r="Z38" s="72"/>
      <c r="AA38" s="72"/>
      <c r="AB38" s="72"/>
      <c r="AC38" s="72"/>
      <c r="AD38" s="72"/>
      <c r="AE38" s="72"/>
      <c r="AF38" s="72">
        <v>1</v>
      </c>
      <c r="AG38" s="72"/>
      <c r="AH38" s="72"/>
      <c r="AI38" s="72"/>
      <c r="AJ38" s="72"/>
      <c r="AK38" s="72"/>
      <c r="AL38" s="72"/>
      <c r="AM38" s="72"/>
      <c r="AN38" s="72">
        <v>1</v>
      </c>
      <c r="AO38" s="72"/>
      <c r="AP38" s="72"/>
      <c r="AQ38" s="72"/>
      <c r="AR38" s="72"/>
      <c r="AS38" s="72"/>
      <c r="AT38" s="72"/>
      <c r="AU38" s="72"/>
      <c r="AV38" s="72"/>
      <c r="AW38" s="72"/>
      <c r="AX38" s="72"/>
      <c r="AY38" s="72"/>
      <c r="AZ38" s="72"/>
      <c r="BA38" s="72">
        <v>1</v>
      </c>
      <c r="BB38" s="72"/>
      <c r="BC38" s="72"/>
      <c r="BD38" s="72"/>
      <c r="BE38" s="72"/>
      <c r="BF38" s="72"/>
      <c r="BG38" s="72"/>
      <c r="BH38" s="72"/>
      <c r="BI38" s="72"/>
      <c r="BJ38" s="72"/>
      <c r="BK38" s="72"/>
    </row>
    <row r="39" spans="1:63" hidden="1">
      <c r="A39" s="931"/>
      <c r="B39" s="929" t="s">
        <v>1394</v>
      </c>
      <c r="C39" s="72"/>
      <c r="D39" s="72"/>
      <c r="E39" s="72"/>
      <c r="F39" s="72"/>
      <c r="G39" s="72"/>
      <c r="H39" s="72"/>
      <c r="I39" s="72"/>
      <c r="J39" s="72"/>
      <c r="K39" s="72"/>
      <c r="L39" s="72"/>
      <c r="M39" s="72"/>
      <c r="N39" s="72">
        <v>1</v>
      </c>
      <c r="O39" s="72"/>
      <c r="P39" s="71"/>
      <c r="Q39" s="71"/>
      <c r="R39" s="71">
        <v>1</v>
      </c>
      <c r="S39" s="71"/>
      <c r="T39" s="71"/>
      <c r="U39" s="71"/>
      <c r="V39" s="72"/>
      <c r="W39" s="72"/>
      <c r="X39" s="72">
        <v>2</v>
      </c>
      <c r="Y39" s="72"/>
      <c r="Z39" s="72"/>
      <c r="AA39" s="72"/>
      <c r="AB39" s="72">
        <v>1</v>
      </c>
      <c r="AC39" s="72"/>
      <c r="AD39" s="72"/>
      <c r="AE39" s="72"/>
      <c r="AF39" s="72"/>
      <c r="AG39" s="72"/>
      <c r="AH39" s="72"/>
      <c r="AI39" s="72"/>
      <c r="AJ39" s="72"/>
      <c r="AK39" s="72">
        <v>2</v>
      </c>
      <c r="AL39" s="72">
        <v>1</v>
      </c>
      <c r="AM39" s="72"/>
      <c r="AN39" s="72">
        <v>2</v>
      </c>
      <c r="AO39" s="72">
        <v>4</v>
      </c>
      <c r="AP39" s="72"/>
      <c r="AQ39" s="72">
        <v>2</v>
      </c>
      <c r="AR39" s="72"/>
      <c r="AS39" s="72"/>
      <c r="AT39" s="72"/>
      <c r="AU39" s="72"/>
      <c r="AV39" s="72"/>
      <c r="AW39" s="72"/>
      <c r="AX39" s="72"/>
      <c r="AY39" s="72"/>
      <c r="AZ39" s="72">
        <v>2</v>
      </c>
      <c r="BA39" s="72">
        <v>2</v>
      </c>
      <c r="BB39" s="72"/>
      <c r="BC39" s="72">
        <v>2</v>
      </c>
      <c r="BD39" s="72"/>
      <c r="BE39" s="72"/>
      <c r="BF39" s="72"/>
      <c r="BG39" s="72"/>
      <c r="BH39" s="72"/>
      <c r="BI39" s="72"/>
      <c r="BJ39" s="72">
        <v>1</v>
      </c>
      <c r="BK39" s="72"/>
    </row>
    <row r="40" spans="1:63" hidden="1">
      <c r="A40" s="931"/>
      <c r="B40" s="929" t="s">
        <v>1395</v>
      </c>
      <c r="C40" s="72"/>
      <c r="D40" s="72"/>
      <c r="E40" s="72"/>
      <c r="F40" s="72"/>
      <c r="G40" s="72"/>
      <c r="H40" s="72"/>
      <c r="I40" s="72"/>
      <c r="J40" s="72"/>
      <c r="K40" s="72"/>
      <c r="L40" s="72"/>
      <c r="M40" s="72"/>
      <c r="N40" s="72">
        <v>1</v>
      </c>
      <c r="O40" s="72"/>
      <c r="P40" s="71"/>
      <c r="Q40" s="71"/>
      <c r="R40" s="71">
        <v>1</v>
      </c>
      <c r="S40" s="71"/>
      <c r="T40" s="71"/>
      <c r="U40" s="71"/>
      <c r="V40" s="72"/>
      <c r="W40" s="72"/>
      <c r="X40" s="72">
        <v>2</v>
      </c>
      <c r="Y40" s="72"/>
      <c r="Z40" s="72"/>
      <c r="AA40" s="72"/>
      <c r="AB40" s="72">
        <v>1</v>
      </c>
      <c r="AC40" s="72"/>
      <c r="AD40" s="72"/>
      <c r="AE40" s="72"/>
      <c r="AF40" s="72"/>
      <c r="AG40" s="72"/>
      <c r="AH40" s="72"/>
      <c r="AI40" s="72"/>
      <c r="AJ40" s="72"/>
      <c r="AK40" s="72">
        <v>2</v>
      </c>
      <c r="AL40" s="72">
        <v>1</v>
      </c>
      <c r="AM40" s="72"/>
      <c r="AN40" s="72">
        <v>2</v>
      </c>
      <c r="AO40" s="72">
        <v>4</v>
      </c>
      <c r="AP40" s="72"/>
      <c r="AQ40" s="72">
        <v>2</v>
      </c>
      <c r="AR40" s="72"/>
      <c r="AS40" s="72"/>
      <c r="AT40" s="72"/>
      <c r="AU40" s="72"/>
      <c r="AV40" s="72"/>
      <c r="AW40" s="72"/>
      <c r="AX40" s="72"/>
      <c r="AY40" s="72"/>
      <c r="AZ40" s="72">
        <v>2</v>
      </c>
      <c r="BA40" s="72">
        <v>2</v>
      </c>
      <c r="BB40" s="72"/>
      <c r="BC40" s="72">
        <v>2</v>
      </c>
      <c r="BD40" s="72"/>
      <c r="BE40" s="72"/>
      <c r="BF40" s="72"/>
      <c r="BG40" s="72"/>
      <c r="BH40" s="72"/>
      <c r="BI40" s="72"/>
      <c r="BJ40" s="72">
        <v>1</v>
      </c>
      <c r="BK40" s="72"/>
    </row>
    <row r="41" spans="1:63" hidden="1">
      <c r="A41" s="931"/>
      <c r="B41" s="929" t="s">
        <v>1396</v>
      </c>
      <c r="C41" s="72"/>
      <c r="D41" s="72"/>
      <c r="E41" s="72"/>
      <c r="F41" s="72"/>
      <c r="G41" s="72"/>
      <c r="H41" s="72"/>
      <c r="I41" s="72"/>
      <c r="J41" s="72"/>
      <c r="K41" s="72"/>
      <c r="L41" s="72"/>
      <c r="M41" s="72"/>
      <c r="N41" s="72">
        <v>1</v>
      </c>
      <c r="O41" s="72"/>
      <c r="P41" s="71"/>
      <c r="Q41" s="71"/>
      <c r="R41" s="71">
        <v>1</v>
      </c>
      <c r="S41" s="71"/>
      <c r="T41" s="71"/>
      <c r="U41" s="71"/>
      <c r="V41" s="72"/>
      <c r="W41" s="72"/>
      <c r="X41" s="72">
        <v>1</v>
      </c>
      <c r="Y41" s="72"/>
      <c r="Z41" s="72"/>
      <c r="AA41" s="72"/>
      <c r="AB41" s="72"/>
      <c r="AC41" s="72"/>
      <c r="AD41" s="72"/>
      <c r="AE41" s="72"/>
      <c r="AF41" s="72"/>
      <c r="AG41" s="72"/>
      <c r="AH41" s="72"/>
      <c r="AI41" s="72"/>
      <c r="AJ41" s="72"/>
      <c r="AK41" s="72">
        <v>1</v>
      </c>
      <c r="AL41" s="72"/>
      <c r="AM41" s="72"/>
      <c r="AN41" s="72">
        <v>1</v>
      </c>
      <c r="AO41" s="72">
        <v>2</v>
      </c>
      <c r="AP41" s="72"/>
      <c r="AQ41" s="72">
        <v>1</v>
      </c>
      <c r="AR41" s="72"/>
      <c r="AS41" s="72"/>
      <c r="AT41" s="72"/>
      <c r="AU41" s="72"/>
      <c r="AV41" s="72"/>
      <c r="AW41" s="72"/>
      <c r="AX41" s="72"/>
      <c r="AY41" s="72"/>
      <c r="AZ41" s="72"/>
      <c r="BA41" s="72">
        <v>1</v>
      </c>
      <c r="BB41" s="72"/>
      <c r="BC41" s="72">
        <v>1</v>
      </c>
      <c r="BD41" s="72"/>
      <c r="BE41" s="72"/>
      <c r="BF41" s="72"/>
      <c r="BG41" s="72"/>
      <c r="BH41" s="72"/>
      <c r="BI41" s="72"/>
      <c r="BJ41" s="72">
        <v>1</v>
      </c>
      <c r="BK41" s="72"/>
    </row>
    <row r="42" spans="1:63" hidden="1">
      <c r="A42" s="931"/>
      <c r="B42" s="928"/>
      <c r="C42" s="72"/>
      <c r="D42" s="72"/>
      <c r="E42" s="72"/>
      <c r="F42" s="72"/>
      <c r="G42" s="72"/>
      <c r="H42" s="72"/>
      <c r="I42" s="72"/>
      <c r="J42" s="72"/>
      <c r="K42" s="72"/>
      <c r="L42" s="72"/>
      <c r="M42" s="72"/>
      <c r="N42" s="72"/>
      <c r="O42" s="72"/>
      <c r="P42" s="71"/>
      <c r="Q42" s="71"/>
      <c r="R42" s="71"/>
      <c r="S42" s="71"/>
      <c r="T42" s="71"/>
      <c r="U42" s="71"/>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row>
    <row r="43" spans="1:63" hidden="1">
      <c r="A43" s="931">
        <v>7</v>
      </c>
      <c r="B43" s="930" t="s">
        <v>1397</v>
      </c>
      <c r="C43" s="72"/>
      <c r="D43" s="72"/>
      <c r="E43" s="72"/>
      <c r="F43" s="72"/>
      <c r="G43" s="72"/>
      <c r="H43" s="72"/>
      <c r="I43" s="72"/>
      <c r="J43" s="72"/>
      <c r="K43" s="72"/>
      <c r="L43" s="72"/>
      <c r="M43" s="72"/>
      <c r="N43" s="72">
        <v>1</v>
      </c>
      <c r="O43" s="72"/>
      <c r="P43" s="71"/>
      <c r="Q43" s="71"/>
      <c r="R43" s="71">
        <v>1</v>
      </c>
      <c r="S43" s="71"/>
      <c r="T43" s="71"/>
      <c r="U43" s="71"/>
      <c r="V43" s="72"/>
      <c r="W43" s="72"/>
      <c r="X43" s="72"/>
      <c r="Y43" s="72"/>
      <c r="Z43" s="72"/>
      <c r="AA43" s="72"/>
      <c r="AB43" s="72"/>
      <c r="AC43" s="72"/>
      <c r="AD43" s="72"/>
      <c r="AE43" s="72"/>
      <c r="AF43" s="72"/>
      <c r="AG43" s="72"/>
      <c r="AH43" s="72">
        <v>1</v>
      </c>
      <c r="AI43" s="72"/>
      <c r="AJ43" s="72"/>
      <c r="AK43" s="72"/>
      <c r="AL43" s="72">
        <v>3</v>
      </c>
      <c r="AM43" s="72"/>
      <c r="AN43" s="72">
        <v>1</v>
      </c>
      <c r="AO43" s="72"/>
      <c r="AP43" s="72"/>
      <c r="AQ43" s="72"/>
      <c r="AR43" s="72"/>
      <c r="AS43" s="72"/>
      <c r="AT43" s="72"/>
      <c r="AU43" s="72"/>
      <c r="AV43" s="72"/>
      <c r="AW43" s="72"/>
      <c r="AX43" s="72"/>
      <c r="AY43" s="72"/>
      <c r="AZ43" s="72"/>
      <c r="BA43" s="72">
        <v>1</v>
      </c>
      <c r="BB43" s="72"/>
      <c r="BC43" s="72"/>
      <c r="BD43" s="72"/>
      <c r="BE43" s="72"/>
      <c r="BF43" s="72"/>
      <c r="BG43" s="72"/>
      <c r="BH43" s="72"/>
      <c r="BI43" s="72"/>
      <c r="BJ43" s="72"/>
      <c r="BK43" s="72"/>
    </row>
    <row r="44" spans="1:63" hidden="1">
      <c r="A44" s="931"/>
      <c r="B44" s="930" t="s">
        <v>1398</v>
      </c>
      <c r="C44" s="72"/>
      <c r="D44" s="72"/>
      <c r="E44" s="72"/>
      <c r="F44" s="72"/>
      <c r="G44" s="72"/>
      <c r="H44" s="72"/>
      <c r="I44" s="72"/>
      <c r="J44" s="72"/>
      <c r="K44" s="72"/>
      <c r="L44" s="72"/>
      <c r="M44" s="72"/>
      <c r="N44" s="72">
        <v>1</v>
      </c>
      <c r="O44" s="72"/>
      <c r="P44" s="71"/>
      <c r="Q44" s="71"/>
      <c r="R44" s="71">
        <v>1</v>
      </c>
      <c r="S44" s="71"/>
      <c r="T44" s="71"/>
      <c r="U44" s="71"/>
      <c r="V44" s="72"/>
      <c r="W44" s="72"/>
      <c r="X44" s="72">
        <v>1</v>
      </c>
      <c r="Y44" s="72"/>
      <c r="Z44" s="72"/>
      <c r="AA44" s="72"/>
      <c r="AB44" s="72"/>
      <c r="AC44" s="72"/>
      <c r="AD44" s="72"/>
      <c r="AE44" s="72"/>
      <c r="AF44" s="72"/>
      <c r="AG44" s="72"/>
      <c r="AH44" s="72"/>
      <c r="AI44" s="72">
        <v>1</v>
      </c>
      <c r="AJ44" s="72"/>
      <c r="AK44" s="72"/>
      <c r="AL44" s="72">
        <v>6</v>
      </c>
      <c r="AM44" s="72"/>
      <c r="AN44" s="72">
        <v>1</v>
      </c>
      <c r="AO44" s="72"/>
      <c r="AP44" s="72"/>
      <c r="AQ44" s="72"/>
      <c r="AR44" s="72"/>
      <c r="AS44" s="72"/>
      <c r="AT44" s="72"/>
      <c r="AU44" s="72"/>
      <c r="AV44" s="72"/>
      <c r="AW44" s="72"/>
      <c r="AX44" s="72"/>
      <c r="AY44" s="72"/>
      <c r="AZ44" s="72"/>
      <c r="BA44" s="72">
        <v>1</v>
      </c>
      <c r="BB44" s="72"/>
      <c r="BC44" s="72"/>
      <c r="BD44" s="72"/>
      <c r="BE44" s="72"/>
      <c r="BF44" s="72"/>
      <c r="BG44" s="72"/>
      <c r="BH44" s="72"/>
      <c r="BI44" s="72"/>
      <c r="BJ44" s="72"/>
      <c r="BK44" s="72"/>
    </row>
    <row r="45" spans="1:63" hidden="1">
      <c r="A45" s="931"/>
      <c r="B45" s="930" t="s">
        <v>1399</v>
      </c>
      <c r="C45" s="72"/>
      <c r="D45" s="72"/>
      <c r="E45" s="72"/>
      <c r="F45" s="72"/>
      <c r="G45" s="72"/>
      <c r="H45" s="72"/>
      <c r="I45" s="72"/>
      <c r="J45" s="72"/>
      <c r="K45" s="72"/>
      <c r="L45" s="72"/>
      <c r="M45" s="72"/>
      <c r="N45" s="72">
        <v>1</v>
      </c>
      <c r="O45" s="72"/>
      <c r="P45" s="71"/>
      <c r="Q45" s="71"/>
      <c r="R45" s="71">
        <v>1</v>
      </c>
      <c r="S45" s="71"/>
      <c r="T45" s="71"/>
      <c r="U45" s="71"/>
      <c r="V45" s="72"/>
      <c r="W45" s="72"/>
      <c r="X45" s="72">
        <v>2</v>
      </c>
      <c r="Y45" s="72"/>
      <c r="Z45" s="72"/>
      <c r="AA45" s="72"/>
      <c r="AB45" s="72"/>
      <c r="AC45" s="72"/>
      <c r="AD45" s="72"/>
      <c r="AE45" s="72"/>
      <c r="AF45" s="72"/>
      <c r="AG45" s="72"/>
      <c r="AH45" s="72">
        <v>1</v>
      </c>
      <c r="AI45" s="72">
        <v>2</v>
      </c>
      <c r="AJ45" s="72"/>
      <c r="AK45" s="72">
        <v>6</v>
      </c>
      <c r="AL45" s="72">
        <v>6</v>
      </c>
      <c r="AM45" s="72"/>
      <c r="AN45" s="72">
        <v>2</v>
      </c>
      <c r="AO45" s="72">
        <v>4</v>
      </c>
      <c r="AP45" s="72"/>
      <c r="AQ45" s="72">
        <v>6</v>
      </c>
      <c r="AR45" s="72"/>
      <c r="AS45" s="72"/>
      <c r="AT45" s="72"/>
      <c r="AU45" s="72"/>
      <c r="AV45" s="72"/>
      <c r="AW45" s="72"/>
      <c r="AX45" s="72"/>
      <c r="AY45" s="72"/>
      <c r="AZ45" s="72">
        <v>4</v>
      </c>
      <c r="BA45" s="72">
        <v>2</v>
      </c>
      <c r="BB45" s="72"/>
      <c r="BC45" s="72"/>
      <c r="BD45" s="72"/>
      <c r="BE45" s="72"/>
      <c r="BF45" s="72"/>
      <c r="BG45" s="72"/>
      <c r="BH45" s="72"/>
      <c r="BI45" s="72"/>
      <c r="BJ45" s="72">
        <v>1</v>
      </c>
      <c r="BK45" s="72"/>
    </row>
    <row r="46" spans="1:63" hidden="1">
      <c r="A46" s="931"/>
      <c r="B46" s="930" t="s">
        <v>1400</v>
      </c>
      <c r="C46" s="72"/>
      <c r="D46" s="72"/>
      <c r="E46" s="72"/>
      <c r="F46" s="72"/>
      <c r="G46" s="72"/>
      <c r="H46" s="72"/>
      <c r="I46" s="72"/>
      <c r="J46" s="72"/>
      <c r="K46" s="72"/>
      <c r="L46" s="72"/>
      <c r="M46" s="72"/>
      <c r="N46" s="72">
        <v>1</v>
      </c>
      <c r="O46" s="72"/>
      <c r="P46" s="71"/>
      <c r="Q46" s="71"/>
      <c r="R46" s="71">
        <v>1</v>
      </c>
      <c r="S46" s="71"/>
      <c r="T46" s="71"/>
      <c r="U46" s="71"/>
      <c r="V46" s="72"/>
      <c r="W46" s="72"/>
      <c r="X46" s="72">
        <v>2</v>
      </c>
      <c r="Y46" s="72"/>
      <c r="Z46" s="72"/>
      <c r="AA46" s="72"/>
      <c r="AB46" s="72"/>
      <c r="AC46" s="72"/>
      <c r="AD46" s="72"/>
      <c r="AE46" s="72"/>
      <c r="AF46" s="72"/>
      <c r="AG46" s="72"/>
      <c r="AH46" s="72">
        <v>1</v>
      </c>
      <c r="AI46" s="72">
        <v>2</v>
      </c>
      <c r="AJ46" s="72"/>
      <c r="AK46" s="72">
        <v>6</v>
      </c>
      <c r="AL46" s="72">
        <v>7</v>
      </c>
      <c r="AM46" s="72"/>
      <c r="AN46" s="72">
        <v>2</v>
      </c>
      <c r="AO46" s="72">
        <v>4</v>
      </c>
      <c r="AP46" s="72"/>
      <c r="AQ46" s="72">
        <v>6</v>
      </c>
      <c r="AR46" s="72"/>
      <c r="AS46" s="72"/>
      <c r="AT46" s="72"/>
      <c r="AU46" s="72"/>
      <c r="AV46" s="72"/>
      <c r="AW46" s="72"/>
      <c r="AX46" s="72"/>
      <c r="AY46" s="72"/>
      <c r="AZ46" s="72">
        <v>4</v>
      </c>
      <c r="BA46" s="72">
        <v>2</v>
      </c>
      <c r="BB46" s="72"/>
      <c r="BC46" s="72"/>
      <c r="BD46" s="72"/>
      <c r="BE46" s="72"/>
      <c r="BF46" s="72"/>
      <c r="BG46" s="72"/>
      <c r="BH46" s="72"/>
      <c r="BI46" s="72"/>
      <c r="BJ46" s="72">
        <v>1</v>
      </c>
      <c r="BK46" s="72"/>
    </row>
    <row r="47" spans="1:63" hidden="1">
      <c r="A47" s="931"/>
      <c r="B47" s="930" t="s">
        <v>1401</v>
      </c>
      <c r="C47" s="72"/>
      <c r="D47" s="72"/>
      <c r="E47" s="72"/>
      <c r="F47" s="72"/>
      <c r="G47" s="72"/>
      <c r="H47" s="72"/>
      <c r="I47" s="72"/>
      <c r="J47" s="72"/>
      <c r="K47" s="72"/>
      <c r="L47" s="72"/>
      <c r="M47" s="72"/>
      <c r="N47" s="72">
        <v>1</v>
      </c>
      <c r="O47" s="72"/>
      <c r="P47" s="71"/>
      <c r="Q47" s="71"/>
      <c r="R47" s="71">
        <v>1</v>
      </c>
      <c r="S47" s="71"/>
      <c r="T47" s="71"/>
      <c r="U47" s="71"/>
      <c r="V47" s="72"/>
      <c r="W47" s="72"/>
      <c r="X47" s="72">
        <v>1</v>
      </c>
      <c r="Y47" s="72"/>
      <c r="Z47" s="72"/>
      <c r="AA47" s="72"/>
      <c r="AB47" s="72"/>
      <c r="AC47" s="72"/>
      <c r="AD47" s="72"/>
      <c r="AE47" s="72"/>
      <c r="AF47" s="72"/>
      <c r="AG47" s="72"/>
      <c r="AH47" s="72"/>
      <c r="AI47" s="72">
        <v>1</v>
      </c>
      <c r="AJ47" s="72"/>
      <c r="AK47" s="72">
        <v>3</v>
      </c>
      <c r="AL47" s="72"/>
      <c r="AM47" s="72"/>
      <c r="AN47" s="72">
        <v>1</v>
      </c>
      <c r="AO47" s="72">
        <v>2</v>
      </c>
      <c r="AP47" s="72"/>
      <c r="AQ47" s="72">
        <v>3</v>
      </c>
      <c r="AR47" s="72"/>
      <c r="AS47" s="72"/>
      <c r="AT47" s="72"/>
      <c r="AU47" s="72"/>
      <c r="AV47" s="72"/>
      <c r="AW47" s="72"/>
      <c r="AX47" s="72"/>
      <c r="AY47" s="72"/>
      <c r="AZ47" s="72"/>
      <c r="BA47" s="72">
        <v>1</v>
      </c>
      <c r="BB47" s="72"/>
      <c r="BC47" s="72"/>
      <c r="BD47" s="72"/>
      <c r="BE47" s="72"/>
      <c r="BF47" s="72"/>
      <c r="BG47" s="72"/>
      <c r="BH47" s="72"/>
      <c r="BI47" s="72"/>
      <c r="BJ47" s="72">
        <v>1</v>
      </c>
      <c r="BK47" s="72"/>
    </row>
    <row r="48" spans="1:63" hidden="1">
      <c r="A48" s="931"/>
      <c r="B48" s="930"/>
      <c r="C48" s="943"/>
      <c r="D48" s="943"/>
      <c r="E48" s="943"/>
      <c r="F48" s="943"/>
      <c r="G48" s="943"/>
      <c r="H48" s="943"/>
      <c r="I48" s="943"/>
      <c r="J48" s="943"/>
      <c r="K48" s="943"/>
      <c r="L48" s="943"/>
      <c r="M48" s="943"/>
      <c r="N48" s="943"/>
      <c r="O48" s="943"/>
      <c r="P48" s="943"/>
      <c r="Q48" s="943"/>
      <c r="R48" s="943"/>
      <c r="S48" s="943"/>
      <c r="T48" s="943"/>
      <c r="U48" s="943"/>
      <c r="V48" s="943"/>
      <c r="W48" s="943"/>
      <c r="X48" s="943"/>
      <c r="Y48" s="943"/>
      <c r="Z48" s="943"/>
      <c r="AA48" s="943"/>
      <c r="AB48" s="943"/>
      <c r="AC48" s="943"/>
      <c r="AD48" s="943"/>
      <c r="AE48" s="943"/>
      <c r="AF48" s="943"/>
      <c r="AG48" s="943"/>
      <c r="AH48" s="943"/>
      <c r="AI48" s="943"/>
      <c r="AJ48" s="943"/>
      <c r="AK48" s="943"/>
      <c r="AL48" s="943"/>
      <c r="AM48" s="943"/>
      <c r="AN48" s="943"/>
      <c r="AO48" s="943"/>
      <c r="AP48" s="943"/>
      <c r="AQ48" s="943"/>
      <c r="AR48" s="943"/>
      <c r="AS48" s="943"/>
      <c r="AT48" s="943"/>
      <c r="AU48" s="943"/>
      <c r="AV48" s="943"/>
      <c r="AW48" s="943"/>
      <c r="AX48" s="943"/>
      <c r="AY48" s="943"/>
      <c r="AZ48" s="943"/>
      <c r="BA48" s="943"/>
      <c r="BB48" s="943"/>
      <c r="BC48" s="943"/>
      <c r="BD48" s="943"/>
      <c r="BE48" s="943"/>
      <c r="BF48" s="943"/>
      <c r="BG48" s="943"/>
      <c r="BH48" s="943"/>
      <c r="BI48" s="943"/>
      <c r="BJ48" s="943"/>
      <c r="BK48" s="943"/>
    </row>
    <row r="49" spans="1:63" hidden="1">
      <c r="A49" s="940"/>
      <c r="B49" s="942">
        <v>1</v>
      </c>
      <c r="C49" s="941">
        <f>+B49+1</f>
        <v>2</v>
      </c>
      <c r="D49" s="941">
        <f t="shared" ref="D49:BK49" si="0">+C49+1</f>
        <v>3</v>
      </c>
      <c r="E49" s="941">
        <f t="shared" si="0"/>
        <v>4</v>
      </c>
      <c r="F49" s="941">
        <f t="shared" si="0"/>
        <v>5</v>
      </c>
      <c r="G49" s="941">
        <f t="shared" si="0"/>
        <v>6</v>
      </c>
      <c r="H49" s="941">
        <f t="shared" si="0"/>
        <v>7</v>
      </c>
      <c r="I49" s="941">
        <f t="shared" si="0"/>
        <v>8</v>
      </c>
      <c r="J49" s="941">
        <f t="shared" si="0"/>
        <v>9</v>
      </c>
      <c r="K49" s="941">
        <f t="shared" si="0"/>
        <v>10</v>
      </c>
      <c r="L49" s="941">
        <f t="shared" si="0"/>
        <v>11</v>
      </c>
      <c r="M49" s="941">
        <f t="shared" si="0"/>
        <v>12</v>
      </c>
      <c r="N49" s="941">
        <f t="shared" si="0"/>
        <v>13</v>
      </c>
      <c r="O49" s="941">
        <f t="shared" si="0"/>
        <v>14</v>
      </c>
      <c r="P49" s="941">
        <f t="shared" si="0"/>
        <v>15</v>
      </c>
      <c r="Q49" s="941">
        <f t="shared" si="0"/>
        <v>16</v>
      </c>
      <c r="R49" s="941">
        <f t="shared" si="0"/>
        <v>17</v>
      </c>
      <c r="S49" s="941">
        <f t="shared" si="0"/>
        <v>18</v>
      </c>
      <c r="T49" s="941">
        <f t="shared" si="0"/>
        <v>19</v>
      </c>
      <c r="U49" s="941">
        <f t="shared" si="0"/>
        <v>20</v>
      </c>
      <c r="V49" s="941">
        <f t="shared" si="0"/>
        <v>21</v>
      </c>
      <c r="W49" s="941">
        <f t="shared" si="0"/>
        <v>22</v>
      </c>
      <c r="X49" s="941">
        <f t="shared" si="0"/>
        <v>23</v>
      </c>
      <c r="Y49" s="941">
        <f t="shared" si="0"/>
        <v>24</v>
      </c>
      <c r="Z49" s="941">
        <f t="shared" si="0"/>
        <v>25</v>
      </c>
      <c r="AA49" s="941">
        <f t="shared" si="0"/>
        <v>26</v>
      </c>
      <c r="AB49" s="941">
        <f t="shared" si="0"/>
        <v>27</v>
      </c>
      <c r="AC49" s="941">
        <f t="shared" si="0"/>
        <v>28</v>
      </c>
      <c r="AD49" s="941">
        <f t="shared" si="0"/>
        <v>29</v>
      </c>
      <c r="AE49" s="941">
        <f t="shared" si="0"/>
        <v>30</v>
      </c>
      <c r="AF49" s="941">
        <f t="shared" si="0"/>
        <v>31</v>
      </c>
      <c r="AG49" s="941">
        <f t="shared" si="0"/>
        <v>32</v>
      </c>
      <c r="AH49" s="941">
        <f t="shared" si="0"/>
        <v>33</v>
      </c>
      <c r="AI49" s="941">
        <f t="shared" si="0"/>
        <v>34</v>
      </c>
      <c r="AJ49" s="941">
        <f t="shared" si="0"/>
        <v>35</v>
      </c>
      <c r="AK49" s="941">
        <f t="shared" si="0"/>
        <v>36</v>
      </c>
      <c r="AL49" s="941">
        <f t="shared" si="0"/>
        <v>37</v>
      </c>
      <c r="AM49" s="941">
        <f t="shared" si="0"/>
        <v>38</v>
      </c>
      <c r="AN49" s="941">
        <f t="shared" si="0"/>
        <v>39</v>
      </c>
      <c r="AO49" s="941">
        <f t="shared" si="0"/>
        <v>40</v>
      </c>
      <c r="AP49" s="941">
        <f t="shared" si="0"/>
        <v>41</v>
      </c>
      <c r="AQ49" s="941">
        <f t="shared" si="0"/>
        <v>42</v>
      </c>
      <c r="AR49" s="941">
        <f t="shared" si="0"/>
        <v>43</v>
      </c>
      <c r="AS49" s="941">
        <f t="shared" si="0"/>
        <v>44</v>
      </c>
      <c r="AT49" s="941">
        <f t="shared" si="0"/>
        <v>45</v>
      </c>
      <c r="AU49" s="941">
        <f t="shared" si="0"/>
        <v>46</v>
      </c>
      <c r="AV49" s="941">
        <f t="shared" si="0"/>
        <v>47</v>
      </c>
      <c r="AW49" s="941">
        <f t="shared" si="0"/>
        <v>48</v>
      </c>
      <c r="AX49" s="941">
        <f t="shared" si="0"/>
        <v>49</v>
      </c>
      <c r="AY49" s="941">
        <f t="shared" si="0"/>
        <v>50</v>
      </c>
      <c r="AZ49" s="941">
        <f t="shared" si="0"/>
        <v>51</v>
      </c>
      <c r="BA49" s="941">
        <f t="shared" si="0"/>
        <v>52</v>
      </c>
      <c r="BB49" s="941">
        <f t="shared" si="0"/>
        <v>53</v>
      </c>
      <c r="BC49" s="941">
        <f t="shared" si="0"/>
        <v>54</v>
      </c>
      <c r="BD49" s="941">
        <f t="shared" si="0"/>
        <v>55</v>
      </c>
      <c r="BE49" s="941">
        <f t="shared" si="0"/>
        <v>56</v>
      </c>
      <c r="BF49" s="941">
        <f t="shared" si="0"/>
        <v>57</v>
      </c>
      <c r="BG49" s="941">
        <f t="shared" si="0"/>
        <v>58</v>
      </c>
      <c r="BH49" s="941">
        <f t="shared" si="0"/>
        <v>59</v>
      </c>
      <c r="BI49" s="941">
        <f t="shared" si="0"/>
        <v>60</v>
      </c>
      <c r="BJ49" s="941">
        <f t="shared" si="0"/>
        <v>61</v>
      </c>
      <c r="BK49" s="941">
        <f t="shared" si="0"/>
        <v>62</v>
      </c>
    </row>
    <row r="50" spans="1:63">
      <c r="A50" s="950"/>
      <c r="B50" s="951"/>
      <c r="C50" s="952"/>
      <c r="D50" s="952"/>
      <c r="E50" s="952"/>
      <c r="F50" s="952"/>
      <c r="G50" s="952"/>
      <c r="H50" s="952"/>
      <c r="I50" s="952"/>
      <c r="J50" s="952"/>
      <c r="K50" s="952"/>
      <c r="L50" s="952"/>
      <c r="M50" s="952"/>
      <c r="N50" s="952"/>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c r="AL50" s="952"/>
      <c r="AM50" s="952"/>
      <c r="AN50" s="952"/>
      <c r="AO50" s="952"/>
      <c r="AP50" s="952"/>
      <c r="AQ50" s="952"/>
      <c r="AR50" s="952"/>
      <c r="AS50" s="952"/>
      <c r="AT50" s="952"/>
      <c r="AU50" s="952"/>
      <c r="AV50" s="952"/>
      <c r="AW50" s="952"/>
      <c r="AX50" s="952"/>
      <c r="AY50" s="952"/>
      <c r="AZ50" s="952"/>
      <c r="BA50" s="952"/>
      <c r="BB50" s="952"/>
      <c r="BC50" s="952"/>
      <c r="BD50" s="952"/>
      <c r="BE50" s="952"/>
      <c r="BF50" s="952"/>
      <c r="BG50" s="952"/>
      <c r="BH50" s="952"/>
      <c r="BI50" s="952"/>
      <c r="BJ50" s="952"/>
      <c r="BK50" s="952"/>
    </row>
    <row r="51" spans="1:63">
      <c r="A51" s="944" t="s">
        <v>3030</v>
      </c>
      <c r="B51" s="928" t="s">
        <v>3120</v>
      </c>
      <c r="C51" s="72"/>
      <c r="D51" s="72">
        <f>VLOOKUP($B51,$B$6:$BK$47,D$49, FALSE)</f>
        <v>0</v>
      </c>
      <c r="E51" s="72">
        <f t="shared" ref="E51:BJ55" si="1">VLOOKUP($B51,$B$6:$BK$47,E$49, FALSE)</f>
        <v>0</v>
      </c>
      <c r="F51" s="72">
        <f t="shared" si="1"/>
        <v>0</v>
      </c>
      <c r="G51" s="72">
        <f t="shared" si="1"/>
        <v>0</v>
      </c>
      <c r="H51" s="72">
        <f t="shared" si="1"/>
        <v>0</v>
      </c>
      <c r="I51" s="72">
        <f t="shared" si="1"/>
        <v>0</v>
      </c>
      <c r="J51" s="72">
        <f t="shared" si="1"/>
        <v>0</v>
      </c>
      <c r="K51" s="72">
        <f t="shared" si="1"/>
        <v>0</v>
      </c>
      <c r="L51" s="72">
        <f t="shared" si="1"/>
        <v>0</v>
      </c>
      <c r="M51" s="72">
        <f t="shared" si="1"/>
        <v>0</v>
      </c>
      <c r="N51" s="72">
        <f t="shared" si="1"/>
        <v>1</v>
      </c>
      <c r="O51" s="72">
        <f t="shared" si="1"/>
        <v>0</v>
      </c>
      <c r="P51" s="72">
        <f t="shared" si="1"/>
        <v>0</v>
      </c>
      <c r="Q51" s="72">
        <f t="shared" si="1"/>
        <v>0</v>
      </c>
      <c r="R51" s="72">
        <f t="shared" si="1"/>
        <v>1</v>
      </c>
      <c r="S51" s="72">
        <f t="shared" si="1"/>
        <v>0</v>
      </c>
      <c r="T51" s="72">
        <f t="shared" si="1"/>
        <v>0</v>
      </c>
      <c r="U51" s="72">
        <f t="shared" si="1"/>
        <v>0</v>
      </c>
      <c r="V51" s="72">
        <f t="shared" si="1"/>
        <v>0</v>
      </c>
      <c r="W51" s="72">
        <f t="shared" si="1"/>
        <v>0</v>
      </c>
      <c r="X51" s="72">
        <f t="shared" si="1"/>
        <v>0</v>
      </c>
      <c r="Y51" s="72">
        <f t="shared" si="1"/>
        <v>0</v>
      </c>
      <c r="Z51" s="72">
        <f t="shared" si="1"/>
        <v>0</v>
      </c>
      <c r="AA51" s="72">
        <f t="shared" si="1"/>
        <v>0</v>
      </c>
      <c r="AB51" s="72">
        <f t="shared" si="1"/>
        <v>0</v>
      </c>
      <c r="AC51" s="72">
        <f t="shared" si="1"/>
        <v>0</v>
      </c>
      <c r="AD51" s="72">
        <f t="shared" si="1"/>
        <v>1</v>
      </c>
      <c r="AE51" s="72">
        <f t="shared" si="1"/>
        <v>0</v>
      </c>
      <c r="AF51" s="72">
        <f t="shared" si="1"/>
        <v>0</v>
      </c>
      <c r="AG51" s="72">
        <f t="shared" si="1"/>
        <v>0</v>
      </c>
      <c r="AH51" s="72">
        <f t="shared" si="1"/>
        <v>0</v>
      </c>
      <c r="AI51" s="72">
        <f t="shared" si="1"/>
        <v>0</v>
      </c>
      <c r="AJ51" s="72">
        <f t="shared" si="1"/>
        <v>0</v>
      </c>
      <c r="AK51" s="72">
        <f t="shared" si="1"/>
        <v>0</v>
      </c>
      <c r="AL51" s="72">
        <f t="shared" si="1"/>
        <v>0</v>
      </c>
      <c r="AM51" s="72">
        <f t="shared" si="1"/>
        <v>0</v>
      </c>
      <c r="AN51" s="72">
        <f t="shared" si="1"/>
        <v>1</v>
      </c>
      <c r="AO51" s="72">
        <f t="shared" si="1"/>
        <v>0</v>
      </c>
      <c r="AP51" s="72">
        <f t="shared" si="1"/>
        <v>0</v>
      </c>
      <c r="AQ51" s="72">
        <f t="shared" si="1"/>
        <v>0</v>
      </c>
      <c r="AR51" s="72">
        <f t="shared" si="1"/>
        <v>0</v>
      </c>
      <c r="AS51" s="72">
        <f t="shared" si="1"/>
        <v>0</v>
      </c>
      <c r="AT51" s="72">
        <f t="shared" si="1"/>
        <v>0</v>
      </c>
      <c r="AU51" s="72">
        <f t="shared" si="1"/>
        <v>0</v>
      </c>
      <c r="AV51" s="72">
        <f t="shared" si="1"/>
        <v>0</v>
      </c>
      <c r="AW51" s="72">
        <f t="shared" si="1"/>
        <v>0</v>
      </c>
      <c r="AX51" s="72">
        <f t="shared" si="1"/>
        <v>0</v>
      </c>
      <c r="AY51" s="72">
        <f t="shared" si="1"/>
        <v>0</v>
      </c>
      <c r="AZ51" s="72">
        <f t="shared" si="1"/>
        <v>0</v>
      </c>
      <c r="BA51" s="72">
        <f t="shared" si="1"/>
        <v>1</v>
      </c>
      <c r="BB51" s="72">
        <f t="shared" si="1"/>
        <v>0</v>
      </c>
      <c r="BC51" s="72">
        <f t="shared" si="1"/>
        <v>0</v>
      </c>
      <c r="BD51" s="72">
        <f t="shared" si="1"/>
        <v>0</v>
      </c>
      <c r="BE51" s="72">
        <f t="shared" si="1"/>
        <v>0</v>
      </c>
      <c r="BF51" s="72">
        <f t="shared" si="1"/>
        <v>0</v>
      </c>
      <c r="BG51" s="72">
        <f t="shared" si="1"/>
        <v>0</v>
      </c>
      <c r="BH51" s="72">
        <f t="shared" si="1"/>
        <v>0</v>
      </c>
      <c r="BI51" s="72">
        <f t="shared" si="1"/>
        <v>0</v>
      </c>
      <c r="BJ51" s="72">
        <f t="shared" si="1"/>
        <v>0</v>
      </c>
      <c r="BK51" s="72"/>
    </row>
    <row r="52" spans="1:63">
      <c r="A52" s="944" t="s">
        <v>3031</v>
      </c>
      <c r="B52" s="928" t="s">
        <v>3131</v>
      </c>
      <c r="C52" s="72"/>
      <c r="D52" s="72">
        <f t="shared" ref="D52:S59" si="2">VLOOKUP($B52,$B$6:$BK$47,D$49, FALSE)</f>
        <v>0</v>
      </c>
      <c r="E52" s="72">
        <f t="shared" si="1"/>
        <v>0</v>
      </c>
      <c r="F52" s="72">
        <f t="shared" si="1"/>
        <v>0</v>
      </c>
      <c r="G52" s="72">
        <f t="shared" si="1"/>
        <v>0</v>
      </c>
      <c r="H52" s="72">
        <f t="shared" si="1"/>
        <v>0</v>
      </c>
      <c r="I52" s="72">
        <f t="shared" si="1"/>
        <v>0</v>
      </c>
      <c r="J52" s="72">
        <f t="shared" si="1"/>
        <v>0</v>
      </c>
      <c r="K52" s="72">
        <f t="shared" si="1"/>
        <v>0</v>
      </c>
      <c r="L52" s="72">
        <f t="shared" si="1"/>
        <v>0</v>
      </c>
      <c r="M52" s="72">
        <f t="shared" si="1"/>
        <v>0</v>
      </c>
      <c r="N52" s="72">
        <f t="shared" si="1"/>
        <v>1</v>
      </c>
      <c r="O52" s="72">
        <f t="shared" si="1"/>
        <v>0</v>
      </c>
      <c r="P52" s="72">
        <f t="shared" si="1"/>
        <v>0</v>
      </c>
      <c r="Q52" s="72">
        <f t="shared" si="1"/>
        <v>0</v>
      </c>
      <c r="R52" s="72">
        <f t="shared" si="1"/>
        <v>1</v>
      </c>
      <c r="S52" s="72">
        <f t="shared" si="1"/>
        <v>0</v>
      </c>
      <c r="T52" s="72">
        <f t="shared" si="1"/>
        <v>0</v>
      </c>
      <c r="U52" s="72">
        <f t="shared" si="1"/>
        <v>0</v>
      </c>
      <c r="V52" s="72">
        <f t="shared" si="1"/>
        <v>0</v>
      </c>
      <c r="W52" s="72">
        <f t="shared" si="1"/>
        <v>0</v>
      </c>
      <c r="X52" s="72">
        <f t="shared" si="1"/>
        <v>1</v>
      </c>
      <c r="Y52" s="72">
        <f t="shared" si="1"/>
        <v>0</v>
      </c>
      <c r="Z52" s="72">
        <f t="shared" si="1"/>
        <v>0</v>
      </c>
      <c r="AA52" s="72">
        <f t="shared" si="1"/>
        <v>0</v>
      </c>
      <c r="AB52" s="72">
        <f t="shared" si="1"/>
        <v>0</v>
      </c>
      <c r="AC52" s="72">
        <f t="shared" si="1"/>
        <v>0</v>
      </c>
      <c r="AD52" s="72">
        <f t="shared" si="1"/>
        <v>0</v>
      </c>
      <c r="AE52" s="72">
        <f t="shared" si="1"/>
        <v>0</v>
      </c>
      <c r="AF52" s="72">
        <f t="shared" si="1"/>
        <v>0</v>
      </c>
      <c r="AG52" s="72">
        <f t="shared" si="1"/>
        <v>0</v>
      </c>
      <c r="AH52" s="72">
        <f t="shared" si="1"/>
        <v>0</v>
      </c>
      <c r="AI52" s="72">
        <f t="shared" si="1"/>
        <v>1</v>
      </c>
      <c r="AJ52" s="72">
        <f t="shared" si="1"/>
        <v>0</v>
      </c>
      <c r="AK52" s="72">
        <f t="shared" si="1"/>
        <v>0</v>
      </c>
      <c r="AL52" s="72">
        <f t="shared" si="1"/>
        <v>6</v>
      </c>
      <c r="AM52" s="72">
        <f t="shared" si="1"/>
        <v>0</v>
      </c>
      <c r="AN52" s="72">
        <f t="shared" si="1"/>
        <v>1</v>
      </c>
      <c r="AO52" s="72">
        <f t="shared" si="1"/>
        <v>0</v>
      </c>
      <c r="AP52" s="72">
        <f t="shared" si="1"/>
        <v>0</v>
      </c>
      <c r="AQ52" s="72">
        <f t="shared" si="1"/>
        <v>0</v>
      </c>
      <c r="AR52" s="72">
        <f t="shared" si="1"/>
        <v>0</v>
      </c>
      <c r="AS52" s="72">
        <f t="shared" si="1"/>
        <v>0</v>
      </c>
      <c r="AT52" s="72">
        <f t="shared" si="1"/>
        <v>0</v>
      </c>
      <c r="AU52" s="72">
        <f t="shared" si="1"/>
        <v>0</v>
      </c>
      <c r="AV52" s="72">
        <f t="shared" si="1"/>
        <v>0</v>
      </c>
      <c r="AW52" s="72">
        <f t="shared" si="1"/>
        <v>0</v>
      </c>
      <c r="AX52" s="72">
        <f t="shared" si="1"/>
        <v>0</v>
      </c>
      <c r="AY52" s="72">
        <f t="shared" si="1"/>
        <v>0</v>
      </c>
      <c r="AZ52" s="72">
        <f t="shared" si="1"/>
        <v>0</v>
      </c>
      <c r="BA52" s="72">
        <f t="shared" si="1"/>
        <v>1</v>
      </c>
      <c r="BB52" s="72">
        <f t="shared" si="1"/>
        <v>0</v>
      </c>
      <c r="BC52" s="72">
        <f t="shared" si="1"/>
        <v>0</v>
      </c>
      <c r="BD52" s="72">
        <f t="shared" si="1"/>
        <v>0</v>
      </c>
      <c r="BE52" s="72">
        <f t="shared" si="1"/>
        <v>0</v>
      </c>
      <c r="BF52" s="72">
        <f t="shared" si="1"/>
        <v>0</v>
      </c>
      <c r="BG52" s="72">
        <f t="shared" si="1"/>
        <v>0</v>
      </c>
      <c r="BH52" s="72">
        <f t="shared" si="1"/>
        <v>0</v>
      </c>
      <c r="BI52" s="72">
        <f t="shared" si="1"/>
        <v>0</v>
      </c>
      <c r="BJ52" s="72">
        <f t="shared" si="1"/>
        <v>0</v>
      </c>
      <c r="BK52" s="72"/>
    </row>
    <row r="53" spans="1:63">
      <c r="A53" s="944" t="s">
        <v>3032</v>
      </c>
      <c r="B53" s="928" t="s">
        <v>3140</v>
      </c>
      <c r="C53" s="72"/>
      <c r="D53" s="72">
        <f t="shared" si="2"/>
        <v>0</v>
      </c>
      <c r="E53" s="72">
        <f t="shared" si="1"/>
        <v>6</v>
      </c>
      <c r="F53" s="72">
        <f t="shared" si="1"/>
        <v>0</v>
      </c>
      <c r="G53" s="72">
        <f t="shared" si="1"/>
        <v>0</v>
      </c>
      <c r="H53" s="72">
        <f t="shared" si="1"/>
        <v>0</v>
      </c>
      <c r="I53" s="72">
        <f t="shared" si="1"/>
        <v>6</v>
      </c>
      <c r="J53" s="72">
        <f t="shared" si="1"/>
        <v>0</v>
      </c>
      <c r="K53" s="72">
        <f t="shared" si="1"/>
        <v>2</v>
      </c>
      <c r="L53" s="72">
        <f t="shared" si="1"/>
        <v>0</v>
      </c>
      <c r="M53" s="72">
        <f t="shared" si="1"/>
        <v>0</v>
      </c>
      <c r="N53" s="72">
        <f t="shared" si="1"/>
        <v>1</v>
      </c>
      <c r="O53" s="72">
        <f t="shared" si="1"/>
        <v>0</v>
      </c>
      <c r="P53" s="72">
        <f t="shared" si="1"/>
        <v>0</v>
      </c>
      <c r="Q53" s="72">
        <f t="shared" si="1"/>
        <v>0</v>
      </c>
      <c r="R53" s="72">
        <f t="shared" si="1"/>
        <v>1</v>
      </c>
      <c r="S53" s="72">
        <f t="shared" si="1"/>
        <v>0</v>
      </c>
      <c r="T53" s="72">
        <f t="shared" si="1"/>
        <v>0</v>
      </c>
      <c r="U53" s="72">
        <f t="shared" si="1"/>
        <v>0</v>
      </c>
      <c r="V53" s="72">
        <f t="shared" si="1"/>
        <v>0</v>
      </c>
      <c r="W53" s="72">
        <f t="shared" si="1"/>
        <v>0</v>
      </c>
      <c r="X53" s="72">
        <f t="shared" si="1"/>
        <v>1</v>
      </c>
      <c r="Y53" s="72">
        <f t="shared" si="1"/>
        <v>0</v>
      </c>
      <c r="Z53" s="72">
        <f t="shared" si="1"/>
        <v>0</v>
      </c>
      <c r="AA53" s="72">
        <f t="shared" si="1"/>
        <v>0</v>
      </c>
      <c r="AB53" s="72">
        <f t="shared" si="1"/>
        <v>0</v>
      </c>
      <c r="AC53" s="72">
        <f t="shared" si="1"/>
        <v>0</v>
      </c>
      <c r="AD53" s="72">
        <f t="shared" si="1"/>
        <v>0</v>
      </c>
      <c r="AE53" s="72">
        <f t="shared" si="1"/>
        <v>0</v>
      </c>
      <c r="AF53" s="72">
        <f t="shared" si="1"/>
        <v>0</v>
      </c>
      <c r="AG53" s="72">
        <f t="shared" si="1"/>
        <v>0</v>
      </c>
      <c r="AH53" s="72">
        <f t="shared" si="1"/>
        <v>1</v>
      </c>
      <c r="AI53" s="72">
        <f t="shared" si="1"/>
        <v>1</v>
      </c>
      <c r="AJ53" s="72">
        <f t="shared" si="1"/>
        <v>0</v>
      </c>
      <c r="AK53" s="72">
        <f t="shared" si="1"/>
        <v>3</v>
      </c>
      <c r="AL53" s="72">
        <f t="shared" si="1"/>
        <v>4</v>
      </c>
      <c r="AM53" s="72">
        <f t="shared" si="1"/>
        <v>0</v>
      </c>
      <c r="AN53" s="72">
        <f t="shared" si="1"/>
        <v>2</v>
      </c>
      <c r="AO53" s="72">
        <f t="shared" si="1"/>
        <v>2</v>
      </c>
      <c r="AP53" s="72">
        <f t="shared" si="1"/>
        <v>0</v>
      </c>
      <c r="AQ53" s="72">
        <f t="shared" si="1"/>
        <v>3</v>
      </c>
      <c r="AR53" s="72">
        <f t="shared" si="1"/>
        <v>2</v>
      </c>
      <c r="AS53" s="72">
        <f t="shared" si="1"/>
        <v>0</v>
      </c>
      <c r="AT53" s="72">
        <f t="shared" si="1"/>
        <v>3</v>
      </c>
      <c r="AU53" s="72">
        <f t="shared" si="1"/>
        <v>0</v>
      </c>
      <c r="AV53" s="72">
        <f t="shared" si="1"/>
        <v>0</v>
      </c>
      <c r="AW53" s="72">
        <f t="shared" si="1"/>
        <v>3</v>
      </c>
      <c r="AX53" s="72">
        <f t="shared" si="1"/>
        <v>0</v>
      </c>
      <c r="AY53" s="72">
        <f t="shared" si="1"/>
        <v>0</v>
      </c>
      <c r="AZ53" s="72">
        <f t="shared" si="1"/>
        <v>0</v>
      </c>
      <c r="BA53" s="72">
        <f t="shared" si="1"/>
        <v>2</v>
      </c>
      <c r="BB53" s="72">
        <f t="shared" si="1"/>
        <v>0</v>
      </c>
      <c r="BC53" s="72">
        <f t="shared" si="1"/>
        <v>0</v>
      </c>
      <c r="BD53" s="72">
        <f t="shared" si="1"/>
        <v>0</v>
      </c>
      <c r="BE53" s="72">
        <f t="shared" si="1"/>
        <v>0</v>
      </c>
      <c r="BF53" s="72">
        <f t="shared" si="1"/>
        <v>0</v>
      </c>
      <c r="BG53" s="72">
        <f t="shared" si="1"/>
        <v>0</v>
      </c>
      <c r="BH53" s="72">
        <f t="shared" si="1"/>
        <v>3</v>
      </c>
      <c r="BI53" s="72">
        <f t="shared" si="1"/>
        <v>1</v>
      </c>
      <c r="BJ53" s="72">
        <f t="shared" si="1"/>
        <v>1</v>
      </c>
      <c r="BK53" s="72"/>
    </row>
    <row r="54" spans="1:63">
      <c r="A54" s="944" t="s">
        <v>3033</v>
      </c>
      <c r="B54" s="928" t="s">
        <v>3140</v>
      </c>
      <c r="C54" s="72"/>
      <c r="D54" s="72">
        <f t="shared" si="2"/>
        <v>0</v>
      </c>
      <c r="E54" s="72">
        <f t="shared" si="1"/>
        <v>6</v>
      </c>
      <c r="F54" s="72">
        <f t="shared" si="1"/>
        <v>0</v>
      </c>
      <c r="G54" s="72">
        <f t="shared" si="1"/>
        <v>0</v>
      </c>
      <c r="H54" s="72">
        <f t="shared" si="1"/>
        <v>0</v>
      </c>
      <c r="I54" s="72">
        <f t="shared" si="1"/>
        <v>6</v>
      </c>
      <c r="J54" s="72">
        <f t="shared" si="1"/>
        <v>0</v>
      </c>
      <c r="K54" s="72">
        <f t="shared" si="1"/>
        <v>2</v>
      </c>
      <c r="L54" s="72">
        <f t="shared" si="1"/>
        <v>0</v>
      </c>
      <c r="M54" s="72">
        <f t="shared" si="1"/>
        <v>0</v>
      </c>
      <c r="N54" s="72">
        <f t="shared" si="1"/>
        <v>1</v>
      </c>
      <c r="O54" s="72">
        <f t="shared" si="1"/>
        <v>0</v>
      </c>
      <c r="P54" s="72">
        <f t="shared" si="1"/>
        <v>0</v>
      </c>
      <c r="Q54" s="72">
        <f t="shared" si="1"/>
        <v>0</v>
      </c>
      <c r="R54" s="72">
        <f t="shared" si="1"/>
        <v>1</v>
      </c>
      <c r="S54" s="72">
        <f t="shared" si="1"/>
        <v>0</v>
      </c>
      <c r="T54" s="72">
        <f t="shared" si="1"/>
        <v>0</v>
      </c>
      <c r="U54" s="72">
        <f t="shared" si="1"/>
        <v>0</v>
      </c>
      <c r="V54" s="72">
        <f t="shared" si="1"/>
        <v>0</v>
      </c>
      <c r="W54" s="72">
        <f t="shared" si="1"/>
        <v>0</v>
      </c>
      <c r="X54" s="72">
        <f t="shared" si="1"/>
        <v>1</v>
      </c>
      <c r="Y54" s="72">
        <f t="shared" si="1"/>
        <v>0</v>
      </c>
      <c r="Z54" s="72">
        <f t="shared" si="1"/>
        <v>0</v>
      </c>
      <c r="AA54" s="72">
        <f t="shared" si="1"/>
        <v>0</v>
      </c>
      <c r="AB54" s="72">
        <f t="shared" si="1"/>
        <v>0</v>
      </c>
      <c r="AC54" s="72">
        <f t="shared" si="1"/>
        <v>0</v>
      </c>
      <c r="AD54" s="72">
        <f t="shared" si="1"/>
        <v>0</v>
      </c>
      <c r="AE54" s="72">
        <f t="shared" si="1"/>
        <v>0</v>
      </c>
      <c r="AF54" s="72">
        <f t="shared" si="1"/>
        <v>0</v>
      </c>
      <c r="AG54" s="72">
        <f t="shared" si="1"/>
        <v>0</v>
      </c>
      <c r="AH54" s="72">
        <f t="shared" si="1"/>
        <v>1</v>
      </c>
      <c r="AI54" s="72">
        <f t="shared" si="1"/>
        <v>1</v>
      </c>
      <c r="AJ54" s="72">
        <f t="shared" si="1"/>
        <v>0</v>
      </c>
      <c r="AK54" s="72">
        <f t="shared" si="1"/>
        <v>3</v>
      </c>
      <c r="AL54" s="72">
        <f t="shared" si="1"/>
        <v>4</v>
      </c>
      <c r="AM54" s="72">
        <f t="shared" si="1"/>
        <v>0</v>
      </c>
      <c r="AN54" s="72">
        <f t="shared" si="1"/>
        <v>2</v>
      </c>
      <c r="AO54" s="72">
        <f t="shared" si="1"/>
        <v>2</v>
      </c>
      <c r="AP54" s="72">
        <f t="shared" si="1"/>
        <v>0</v>
      </c>
      <c r="AQ54" s="72">
        <f t="shared" si="1"/>
        <v>3</v>
      </c>
      <c r="AR54" s="72">
        <f t="shared" si="1"/>
        <v>2</v>
      </c>
      <c r="AS54" s="72">
        <f t="shared" si="1"/>
        <v>0</v>
      </c>
      <c r="AT54" s="72">
        <f t="shared" si="1"/>
        <v>3</v>
      </c>
      <c r="AU54" s="72">
        <f t="shared" si="1"/>
        <v>0</v>
      </c>
      <c r="AV54" s="72">
        <f t="shared" si="1"/>
        <v>0</v>
      </c>
      <c r="AW54" s="72">
        <f t="shared" si="1"/>
        <v>3</v>
      </c>
      <c r="AX54" s="72">
        <f t="shared" si="1"/>
        <v>0</v>
      </c>
      <c r="AY54" s="72">
        <f t="shared" si="1"/>
        <v>0</v>
      </c>
      <c r="AZ54" s="72">
        <f t="shared" si="1"/>
        <v>0</v>
      </c>
      <c r="BA54" s="72">
        <f t="shared" si="1"/>
        <v>2</v>
      </c>
      <c r="BB54" s="72">
        <f t="shared" si="1"/>
        <v>0</v>
      </c>
      <c r="BC54" s="72">
        <f t="shared" si="1"/>
        <v>0</v>
      </c>
      <c r="BD54" s="72">
        <f t="shared" si="1"/>
        <v>0</v>
      </c>
      <c r="BE54" s="72">
        <f t="shared" si="1"/>
        <v>0</v>
      </c>
      <c r="BF54" s="72">
        <f t="shared" si="1"/>
        <v>0</v>
      </c>
      <c r="BG54" s="72">
        <f t="shared" si="1"/>
        <v>0</v>
      </c>
      <c r="BH54" s="72">
        <f t="shared" si="1"/>
        <v>3</v>
      </c>
      <c r="BI54" s="72">
        <f t="shared" si="1"/>
        <v>1</v>
      </c>
      <c r="BJ54" s="72">
        <f t="shared" si="1"/>
        <v>1</v>
      </c>
      <c r="BK54" s="72"/>
    </row>
    <row r="55" spans="1:63">
      <c r="A55" s="944" t="s">
        <v>3034</v>
      </c>
      <c r="B55" s="928" t="s">
        <v>3140</v>
      </c>
      <c r="C55" s="72"/>
      <c r="D55" s="72">
        <f t="shared" si="2"/>
        <v>0</v>
      </c>
      <c r="E55" s="72">
        <f t="shared" si="1"/>
        <v>6</v>
      </c>
      <c r="F55" s="72">
        <f t="shared" si="1"/>
        <v>0</v>
      </c>
      <c r="G55" s="72">
        <f t="shared" si="1"/>
        <v>0</v>
      </c>
      <c r="H55" s="72">
        <f t="shared" si="1"/>
        <v>0</v>
      </c>
      <c r="I55" s="72">
        <f t="shared" si="1"/>
        <v>6</v>
      </c>
      <c r="J55" s="72">
        <f t="shared" si="1"/>
        <v>0</v>
      </c>
      <c r="K55" s="72">
        <f t="shared" si="1"/>
        <v>2</v>
      </c>
      <c r="L55" s="72">
        <f t="shared" si="1"/>
        <v>0</v>
      </c>
      <c r="M55" s="72">
        <f t="shared" si="1"/>
        <v>0</v>
      </c>
      <c r="N55" s="72">
        <f t="shared" si="1"/>
        <v>1</v>
      </c>
      <c r="O55" s="72">
        <f t="shared" si="1"/>
        <v>0</v>
      </c>
      <c r="P55" s="72">
        <f t="shared" si="1"/>
        <v>0</v>
      </c>
      <c r="Q55" s="72">
        <f t="shared" si="1"/>
        <v>0</v>
      </c>
      <c r="R55" s="72">
        <f t="shared" si="1"/>
        <v>1</v>
      </c>
      <c r="S55" s="72">
        <f t="shared" si="1"/>
        <v>0</v>
      </c>
      <c r="T55" s="72">
        <f t="shared" si="1"/>
        <v>0</v>
      </c>
      <c r="U55" s="72">
        <f t="shared" si="1"/>
        <v>0</v>
      </c>
      <c r="V55" s="72">
        <f t="shared" si="1"/>
        <v>0</v>
      </c>
      <c r="W55" s="72">
        <f t="shared" si="1"/>
        <v>0</v>
      </c>
      <c r="X55" s="72">
        <f t="shared" si="1"/>
        <v>1</v>
      </c>
      <c r="Y55" s="72">
        <f t="shared" si="1"/>
        <v>0</v>
      </c>
      <c r="Z55" s="72">
        <f t="shared" si="1"/>
        <v>0</v>
      </c>
      <c r="AA55" s="72">
        <f t="shared" si="1"/>
        <v>0</v>
      </c>
      <c r="AB55" s="72">
        <f t="shared" ref="AB55:AQ59" si="3">VLOOKUP($B55,$B$6:$BK$47,AB$49, FALSE)</f>
        <v>0</v>
      </c>
      <c r="AC55" s="72">
        <f t="shared" si="3"/>
        <v>0</v>
      </c>
      <c r="AD55" s="72">
        <f t="shared" si="3"/>
        <v>0</v>
      </c>
      <c r="AE55" s="72">
        <f t="shared" si="3"/>
        <v>0</v>
      </c>
      <c r="AF55" s="72">
        <f t="shared" si="3"/>
        <v>0</v>
      </c>
      <c r="AG55" s="72">
        <f t="shared" si="3"/>
        <v>0</v>
      </c>
      <c r="AH55" s="72">
        <f t="shared" si="3"/>
        <v>1</v>
      </c>
      <c r="AI55" s="72">
        <f t="shared" si="3"/>
        <v>1</v>
      </c>
      <c r="AJ55" s="72">
        <f t="shared" si="3"/>
        <v>0</v>
      </c>
      <c r="AK55" s="72">
        <f t="shared" si="3"/>
        <v>3</v>
      </c>
      <c r="AL55" s="72">
        <f t="shared" si="3"/>
        <v>4</v>
      </c>
      <c r="AM55" s="72">
        <f t="shared" si="3"/>
        <v>0</v>
      </c>
      <c r="AN55" s="72">
        <f t="shared" si="3"/>
        <v>2</v>
      </c>
      <c r="AO55" s="72">
        <f t="shared" si="3"/>
        <v>2</v>
      </c>
      <c r="AP55" s="72">
        <f t="shared" si="3"/>
        <v>0</v>
      </c>
      <c r="AQ55" s="72">
        <f t="shared" si="3"/>
        <v>3</v>
      </c>
      <c r="AR55" s="72">
        <f t="shared" ref="AR55:BG59" si="4">VLOOKUP($B55,$B$6:$BK$47,AR$49, FALSE)</f>
        <v>2</v>
      </c>
      <c r="AS55" s="72">
        <f t="shared" si="4"/>
        <v>0</v>
      </c>
      <c r="AT55" s="72">
        <f t="shared" si="4"/>
        <v>3</v>
      </c>
      <c r="AU55" s="72">
        <f t="shared" si="4"/>
        <v>0</v>
      </c>
      <c r="AV55" s="72">
        <f t="shared" si="4"/>
        <v>0</v>
      </c>
      <c r="AW55" s="72">
        <f t="shared" si="4"/>
        <v>3</v>
      </c>
      <c r="AX55" s="72">
        <f t="shared" si="4"/>
        <v>0</v>
      </c>
      <c r="AY55" s="72">
        <f t="shared" si="4"/>
        <v>0</v>
      </c>
      <c r="AZ55" s="72">
        <f t="shared" si="4"/>
        <v>0</v>
      </c>
      <c r="BA55" s="72">
        <f t="shared" si="4"/>
        <v>2</v>
      </c>
      <c r="BB55" s="72">
        <f t="shared" si="4"/>
        <v>0</v>
      </c>
      <c r="BC55" s="72">
        <f t="shared" si="4"/>
        <v>0</v>
      </c>
      <c r="BD55" s="72">
        <f t="shared" si="4"/>
        <v>0</v>
      </c>
      <c r="BE55" s="72">
        <f t="shared" si="4"/>
        <v>0</v>
      </c>
      <c r="BF55" s="72">
        <f t="shared" si="4"/>
        <v>0</v>
      </c>
      <c r="BG55" s="72">
        <f t="shared" si="4"/>
        <v>0</v>
      </c>
      <c r="BH55" s="72">
        <f t="shared" ref="BH55:BJ59" si="5">VLOOKUP($B55,$B$6:$BK$47,BH$49, FALSE)</f>
        <v>3</v>
      </c>
      <c r="BI55" s="72">
        <f t="shared" si="5"/>
        <v>1</v>
      </c>
      <c r="BJ55" s="72">
        <f t="shared" si="5"/>
        <v>1</v>
      </c>
      <c r="BK55" s="72"/>
    </row>
    <row r="56" spans="1:63">
      <c r="A56" s="944" t="s">
        <v>3035</v>
      </c>
      <c r="B56" s="928" t="s">
        <v>3140</v>
      </c>
      <c r="C56" s="72"/>
      <c r="D56" s="72">
        <f t="shared" si="2"/>
        <v>0</v>
      </c>
      <c r="E56" s="72">
        <f t="shared" si="2"/>
        <v>6</v>
      </c>
      <c r="F56" s="72">
        <f t="shared" si="2"/>
        <v>0</v>
      </c>
      <c r="G56" s="72">
        <f t="shared" si="2"/>
        <v>0</v>
      </c>
      <c r="H56" s="72">
        <f t="shared" si="2"/>
        <v>0</v>
      </c>
      <c r="I56" s="72">
        <f t="shared" si="2"/>
        <v>6</v>
      </c>
      <c r="J56" s="72">
        <f t="shared" si="2"/>
        <v>0</v>
      </c>
      <c r="K56" s="72">
        <f t="shared" si="2"/>
        <v>2</v>
      </c>
      <c r="L56" s="72">
        <f t="shared" si="2"/>
        <v>0</v>
      </c>
      <c r="M56" s="72">
        <f t="shared" si="2"/>
        <v>0</v>
      </c>
      <c r="N56" s="72">
        <f t="shared" si="2"/>
        <v>1</v>
      </c>
      <c r="O56" s="72">
        <f t="shared" si="2"/>
        <v>0</v>
      </c>
      <c r="P56" s="72">
        <f t="shared" si="2"/>
        <v>0</v>
      </c>
      <c r="Q56" s="72">
        <f t="shared" si="2"/>
        <v>0</v>
      </c>
      <c r="R56" s="72">
        <f t="shared" si="2"/>
        <v>1</v>
      </c>
      <c r="S56" s="72">
        <f t="shared" si="2"/>
        <v>0</v>
      </c>
      <c r="T56" s="72">
        <f t="shared" ref="T56:AI59" si="6">VLOOKUP($B56,$B$6:$BK$47,T$49, FALSE)</f>
        <v>0</v>
      </c>
      <c r="U56" s="72">
        <f t="shared" si="6"/>
        <v>0</v>
      </c>
      <c r="V56" s="72">
        <f t="shared" si="6"/>
        <v>0</v>
      </c>
      <c r="W56" s="72">
        <f t="shared" si="6"/>
        <v>0</v>
      </c>
      <c r="X56" s="72">
        <f t="shared" si="6"/>
        <v>1</v>
      </c>
      <c r="Y56" s="72">
        <f t="shared" si="6"/>
        <v>0</v>
      </c>
      <c r="Z56" s="72">
        <f t="shared" si="6"/>
        <v>0</v>
      </c>
      <c r="AA56" s="72">
        <f t="shared" si="6"/>
        <v>0</v>
      </c>
      <c r="AB56" s="72">
        <f t="shared" si="6"/>
        <v>0</v>
      </c>
      <c r="AC56" s="72">
        <f t="shared" si="6"/>
        <v>0</v>
      </c>
      <c r="AD56" s="72">
        <f t="shared" si="6"/>
        <v>0</v>
      </c>
      <c r="AE56" s="72">
        <f t="shared" si="6"/>
        <v>0</v>
      </c>
      <c r="AF56" s="72">
        <f t="shared" si="6"/>
        <v>0</v>
      </c>
      <c r="AG56" s="72">
        <f t="shared" si="6"/>
        <v>0</v>
      </c>
      <c r="AH56" s="72">
        <f t="shared" si="6"/>
        <v>1</v>
      </c>
      <c r="AI56" s="72">
        <f t="shared" si="6"/>
        <v>1</v>
      </c>
      <c r="AJ56" s="72">
        <f t="shared" si="3"/>
        <v>0</v>
      </c>
      <c r="AK56" s="72">
        <f t="shared" si="3"/>
        <v>3</v>
      </c>
      <c r="AL56" s="72">
        <f t="shared" si="3"/>
        <v>4</v>
      </c>
      <c r="AM56" s="72">
        <f t="shared" si="3"/>
        <v>0</v>
      </c>
      <c r="AN56" s="72">
        <f t="shared" si="3"/>
        <v>2</v>
      </c>
      <c r="AO56" s="72">
        <f t="shared" si="3"/>
        <v>2</v>
      </c>
      <c r="AP56" s="72">
        <f t="shared" si="3"/>
        <v>0</v>
      </c>
      <c r="AQ56" s="72">
        <f t="shared" si="3"/>
        <v>3</v>
      </c>
      <c r="AR56" s="72">
        <f t="shared" si="4"/>
        <v>2</v>
      </c>
      <c r="AS56" s="72">
        <f t="shared" si="4"/>
        <v>0</v>
      </c>
      <c r="AT56" s="72">
        <f t="shared" si="4"/>
        <v>3</v>
      </c>
      <c r="AU56" s="72">
        <f t="shared" si="4"/>
        <v>0</v>
      </c>
      <c r="AV56" s="72">
        <f t="shared" si="4"/>
        <v>0</v>
      </c>
      <c r="AW56" s="72">
        <f t="shared" si="4"/>
        <v>3</v>
      </c>
      <c r="AX56" s="72">
        <f t="shared" si="4"/>
        <v>0</v>
      </c>
      <c r="AY56" s="72">
        <f t="shared" si="4"/>
        <v>0</v>
      </c>
      <c r="AZ56" s="72">
        <f t="shared" si="4"/>
        <v>0</v>
      </c>
      <c r="BA56" s="72">
        <f t="shared" si="4"/>
        <v>2</v>
      </c>
      <c r="BB56" s="72">
        <f t="shared" si="4"/>
        <v>0</v>
      </c>
      <c r="BC56" s="72">
        <f t="shared" si="4"/>
        <v>0</v>
      </c>
      <c r="BD56" s="72">
        <f t="shared" si="4"/>
        <v>0</v>
      </c>
      <c r="BE56" s="72">
        <f t="shared" si="4"/>
        <v>0</v>
      </c>
      <c r="BF56" s="72">
        <f t="shared" si="4"/>
        <v>0</v>
      </c>
      <c r="BG56" s="72">
        <f t="shared" si="4"/>
        <v>0</v>
      </c>
      <c r="BH56" s="72">
        <f t="shared" si="5"/>
        <v>3</v>
      </c>
      <c r="BI56" s="72">
        <f t="shared" si="5"/>
        <v>1</v>
      </c>
      <c r="BJ56" s="72">
        <f t="shared" si="5"/>
        <v>1</v>
      </c>
      <c r="BK56" s="72"/>
    </row>
    <row r="57" spans="1:63">
      <c r="A57" s="944" t="s">
        <v>3036</v>
      </c>
      <c r="B57" s="928" t="s">
        <v>3140</v>
      </c>
      <c r="C57" s="72"/>
      <c r="D57" s="72">
        <f t="shared" si="2"/>
        <v>0</v>
      </c>
      <c r="E57" s="72">
        <f t="shared" si="2"/>
        <v>6</v>
      </c>
      <c r="F57" s="72">
        <f t="shared" si="2"/>
        <v>0</v>
      </c>
      <c r="G57" s="72">
        <f t="shared" si="2"/>
        <v>0</v>
      </c>
      <c r="H57" s="72">
        <f t="shared" si="2"/>
        <v>0</v>
      </c>
      <c r="I57" s="72">
        <f t="shared" si="2"/>
        <v>6</v>
      </c>
      <c r="J57" s="72">
        <f t="shared" si="2"/>
        <v>0</v>
      </c>
      <c r="K57" s="72">
        <f t="shared" si="2"/>
        <v>2</v>
      </c>
      <c r="L57" s="72">
        <f t="shared" si="2"/>
        <v>0</v>
      </c>
      <c r="M57" s="72">
        <f t="shared" si="2"/>
        <v>0</v>
      </c>
      <c r="N57" s="72">
        <f t="shared" si="2"/>
        <v>1</v>
      </c>
      <c r="O57" s="72">
        <f t="shared" si="2"/>
        <v>0</v>
      </c>
      <c r="P57" s="72">
        <f t="shared" si="2"/>
        <v>0</v>
      </c>
      <c r="Q57" s="72">
        <f t="shared" si="2"/>
        <v>0</v>
      </c>
      <c r="R57" s="72">
        <f t="shared" si="2"/>
        <v>1</v>
      </c>
      <c r="S57" s="72">
        <f t="shared" si="2"/>
        <v>0</v>
      </c>
      <c r="T57" s="72">
        <f t="shared" si="6"/>
        <v>0</v>
      </c>
      <c r="U57" s="72">
        <f t="shared" si="6"/>
        <v>0</v>
      </c>
      <c r="V57" s="72">
        <f t="shared" si="6"/>
        <v>0</v>
      </c>
      <c r="W57" s="72">
        <f t="shared" si="6"/>
        <v>0</v>
      </c>
      <c r="X57" s="72">
        <f t="shared" si="6"/>
        <v>1</v>
      </c>
      <c r="Y57" s="72">
        <f t="shared" si="6"/>
        <v>0</v>
      </c>
      <c r="Z57" s="72">
        <f t="shared" si="6"/>
        <v>0</v>
      </c>
      <c r="AA57" s="72">
        <f t="shared" si="6"/>
        <v>0</v>
      </c>
      <c r="AB57" s="72">
        <f t="shared" si="6"/>
        <v>0</v>
      </c>
      <c r="AC57" s="72">
        <f t="shared" si="6"/>
        <v>0</v>
      </c>
      <c r="AD57" s="72">
        <f t="shared" si="6"/>
        <v>0</v>
      </c>
      <c r="AE57" s="72">
        <f t="shared" si="6"/>
        <v>0</v>
      </c>
      <c r="AF57" s="72">
        <f t="shared" si="6"/>
        <v>0</v>
      </c>
      <c r="AG57" s="72">
        <f t="shared" si="6"/>
        <v>0</v>
      </c>
      <c r="AH57" s="72">
        <f t="shared" si="6"/>
        <v>1</v>
      </c>
      <c r="AI57" s="72">
        <f t="shared" si="6"/>
        <v>1</v>
      </c>
      <c r="AJ57" s="72">
        <f t="shared" si="3"/>
        <v>0</v>
      </c>
      <c r="AK57" s="72">
        <f t="shared" si="3"/>
        <v>3</v>
      </c>
      <c r="AL57" s="72">
        <f t="shared" si="3"/>
        <v>4</v>
      </c>
      <c r="AM57" s="72">
        <f t="shared" si="3"/>
        <v>0</v>
      </c>
      <c r="AN57" s="72">
        <f t="shared" si="3"/>
        <v>2</v>
      </c>
      <c r="AO57" s="72">
        <f t="shared" si="3"/>
        <v>2</v>
      </c>
      <c r="AP57" s="72">
        <f t="shared" si="3"/>
        <v>0</v>
      </c>
      <c r="AQ57" s="72">
        <f t="shared" si="3"/>
        <v>3</v>
      </c>
      <c r="AR57" s="72">
        <f t="shared" si="4"/>
        <v>2</v>
      </c>
      <c r="AS57" s="72">
        <f t="shared" si="4"/>
        <v>0</v>
      </c>
      <c r="AT57" s="72">
        <f t="shared" si="4"/>
        <v>3</v>
      </c>
      <c r="AU57" s="72">
        <f t="shared" si="4"/>
        <v>0</v>
      </c>
      <c r="AV57" s="72">
        <f t="shared" si="4"/>
        <v>0</v>
      </c>
      <c r="AW57" s="72">
        <f t="shared" si="4"/>
        <v>3</v>
      </c>
      <c r="AX57" s="72">
        <f t="shared" si="4"/>
        <v>0</v>
      </c>
      <c r="AY57" s="72">
        <f t="shared" si="4"/>
        <v>0</v>
      </c>
      <c r="AZ57" s="72">
        <f t="shared" si="4"/>
        <v>0</v>
      </c>
      <c r="BA57" s="72">
        <f t="shared" si="4"/>
        <v>2</v>
      </c>
      <c r="BB57" s="72">
        <f t="shared" si="4"/>
        <v>0</v>
      </c>
      <c r="BC57" s="72">
        <f t="shared" si="4"/>
        <v>0</v>
      </c>
      <c r="BD57" s="72">
        <f t="shared" si="4"/>
        <v>0</v>
      </c>
      <c r="BE57" s="72">
        <f t="shared" si="4"/>
        <v>0</v>
      </c>
      <c r="BF57" s="72">
        <f t="shared" si="4"/>
        <v>0</v>
      </c>
      <c r="BG57" s="72">
        <f t="shared" si="4"/>
        <v>0</v>
      </c>
      <c r="BH57" s="72">
        <f t="shared" si="5"/>
        <v>3</v>
      </c>
      <c r="BI57" s="72">
        <f t="shared" si="5"/>
        <v>1</v>
      </c>
      <c r="BJ57" s="72">
        <f t="shared" si="5"/>
        <v>1</v>
      </c>
      <c r="BK57" s="72"/>
    </row>
    <row r="58" spans="1:63">
      <c r="A58" s="944" t="s">
        <v>3037</v>
      </c>
      <c r="B58" s="928" t="s">
        <v>3140</v>
      </c>
      <c r="C58" s="72"/>
      <c r="D58" s="72">
        <f t="shared" si="2"/>
        <v>0</v>
      </c>
      <c r="E58" s="72">
        <f t="shared" si="2"/>
        <v>6</v>
      </c>
      <c r="F58" s="72">
        <f t="shared" si="2"/>
        <v>0</v>
      </c>
      <c r="G58" s="72">
        <f t="shared" si="2"/>
        <v>0</v>
      </c>
      <c r="H58" s="72">
        <f t="shared" si="2"/>
        <v>0</v>
      </c>
      <c r="I58" s="72">
        <f t="shared" si="2"/>
        <v>6</v>
      </c>
      <c r="J58" s="72">
        <f t="shared" si="2"/>
        <v>0</v>
      </c>
      <c r="K58" s="72">
        <f t="shared" si="2"/>
        <v>2</v>
      </c>
      <c r="L58" s="72">
        <f t="shared" si="2"/>
        <v>0</v>
      </c>
      <c r="M58" s="72">
        <f t="shared" si="2"/>
        <v>0</v>
      </c>
      <c r="N58" s="72">
        <f t="shared" si="2"/>
        <v>1</v>
      </c>
      <c r="O58" s="72">
        <f t="shared" si="2"/>
        <v>0</v>
      </c>
      <c r="P58" s="72">
        <f t="shared" si="2"/>
        <v>0</v>
      </c>
      <c r="Q58" s="72">
        <f t="shared" si="2"/>
        <v>0</v>
      </c>
      <c r="R58" s="72">
        <f t="shared" si="2"/>
        <v>1</v>
      </c>
      <c r="S58" s="72">
        <f t="shared" si="2"/>
        <v>0</v>
      </c>
      <c r="T58" s="72">
        <f t="shared" si="6"/>
        <v>0</v>
      </c>
      <c r="U58" s="72">
        <f t="shared" si="6"/>
        <v>0</v>
      </c>
      <c r="V58" s="72">
        <f t="shared" si="6"/>
        <v>0</v>
      </c>
      <c r="W58" s="72">
        <f t="shared" si="6"/>
        <v>0</v>
      </c>
      <c r="X58" s="72">
        <f t="shared" si="6"/>
        <v>1</v>
      </c>
      <c r="Y58" s="72">
        <f t="shared" si="6"/>
        <v>0</v>
      </c>
      <c r="Z58" s="72">
        <f t="shared" si="6"/>
        <v>0</v>
      </c>
      <c r="AA58" s="72">
        <f t="shared" si="6"/>
        <v>0</v>
      </c>
      <c r="AB58" s="72">
        <f t="shared" si="6"/>
        <v>0</v>
      </c>
      <c r="AC58" s="72">
        <f t="shared" si="6"/>
        <v>0</v>
      </c>
      <c r="AD58" s="72">
        <f t="shared" si="6"/>
        <v>0</v>
      </c>
      <c r="AE58" s="72">
        <f t="shared" si="6"/>
        <v>0</v>
      </c>
      <c r="AF58" s="72">
        <f t="shared" si="6"/>
        <v>0</v>
      </c>
      <c r="AG58" s="72">
        <f t="shared" si="6"/>
        <v>0</v>
      </c>
      <c r="AH58" s="72">
        <f t="shared" si="6"/>
        <v>1</v>
      </c>
      <c r="AI58" s="72">
        <f t="shared" si="6"/>
        <v>1</v>
      </c>
      <c r="AJ58" s="72">
        <f t="shared" si="3"/>
        <v>0</v>
      </c>
      <c r="AK58" s="72">
        <f t="shared" si="3"/>
        <v>3</v>
      </c>
      <c r="AL58" s="72">
        <f t="shared" si="3"/>
        <v>4</v>
      </c>
      <c r="AM58" s="72">
        <f t="shared" si="3"/>
        <v>0</v>
      </c>
      <c r="AN58" s="72">
        <f t="shared" si="3"/>
        <v>2</v>
      </c>
      <c r="AO58" s="72">
        <f t="shared" si="3"/>
        <v>2</v>
      </c>
      <c r="AP58" s="72">
        <f t="shared" si="3"/>
        <v>0</v>
      </c>
      <c r="AQ58" s="72">
        <f t="shared" si="3"/>
        <v>3</v>
      </c>
      <c r="AR58" s="72">
        <f t="shared" si="4"/>
        <v>2</v>
      </c>
      <c r="AS58" s="72">
        <f t="shared" si="4"/>
        <v>0</v>
      </c>
      <c r="AT58" s="72">
        <f t="shared" si="4"/>
        <v>3</v>
      </c>
      <c r="AU58" s="72">
        <f t="shared" si="4"/>
        <v>0</v>
      </c>
      <c r="AV58" s="72">
        <f t="shared" si="4"/>
        <v>0</v>
      </c>
      <c r="AW58" s="72">
        <f t="shared" si="4"/>
        <v>3</v>
      </c>
      <c r="AX58" s="72">
        <f t="shared" si="4"/>
        <v>0</v>
      </c>
      <c r="AY58" s="72">
        <f t="shared" si="4"/>
        <v>0</v>
      </c>
      <c r="AZ58" s="72">
        <f t="shared" si="4"/>
        <v>0</v>
      </c>
      <c r="BA58" s="72">
        <f t="shared" si="4"/>
        <v>2</v>
      </c>
      <c r="BB58" s="72">
        <f t="shared" si="4"/>
        <v>0</v>
      </c>
      <c r="BC58" s="72">
        <f t="shared" si="4"/>
        <v>0</v>
      </c>
      <c r="BD58" s="72">
        <f t="shared" si="4"/>
        <v>0</v>
      </c>
      <c r="BE58" s="72">
        <f t="shared" si="4"/>
        <v>0</v>
      </c>
      <c r="BF58" s="72">
        <f t="shared" si="4"/>
        <v>0</v>
      </c>
      <c r="BG58" s="72">
        <f t="shared" si="4"/>
        <v>0</v>
      </c>
      <c r="BH58" s="72">
        <f t="shared" si="5"/>
        <v>3</v>
      </c>
      <c r="BI58" s="72">
        <f t="shared" si="5"/>
        <v>1</v>
      </c>
      <c r="BJ58" s="72">
        <f t="shared" si="5"/>
        <v>1</v>
      </c>
      <c r="BK58" s="72"/>
    </row>
    <row r="59" spans="1:63">
      <c r="A59" s="944" t="s">
        <v>3038</v>
      </c>
      <c r="B59" s="928" t="s">
        <v>3140</v>
      </c>
      <c r="C59" s="72"/>
      <c r="D59" s="72">
        <f t="shared" si="2"/>
        <v>0</v>
      </c>
      <c r="E59" s="72">
        <f t="shared" si="2"/>
        <v>6</v>
      </c>
      <c r="F59" s="72">
        <f t="shared" si="2"/>
        <v>0</v>
      </c>
      <c r="G59" s="72">
        <f t="shared" si="2"/>
        <v>0</v>
      </c>
      <c r="H59" s="72">
        <f t="shared" si="2"/>
        <v>0</v>
      </c>
      <c r="I59" s="72">
        <f t="shared" si="2"/>
        <v>6</v>
      </c>
      <c r="J59" s="72">
        <f t="shared" si="2"/>
        <v>0</v>
      </c>
      <c r="K59" s="72">
        <f t="shared" si="2"/>
        <v>2</v>
      </c>
      <c r="L59" s="72">
        <f t="shared" si="2"/>
        <v>0</v>
      </c>
      <c r="M59" s="72">
        <f t="shared" si="2"/>
        <v>0</v>
      </c>
      <c r="N59" s="72">
        <f t="shared" si="2"/>
        <v>1</v>
      </c>
      <c r="O59" s="72">
        <f t="shared" si="2"/>
        <v>0</v>
      </c>
      <c r="P59" s="72">
        <f t="shared" si="2"/>
        <v>0</v>
      </c>
      <c r="Q59" s="72">
        <f t="shared" si="2"/>
        <v>0</v>
      </c>
      <c r="R59" s="72">
        <f t="shared" si="2"/>
        <v>1</v>
      </c>
      <c r="S59" s="72">
        <f t="shared" si="2"/>
        <v>0</v>
      </c>
      <c r="T59" s="72">
        <f t="shared" si="6"/>
        <v>0</v>
      </c>
      <c r="U59" s="72">
        <f t="shared" si="6"/>
        <v>0</v>
      </c>
      <c r="V59" s="72">
        <f t="shared" si="6"/>
        <v>0</v>
      </c>
      <c r="W59" s="72">
        <f t="shared" si="6"/>
        <v>0</v>
      </c>
      <c r="X59" s="72">
        <f t="shared" si="6"/>
        <v>1</v>
      </c>
      <c r="Y59" s="72">
        <f t="shared" si="6"/>
        <v>0</v>
      </c>
      <c r="Z59" s="72">
        <f t="shared" si="6"/>
        <v>0</v>
      </c>
      <c r="AA59" s="72">
        <f t="shared" si="6"/>
        <v>0</v>
      </c>
      <c r="AB59" s="72">
        <f t="shared" si="6"/>
        <v>0</v>
      </c>
      <c r="AC59" s="72">
        <f t="shared" si="6"/>
        <v>0</v>
      </c>
      <c r="AD59" s="72">
        <f t="shared" si="6"/>
        <v>0</v>
      </c>
      <c r="AE59" s="72">
        <f t="shared" si="6"/>
        <v>0</v>
      </c>
      <c r="AF59" s="72">
        <f t="shared" si="6"/>
        <v>0</v>
      </c>
      <c r="AG59" s="72">
        <f t="shared" si="6"/>
        <v>0</v>
      </c>
      <c r="AH59" s="72">
        <f t="shared" si="6"/>
        <v>1</v>
      </c>
      <c r="AI59" s="72">
        <f t="shared" si="6"/>
        <v>1</v>
      </c>
      <c r="AJ59" s="72">
        <f t="shared" si="3"/>
        <v>0</v>
      </c>
      <c r="AK59" s="72">
        <f t="shared" si="3"/>
        <v>3</v>
      </c>
      <c r="AL59" s="72">
        <f t="shared" si="3"/>
        <v>4</v>
      </c>
      <c r="AM59" s="72">
        <f t="shared" si="3"/>
        <v>0</v>
      </c>
      <c r="AN59" s="72">
        <f t="shared" si="3"/>
        <v>2</v>
      </c>
      <c r="AO59" s="72">
        <f t="shared" si="3"/>
        <v>2</v>
      </c>
      <c r="AP59" s="72">
        <f t="shared" si="3"/>
        <v>0</v>
      </c>
      <c r="AQ59" s="72">
        <f t="shared" si="3"/>
        <v>3</v>
      </c>
      <c r="AR59" s="72">
        <f t="shared" si="4"/>
        <v>2</v>
      </c>
      <c r="AS59" s="72">
        <f t="shared" si="4"/>
        <v>0</v>
      </c>
      <c r="AT59" s="72">
        <f t="shared" si="4"/>
        <v>3</v>
      </c>
      <c r="AU59" s="72">
        <f t="shared" si="4"/>
        <v>0</v>
      </c>
      <c r="AV59" s="72">
        <f t="shared" si="4"/>
        <v>0</v>
      </c>
      <c r="AW59" s="72">
        <f t="shared" si="4"/>
        <v>3</v>
      </c>
      <c r="AX59" s="72">
        <f t="shared" si="4"/>
        <v>0</v>
      </c>
      <c r="AY59" s="72">
        <f t="shared" si="4"/>
        <v>0</v>
      </c>
      <c r="AZ59" s="72">
        <f t="shared" si="4"/>
        <v>0</v>
      </c>
      <c r="BA59" s="72">
        <f t="shared" si="4"/>
        <v>2</v>
      </c>
      <c r="BB59" s="72">
        <f t="shared" si="4"/>
        <v>0</v>
      </c>
      <c r="BC59" s="72">
        <f t="shared" si="4"/>
        <v>0</v>
      </c>
      <c r="BD59" s="72">
        <f t="shared" si="4"/>
        <v>0</v>
      </c>
      <c r="BE59" s="72">
        <f t="shared" si="4"/>
        <v>0</v>
      </c>
      <c r="BF59" s="72">
        <f t="shared" si="4"/>
        <v>0</v>
      </c>
      <c r="BG59" s="72">
        <f t="shared" si="4"/>
        <v>0</v>
      </c>
      <c r="BH59" s="72">
        <f t="shared" si="5"/>
        <v>3</v>
      </c>
      <c r="BI59" s="72">
        <f t="shared" si="5"/>
        <v>1</v>
      </c>
      <c r="BJ59" s="72">
        <f t="shared" si="5"/>
        <v>1</v>
      </c>
      <c r="BK59" s="72"/>
    </row>
    <row r="60" spans="1:63">
      <c r="A60" s="77"/>
      <c r="B60" s="69"/>
      <c r="C60" s="29"/>
      <c r="D60" s="72"/>
      <c r="E60" s="72"/>
      <c r="F60" s="72"/>
      <c r="G60" s="72"/>
      <c r="H60" s="72"/>
      <c r="I60" s="72"/>
      <c r="J60" s="72"/>
      <c r="K60" s="72"/>
      <c r="L60" s="72"/>
      <c r="M60" s="72"/>
      <c r="N60" s="72"/>
      <c r="O60" s="72"/>
      <c r="P60" s="71"/>
      <c r="Q60" s="71"/>
      <c r="R60" s="71"/>
      <c r="S60" s="71"/>
      <c r="T60" s="71"/>
      <c r="U60" s="71"/>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row>
    <row r="61" spans="1:63" ht="3" customHeight="1">
      <c r="A61" s="2064" t="s">
        <v>3843</v>
      </c>
      <c r="B61" s="2065"/>
      <c r="C61" s="945"/>
      <c r="D61" s="946"/>
      <c r="E61" s="946"/>
      <c r="F61" s="946"/>
      <c r="G61" s="946"/>
      <c r="H61" s="946"/>
      <c r="I61" s="946"/>
      <c r="J61" s="946"/>
      <c r="K61" s="946"/>
      <c r="L61" s="945"/>
      <c r="M61" s="945"/>
      <c r="N61" s="947"/>
      <c r="O61" s="947"/>
      <c r="P61" s="947"/>
      <c r="Q61" s="947"/>
      <c r="R61" s="947"/>
      <c r="S61" s="947"/>
      <c r="T61" s="947"/>
      <c r="U61" s="947"/>
      <c r="V61" s="948"/>
      <c r="W61" s="948"/>
      <c r="X61" s="948"/>
      <c r="Y61" s="948"/>
      <c r="Z61" s="948"/>
      <c r="AA61" s="948"/>
      <c r="AB61" s="948"/>
      <c r="AC61" s="948"/>
      <c r="AD61" s="948"/>
      <c r="AE61" s="948"/>
      <c r="AF61" s="948"/>
      <c r="AG61" s="948"/>
      <c r="AH61" s="948"/>
      <c r="AI61" s="948"/>
      <c r="AJ61" s="948"/>
      <c r="AK61" s="948"/>
      <c r="AL61" s="948"/>
      <c r="AM61" s="948"/>
      <c r="AN61" s="948"/>
      <c r="AO61" s="948"/>
      <c r="AP61" s="948"/>
      <c r="AQ61" s="948"/>
      <c r="AR61" s="948"/>
      <c r="AS61" s="948"/>
      <c r="AT61" s="948"/>
      <c r="AU61" s="948"/>
      <c r="AV61" s="948"/>
      <c r="AW61" s="948"/>
      <c r="AX61" s="948"/>
      <c r="AY61" s="948"/>
      <c r="AZ61" s="948"/>
      <c r="BA61" s="948"/>
      <c r="BB61" s="948"/>
      <c r="BC61" s="948"/>
      <c r="BD61" s="948"/>
      <c r="BE61" s="948"/>
      <c r="BF61" s="948"/>
      <c r="BG61" s="948"/>
      <c r="BH61" s="948"/>
      <c r="BI61" s="948"/>
      <c r="BJ61" s="948"/>
      <c r="BK61" s="949"/>
    </row>
    <row r="62" spans="1:63" ht="44.25" customHeight="1">
      <c r="A62" s="2066"/>
      <c r="B62" s="2067"/>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row>
    <row r="63" spans="1:63" ht="10.5" customHeight="1">
      <c r="A63" s="40"/>
      <c r="B63" s="40"/>
      <c r="C63" s="40"/>
      <c r="D63" s="40"/>
      <c r="E63" s="40"/>
      <c r="F63" s="40"/>
      <c r="G63" s="40"/>
      <c r="H63" s="40"/>
      <c r="I63" s="40"/>
      <c r="J63" s="40"/>
      <c r="K63" s="40"/>
      <c r="L63" s="40"/>
      <c r="M63" s="40"/>
      <c r="N63" s="40"/>
      <c r="O63" s="40"/>
      <c r="P63" s="40"/>
      <c r="Q63" s="40"/>
      <c r="R63" s="40"/>
      <c r="S63" s="40"/>
    </row>
    <row r="64" spans="1:63">
      <c r="A64" s="2075" t="s">
        <v>3844</v>
      </c>
      <c r="B64" s="2075"/>
      <c r="C64" s="2075"/>
      <c r="D64" s="40"/>
      <c r="E64" s="40"/>
      <c r="F64" s="40"/>
      <c r="G64" s="40"/>
      <c r="H64" s="40"/>
      <c r="I64" s="40"/>
      <c r="J64" s="40"/>
      <c r="K64" s="40"/>
      <c r="L64" s="40"/>
      <c r="M64" s="40"/>
      <c r="N64" s="40"/>
      <c r="O64" s="40"/>
      <c r="P64" s="40"/>
      <c r="Q64" s="40"/>
      <c r="R64" s="40"/>
      <c r="S64" s="40"/>
    </row>
    <row r="65" spans="1:26">
      <c r="A65" s="2073" t="s">
        <v>3845</v>
      </c>
      <c r="B65" s="2073"/>
      <c r="C65" s="2073"/>
    </row>
    <row r="66" spans="1:26">
      <c r="A66" s="40"/>
      <c r="B66" s="40"/>
      <c r="C66" s="40"/>
      <c r="D66" s="41"/>
      <c r="E66" s="41"/>
      <c r="F66" s="41"/>
      <c r="G66" s="41"/>
      <c r="H66" s="41"/>
      <c r="I66" s="41"/>
      <c r="J66" s="41" t="str">
        <f>+ROUND(H62,0)&amp;"m x 1,02 ="</f>
        <v>0m x 1,02 =</v>
      </c>
      <c r="K66" s="42">
        <f>+ROUND(+H62*1.02,0)</f>
        <v>0</v>
      </c>
      <c r="L66" s="43" t="s">
        <v>2348</v>
      </c>
      <c r="M66" s="43"/>
      <c r="P66" s="40"/>
      <c r="Q66" s="40"/>
      <c r="R66" s="40"/>
      <c r="S66" s="40"/>
      <c r="T66" s="40"/>
      <c r="U66" s="40"/>
      <c r="V66" s="40"/>
      <c r="W66" s="40"/>
      <c r="X66" s="40"/>
      <c r="Y66" s="40"/>
      <c r="Z66" s="40"/>
    </row>
    <row r="67" spans="1:26">
      <c r="A67" s="40"/>
      <c r="B67" s="40"/>
      <c r="C67" s="40"/>
      <c r="D67" s="41"/>
      <c r="E67" s="41"/>
      <c r="F67" s="41"/>
      <c r="G67" s="41"/>
      <c r="H67" s="41"/>
      <c r="I67" s="41"/>
      <c r="J67" s="41" t="str">
        <f>+ROUND(I62,0)&amp;"m x 1,02 ="</f>
        <v>0m x 1,02 =</v>
      </c>
      <c r="K67" s="42">
        <f>+ROUND(+I62*1.02,0)</f>
        <v>0</v>
      </c>
      <c r="L67" s="43" t="s">
        <v>4344</v>
      </c>
      <c r="M67" s="43"/>
      <c r="P67" s="40"/>
      <c r="Q67" s="40"/>
      <c r="R67" s="40"/>
      <c r="S67" s="40"/>
      <c r="T67" s="40"/>
      <c r="U67" s="40"/>
      <c r="V67" s="40"/>
      <c r="W67" s="40"/>
      <c r="X67" s="40"/>
      <c r="Y67" s="40"/>
      <c r="Z67" s="40"/>
    </row>
    <row r="68" spans="1:26">
      <c r="A68" s="40"/>
      <c r="B68" s="40"/>
      <c r="C68" s="40"/>
      <c r="D68" s="41"/>
      <c r="E68" s="41"/>
      <c r="F68" s="41"/>
      <c r="G68" s="41"/>
      <c r="H68" s="41"/>
      <c r="I68" s="41"/>
      <c r="J68" s="41" t="str">
        <f>+ROUND(J62,0)&amp;"m x 1,02 ="</f>
        <v>0m x 1,02 =</v>
      </c>
      <c r="K68" s="42">
        <f>+ROUND(+J62*1.02,0)</f>
        <v>0</v>
      </c>
      <c r="L68" s="43" t="s">
        <v>2349</v>
      </c>
      <c r="M68" s="43"/>
      <c r="P68" s="40"/>
      <c r="Q68" s="40"/>
      <c r="R68" s="40"/>
      <c r="S68" s="40"/>
      <c r="T68" s="40"/>
      <c r="U68" s="40"/>
      <c r="V68" s="40"/>
      <c r="W68" s="40"/>
      <c r="X68" s="40"/>
      <c r="Y68" s="40"/>
      <c r="Z68" s="40"/>
    </row>
    <row r="69" spans="1:26">
      <c r="A69" s="40"/>
      <c r="B69" s="40"/>
      <c r="C69" s="40"/>
      <c r="D69" s="41"/>
      <c r="E69" s="41"/>
      <c r="F69" s="41"/>
      <c r="G69" s="41"/>
      <c r="H69" s="41"/>
      <c r="I69" s="41"/>
      <c r="J69" s="41" t="str">
        <f>+ROUND(K62,0)&amp;"m x 1,02 ="</f>
        <v>0m x 1,02 =</v>
      </c>
      <c r="K69" s="42">
        <f>+ROUND(+K62*1.02,0)</f>
        <v>0</v>
      </c>
      <c r="L69" s="43" t="s">
        <v>4345</v>
      </c>
      <c r="M69" s="43"/>
      <c r="P69" s="40"/>
      <c r="Q69" s="40"/>
      <c r="R69" s="40"/>
      <c r="S69" s="40"/>
      <c r="T69" s="40"/>
      <c r="U69" s="40"/>
      <c r="V69" s="40"/>
      <c r="W69" s="40"/>
      <c r="X69" s="40"/>
      <c r="Y69" s="40"/>
      <c r="Z69" s="40"/>
    </row>
    <row r="70" spans="1:26">
      <c r="A70" s="40"/>
      <c r="B70" s="40"/>
      <c r="C70" s="40"/>
      <c r="D70" s="41"/>
      <c r="E70" s="41"/>
      <c r="F70" s="41"/>
      <c r="G70" s="41"/>
      <c r="H70" s="41"/>
      <c r="I70" s="41"/>
      <c r="J70" s="41" t="str">
        <f>+ROUND(D62,0)&amp;"m x 1,01 ="</f>
        <v>0m x 1,01 =</v>
      </c>
      <c r="K70" s="42">
        <f>+ROUND(+D62*1.01,0)</f>
        <v>0</v>
      </c>
      <c r="L70" s="43" t="s">
        <v>3053</v>
      </c>
      <c r="M70" s="43"/>
      <c r="P70" s="40"/>
      <c r="Q70" s="40"/>
      <c r="R70" s="40"/>
      <c r="S70" s="40"/>
      <c r="T70" s="40"/>
      <c r="U70" s="40"/>
      <c r="V70" s="40"/>
      <c r="W70" s="40"/>
      <c r="X70" s="40"/>
      <c r="Y70" s="40"/>
      <c r="Z70" s="40"/>
    </row>
    <row r="71" spans="1:26">
      <c r="A71" s="40"/>
      <c r="B71" s="40"/>
      <c r="C71" s="40"/>
      <c r="D71" s="41"/>
      <c r="E71" s="41"/>
      <c r="F71" s="41"/>
      <c r="G71" s="41"/>
      <c r="H71" s="41"/>
      <c r="I71" s="41"/>
      <c r="J71" s="41"/>
      <c r="K71" s="42">
        <f>+G62</f>
        <v>0</v>
      </c>
      <c r="L71" s="43" t="s">
        <v>2350</v>
      </c>
      <c r="M71" s="43"/>
      <c r="P71" s="40"/>
      <c r="Q71" s="40"/>
      <c r="R71" s="40"/>
      <c r="S71" s="40"/>
      <c r="T71" s="40"/>
      <c r="U71" s="40"/>
      <c r="V71" s="40"/>
      <c r="W71" s="40"/>
      <c r="X71" s="40"/>
      <c r="Y71" s="40"/>
      <c r="Z71" s="40"/>
    </row>
    <row r="72" spans="1:26">
      <c r="A72" s="40"/>
      <c r="B72" s="40"/>
      <c r="C72" s="40"/>
      <c r="D72" s="41"/>
      <c r="E72" s="41"/>
      <c r="F72" s="41"/>
      <c r="G72" s="41"/>
      <c r="H72" s="41"/>
      <c r="I72" s="41"/>
      <c r="J72" s="41"/>
      <c r="K72" s="42">
        <f>+F62</f>
        <v>0</v>
      </c>
      <c r="L72" s="43" t="s">
        <v>3054</v>
      </c>
      <c r="M72" s="43"/>
      <c r="P72" s="40"/>
      <c r="Q72" s="40"/>
      <c r="R72" s="40"/>
      <c r="S72" s="40"/>
      <c r="T72" s="40"/>
      <c r="U72" s="40"/>
      <c r="V72" s="40"/>
      <c r="W72" s="40"/>
      <c r="X72" s="40"/>
      <c r="Y72" s="40"/>
      <c r="Z72" s="40"/>
    </row>
    <row r="73" spans="1:26">
      <c r="A73" s="40"/>
      <c r="B73" s="40"/>
      <c r="C73" s="40"/>
      <c r="D73" s="41"/>
      <c r="E73" s="41"/>
      <c r="F73" s="41"/>
      <c r="G73" s="41"/>
      <c r="H73" s="41"/>
      <c r="I73" s="41"/>
      <c r="J73" s="41"/>
      <c r="K73" s="42">
        <f>+E62</f>
        <v>0</v>
      </c>
      <c r="L73" s="43" t="s">
        <v>4346</v>
      </c>
      <c r="M73" s="43"/>
      <c r="P73" s="40"/>
      <c r="Q73" s="40"/>
      <c r="R73" s="40"/>
      <c r="S73" s="40"/>
      <c r="T73" s="40"/>
      <c r="U73" s="40"/>
      <c r="V73" s="40"/>
      <c r="W73" s="40"/>
      <c r="X73" s="40"/>
      <c r="Y73" s="40"/>
      <c r="Z73" s="40"/>
    </row>
    <row r="74" spans="1:26">
      <c r="A74" s="2073" t="s">
        <v>3846</v>
      </c>
      <c r="B74" s="2073"/>
      <c r="C74" s="2073"/>
      <c r="D74" s="40"/>
      <c r="E74" s="40"/>
      <c r="F74" s="40"/>
      <c r="G74" s="40"/>
      <c r="H74" s="40"/>
      <c r="I74" s="40"/>
      <c r="J74" s="40"/>
      <c r="K74" s="41"/>
      <c r="L74" s="40"/>
      <c r="M74" s="40"/>
      <c r="P74" s="40"/>
      <c r="Q74" s="40"/>
      <c r="R74" s="40"/>
      <c r="S74" s="40"/>
      <c r="T74" s="40"/>
      <c r="U74" s="40"/>
      <c r="V74" s="40"/>
      <c r="W74" s="40"/>
      <c r="X74" s="40"/>
      <c r="Y74" s="40"/>
    </row>
    <row r="75" spans="1:26">
      <c r="D75" s="41"/>
      <c r="E75" s="41"/>
      <c r="F75" s="41"/>
      <c r="G75" s="41"/>
      <c r="H75" s="41"/>
      <c r="I75" s="41"/>
      <c r="J75" s="41" t="str">
        <f>+K68&amp;" m x 0,471 kg/m ="</f>
        <v>0 m x 0,471 kg/m =</v>
      </c>
      <c r="K75" s="42">
        <f>+ROUND((K68*0.471),0)</f>
        <v>0</v>
      </c>
      <c r="L75" s="43" t="s">
        <v>2351</v>
      </c>
      <c r="M75" s="43"/>
    </row>
    <row r="76" spans="1:26">
      <c r="D76" s="41"/>
      <c r="E76" s="41"/>
      <c r="F76" s="41"/>
      <c r="G76" s="41"/>
      <c r="H76" s="41"/>
      <c r="I76" s="41"/>
      <c r="J76" s="41" t="str">
        <f>+K69&amp;" m x 0,195 kg/m ="</f>
        <v>0 m x 0,195 kg/m =</v>
      </c>
      <c r="K76" s="42">
        <f>+ROUND((K69*0.195),0)</f>
        <v>0</v>
      </c>
      <c r="L76" s="43" t="s">
        <v>4347</v>
      </c>
      <c r="M76" s="43"/>
    </row>
    <row r="77" spans="1:26">
      <c r="D77" s="41"/>
      <c r="E77" s="41"/>
      <c r="F77" s="41"/>
      <c r="G77" s="41"/>
      <c r="H77" s="41"/>
      <c r="I77" s="41"/>
      <c r="J77" s="41"/>
      <c r="K77" s="41"/>
      <c r="L77" s="41"/>
      <c r="M77" s="41"/>
      <c r="N77" s="44"/>
    </row>
  </sheetData>
  <mergeCells count="35">
    <mergeCell ref="A74:C74"/>
    <mergeCell ref="BI3:BI4"/>
    <mergeCell ref="BD3:BD4"/>
    <mergeCell ref="AW3:AW4"/>
    <mergeCell ref="AX3:AX4"/>
    <mergeCell ref="AY3:AY4"/>
    <mergeCell ref="AZ3:AZ4"/>
    <mergeCell ref="AS3:AS4"/>
    <mergeCell ref="AM3:AM4"/>
    <mergeCell ref="AN3:AN4"/>
    <mergeCell ref="AT3:AT4"/>
    <mergeCell ref="AU3:AU4"/>
    <mergeCell ref="AR3:AR4"/>
    <mergeCell ref="AJ3:AJ4"/>
    <mergeCell ref="A3:A4"/>
    <mergeCell ref="A64:C64"/>
    <mergeCell ref="A65:C65"/>
    <mergeCell ref="AK3:AK4"/>
    <mergeCell ref="B3:B4"/>
    <mergeCell ref="AL3:AL4"/>
    <mergeCell ref="C3:C4"/>
    <mergeCell ref="BK3:BK4"/>
    <mergeCell ref="A61:B62"/>
    <mergeCell ref="BE3:BE4"/>
    <mergeCell ref="BF3:BF4"/>
    <mergeCell ref="BG3:BG4"/>
    <mergeCell ref="BH3:BH4"/>
    <mergeCell ref="BA3:BA4"/>
    <mergeCell ref="BB3:BB4"/>
    <mergeCell ref="BC3:BC4"/>
    <mergeCell ref="AV3:AV4"/>
    <mergeCell ref="AO3:AO4"/>
    <mergeCell ref="AP3:AP4"/>
    <mergeCell ref="AQ3:AQ4"/>
    <mergeCell ref="BJ3:BJ4"/>
  </mergeCells>
  <phoneticPr fontId="75" type="noConversion"/>
  <printOptions horizontalCentered="1"/>
  <pageMargins left="0.196850393700787" right="0.196850393700787" top="0.7" bottom="0.4" header="0.196850393700787" footer="0.196850393700787"/>
  <pageSetup scale="95" orientation="landscape"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indexed="42"/>
  </sheetPr>
  <dimension ref="A1:BI142"/>
  <sheetViews>
    <sheetView showZeros="0" workbookViewId="0">
      <pane xSplit="3" ySplit="49" topLeftCell="D104" activePane="bottomRight" state="frozen"/>
      <selection activeCell="C10" sqref="C10:D10"/>
      <selection pane="topRight" activeCell="C10" sqref="C10:D10"/>
      <selection pane="bottomLeft" activeCell="C10" sqref="C10:D10"/>
      <selection pane="bottomRight" activeCell="C10" sqref="C10:D10"/>
    </sheetView>
  </sheetViews>
  <sheetFormatPr defaultColWidth="9.33203125" defaultRowHeight="12.75"/>
  <cols>
    <col min="1" max="1" width="11.83203125" style="38" customWidth="1"/>
    <col min="2" max="2" width="8.6640625" style="53" customWidth="1"/>
    <col min="3" max="3" width="17" style="38" bestFit="1" customWidth="1"/>
    <col min="4" max="6" width="4" style="38" customWidth="1"/>
    <col min="7" max="7" width="6.83203125" style="38" customWidth="1"/>
    <col min="8" max="8" width="6.1640625" style="38" customWidth="1"/>
    <col min="9" max="9" width="6.6640625" style="38" customWidth="1"/>
    <col min="10" max="42" width="4" style="38" customWidth="1"/>
    <col min="43" max="43" width="3.6640625" style="38" bestFit="1" customWidth="1"/>
    <col min="44" max="59" width="4" style="38" customWidth="1"/>
    <col min="60" max="60" width="14.83203125" style="38" customWidth="1"/>
    <col min="61" max="61" width="8.83203125" style="38" customWidth="1"/>
    <col min="62" max="16384" width="9.33203125" style="38"/>
  </cols>
  <sheetData>
    <row r="1" spans="1:61" ht="18.75">
      <c r="A1" s="2085" t="s">
        <v>5344</v>
      </c>
      <c r="B1" s="2085"/>
      <c r="C1" s="2085"/>
      <c r="D1" s="2085"/>
      <c r="E1" s="2085"/>
      <c r="F1" s="2085"/>
      <c r="G1" s="2085"/>
      <c r="H1" s="2085"/>
      <c r="I1" s="2085"/>
      <c r="J1" s="2085"/>
      <c r="K1" s="2085"/>
      <c r="L1" s="2085"/>
      <c r="M1" s="2085"/>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c r="AL1" s="2085"/>
      <c r="AM1" s="2085"/>
      <c r="AN1" s="2085"/>
      <c r="AO1" s="2085"/>
      <c r="AP1" s="2085"/>
      <c r="AQ1" s="2085"/>
      <c r="AR1" s="2085"/>
      <c r="AS1" s="2085"/>
      <c r="AT1" s="2085"/>
      <c r="AU1" s="2085"/>
      <c r="AV1" s="2085"/>
      <c r="AW1" s="2085"/>
      <c r="AX1" s="2085"/>
      <c r="AY1" s="2085"/>
      <c r="AZ1" s="2085"/>
      <c r="BA1" s="2085"/>
      <c r="BB1" s="2085"/>
      <c r="BC1" s="2085"/>
      <c r="BD1" s="2085"/>
      <c r="BE1" s="2085"/>
      <c r="BF1" s="2085"/>
      <c r="BG1" s="2085"/>
      <c r="BH1" s="2085"/>
      <c r="BI1" s="37"/>
    </row>
    <row r="2" spans="1:61" ht="15" customHeight="1"/>
    <row r="3" spans="1:61" ht="14.25" customHeight="1">
      <c r="A3" s="2071" t="s">
        <v>2541</v>
      </c>
      <c r="B3" s="2071" t="s">
        <v>2542</v>
      </c>
      <c r="C3" s="2071" t="s">
        <v>2543</v>
      </c>
      <c r="D3" s="1476"/>
      <c r="E3" s="2078" t="s">
        <v>1373</v>
      </c>
      <c r="F3" s="2079"/>
      <c r="G3" s="2079"/>
      <c r="H3" s="2079"/>
      <c r="I3" s="2080"/>
      <c r="J3" s="2078" t="s">
        <v>5201</v>
      </c>
      <c r="K3" s="2079"/>
      <c r="L3" s="2079"/>
      <c r="M3" s="2080"/>
      <c r="N3" s="2078" t="s">
        <v>2546</v>
      </c>
      <c r="O3" s="2079"/>
      <c r="P3" s="2080"/>
      <c r="Q3" s="1461"/>
      <c r="R3" s="1461"/>
      <c r="S3" s="1461"/>
      <c r="T3" s="1461"/>
      <c r="U3" s="1461"/>
      <c r="V3" s="1461"/>
      <c r="W3" s="1461"/>
      <c r="X3" s="1461"/>
      <c r="Y3" s="1461"/>
      <c r="Z3" s="1461"/>
      <c r="AA3" s="2086"/>
      <c r="AB3" s="2086"/>
      <c r="AC3" s="1459"/>
      <c r="AD3" s="2068" t="s">
        <v>3027</v>
      </c>
      <c r="AE3" s="2068" t="s">
        <v>2548</v>
      </c>
      <c r="AF3" s="2068" t="s">
        <v>455</v>
      </c>
      <c r="AG3" s="2068" t="s">
        <v>5202</v>
      </c>
      <c r="AH3" s="2068" t="s">
        <v>4644</v>
      </c>
      <c r="AI3" s="2076" t="s">
        <v>5203</v>
      </c>
      <c r="AJ3" s="2076" t="s">
        <v>5204</v>
      </c>
      <c r="AK3" s="2068" t="s">
        <v>4348</v>
      </c>
      <c r="AL3" s="2068" t="s">
        <v>5206</v>
      </c>
      <c r="AM3" s="2068" t="s">
        <v>5127</v>
      </c>
      <c r="AN3" s="2068" t="s">
        <v>4317</v>
      </c>
      <c r="AO3" s="2068" t="s">
        <v>1885</v>
      </c>
      <c r="AP3" s="2068" t="s">
        <v>1898</v>
      </c>
      <c r="AQ3" s="2068" t="s">
        <v>5205</v>
      </c>
      <c r="AR3" s="2068" t="s">
        <v>2739</v>
      </c>
      <c r="AS3" s="2068" t="s">
        <v>1887</v>
      </c>
      <c r="AT3" s="2068" t="s">
        <v>1888</v>
      </c>
      <c r="AU3" s="2068" t="s">
        <v>5198</v>
      </c>
      <c r="AV3" s="2068" t="s">
        <v>4759</v>
      </c>
      <c r="AW3" s="2068" t="s">
        <v>1889</v>
      </c>
      <c r="AX3" s="2068" t="s">
        <v>5207</v>
      </c>
      <c r="AY3" s="2068" t="s">
        <v>1890</v>
      </c>
      <c r="AZ3" s="2076" t="s">
        <v>4573</v>
      </c>
      <c r="BA3" s="2068" t="s">
        <v>6015</v>
      </c>
      <c r="BB3" s="2068" t="s">
        <v>893</v>
      </c>
      <c r="BC3" s="2076" t="s">
        <v>4637</v>
      </c>
      <c r="BD3" s="2076" t="s">
        <v>4638</v>
      </c>
      <c r="BE3" s="2076" t="s">
        <v>4642</v>
      </c>
      <c r="BF3" s="2068" t="s">
        <v>1891</v>
      </c>
      <c r="BG3" s="2071" t="s">
        <v>2740</v>
      </c>
      <c r="BH3" s="2063" t="s">
        <v>6403</v>
      </c>
    </row>
    <row r="4" spans="1:61" ht="150" customHeight="1">
      <c r="A4" s="2071"/>
      <c r="B4" s="2071"/>
      <c r="C4" s="2071"/>
      <c r="D4" s="51" t="s">
        <v>4536</v>
      </c>
      <c r="E4" s="51" t="s">
        <v>5200</v>
      </c>
      <c r="F4" s="51" t="s">
        <v>4404</v>
      </c>
      <c r="G4" s="51" t="s">
        <v>4405</v>
      </c>
      <c r="H4" s="51" t="s">
        <v>4407</v>
      </c>
      <c r="I4" s="51" t="s">
        <v>4406</v>
      </c>
      <c r="J4" s="51" t="s">
        <v>3055</v>
      </c>
      <c r="K4" s="51" t="s">
        <v>5507</v>
      </c>
      <c r="L4" s="51" t="s">
        <v>3959</v>
      </c>
      <c r="M4" s="51" t="s">
        <v>3891</v>
      </c>
      <c r="N4" s="51" t="s">
        <v>2374</v>
      </c>
      <c r="O4" s="51" t="s">
        <v>2375</v>
      </c>
      <c r="P4" s="51" t="s">
        <v>280</v>
      </c>
      <c r="Q4" s="51" t="s">
        <v>4309</v>
      </c>
      <c r="R4" s="51" t="s">
        <v>4546</v>
      </c>
      <c r="S4" s="51" t="s">
        <v>4547</v>
      </c>
      <c r="T4" s="59" t="s">
        <v>1402</v>
      </c>
      <c r="U4" s="59" t="s">
        <v>4640</v>
      </c>
      <c r="V4" s="59" t="s">
        <v>4641</v>
      </c>
      <c r="W4" s="59" t="s">
        <v>4552</v>
      </c>
      <c r="X4" s="59" t="s">
        <v>4553</v>
      </c>
      <c r="Y4" s="59" t="s">
        <v>5480</v>
      </c>
      <c r="Z4" s="59" t="s">
        <v>5483</v>
      </c>
      <c r="AA4" s="59" t="s">
        <v>3848</v>
      </c>
      <c r="AB4" s="59" t="s">
        <v>3477</v>
      </c>
      <c r="AC4" s="59" t="s">
        <v>5481</v>
      </c>
      <c r="AD4" s="2068"/>
      <c r="AE4" s="2068"/>
      <c r="AF4" s="2068"/>
      <c r="AG4" s="2068"/>
      <c r="AH4" s="2068"/>
      <c r="AI4" s="2077"/>
      <c r="AJ4" s="2077"/>
      <c r="AK4" s="2068"/>
      <c r="AL4" s="2068"/>
      <c r="AM4" s="2068"/>
      <c r="AN4" s="2068"/>
      <c r="AO4" s="2068"/>
      <c r="AP4" s="2068"/>
      <c r="AQ4" s="2068"/>
      <c r="AR4" s="2068"/>
      <c r="AS4" s="2068"/>
      <c r="AT4" s="2068"/>
      <c r="AU4" s="2068"/>
      <c r="AV4" s="2068"/>
      <c r="AW4" s="2068"/>
      <c r="AX4" s="2068"/>
      <c r="AY4" s="2068"/>
      <c r="AZ4" s="2077"/>
      <c r="BA4" s="2068"/>
      <c r="BB4" s="2068"/>
      <c r="BC4" s="2077"/>
      <c r="BD4" s="2077"/>
      <c r="BE4" s="2077"/>
      <c r="BF4" s="2068"/>
      <c r="BG4" s="2072"/>
      <c r="BH4" s="2063"/>
    </row>
    <row r="5" spans="1:61" hidden="1">
      <c r="A5" s="932"/>
      <c r="B5" s="933"/>
      <c r="C5" s="934"/>
      <c r="D5" s="1373"/>
      <c r="E5" s="1373"/>
      <c r="F5" s="935"/>
      <c r="G5" s="935"/>
      <c r="H5" s="935"/>
      <c r="I5" s="935"/>
      <c r="J5" s="935"/>
      <c r="K5" s="935"/>
      <c r="L5" s="936"/>
      <c r="M5" s="936"/>
      <c r="N5" s="936"/>
      <c r="O5" s="936"/>
      <c r="P5" s="936"/>
      <c r="Q5" s="936"/>
      <c r="R5" s="936"/>
      <c r="S5" s="936"/>
      <c r="T5" s="939"/>
      <c r="U5" s="939"/>
      <c r="V5" s="939"/>
      <c r="W5" s="939"/>
      <c r="X5" s="939"/>
      <c r="Y5" s="939"/>
      <c r="Z5" s="939"/>
      <c r="AA5" s="939"/>
      <c r="AB5" s="939"/>
      <c r="AC5" s="1465"/>
      <c r="AD5" s="938"/>
      <c r="AE5" s="939"/>
      <c r="AF5" s="939"/>
      <c r="AG5" s="938"/>
      <c r="AH5" s="938"/>
      <c r="AI5" s="938"/>
      <c r="AJ5" s="938"/>
      <c r="AK5" s="939"/>
      <c r="AL5" s="938"/>
      <c r="AM5" s="938"/>
      <c r="AN5" s="938"/>
      <c r="AO5" s="938"/>
      <c r="AP5" s="938"/>
      <c r="AQ5" s="938"/>
      <c r="AR5" s="938"/>
      <c r="AS5" s="938"/>
      <c r="AT5" s="938"/>
      <c r="AU5" s="938"/>
      <c r="AV5" s="938"/>
      <c r="AW5" s="938"/>
      <c r="AX5" s="938"/>
      <c r="AY5" s="938"/>
      <c r="AZ5" s="938"/>
      <c r="BA5" s="938"/>
      <c r="BB5" s="938"/>
      <c r="BC5" s="938"/>
      <c r="BD5" s="938"/>
      <c r="BE5" s="938"/>
      <c r="BF5" s="938"/>
      <c r="BG5" s="938"/>
      <c r="BH5" s="938"/>
    </row>
    <row r="6" spans="1:61" hidden="1">
      <c r="A6" s="931"/>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row>
    <row r="7" spans="1:61" hidden="1">
      <c r="A7" s="931">
        <v>1</v>
      </c>
      <c r="B7" s="72" t="s">
        <v>3120</v>
      </c>
      <c r="C7" s="72"/>
      <c r="D7" s="72"/>
      <c r="E7" s="72"/>
      <c r="F7" s="72"/>
      <c r="G7" s="72"/>
      <c r="H7" s="72"/>
      <c r="I7" s="76"/>
      <c r="J7" s="76"/>
      <c r="K7" s="72"/>
      <c r="L7" s="72">
        <v>1</v>
      </c>
      <c r="M7" s="72"/>
      <c r="N7" s="72"/>
      <c r="O7" s="72"/>
      <c r="P7" s="72"/>
      <c r="Q7" s="72"/>
      <c r="R7" s="72"/>
      <c r="S7" s="72"/>
      <c r="T7" s="72"/>
      <c r="U7" s="72"/>
      <c r="V7" s="72"/>
      <c r="W7" s="72"/>
      <c r="X7" s="72"/>
      <c r="Y7" s="72"/>
      <c r="Z7" s="72"/>
      <c r="AA7" s="72"/>
      <c r="AB7" s="72"/>
      <c r="AC7" s="72"/>
      <c r="AD7" s="72"/>
      <c r="AE7" s="72"/>
      <c r="AF7" s="72"/>
      <c r="AG7" s="72"/>
      <c r="AH7" s="72"/>
      <c r="AI7" s="72"/>
      <c r="AJ7" s="72"/>
      <c r="AK7" s="72">
        <v>1</v>
      </c>
      <c r="AL7" s="72"/>
      <c r="AM7" s="72"/>
      <c r="AN7" s="72"/>
      <c r="AO7" s="72"/>
      <c r="AP7" s="72"/>
      <c r="AQ7" s="72"/>
      <c r="AR7" s="72"/>
      <c r="AS7" s="72">
        <v>1</v>
      </c>
      <c r="AT7" s="72"/>
      <c r="AU7" s="72"/>
      <c r="AV7" s="72"/>
      <c r="AW7" s="72"/>
      <c r="AX7" s="72"/>
      <c r="AY7" s="72"/>
      <c r="AZ7" s="72"/>
      <c r="BA7" s="72"/>
      <c r="BB7" s="72"/>
      <c r="BC7" s="72"/>
      <c r="BD7" s="72"/>
      <c r="BE7" s="72"/>
      <c r="BF7" s="72"/>
      <c r="BG7" s="72"/>
      <c r="BH7" s="72"/>
    </row>
    <row r="8" spans="1:61" hidden="1">
      <c r="A8" s="931"/>
      <c r="B8" s="72" t="s">
        <v>3121</v>
      </c>
      <c r="C8" s="72"/>
      <c r="D8" s="72"/>
      <c r="E8" s="72"/>
      <c r="F8" s="72"/>
      <c r="G8" s="72"/>
      <c r="H8" s="72"/>
      <c r="I8" s="76"/>
      <c r="J8" s="76"/>
      <c r="K8" s="72"/>
      <c r="L8" s="72">
        <v>1</v>
      </c>
      <c r="M8" s="72"/>
      <c r="N8" s="72"/>
      <c r="O8" s="72"/>
      <c r="P8" s="72"/>
      <c r="Q8" s="72"/>
      <c r="R8" s="72"/>
      <c r="S8" s="72"/>
      <c r="T8" s="72"/>
      <c r="U8" s="72"/>
      <c r="V8" s="72"/>
      <c r="W8" s="72"/>
      <c r="X8" s="72"/>
      <c r="Y8" s="72"/>
      <c r="Z8" s="72"/>
      <c r="AA8" s="72"/>
      <c r="AB8" s="72"/>
      <c r="AC8" s="72"/>
      <c r="AD8" s="72"/>
      <c r="AE8" s="72"/>
      <c r="AF8" s="72"/>
      <c r="AG8" s="72"/>
      <c r="AH8" s="72"/>
      <c r="AI8" s="72"/>
      <c r="AJ8" s="72"/>
      <c r="AK8" s="72">
        <v>1</v>
      </c>
      <c r="AL8" s="72"/>
      <c r="AM8" s="72"/>
      <c r="AN8" s="72"/>
      <c r="AO8" s="72"/>
      <c r="AP8" s="72"/>
      <c r="AQ8" s="72"/>
      <c r="AR8" s="72"/>
      <c r="AS8" s="72">
        <v>1</v>
      </c>
      <c r="AT8" s="72"/>
      <c r="AU8" s="72"/>
      <c r="AV8" s="72"/>
      <c r="AW8" s="72"/>
      <c r="AX8" s="72"/>
      <c r="AY8" s="72"/>
      <c r="AZ8" s="72"/>
      <c r="BA8" s="72"/>
      <c r="BB8" s="72"/>
      <c r="BC8" s="72"/>
      <c r="BD8" s="72"/>
      <c r="BE8" s="72"/>
      <c r="BF8" s="72"/>
      <c r="BG8" s="72"/>
      <c r="BH8" s="72"/>
    </row>
    <row r="9" spans="1:61" hidden="1">
      <c r="A9" s="931"/>
      <c r="B9" s="72" t="s">
        <v>3122</v>
      </c>
      <c r="C9" s="72"/>
      <c r="D9" s="72"/>
      <c r="E9" s="72"/>
      <c r="F9" s="72"/>
      <c r="G9" s="72"/>
      <c r="H9" s="72"/>
      <c r="I9" s="76"/>
      <c r="J9" s="76"/>
      <c r="K9" s="72"/>
      <c r="L9" s="72">
        <v>1</v>
      </c>
      <c r="M9" s="72"/>
      <c r="N9" s="72"/>
      <c r="O9" s="72"/>
      <c r="P9" s="72"/>
      <c r="Q9" s="72"/>
      <c r="R9" s="72"/>
      <c r="S9" s="72"/>
      <c r="T9" s="72"/>
      <c r="U9" s="72"/>
      <c r="V9" s="72"/>
      <c r="W9" s="72"/>
      <c r="X9" s="72"/>
      <c r="Y9" s="72"/>
      <c r="Z9" s="72"/>
      <c r="AA9" s="72"/>
      <c r="AB9" s="72"/>
      <c r="AC9" s="72"/>
      <c r="AD9" s="72"/>
      <c r="AE9" s="72">
        <v>2</v>
      </c>
      <c r="AF9" s="72"/>
      <c r="AG9" s="72"/>
      <c r="AH9" s="72"/>
      <c r="AI9" s="72"/>
      <c r="AJ9" s="72"/>
      <c r="AK9" s="72">
        <v>2</v>
      </c>
      <c r="AL9" s="72">
        <v>4</v>
      </c>
      <c r="AM9" s="72"/>
      <c r="AN9" s="72"/>
      <c r="AO9" s="72"/>
      <c r="AP9" s="72"/>
      <c r="AQ9" s="72"/>
      <c r="AR9" s="72">
        <v>2</v>
      </c>
      <c r="AS9" s="72">
        <v>2</v>
      </c>
      <c r="AT9" s="72"/>
      <c r="AU9" s="72"/>
      <c r="AV9" s="72"/>
      <c r="AW9" s="72"/>
      <c r="AX9" s="72"/>
      <c r="AY9" s="72"/>
      <c r="AZ9" s="72"/>
      <c r="BA9" s="72"/>
      <c r="BB9" s="72"/>
      <c r="BC9" s="72"/>
      <c r="BD9" s="72"/>
      <c r="BE9" s="72"/>
      <c r="BF9" s="72"/>
      <c r="BG9" s="72">
        <v>1</v>
      </c>
      <c r="BH9" s="72"/>
    </row>
    <row r="10" spans="1:61" hidden="1">
      <c r="A10" s="931"/>
      <c r="B10" s="72" t="s">
        <v>3123</v>
      </c>
      <c r="C10" s="72"/>
      <c r="D10" s="72"/>
      <c r="E10" s="72"/>
      <c r="F10" s="72"/>
      <c r="G10" s="72"/>
      <c r="H10" s="72"/>
      <c r="I10" s="76"/>
      <c r="J10" s="76"/>
      <c r="K10" s="72"/>
      <c r="L10" s="72">
        <v>1</v>
      </c>
      <c r="M10" s="72"/>
      <c r="N10" s="72"/>
      <c r="O10" s="72"/>
      <c r="P10" s="72"/>
      <c r="Q10" s="72"/>
      <c r="R10" s="72"/>
      <c r="S10" s="72"/>
      <c r="T10" s="72"/>
      <c r="U10" s="72"/>
      <c r="V10" s="72"/>
      <c r="W10" s="72"/>
      <c r="X10" s="72"/>
      <c r="Y10" s="72"/>
      <c r="Z10" s="72"/>
      <c r="AA10" s="72"/>
      <c r="AB10" s="72"/>
      <c r="AC10" s="72"/>
      <c r="AD10" s="72"/>
      <c r="AE10" s="72">
        <v>2</v>
      </c>
      <c r="AF10" s="72"/>
      <c r="AG10" s="72"/>
      <c r="AH10" s="72"/>
      <c r="AI10" s="72"/>
      <c r="AJ10" s="72"/>
      <c r="AK10" s="72">
        <v>2</v>
      </c>
      <c r="AL10" s="72">
        <v>4</v>
      </c>
      <c r="AM10" s="72"/>
      <c r="AN10" s="72"/>
      <c r="AO10" s="72"/>
      <c r="AP10" s="72"/>
      <c r="AQ10" s="72"/>
      <c r="AR10" s="72">
        <v>2</v>
      </c>
      <c r="AS10" s="72">
        <v>2</v>
      </c>
      <c r="AT10" s="72"/>
      <c r="AU10" s="72"/>
      <c r="AV10" s="72"/>
      <c r="AW10" s="72"/>
      <c r="AX10" s="72"/>
      <c r="AY10" s="72"/>
      <c r="AZ10" s="72"/>
      <c r="BA10" s="72"/>
      <c r="BB10" s="72"/>
      <c r="BC10" s="72"/>
      <c r="BD10" s="72"/>
      <c r="BE10" s="72"/>
      <c r="BF10" s="72"/>
      <c r="BG10" s="72">
        <v>1</v>
      </c>
      <c r="BH10" s="72"/>
    </row>
    <row r="11" spans="1:61" hidden="1">
      <c r="A11" s="931"/>
      <c r="B11" s="72" t="s">
        <v>3124</v>
      </c>
      <c r="C11" s="72"/>
      <c r="D11" s="72"/>
      <c r="E11" s="72"/>
      <c r="F11" s="72"/>
      <c r="G11" s="72"/>
      <c r="H11" s="72"/>
      <c r="I11" s="76"/>
      <c r="J11" s="76"/>
      <c r="K11" s="72"/>
      <c r="L11" s="72">
        <v>1</v>
      </c>
      <c r="M11" s="72"/>
      <c r="N11" s="72"/>
      <c r="O11" s="72"/>
      <c r="P11" s="72"/>
      <c r="Q11" s="72"/>
      <c r="R11" s="72"/>
      <c r="S11" s="72"/>
      <c r="T11" s="72"/>
      <c r="U11" s="72"/>
      <c r="V11" s="72"/>
      <c r="W11" s="72"/>
      <c r="X11" s="72"/>
      <c r="Y11" s="72"/>
      <c r="Z11" s="72"/>
      <c r="AA11" s="72"/>
      <c r="AB11" s="72"/>
      <c r="AC11" s="72"/>
      <c r="AD11" s="72"/>
      <c r="AE11" s="72">
        <v>1</v>
      </c>
      <c r="AF11" s="72"/>
      <c r="AG11" s="72"/>
      <c r="AH11" s="72"/>
      <c r="AI11" s="72"/>
      <c r="AJ11" s="72"/>
      <c r="AK11" s="72">
        <v>1</v>
      </c>
      <c r="AL11" s="72">
        <v>2</v>
      </c>
      <c r="AM11" s="72"/>
      <c r="AN11" s="72"/>
      <c r="AO11" s="72"/>
      <c r="AP11" s="72"/>
      <c r="AQ11" s="72"/>
      <c r="AR11" s="72"/>
      <c r="AS11" s="72">
        <v>1</v>
      </c>
      <c r="AT11" s="72"/>
      <c r="AU11" s="72"/>
      <c r="AV11" s="72"/>
      <c r="AW11" s="72"/>
      <c r="AX11" s="72"/>
      <c r="AY11" s="72"/>
      <c r="AZ11" s="72"/>
      <c r="BA11" s="72"/>
      <c r="BB11" s="72"/>
      <c r="BC11" s="72"/>
      <c r="BD11" s="72"/>
      <c r="BE11" s="72"/>
      <c r="BF11" s="72"/>
      <c r="BG11" s="72">
        <v>1</v>
      </c>
      <c r="BH11" s="72"/>
    </row>
    <row r="12" spans="1:61" hidden="1">
      <c r="A12" s="931"/>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row>
    <row r="13" spans="1:61" hidden="1">
      <c r="A13" s="931">
        <v>2</v>
      </c>
      <c r="B13" s="72" t="s">
        <v>3125</v>
      </c>
      <c r="C13" s="72"/>
      <c r="D13" s="72"/>
      <c r="E13" s="72"/>
      <c r="F13" s="72"/>
      <c r="G13" s="72"/>
      <c r="H13" s="72"/>
      <c r="I13" s="72">
        <v>2</v>
      </c>
      <c r="J13" s="72"/>
      <c r="K13" s="72"/>
      <c r="L13" s="72">
        <v>1</v>
      </c>
      <c r="M13" s="72"/>
      <c r="N13" s="72"/>
      <c r="O13" s="72"/>
      <c r="P13" s="72"/>
      <c r="Q13" s="72"/>
      <c r="R13" s="72"/>
      <c r="S13" s="72"/>
      <c r="T13" s="72">
        <v>1</v>
      </c>
      <c r="U13" s="72"/>
      <c r="V13" s="72"/>
      <c r="W13" s="72">
        <v>1</v>
      </c>
      <c r="X13" s="72">
        <v>1</v>
      </c>
      <c r="Y13" s="72"/>
      <c r="Z13" s="72"/>
      <c r="AA13" s="72"/>
      <c r="AB13" s="72"/>
      <c r="AC13" s="72"/>
      <c r="AD13" s="72"/>
      <c r="AE13" s="72">
        <v>1</v>
      </c>
      <c r="AF13" s="72"/>
      <c r="AG13" s="72"/>
      <c r="AH13" s="72"/>
      <c r="AI13" s="72"/>
      <c r="AJ13" s="72"/>
      <c r="AK13" s="72">
        <v>2</v>
      </c>
      <c r="AL13" s="72">
        <v>2</v>
      </c>
      <c r="AM13" s="72"/>
      <c r="AN13" s="72">
        <v>2</v>
      </c>
      <c r="AO13" s="72"/>
      <c r="AP13" s="72">
        <v>1</v>
      </c>
      <c r="AQ13" s="72">
        <v>1</v>
      </c>
      <c r="AR13" s="72"/>
      <c r="AS13" s="72">
        <v>2</v>
      </c>
      <c r="AT13" s="72"/>
      <c r="AU13" s="72"/>
      <c r="AV13" s="72"/>
      <c r="AW13" s="72"/>
      <c r="AX13" s="72"/>
      <c r="AY13" s="72"/>
      <c r="AZ13" s="72"/>
      <c r="BA13" s="72"/>
      <c r="BB13" s="72"/>
      <c r="BC13" s="72"/>
      <c r="BD13" s="72"/>
      <c r="BE13" s="72"/>
      <c r="BF13" s="72">
        <v>1</v>
      </c>
      <c r="BG13" s="72">
        <v>1</v>
      </c>
      <c r="BH13" s="72"/>
    </row>
    <row r="14" spans="1:61" hidden="1">
      <c r="A14" s="931"/>
      <c r="B14" s="72" t="s">
        <v>3126</v>
      </c>
      <c r="C14" s="72"/>
      <c r="D14" s="72"/>
      <c r="E14" s="72"/>
      <c r="F14" s="72"/>
      <c r="G14" s="72"/>
      <c r="H14" s="72"/>
      <c r="I14" s="72">
        <v>2</v>
      </c>
      <c r="J14" s="72"/>
      <c r="K14" s="72"/>
      <c r="L14" s="72">
        <v>1</v>
      </c>
      <c r="M14" s="72"/>
      <c r="N14" s="72"/>
      <c r="O14" s="72"/>
      <c r="P14" s="72"/>
      <c r="Q14" s="72"/>
      <c r="R14" s="72"/>
      <c r="S14" s="72"/>
      <c r="T14" s="72">
        <v>1</v>
      </c>
      <c r="U14" s="72"/>
      <c r="V14" s="72"/>
      <c r="W14" s="72">
        <v>1</v>
      </c>
      <c r="X14" s="72">
        <v>1</v>
      </c>
      <c r="Y14" s="72"/>
      <c r="Z14" s="72"/>
      <c r="AA14" s="72"/>
      <c r="AB14" s="72"/>
      <c r="AC14" s="72"/>
      <c r="AD14" s="72"/>
      <c r="AE14" s="72">
        <v>1</v>
      </c>
      <c r="AF14" s="72"/>
      <c r="AG14" s="72"/>
      <c r="AH14" s="72"/>
      <c r="AI14" s="72"/>
      <c r="AJ14" s="72"/>
      <c r="AK14" s="72">
        <v>2</v>
      </c>
      <c r="AL14" s="72">
        <v>2</v>
      </c>
      <c r="AM14" s="72"/>
      <c r="AN14" s="72">
        <v>2</v>
      </c>
      <c r="AO14" s="72"/>
      <c r="AP14" s="72">
        <v>1</v>
      </c>
      <c r="AQ14" s="72">
        <v>1</v>
      </c>
      <c r="AR14" s="72"/>
      <c r="AS14" s="72">
        <v>2</v>
      </c>
      <c r="AT14" s="72"/>
      <c r="AU14" s="72"/>
      <c r="AV14" s="72"/>
      <c r="AW14" s="72"/>
      <c r="AX14" s="72"/>
      <c r="AY14" s="72"/>
      <c r="AZ14" s="72"/>
      <c r="BA14" s="72"/>
      <c r="BB14" s="72"/>
      <c r="BC14" s="72"/>
      <c r="BD14" s="72"/>
      <c r="BE14" s="72"/>
      <c r="BF14" s="72">
        <v>1</v>
      </c>
      <c r="BG14" s="72">
        <v>1</v>
      </c>
      <c r="BH14" s="72"/>
    </row>
    <row r="15" spans="1:61" hidden="1">
      <c r="A15" s="931"/>
      <c r="B15" s="72" t="s">
        <v>3127</v>
      </c>
      <c r="C15" s="72"/>
      <c r="D15" s="72"/>
      <c r="E15" s="72"/>
      <c r="F15" s="72"/>
      <c r="G15" s="72"/>
      <c r="H15" s="72"/>
      <c r="I15" s="72">
        <v>2</v>
      </c>
      <c r="J15" s="72"/>
      <c r="K15" s="72"/>
      <c r="L15" s="72">
        <v>1</v>
      </c>
      <c r="M15" s="72"/>
      <c r="N15" s="72"/>
      <c r="O15" s="72"/>
      <c r="P15" s="72"/>
      <c r="Q15" s="72"/>
      <c r="R15" s="72"/>
      <c r="S15" s="72"/>
      <c r="T15" s="72">
        <v>1</v>
      </c>
      <c r="U15" s="72"/>
      <c r="V15" s="72"/>
      <c r="W15" s="72">
        <v>1</v>
      </c>
      <c r="X15" s="72">
        <v>1</v>
      </c>
      <c r="Y15" s="72"/>
      <c r="Z15" s="72"/>
      <c r="AA15" s="72"/>
      <c r="AB15" s="72"/>
      <c r="AC15" s="72"/>
      <c r="AD15" s="72"/>
      <c r="AE15" s="72">
        <v>3</v>
      </c>
      <c r="AF15" s="72"/>
      <c r="AG15" s="72"/>
      <c r="AH15" s="72"/>
      <c r="AI15" s="72"/>
      <c r="AJ15" s="72"/>
      <c r="AK15" s="72">
        <v>3</v>
      </c>
      <c r="AL15" s="72">
        <v>6</v>
      </c>
      <c r="AM15" s="72"/>
      <c r="AN15" s="72">
        <v>2</v>
      </c>
      <c r="AO15" s="72"/>
      <c r="AP15" s="72">
        <v>1</v>
      </c>
      <c r="AQ15" s="72">
        <v>1</v>
      </c>
      <c r="AR15" s="72">
        <v>2</v>
      </c>
      <c r="AS15" s="72">
        <v>3</v>
      </c>
      <c r="AT15" s="72"/>
      <c r="AU15" s="72"/>
      <c r="AV15" s="72"/>
      <c r="AW15" s="72"/>
      <c r="AX15" s="72"/>
      <c r="AY15" s="72"/>
      <c r="AZ15" s="72"/>
      <c r="BA15" s="72"/>
      <c r="BB15" s="72"/>
      <c r="BC15" s="72"/>
      <c r="BD15" s="72"/>
      <c r="BE15" s="72"/>
      <c r="BF15" s="72">
        <v>1</v>
      </c>
      <c r="BG15" s="72">
        <v>1</v>
      </c>
      <c r="BH15" s="72"/>
    </row>
    <row r="16" spans="1:61" hidden="1">
      <c r="A16" s="931"/>
      <c r="B16" s="72" t="s">
        <v>3128</v>
      </c>
      <c r="C16" s="72"/>
      <c r="D16" s="72"/>
      <c r="E16" s="72"/>
      <c r="F16" s="72"/>
      <c r="G16" s="72"/>
      <c r="H16" s="72"/>
      <c r="I16" s="72">
        <v>2</v>
      </c>
      <c r="J16" s="72"/>
      <c r="K16" s="72"/>
      <c r="L16" s="72">
        <v>1</v>
      </c>
      <c r="M16" s="72"/>
      <c r="N16" s="72"/>
      <c r="O16" s="72"/>
      <c r="P16" s="72"/>
      <c r="Q16" s="72"/>
      <c r="R16" s="72"/>
      <c r="S16" s="72"/>
      <c r="T16" s="72">
        <v>1</v>
      </c>
      <c r="U16" s="72"/>
      <c r="V16" s="72"/>
      <c r="W16" s="72">
        <v>1</v>
      </c>
      <c r="X16" s="72">
        <v>1</v>
      </c>
      <c r="Y16" s="72"/>
      <c r="Z16" s="72"/>
      <c r="AA16" s="72"/>
      <c r="AB16" s="72"/>
      <c r="AC16" s="72"/>
      <c r="AD16" s="72"/>
      <c r="AE16" s="72">
        <v>3</v>
      </c>
      <c r="AF16" s="72"/>
      <c r="AG16" s="72"/>
      <c r="AH16" s="72"/>
      <c r="AI16" s="72"/>
      <c r="AJ16" s="72"/>
      <c r="AK16" s="72">
        <v>3</v>
      </c>
      <c r="AL16" s="72">
        <v>6</v>
      </c>
      <c r="AM16" s="72"/>
      <c r="AN16" s="72">
        <v>2</v>
      </c>
      <c r="AO16" s="72"/>
      <c r="AP16" s="72">
        <v>1</v>
      </c>
      <c r="AQ16" s="72">
        <v>1</v>
      </c>
      <c r="AR16" s="72">
        <v>2</v>
      </c>
      <c r="AS16" s="72">
        <v>3</v>
      </c>
      <c r="AT16" s="72"/>
      <c r="AU16" s="72"/>
      <c r="AV16" s="72"/>
      <c r="AW16" s="72"/>
      <c r="AX16" s="72"/>
      <c r="AY16" s="72"/>
      <c r="AZ16" s="72"/>
      <c r="BA16" s="72"/>
      <c r="BB16" s="72"/>
      <c r="BC16" s="72"/>
      <c r="BD16" s="72"/>
      <c r="BE16" s="72"/>
      <c r="BF16" s="72">
        <v>1</v>
      </c>
      <c r="BG16" s="72">
        <v>1</v>
      </c>
      <c r="BH16" s="72"/>
    </row>
    <row r="17" spans="1:60" hidden="1">
      <c r="A17" s="931"/>
      <c r="B17" s="72" t="s">
        <v>3129</v>
      </c>
      <c r="C17" s="72"/>
      <c r="D17" s="72"/>
      <c r="E17" s="72"/>
      <c r="F17" s="72"/>
      <c r="G17" s="72"/>
      <c r="H17" s="72"/>
      <c r="I17" s="72">
        <v>2</v>
      </c>
      <c r="J17" s="72"/>
      <c r="K17" s="72"/>
      <c r="L17" s="72">
        <v>1</v>
      </c>
      <c r="M17" s="72"/>
      <c r="N17" s="72"/>
      <c r="O17" s="72"/>
      <c r="P17" s="72"/>
      <c r="Q17" s="72"/>
      <c r="R17" s="72"/>
      <c r="S17" s="72"/>
      <c r="T17" s="72">
        <v>1</v>
      </c>
      <c r="U17" s="72"/>
      <c r="V17" s="72"/>
      <c r="W17" s="72">
        <v>1</v>
      </c>
      <c r="X17" s="72">
        <v>1</v>
      </c>
      <c r="Y17" s="72"/>
      <c r="Z17" s="72"/>
      <c r="AA17" s="72"/>
      <c r="AB17" s="72"/>
      <c r="AC17" s="72"/>
      <c r="AD17" s="72"/>
      <c r="AE17" s="72">
        <v>2</v>
      </c>
      <c r="AF17" s="72"/>
      <c r="AG17" s="72"/>
      <c r="AH17" s="72"/>
      <c r="AI17" s="72"/>
      <c r="AJ17" s="72"/>
      <c r="AK17" s="72">
        <v>2</v>
      </c>
      <c r="AL17" s="72">
        <v>4</v>
      </c>
      <c r="AM17" s="72"/>
      <c r="AN17" s="72">
        <v>2</v>
      </c>
      <c r="AO17" s="72"/>
      <c r="AP17" s="72">
        <v>1</v>
      </c>
      <c r="AQ17" s="72">
        <v>1</v>
      </c>
      <c r="AR17" s="72"/>
      <c r="AS17" s="72">
        <v>2</v>
      </c>
      <c r="AT17" s="72"/>
      <c r="AU17" s="72"/>
      <c r="AV17" s="72"/>
      <c r="AW17" s="72"/>
      <c r="AX17" s="72"/>
      <c r="AY17" s="72"/>
      <c r="AZ17" s="72"/>
      <c r="BA17" s="72"/>
      <c r="BB17" s="72"/>
      <c r="BC17" s="72"/>
      <c r="BD17" s="72"/>
      <c r="BE17" s="72"/>
      <c r="BF17" s="72">
        <v>1</v>
      </c>
      <c r="BG17" s="72">
        <v>1</v>
      </c>
      <c r="BH17" s="72"/>
    </row>
    <row r="18" spans="1:60" hidden="1">
      <c r="A18" s="931"/>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row>
    <row r="19" spans="1:60" hidden="1">
      <c r="A19" s="931">
        <v>3</v>
      </c>
      <c r="B19" s="72" t="s">
        <v>3130</v>
      </c>
      <c r="C19" s="72"/>
      <c r="D19" s="72"/>
      <c r="E19" s="72"/>
      <c r="F19" s="72"/>
      <c r="G19" s="72"/>
      <c r="H19" s="72"/>
      <c r="I19" s="72"/>
      <c r="J19" s="72"/>
      <c r="K19" s="72"/>
      <c r="L19" s="72">
        <v>1</v>
      </c>
      <c r="M19" s="72"/>
      <c r="N19" s="72"/>
      <c r="O19" s="72"/>
      <c r="P19" s="72"/>
      <c r="Q19" s="72"/>
      <c r="R19" s="72"/>
      <c r="S19" s="72"/>
      <c r="T19" s="72"/>
      <c r="U19" s="72"/>
      <c r="V19" s="72"/>
      <c r="W19" s="72"/>
      <c r="X19" s="72"/>
      <c r="Y19" s="72"/>
      <c r="Z19" s="72"/>
      <c r="AA19" s="72">
        <v>1</v>
      </c>
      <c r="AB19" s="72"/>
      <c r="AC19" s="72"/>
      <c r="AD19" s="72"/>
      <c r="AE19" s="72"/>
      <c r="AF19" s="72">
        <v>3</v>
      </c>
      <c r="AG19" s="72"/>
      <c r="AH19" s="72"/>
      <c r="AI19" s="72"/>
      <c r="AJ19" s="72"/>
      <c r="AK19" s="72">
        <v>1</v>
      </c>
      <c r="AL19" s="72"/>
      <c r="AM19" s="72"/>
      <c r="AN19" s="72"/>
      <c r="AO19" s="72"/>
      <c r="AP19" s="72"/>
      <c r="AQ19" s="72"/>
      <c r="AR19" s="72"/>
      <c r="AS19" s="72">
        <v>1</v>
      </c>
      <c r="AT19" s="72"/>
      <c r="AU19" s="72"/>
      <c r="AV19" s="72"/>
      <c r="AW19" s="72"/>
      <c r="AX19" s="72"/>
      <c r="AY19" s="72"/>
      <c r="AZ19" s="72"/>
      <c r="BA19" s="72"/>
      <c r="BB19" s="72"/>
      <c r="BC19" s="72"/>
      <c r="BD19" s="72"/>
      <c r="BE19" s="72"/>
      <c r="BF19" s="72"/>
      <c r="BG19" s="72"/>
      <c r="BH19" s="72"/>
    </row>
    <row r="20" spans="1:60" hidden="1">
      <c r="A20" s="931"/>
      <c r="B20" s="72" t="s">
        <v>3131</v>
      </c>
      <c r="C20" s="72"/>
      <c r="D20" s="72"/>
      <c r="E20" s="72"/>
      <c r="F20" s="72"/>
      <c r="G20" s="72"/>
      <c r="H20" s="72"/>
      <c r="I20" s="72"/>
      <c r="J20" s="72"/>
      <c r="K20" s="72"/>
      <c r="L20" s="72">
        <v>1</v>
      </c>
      <c r="M20" s="72"/>
      <c r="N20" s="72"/>
      <c r="O20" s="72"/>
      <c r="P20" s="72"/>
      <c r="Q20" s="72"/>
      <c r="R20" s="72"/>
      <c r="S20" s="72"/>
      <c r="T20" s="72"/>
      <c r="U20" s="72"/>
      <c r="V20" s="72"/>
      <c r="W20" s="72"/>
      <c r="X20" s="72"/>
      <c r="Y20" s="72"/>
      <c r="Z20" s="72"/>
      <c r="AA20" s="72"/>
      <c r="AB20" s="72"/>
      <c r="AC20" s="72"/>
      <c r="AD20" s="72"/>
      <c r="AE20" s="72"/>
      <c r="AF20" s="72">
        <v>6</v>
      </c>
      <c r="AG20" s="72"/>
      <c r="AH20" s="72"/>
      <c r="AI20" s="72"/>
      <c r="AJ20" s="72"/>
      <c r="AK20" s="72">
        <v>1</v>
      </c>
      <c r="AL20" s="72"/>
      <c r="AM20" s="72"/>
      <c r="AN20" s="72"/>
      <c r="AO20" s="72"/>
      <c r="AP20" s="72"/>
      <c r="AQ20" s="72"/>
      <c r="AR20" s="72"/>
      <c r="AS20" s="72">
        <v>1</v>
      </c>
      <c r="AT20" s="72"/>
      <c r="AU20" s="72"/>
      <c r="AV20" s="72"/>
      <c r="AW20" s="72"/>
      <c r="AX20" s="72"/>
      <c r="AY20" s="72"/>
      <c r="AZ20" s="72"/>
      <c r="BA20" s="72"/>
      <c r="BB20" s="72"/>
      <c r="BC20" s="72"/>
      <c r="BD20" s="72"/>
      <c r="BE20" s="72"/>
      <c r="BF20" s="72"/>
      <c r="BG20" s="72"/>
      <c r="BH20" s="72"/>
    </row>
    <row r="21" spans="1:60" hidden="1">
      <c r="A21" s="931"/>
      <c r="B21" s="72" t="s">
        <v>3132</v>
      </c>
      <c r="C21" s="72"/>
      <c r="D21" s="72"/>
      <c r="E21" s="72"/>
      <c r="F21" s="72"/>
      <c r="G21" s="72"/>
      <c r="H21" s="72"/>
      <c r="I21" s="72"/>
      <c r="J21" s="72"/>
      <c r="K21" s="72"/>
      <c r="L21" s="72">
        <v>1</v>
      </c>
      <c r="M21" s="72"/>
      <c r="N21" s="72"/>
      <c r="O21" s="72"/>
      <c r="P21" s="72"/>
      <c r="Q21" s="72"/>
      <c r="R21" s="72"/>
      <c r="S21" s="72"/>
      <c r="T21" s="72"/>
      <c r="U21" s="72"/>
      <c r="V21" s="72"/>
      <c r="W21" s="72"/>
      <c r="X21" s="72"/>
      <c r="Y21" s="72"/>
      <c r="Z21" s="72"/>
      <c r="AA21" s="72"/>
      <c r="AB21" s="72"/>
      <c r="AC21" s="72"/>
      <c r="AD21" s="72"/>
      <c r="AE21" s="72">
        <v>6</v>
      </c>
      <c r="AF21" s="72">
        <v>1</v>
      </c>
      <c r="AG21" s="72"/>
      <c r="AH21" s="72"/>
      <c r="AI21" s="72"/>
      <c r="AJ21" s="72"/>
      <c r="AK21" s="72">
        <v>2</v>
      </c>
      <c r="AL21" s="72">
        <v>4</v>
      </c>
      <c r="AM21" s="72"/>
      <c r="AN21" s="72"/>
      <c r="AO21" s="72"/>
      <c r="AP21" s="72"/>
      <c r="AQ21" s="72"/>
      <c r="AR21" s="72">
        <v>4</v>
      </c>
      <c r="AS21" s="72">
        <v>2</v>
      </c>
      <c r="AT21" s="72"/>
      <c r="AU21" s="72"/>
      <c r="AV21" s="72"/>
      <c r="AW21" s="72"/>
      <c r="AX21" s="72"/>
      <c r="AY21" s="72"/>
      <c r="AZ21" s="72"/>
      <c r="BA21" s="72"/>
      <c r="BB21" s="72"/>
      <c r="BC21" s="72"/>
      <c r="BD21" s="72"/>
      <c r="BE21" s="72"/>
      <c r="BF21" s="72"/>
      <c r="BG21" s="72">
        <v>1</v>
      </c>
      <c r="BH21" s="72"/>
    </row>
    <row r="22" spans="1:60" hidden="1">
      <c r="A22" s="931"/>
      <c r="B22" s="72" t="s">
        <v>3133</v>
      </c>
      <c r="C22" s="72"/>
      <c r="D22" s="72"/>
      <c r="E22" s="72"/>
      <c r="F22" s="72"/>
      <c r="G22" s="72"/>
      <c r="H22" s="72"/>
      <c r="I22" s="72"/>
      <c r="J22" s="72"/>
      <c r="K22" s="72"/>
      <c r="L22" s="72">
        <v>1</v>
      </c>
      <c r="M22" s="72"/>
      <c r="N22" s="72"/>
      <c r="O22" s="72"/>
      <c r="P22" s="72"/>
      <c r="Q22" s="72"/>
      <c r="R22" s="72"/>
      <c r="S22" s="72"/>
      <c r="T22" s="72"/>
      <c r="U22" s="72"/>
      <c r="V22" s="72"/>
      <c r="W22" s="72"/>
      <c r="X22" s="72"/>
      <c r="Y22" s="72"/>
      <c r="Z22" s="72"/>
      <c r="AA22" s="72"/>
      <c r="AB22" s="72"/>
      <c r="AC22" s="72"/>
      <c r="AD22" s="72"/>
      <c r="AE22" s="72">
        <v>6</v>
      </c>
      <c r="AF22" s="72">
        <v>4</v>
      </c>
      <c r="AG22" s="72"/>
      <c r="AH22" s="72"/>
      <c r="AI22" s="72"/>
      <c r="AJ22" s="72"/>
      <c r="AK22" s="72">
        <v>2</v>
      </c>
      <c r="AL22" s="72">
        <v>4</v>
      </c>
      <c r="AM22" s="72"/>
      <c r="AN22" s="72"/>
      <c r="AO22" s="72"/>
      <c r="AP22" s="72"/>
      <c r="AQ22" s="72"/>
      <c r="AR22" s="72">
        <v>4</v>
      </c>
      <c r="AS22" s="72">
        <v>2</v>
      </c>
      <c r="AT22" s="72"/>
      <c r="AU22" s="72"/>
      <c r="AV22" s="72"/>
      <c r="AW22" s="72"/>
      <c r="AX22" s="72"/>
      <c r="AY22" s="72"/>
      <c r="AZ22" s="72"/>
      <c r="BA22" s="72"/>
      <c r="BB22" s="72"/>
      <c r="BC22" s="72"/>
      <c r="BD22" s="72"/>
      <c r="BE22" s="72"/>
      <c r="BF22" s="72"/>
      <c r="BG22" s="72">
        <v>1</v>
      </c>
      <c r="BH22" s="72"/>
    </row>
    <row r="23" spans="1:60" hidden="1">
      <c r="A23" s="931"/>
      <c r="B23" s="72" t="s">
        <v>3134</v>
      </c>
      <c r="C23" s="72"/>
      <c r="D23" s="72"/>
      <c r="E23" s="72"/>
      <c r="F23" s="72"/>
      <c r="G23" s="72"/>
      <c r="H23" s="72"/>
      <c r="I23" s="72"/>
      <c r="J23" s="72"/>
      <c r="K23" s="72"/>
      <c r="L23" s="72">
        <v>1</v>
      </c>
      <c r="M23" s="72"/>
      <c r="N23" s="72"/>
      <c r="O23" s="72"/>
      <c r="P23" s="72"/>
      <c r="Q23" s="72"/>
      <c r="R23" s="72"/>
      <c r="S23" s="72"/>
      <c r="T23" s="72"/>
      <c r="U23" s="72"/>
      <c r="V23" s="72"/>
      <c r="W23" s="72"/>
      <c r="X23" s="72"/>
      <c r="Y23" s="72"/>
      <c r="Z23" s="72"/>
      <c r="AA23" s="72"/>
      <c r="AB23" s="72"/>
      <c r="AC23" s="72"/>
      <c r="AD23" s="72"/>
      <c r="AE23" s="72">
        <v>3</v>
      </c>
      <c r="AF23" s="72"/>
      <c r="AG23" s="72"/>
      <c r="AH23" s="72"/>
      <c r="AI23" s="72"/>
      <c r="AJ23" s="72"/>
      <c r="AK23" s="72">
        <v>1</v>
      </c>
      <c r="AL23" s="72">
        <v>2</v>
      </c>
      <c r="AM23" s="72"/>
      <c r="AN23" s="72"/>
      <c r="AO23" s="72"/>
      <c r="AP23" s="72"/>
      <c r="AQ23" s="72"/>
      <c r="AR23" s="72"/>
      <c r="AS23" s="72">
        <v>1</v>
      </c>
      <c r="AT23" s="72"/>
      <c r="AU23" s="72"/>
      <c r="AV23" s="72"/>
      <c r="AW23" s="72"/>
      <c r="AX23" s="72"/>
      <c r="AY23" s="72"/>
      <c r="AZ23" s="72"/>
      <c r="BA23" s="72"/>
      <c r="BB23" s="72"/>
      <c r="BC23" s="72"/>
      <c r="BD23" s="72"/>
      <c r="BE23" s="72"/>
      <c r="BF23" s="72"/>
      <c r="BG23" s="72">
        <v>1</v>
      </c>
      <c r="BH23" s="72"/>
    </row>
    <row r="24" spans="1:60" hidden="1">
      <c r="A24" s="931"/>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row>
    <row r="25" spans="1:60" hidden="1">
      <c r="A25" s="931">
        <v>4</v>
      </c>
      <c r="B25" s="72" t="s">
        <v>3135</v>
      </c>
      <c r="C25" s="72"/>
      <c r="D25" s="72"/>
      <c r="E25" s="72"/>
      <c r="F25" s="72"/>
      <c r="G25" s="72"/>
      <c r="H25" s="72"/>
      <c r="I25" s="72">
        <v>2</v>
      </c>
      <c r="J25" s="72"/>
      <c r="K25" s="72"/>
      <c r="L25" s="72">
        <v>1</v>
      </c>
      <c r="M25" s="72"/>
      <c r="N25" s="72"/>
      <c r="O25" s="72"/>
      <c r="P25" s="72"/>
      <c r="Q25" s="72"/>
      <c r="R25" s="72"/>
      <c r="S25" s="72"/>
      <c r="T25" s="72">
        <v>1</v>
      </c>
      <c r="U25" s="72"/>
      <c r="V25" s="72"/>
      <c r="W25" s="72">
        <v>1</v>
      </c>
      <c r="X25" s="72">
        <v>1</v>
      </c>
      <c r="Y25" s="72"/>
      <c r="Z25" s="72"/>
      <c r="AA25" s="72">
        <v>1</v>
      </c>
      <c r="AB25" s="72"/>
      <c r="AC25" s="72"/>
      <c r="AD25" s="72"/>
      <c r="AE25" s="72">
        <v>1</v>
      </c>
      <c r="AF25" s="72">
        <v>3</v>
      </c>
      <c r="AG25" s="72"/>
      <c r="AH25" s="72"/>
      <c r="AI25" s="72"/>
      <c r="AJ25" s="72"/>
      <c r="AK25" s="72">
        <v>2</v>
      </c>
      <c r="AL25" s="72">
        <v>2</v>
      </c>
      <c r="AM25" s="72">
        <v>2</v>
      </c>
      <c r="AN25" s="72"/>
      <c r="AO25" s="72">
        <v>1</v>
      </c>
      <c r="AP25" s="72"/>
      <c r="AQ25" s="72">
        <v>1</v>
      </c>
      <c r="AR25" s="72"/>
      <c r="AS25" s="72">
        <v>2</v>
      </c>
      <c r="AT25" s="72"/>
      <c r="AU25" s="72"/>
      <c r="AV25" s="72"/>
      <c r="AW25" s="72"/>
      <c r="AX25" s="72"/>
      <c r="AY25" s="72"/>
      <c r="AZ25" s="72"/>
      <c r="BA25" s="72"/>
      <c r="BB25" s="72"/>
      <c r="BC25" s="72"/>
      <c r="BD25" s="72"/>
      <c r="BE25" s="72"/>
      <c r="BF25" s="72">
        <v>1</v>
      </c>
      <c r="BG25" s="72">
        <v>1</v>
      </c>
      <c r="BH25" s="72"/>
    </row>
    <row r="26" spans="1:60" hidden="1">
      <c r="A26" s="931"/>
      <c r="B26" s="72" t="s">
        <v>3136</v>
      </c>
      <c r="C26" s="72"/>
      <c r="D26" s="72"/>
      <c r="E26" s="72"/>
      <c r="F26" s="72"/>
      <c r="G26" s="72"/>
      <c r="H26" s="72"/>
      <c r="I26" s="72">
        <v>2</v>
      </c>
      <c r="J26" s="72"/>
      <c r="K26" s="72"/>
      <c r="L26" s="72">
        <v>1</v>
      </c>
      <c r="M26" s="72"/>
      <c r="N26" s="72"/>
      <c r="O26" s="72"/>
      <c r="P26" s="72"/>
      <c r="Q26" s="72"/>
      <c r="R26" s="72"/>
      <c r="S26" s="72"/>
      <c r="T26" s="72">
        <v>1</v>
      </c>
      <c r="U26" s="72"/>
      <c r="V26" s="72"/>
      <c r="W26" s="72">
        <v>1</v>
      </c>
      <c r="X26" s="72">
        <v>1</v>
      </c>
      <c r="Y26" s="72"/>
      <c r="Z26" s="72"/>
      <c r="AA26" s="72"/>
      <c r="AB26" s="72"/>
      <c r="AC26" s="72"/>
      <c r="AD26" s="72"/>
      <c r="AE26" s="72">
        <v>1</v>
      </c>
      <c r="AF26" s="72">
        <v>6</v>
      </c>
      <c r="AG26" s="72"/>
      <c r="AH26" s="72"/>
      <c r="AI26" s="72"/>
      <c r="AJ26" s="72"/>
      <c r="AK26" s="72">
        <v>2</v>
      </c>
      <c r="AL26" s="72">
        <v>2</v>
      </c>
      <c r="AM26" s="72">
        <v>2</v>
      </c>
      <c r="AN26" s="72"/>
      <c r="AO26" s="72">
        <v>1</v>
      </c>
      <c r="AP26" s="72"/>
      <c r="AQ26" s="72">
        <v>1</v>
      </c>
      <c r="AR26" s="72"/>
      <c r="AS26" s="72">
        <v>2</v>
      </c>
      <c r="AT26" s="72"/>
      <c r="AU26" s="72"/>
      <c r="AV26" s="72"/>
      <c r="AW26" s="72"/>
      <c r="AX26" s="72"/>
      <c r="AY26" s="72"/>
      <c r="AZ26" s="72"/>
      <c r="BA26" s="72"/>
      <c r="BB26" s="72"/>
      <c r="BC26" s="72"/>
      <c r="BD26" s="72"/>
      <c r="BE26" s="72"/>
      <c r="BF26" s="72">
        <v>1</v>
      </c>
      <c r="BG26" s="72">
        <v>1</v>
      </c>
      <c r="BH26" s="72"/>
    </row>
    <row r="27" spans="1:60" hidden="1">
      <c r="A27" s="931"/>
      <c r="B27" s="72" t="s">
        <v>3137</v>
      </c>
      <c r="C27" s="72"/>
      <c r="D27" s="72"/>
      <c r="E27" s="72"/>
      <c r="F27" s="72"/>
      <c r="G27" s="72"/>
      <c r="H27" s="72"/>
      <c r="I27" s="72">
        <v>2</v>
      </c>
      <c r="J27" s="72"/>
      <c r="K27" s="72"/>
      <c r="L27" s="72">
        <v>1</v>
      </c>
      <c r="M27" s="72"/>
      <c r="N27" s="72"/>
      <c r="O27" s="72"/>
      <c r="P27" s="72"/>
      <c r="Q27" s="72"/>
      <c r="R27" s="72"/>
      <c r="S27" s="72"/>
      <c r="T27" s="72">
        <v>1</v>
      </c>
      <c r="U27" s="72"/>
      <c r="V27" s="72"/>
      <c r="W27" s="72">
        <v>1</v>
      </c>
      <c r="X27" s="72">
        <v>1</v>
      </c>
      <c r="Y27" s="72"/>
      <c r="Z27" s="72"/>
      <c r="AA27" s="72"/>
      <c r="AB27" s="72"/>
      <c r="AC27" s="72"/>
      <c r="AD27" s="72"/>
      <c r="AE27" s="72">
        <v>7</v>
      </c>
      <c r="AF27" s="72">
        <v>1</v>
      </c>
      <c r="AG27" s="72"/>
      <c r="AH27" s="72"/>
      <c r="AI27" s="72"/>
      <c r="AJ27" s="72"/>
      <c r="AK27" s="72">
        <v>3</v>
      </c>
      <c r="AL27" s="72">
        <v>6</v>
      </c>
      <c r="AM27" s="72">
        <v>2</v>
      </c>
      <c r="AN27" s="72"/>
      <c r="AO27" s="72">
        <v>1</v>
      </c>
      <c r="AP27" s="72"/>
      <c r="AQ27" s="72">
        <v>1</v>
      </c>
      <c r="AR27" s="72">
        <v>4</v>
      </c>
      <c r="AS27" s="72">
        <v>3</v>
      </c>
      <c r="AT27" s="72"/>
      <c r="AU27" s="72"/>
      <c r="AV27" s="72"/>
      <c r="AW27" s="72"/>
      <c r="AX27" s="72"/>
      <c r="AY27" s="72"/>
      <c r="AZ27" s="72"/>
      <c r="BA27" s="72"/>
      <c r="BB27" s="72"/>
      <c r="BC27" s="72"/>
      <c r="BD27" s="72"/>
      <c r="BE27" s="72"/>
      <c r="BF27" s="72">
        <v>1</v>
      </c>
      <c r="BG27" s="72">
        <v>1</v>
      </c>
      <c r="BH27" s="72"/>
    </row>
    <row r="28" spans="1:60" hidden="1">
      <c r="A28" s="931"/>
      <c r="B28" s="72" t="s">
        <v>3138</v>
      </c>
      <c r="C28" s="72"/>
      <c r="D28" s="72"/>
      <c r="E28" s="72"/>
      <c r="F28" s="72"/>
      <c r="G28" s="72"/>
      <c r="H28" s="72"/>
      <c r="I28" s="72">
        <v>2</v>
      </c>
      <c r="J28" s="72"/>
      <c r="K28" s="72"/>
      <c r="L28" s="72">
        <v>1</v>
      </c>
      <c r="M28" s="72"/>
      <c r="N28" s="72"/>
      <c r="O28" s="72"/>
      <c r="P28" s="72"/>
      <c r="Q28" s="72"/>
      <c r="R28" s="72"/>
      <c r="S28" s="72"/>
      <c r="T28" s="72"/>
      <c r="U28" s="72"/>
      <c r="V28" s="72"/>
      <c r="W28" s="72"/>
      <c r="X28" s="72"/>
      <c r="Y28" s="72"/>
      <c r="Z28" s="72"/>
      <c r="AA28" s="72"/>
      <c r="AB28" s="72"/>
      <c r="AC28" s="72"/>
      <c r="AD28" s="72"/>
      <c r="AE28" s="72">
        <v>7</v>
      </c>
      <c r="AF28" s="72">
        <v>4</v>
      </c>
      <c r="AG28" s="72"/>
      <c r="AH28" s="72"/>
      <c r="AI28" s="72"/>
      <c r="AJ28" s="72"/>
      <c r="AK28" s="72">
        <v>3</v>
      </c>
      <c r="AL28" s="72">
        <v>6</v>
      </c>
      <c r="AM28" s="72">
        <v>2</v>
      </c>
      <c r="AN28" s="72"/>
      <c r="AO28" s="72">
        <v>1</v>
      </c>
      <c r="AP28" s="72"/>
      <c r="AQ28" s="72">
        <v>1</v>
      </c>
      <c r="AR28" s="72">
        <v>4</v>
      </c>
      <c r="AS28" s="72">
        <v>3</v>
      </c>
      <c r="AT28" s="72"/>
      <c r="AU28" s="72"/>
      <c r="AV28" s="72"/>
      <c r="AW28" s="72"/>
      <c r="AX28" s="72"/>
      <c r="AY28" s="72"/>
      <c r="AZ28" s="72"/>
      <c r="BA28" s="72"/>
      <c r="BB28" s="72"/>
      <c r="BC28" s="72"/>
      <c r="BD28" s="72"/>
      <c r="BE28" s="72"/>
      <c r="BF28" s="72">
        <v>1</v>
      </c>
      <c r="BG28" s="72">
        <v>1</v>
      </c>
      <c r="BH28" s="72"/>
    </row>
    <row r="29" spans="1:60" hidden="1">
      <c r="A29" s="931"/>
      <c r="B29" s="72" t="s">
        <v>3139</v>
      </c>
      <c r="C29" s="72"/>
      <c r="D29" s="72"/>
      <c r="E29" s="72"/>
      <c r="F29" s="72"/>
      <c r="G29" s="72"/>
      <c r="H29" s="72"/>
      <c r="I29" s="72">
        <v>2</v>
      </c>
      <c r="J29" s="72"/>
      <c r="K29" s="72"/>
      <c r="L29" s="72">
        <v>1</v>
      </c>
      <c r="M29" s="72"/>
      <c r="N29" s="72"/>
      <c r="O29" s="72"/>
      <c r="P29" s="72"/>
      <c r="Q29" s="72"/>
      <c r="R29" s="72"/>
      <c r="S29" s="72"/>
      <c r="T29" s="72">
        <v>1</v>
      </c>
      <c r="U29" s="72"/>
      <c r="V29" s="72"/>
      <c r="W29" s="72">
        <v>1</v>
      </c>
      <c r="X29" s="72">
        <v>1</v>
      </c>
      <c r="Y29" s="72"/>
      <c r="Z29" s="72"/>
      <c r="AA29" s="72"/>
      <c r="AB29" s="72"/>
      <c r="AC29" s="72"/>
      <c r="AD29" s="72"/>
      <c r="AE29" s="72">
        <v>4</v>
      </c>
      <c r="AF29" s="72"/>
      <c r="AG29" s="72"/>
      <c r="AH29" s="72"/>
      <c r="AI29" s="72"/>
      <c r="AJ29" s="72"/>
      <c r="AK29" s="72">
        <v>2</v>
      </c>
      <c r="AL29" s="72">
        <v>4</v>
      </c>
      <c r="AM29" s="72">
        <v>2</v>
      </c>
      <c r="AN29" s="72"/>
      <c r="AO29" s="72">
        <v>1</v>
      </c>
      <c r="AP29" s="72"/>
      <c r="AQ29" s="72">
        <v>1</v>
      </c>
      <c r="AR29" s="72"/>
      <c r="AS29" s="72">
        <v>2</v>
      </c>
      <c r="AT29" s="72"/>
      <c r="AU29" s="72"/>
      <c r="AV29" s="72"/>
      <c r="AW29" s="72"/>
      <c r="AX29" s="72"/>
      <c r="AY29" s="72"/>
      <c r="AZ29" s="72"/>
      <c r="BA29" s="72"/>
      <c r="BB29" s="72"/>
      <c r="BC29" s="72"/>
      <c r="BD29" s="72"/>
      <c r="BE29" s="72"/>
      <c r="BF29" s="72">
        <v>1</v>
      </c>
      <c r="BG29" s="72">
        <v>1</v>
      </c>
      <c r="BH29" s="72"/>
    </row>
    <row r="30" spans="1:60" hidden="1">
      <c r="A30" s="931"/>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row>
    <row r="31" spans="1:60" hidden="1">
      <c r="A31" s="931">
        <v>5</v>
      </c>
      <c r="B31" s="72" t="s">
        <v>3140</v>
      </c>
      <c r="C31" s="72"/>
      <c r="D31" s="72"/>
      <c r="E31" s="72"/>
      <c r="F31" s="72"/>
      <c r="G31" s="72"/>
      <c r="H31" s="72"/>
      <c r="I31" s="72">
        <v>2</v>
      </c>
      <c r="J31" s="72"/>
      <c r="K31" s="72"/>
      <c r="L31" s="72">
        <v>1</v>
      </c>
      <c r="M31" s="72"/>
      <c r="N31" s="72"/>
      <c r="O31" s="72"/>
      <c r="P31" s="72"/>
      <c r="Q31" s="72"/>
      <c r="R31" s="72"/>
      <c r="S31" s="72"/>
      <c r="T31" s="72"/>
      <c r="U31" s="72"/>
      <c r="V31" s="72"/>
      <c r="W31" s="72"/>
      <c r="X31" s="72"/>
      <c r="Y31" s="72"/>
      <c r="Z31" s="72"/>
      <c r="AA31" s="72">
        <v>1</v>
      </c>
      <c r="AB31" s="72"/>
      <c r="AC31" s="72"/>
      <c r="AD31" s="72"/>
      <c r="AE31" s="72">
        <v>3</v>
      </c>
      <c r="AF31" s="72">
        <v>4</v>
      </c>
      <c r="AG31" s="72"/>
      <c r="AH31" s="72"/>
      <c r="AI31" s="72"/>
      <c r="AJ31" s="72"/>
      <c r="AK31" s="72">
        <v>2</v>
      </c>
      <c r="AL31" s="72">
        <v>2</v>
      </c>
      <c r="AM31" s="72">
        <v>2</v>
      </c>
      <c r="AN31" s="72"/>
      <c r="AO31" s="72">
        <v>3</v>
      </c>
      <c r="AP31" s="72"/>
      <c r="AQ31" s="72">
        <v>3</v>
      </c>
      <c r="AR31" s="72"/>
      <c r="AS31" s="72">
        <v>2</v>
      </c>
      <c r="AT31" s="72"/>
      <c r="AU31" s="72"/>
      <c r="AV31" s="72"/>
      <c r="AW31" s="72"/>
      <c r="AX31" s="72"/>
      <c r="AY31" s="72"/>
      <c r="AZ31" s="72"/>
      <c r="BA31" s="72"/>
      <c r="BB31" s="72"/>
      <c r="BC31" s="72"/>
      <c r="BD31" s="72"/>
      <c r="BE31" s="72"/>
      <c r="BF31" s="72">
        <v>1</v>
      </c>
      <c r="BG31" s="72">
        <v>1</v>
      </c>
      <c r="BH31" s="72"/>
    </row>
    <row r="32" spans="1:60" hidden="1">
      <c r="A32" s="931"/>
      <c r="B32" s="72" t="s">
        <v>1388</v>
      </c>
      <c r="C32" s="72"/>
      <c r="D32" s="72"/>
      <c r="E32" s="72"/>
      <c r="F32" s="72"/>
      <c r="G32" s="72"/>
      <c r="H32" s="72"/>
      <c r="I32" s="72">
        <v>2</v>
      </c>
      <c r="J32" s="72"/>
      <c r="K32" s="72"/>
      <c r="L32" s="72">
        <v>1</v>
      </c>
      <c r="M32" s="72"/>
      <c r="N32" s="72"/>
      <c r="O32" s="72"/>
      <c r="P32" s="72"/>
      <c r="Q32" s="72"/>
      <c r="R32" s="72"/>
      <c r="S32" s="72"/>
      <c r="T32" s="72"/>
      <c r="U32" s="72"/>
      <c r="V32" s="72"/>
      <c r="W32" s="72"/>
      <c r="X32" s="72"/>
      <c r="Y32" s="72"/>
      <c r="Z32" s="72"/>
      <c r="AA32" s="72"/>
      <c r="AB32" s="72"/>
      <c r="AC32" s="72"/>
      <c r="AD32" s="72"/>
      <c r="AE32" s="72">
        <v>3</v>
      </c>
      <c r="AF32" s="72">
        <v>7</v>
      </c>
      <c r="AG32" s="72"/>
      <c r="AH32" s="72"/>
      <c r="AI32" s="72"/>
      <c r="AJ32" s="72"/>
      <c r="AK32" s="72">
        <v>2</v>
      </c>
      <c r="AL32" s="72">
        <v>2</v>
      </c>
      <c r="AM32" s="72">
        <v>2</v>
      </c>
      <c r="AN32" s="72"/>
      <c r="AO32" s="72">
        <v>3</v>
      </c>
      <c r="AP32" s="72"/>
      <c r="AQ32" s="72">
        <v>3</v>
      </c>
      <c r="AR32" s="72"/>
      <c r="AS32" s="72">
        <v>2</v>
      </c>
      <c r="AT32" s="72"/>
      <c r="AU32" s="72"/>
      <c r="AV32" s="72"/>
      <c r="AW32" s="72"/>
      <c r="AX32" s="72"/>
      <c r="AY32" s="72"/>
      <c r="AZ32" s="72"/>
      <c r="BA32" s="72"/>
      <c r="BB32" s="72"/>
      <c r="BC32" s="72"/>
      <c r="BD32" s="72"/>
      <c r="BE32" s="72"/>
      <c r="BF32" s="72">
        <v>1</v>
      </c>
      <c r="BG32" s="72">
        <v>1</v>
      </c>
      <c r="BH32" s="72"/>
    </row>
    <row r="33" spans="1:60" hidden="1">
      <c r="A33" s="931"/>
      <c r="B33" s="72" t="s">
        <v>1389</v>
      </c>
      <c r="C33" s="72"/>
      <c r="D33" s="72"/>
      <c r="E33" s="72"/>
      <c r="F33" s="72"/>
      <c r="G33" s="72"/>
      <c r="H33" s="72"/>
      <c r="I33" s="72">
        <v>2</v>
      </c>
      <c r="J33" s="72"/>
      <c r="K33" s="72"/>
      <c r="L33" s="72">
        <v>1</v>
      </c>
      <c r="M33" s="72"/>
      <c r="N33" s="72"/>
      <c r="O33" s="72"/>
      <c r="P33" s="72"/>
      <c r="Q33" s="72"/>
      <c r="R33" s="72"/>
      <c r="S33" s="72"/>
      <c r="T33" s="72"/>
      <c r="U33" s="72"/>
      <c r="V33" s="72"/>
      <c r="W33" s="72"/>
      <c r="X33" s="72"/>
      <c r="Y33" s="72"/>
      <c r="Z33" s="72"/>
      <c r="AA33" s="72"/>
      <c r="AB33" s="72"/>
      <c r="AC33" s="72"/>
      <c r="AD33" s="72"/>
      <c r="AE33" s="72">
        <v>9</v>
      </c>
      <c r="AF33" s="72">
        <v>5</v>
      </c>
      <c r="AG33" s="72"/>
      <c r="AH33" s="72"/>
      <c r="AI33" s="72"/>
      <c r="AJ33" s="72"/>
      <c r="AK33" s="72">
        <v>3</v>
      </c>
      <c r="AL33" s="72">
        <v>6</v>
      </c>
      <c r="AM33" s="72">
        <v>2</v>
      </c>
      <c r="AN33" s="72"/>
      <c r="AO33" s="72">
        <v>3</v>
      </c>
      <c r="AP33" s="72"/>
      <c r="AQ33" s="72">
        <v>3</v>
      </c>
      <c r="AR33" s="72">
        <v>4</v>
      </c>
      <c r="AS33" s="72">
        <v>3</v>
      </c>
      <c r="AT33" s="72"/>
      <c r="AU33" s="72"/>
      <c r="AV33" s="72"/>
      <c r="AW33" s="72"/>
      <c r="AX33" s="72"/>
      <c r="AY33" s="72"/>
      <c r="AZ33" s="72"/>
      <c r="BA33" s="72"/>
      <c r="BB33" s="72"/>
      <c r="BC33" s="72"/>
      <c r="BD33" s="72"/>
      <c r="BE33" s="72"/>
      <c r="BF33" s="72">
        <v>1</v>
      </c>
      <c r="BG33" s="72">
        <v>1</v>
      </c>
      <c r="BH33" s="72"/>
    </row>
    <row r="34" spans="1:60" hidden="1">
      <c r="A34" s="931"/>
      <c r="B34" s="72" t="s">
        <v>1390</v>
      </c>
      <c r="C34" s="72"/>
      <c r="D34" s="72"/>
      <c r="E34" s="72"/>
      <c r="F34" s="72"/>
      <c r="G34" s="72"/>
      <c r="H34" s="72"/>
      <c r="I34" s="72">
        <v>2</v>
      </c>
      <c r="J34" s="72"/>
      <c r="K34" s="72"/>
      <c r="L34" s="72">
        <v>1</v>
      </c>
      <c r="M34" s="72"/>
      <c r="N34" s="72"/>
      <c r="O34" s="72"/>
      <c r="P34" s="72"/>
      <c r="Q34" s="72"/>
      <c r="R34" s="72"/>
      <c r="S34" s="72"/>
      <c r="T34" s="72"/>
      <c r="U34" s="72"/>
      <c r="V34" s="72"/>
      <c r="W34" s="72"/>
      <c r="X34" s="72"/>
      <c r="Y34" s="72"/>
      <c r="Z34" s="72"/>
      <c r="AA34" s="72"/>
      <c r="AB34" s="72"/>
      <c r="AC34" s="72"/>
      <c r="AD34" s="72"/>
      <c r="AE34" s="72">
        <v>9</v>
      </c>
      <c r="AF34" s="72">
        <v>7</v>
      </c>
      <c r="AG34" s="72"/>
      <c r="AH34" s="72"/>
      <c r="AI34" s="72"/>
      <c r="AJ34" s="72"/>
      <c r="AK34" s="72">
        <v>3</v>
      </c>
      <c r="AL34" s="72">
        <v>6</v>
      </c>
      <c r="AM34" s="72">
        <v>2</v>
      </c>
      <c r="AN34" s="72"/>
      <c r="AO34" s="72">
        <v>3</v>
      </c>
      <c r="AP34" s="72"/>
      <c r="AQ34" s="72">
        <v>3</v>
      </c>
      <c r="AR34" s="72">
        <v>4</v>
      </c>
      <c r="AS34" s="72">
        <v>3</v>
      </c>
      <c r="AT34" s="72"/>
      <c r="AU34" s="72"/>
      <c r="AV34" s="72"/>
      <c r="AW34" s="72"/>
      <c r="AX34" s="72"/>
      <c r="AY34" s="72"/>
      <c r="AZ34" s="72"/>
      <c r="BA34" s="72"/>
      <c r="BB34" s="72"/>
      <c r="BC34" s="72"/>
      <c r="BD34" s="72"/>
      <c r="BE34" s="72"/>
      <c r="BF34" s="72">
        <v>1</v>
      </c>
      <c r="BG34" s="72">
        <v>1</v>
      </c>
      <c r="BH34" s="72"/>
    </row>
    <row r="35" spans="1:60" hidden="1">
      <c r="A35" s="931"/>
      <c r="B35" s="72" t="s">
        <v>1391</v>
      </c>
      <c r="C35" s="72"/>
      <c r="D35" s="72"/>
      <c r="E35" s="72"/>
      <c r="F35" s="72"/>
      <c r="G35" s="72"/>
      <c r="H35" s="72"/>
      <c r="I35" s="72">
        <v>2</v>
      </c>
      <c r="J35" s="72"/>
      <c r="K35" s="72"/>
      <c r="L35" s="72">
        <v>1</v>
      </c>
      <c r="M35" s="72"/>
      <c r="N35" s="72"/>
      <c r="O35" s="72"/>
      <c r="P35" s="72"/>
      <c r="Q35" s="72"/>
      <c r="R35" s="72"/>
      <c r="S35" s="72"/>
      <c r="T35" s="72"/>
      <c r="U35" s="72"/>
      <c r="V35" s="72"/>
      <c r="W35" s="72"/>
      <c r="X35" s="72"/>
      <c r="Y35" s="72"/>
      <c r="Z35" s="72"/>
      <c r="AA35" s="72"/>
      <c r="AB35" s="72"/>
      <c r="AC35" s="72"/>
      <c r="AD35" s="72"/>
      <c r="AE35" s="72">
        <v>6</v>
      </c>
      <c r="AF35" s="72">
        <v>3</v>
      </c>
      <c r="AG35" s="72"/>
      <c r="AH35" s="72"/>
      <c r="AI35" s="72"/>
      <c r="AJ35" s="72"/>
      <c r="AK35" s="72">
        <v>2</v>
      </c>
      <c r="AL35" s="72">
        <v>4</v>
      </c>
      <c r="AM35" s="72">
        <v>2</v>
      </c>
      <c r="AN35" s="72"/>
      <c r="AO35" s="72">
        <v>3</v>
      </c>
      <c r="AP35" s="72"/>
      <c r="AQ35" s="72">
        <v>3</v>
      </c>
      <c r="AR35" s="72"/>
      <c r="AS35" s="72">
        <v>2</v>
      </c>
      <c r="AT35" s="72"/>
      <c r="AU35" s="72"/>
      <c r="AV35" s="72"/>
      <c r="AW35" s="72"/>
      <c r="AX35" s="72"/>
      <c r="AY35" s="72"/>
      <c r="AZ35" s="72"/>
      <c r="BA35" s="72"/>
      <c r="BB35" s="72"/>
      <c r="BC35" s="72"/>
      <c r="BD35" s="72"/>
      <c r="BE35" s="72"/>
      <c r="BF35" s="72">
        <v>1</v>
      </c>
      <c r="BG35" s="72">
        <v>1</v>
      </c>
      <c r="BH35" s="72"/>
    </row>
    <row r="36" spans="1:60" hidden="1">
      <c r="A36" s="931"/>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row>
    <row r="37" spans="1:60" hidden="1">
      <c r="A37" s="931">
        <v>6</v>
      </c>
      <c r="B37" s="72" t="s">
        <v>1392</v>
      </c>
      <c r="C37" s="72"/>
      <c r="D37" s="72"/>
      <c r="E37" s="72"/>
      <c r="F37" s="72"/>
      <c r="G37" s="72"/>
      <c r="H37" s="72"/>
      <c r="I37" s="72"/>
      <c r="J37" s="72"/>
      <c r="K37" s="72"/>
      <c r="L37" s="72">
        <v>1</v>
      </c>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v>1</v>
      </c>
      <c r="AL37" s="72"/>
      <c r="AM37" s="72"/>
      <c r="AN37" s="72"/>
      <c r="AO37" s="72"/>
      <c r="AP37" s="72"/>
      <c r="AQ37" s="72"/>
      <c r="AR37" s="72"/>
      <c r="AS37" s="72">
        <v>1</v>
      </c>
      <c r="AT37" s="72"/>
      <c r="AU37" s="72"/>
      <c r="AV37" s="72"/>
      <c r="AW37" s="72"/>
      <c r="AX37" s="72"/>
      <c r="AY37" s="72"/>
      <c r="AZ37" s="72"/>
      <c r="BA37" s="72"/>
      <c r="BB37" s="72"/>
      <c r="BC37" s="72"/>
      <c r="BD37" s="72"/>
      <c r="BE37" s="72"/>
      <c r="BF37" s="72"/>
      <c r="BG37" s="72"/>
      <c r="BH37" s="72"/>
    </row>
    <row r="38" spans="1:60" hidden="1">
      <c r="A38" s="931"/>
      <c r="B38" s="72" t="s">
        <v>1393</v>
      </c>
      <c r="C38" s="72"/>
      <c r="D38" s="72"/>
      <c r="E38" s="72"/>
      <c r="F38" s="72"/>
      <c r="G38" s="72"/>
      <c r="H38" s="72"/>
      <c r="I38" s="72"/>
      <c r="J38" s="72"/>
      <c r="K38" s="72"/>
      <c r="L38" s="72">
        <v>1</v>
      </c>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v>1</v>
      </c>
      <c r="AL38" s="72"/>
      <c r="AM38" s="72"/>
      <c r="AN38" s="72"/>
      <c r="AO38" s="72"/>
      <c r="AP38" s="72"/>
      <c r="AQ38" s="72"/>
      <c r="AR38" s="72"/>
      <c r="AS38" s="72">
        <v>1</v>
      </c>
      <c r="AT38" s="72"/>
      <c r="AU38" s="72"/>
      <c r="AV38" s="72"/>
      <c r="AW38" s="72"/>
      <c r="AX38" s="72"/>
      <c r="AY38" s="72"/>
      <c r="AZ38" s="72"/>
      <c r="BA38" s="72"/>
      <c r="BB38" s="72"/>
      <c r="BC38" s="72"/>
      <c r="BD38" s="72"/>
      <c r="BE38" s="72"/>
      <c r="BF38" s="72"/>
      <c r="BG38" s="72"/>
      <c r="BH38" s="72"/>
    </row>
    <row r="39" spans="1:60" hidden="1">
      <c r="A39" s="931"/>
      <c r="B39" s="72" t="s">
        <v>1394</v>
      </c>
      <c r="C39" s="72"/>
      <c r="D39" s="72"/>
      <c r="E39" s="72"/>
      <c r="F39" s="72"/>
      <c r="G39" s="72"/>
      <c r="H39" s="72"/>
      <c r="I39" s="72"/>
      <c r="J39" s="72"/>
      <c r="K39" s="72"/>
      <c r="L39" s="72">
        <v>1</v>
      </c>
      <c r="M39" s="72"/>
      <c r="N39" s="72"/>
      <c r="O39" s="72"/>
      <c r="P39" s="72"/>
      <c r="Q39" s="72"/>
      <c r="R39" s="72"/>
      <c r="S39" s="72"/>
      <c r="T39" s="72"/>
      <c r="U39" s="72"/>
      <c r="V39" s="72"/>
      <c r="W39" s="72"/>
      <c r="X39" s="72"/>
      <c r="Y39" s="72"/>
      <c r="Z39" s="72"/>
      <c r="AA39" s="72"/>
      <c r="AB39" s="72"/>
      <c r="AC39" s="72"/>
      <c r="AD39" s="72"/>
      <c r="AE39" s="72">
        <v>2</v>
      </c>
      <c r="AF39" s="72">
        <v>1</v>
      </c>
      <c r="AG39" s="72"/>
      <c r="AH39" s="72"/>
      <c r="AI39" s="72"/>
      <c r="AJ39" s="72"/>
      <c r="AK39" s="72">
        <v>2</v>
      </c>
      <c r="AL39" s="72">
        <v>4</v>
      </c>
      <c r="AM39" s="72"/>
      <c r="AN39" s="72"/>
      <c r="AO39" s="72"/>
      <c r="AP39" s="72"/>
      <c r="AQ39" s="72"/>
      <c r="AR39" s="72">
        <v>2</v>
      </c>
      <c r="AS39" s="72">
        <v>2</v>
      </c>
      <c r="AT39" s="72"/>
      <c r="AU39" s="72"/>
      <c r="AV39" s="72"/>
      <c r="AW39" s="72"/>
      <c r="AX39" s="72"/>
      <c r="AY39" s="72"/>
      <c r="AZ39" s="72"/>
      <c r="BA39" s="72"/>
      <c r="BB39" s="72"/>
      <c r="BC39" s="72"/>
      <c r="BD39" s="72"/>
      <c r="BE39" s="72"/>
      <c r="BF39" s="72"/>
      <c r="BG39" s="72">
        <v>1</v>
      </c>
      <c r="BH39" s="72"/>
    </row>
    <row r="40" spans="1:60" hidden="1">
      <c r="A40" s="931"/>
      <c r="B40" s="72" t="s">
        <v>1395</v>
      </c>
      <c r="C40" s="72"/>
      <c r="D40" s="72"/>
      <c r="E40" s="72"/>
      <c r="F40" s="72"/>
      <c r="G40" s="72"/>
      <c r="H40" s="72"/>
      <c r="I40" s="72"/>
      <c r="J40" s="72"/>
      <c r="K40" s="72"/>
      <c r="L40" s="72">
        <v>1</v>
      </c>
      <c r="M40" s="72"/>
      <c r="N40" s="72"/>
      <c r="O40" s="72"/>
      <c r="P40" s="72"/>
      <c r="Q40" s="72"/>
      <c r="R40" s="72"/>
      <c r="S40" s="72"/>
      <c r="T40" s="72"/>
      <c r="U40" s="72"/>
      <c r="V40" s="72"/>
      <c r="W40" s="72"/>
      <c r="X40" s="72"/>
      <c r="Y40" s="72"/>
      <c r="Z40" s="72"/>
      <c r="AA40" s="72"/>
      <c r="AB40" s="72"/>
      <c r="AC40" s="72"/>
      <c r="AD40" s="72"/>
      <c r="AE40" s="72">
        <v>2</v>
      </c>
      <c r="AF40" s="72">
        <v>1</v>
      </c>
      <c r="AG40" s="72"/>
      <c r="AH40" s="72"/>
      <c r="AI40" s="72"/>
      <c r="AJ40" s="72"/>
      <c r="AK40" s="72">
        <v>2</v>
      </c>
      <c r="AL40" s="72">
        <v>4</v>
      </c>
      <c r="AM40" s="72"/>
      <c r="AN40" s="72"/>
      <c r="AO40" s="72"/>
      <c r="AP40" s="72"/>
      <c r="AQ40" s="72"/>
      <c r="AR40" s="72">
        <v>2</v>
      </c>
      <c r="AS40" s="72">
        <v>2</v>
      </c>
      <c r="AT40" s="72"/>
      <c r="AU40" s="72"/>
      <c r="AV40" s="72"/>
      <c r="AW40" s="72"/>
      <c r="AX40" s="72"/>
      <c r="AY40" s="72"/>
      <c r="AZ40" s="72"/>
      <c r="BA40" s="72"/>
      <c r="BB40" s="72"/>
      <c r="BC40" s="72"/>
      <c r="BD40" s="72"/>
      <c r="BE40" s="72"/>
      <c r="BF40" s="72"/>
      <c r="BG40" s="72">
        <v>1</v>
      </c>
      <c r="BH40" s="72"/>
    </row>
    <row r="41" spans="1:60" hidden="1">
      <c r="A41" s="931"/>
      <c r="B41" s="72" t="s">
        <v>1396</v>
      </c>
      <c r="C41" s="72"/>
      <c r="D41" s="72"/>
      <c r="E41" s="72"/>
      <c r="F41" s="72"/>
      <c r="G41" s="72"/>
      <c r="H41" s="72"/>
      <c r="I41" s="72"/>
      <c r="J41" s="72"/>
      <c r="K41" s="72"/>
      <c r="L41" s="72">
        <v>1</v>
      </c>
      <c r="M41" s="72"/>
      <c r="N41" s="72"/>
      <c r="O41" s="72"/>
      <c r="P41" s="72"/>
      <c r="Q41" s="72"/>
      <c r="R41" s="72"/>
      <c r="S41" s="72"/>
      <c r="T41" s="72"/>
      <c r="U41" s="72"/>
      <c r="V41" s="72"/>
      <c r="W41" s="72"/>
      <c r="X41" s="72"/>
      <c r="Y41" s="72"/>
      <c r="Z41" s="72"/>
      <c r="AA41" s="72"/>
      <c r="AB41" s="72"/>
      <c r="AC41" s="72"/>
      <c r="AD41" s="72"/>
      <c r="AE41" s="72">
        <v>1</v>
      </c>
      <c r="AF41" s="72"/>
      <c r="AG41" s="72"/>
      <c r="AH41" s="72"/>
      <c r="AI41" s="72"/>
      <c r="AJ41" s="72"/>
      <c r="AK41" s="72">
        <v>1</v>
      </c>
      <c r="AL41" s="72">
        <v>2</v>
      </c>
      <c r="AM41" s="72"/>
      <c r="AN41" s="72"/>
      <c r="AO41" s="72"/>
      <c r="AP41" s="72"/>
      <c r="AQ41" s="72"/>
      <c r="AR41" s="72"/>
      <c r="AS41" s="72">
        <v>1</v>
      </c>
      <c r="AT41" s="72"/>
      <c r="AU41" s="72"/>
      <c r="AV41" s="72"/>
      <c r="AW41" s="72"/>
      <c r="AX41" s="72"/>
      <c r="AY41" s="72"/>
      <c r="AZ41" s="72"/>
      <c r="BA41" s="72"/>
      <c r="BB41" s="72"/>
      <c r="BC41" s="72"/>
      <c r="BD41" s="72"/>
      <c r="BE41" s="72"/>
      <c r="BF41" s="72"/>
      <c r="BG41" s="72">
        <v>1</v>
      </c>
      <c r="BH41" s="72"/>
    </row>
    <row r="42" spans="1:60" hidden="1">
      <c r="A42" s="931"/>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row>
    <row r="43" spans="1:60" hidden="1">
      <c r="A43" s="931">
        <v>7</v>
      </c>
      <c r="B43" s="72" t="s">
        <v>1397</v>
      </c>
      <c r="C43" s="72"/>
      <c r="D43" s="72"/>
      <c r="E43" s="72"/>
      <c r="F43" s="72"/>
      <c r="G43" s="72"/>
      <c r="H43" s="72"/>
      <c r="I43" s="72"/>
      <c r="J43" s="72"/>
      <c r="K43" s="72"/>
      <c r="L43" s="72">
        <v>1</v>
      </c>
      <c r="M43" s="72"/>
      <c r="N43" s="72"/>
      <c r="O43" s="72"/>
      <c r="P43" s="72"/>
      <c r="Q43" s="72"/>
      <c r="R43" s="72"/>
      <c r="S43" s="72"/>
      <c r="T43" s="72"/>
      <c r="U43" s="72"/>
      <c r="V43" s="72"/>
      <c r="W43" s="72"/>
      <c r="X43" s="72"/>
      <c r="Y43" s="72"/>
      <c r="Z43" s="72"/>
      <c r="AA43" s="72">
        <v>1</v>
      </c>
      <c r="AB43" s="72"/>
      <c r="AC43" s="72"/>
      <c r="AD43" s="72"/>
      <c r="AE43" s="72"/>
      <c r="AF43" s="72">
        <v>3</v>
      </c>
      <c r="AG43" s="72"/>
      <c r="AH43" s="72"/>
      <c r="AI43" s="72"/>
      <c r="AJ43" s="72"/>
      <c r="AK43" s="72">
        <v>1</v>
      </c>
      <c r="AL43" s="72"/>
      <c r="AM43" s="72"/>
      <c r="AN43" s="72"/>
      <c r="AO43" s="72"/>
      <c r="AP43" s="72"/>
      <c r="AQ43" s="72"/>
      <c r="AR43" s="72"/>
      <c r="AS43" s="72">
        <v>1</v>
      </c>
      <c r="AT43" s="72"/>
      <c r="AU43" s="72"/>
      <c r="AV43" s="72"/>
      <c r="AW43" s="72"/>
      <c r="AX43" s="72"/>
      <c r="AY43" s="72"/>
      <c r="AZ43" s="72"/>
      <c r="BA43" s="72"/>
      <c r="BB43" s="72"/>
      <c r="BC43" s="72"/>
      <c r="BD43" s="72"/>
      <c r="BE43" s="72"/>
      <c r="BF43" s="72"/>
      <c r="BG43" s="72"/>
      <c r="BH43" s="72"/>
    </row>
    <row r="44" spans="1:60" hidden="1">
      <c r="A44" s="931"/>
      <c r="B44" s="72" t="s">
        <v>1398</v>
      </c>
      <c r="C44" s="72"/>
      <c r="D44" s="72"/>
      <c r="E44" s="72"/>
      <c r="F44" s="72"/>
      <c r="G44" s="72"/>
      <c r="H44" s="72"/>
      <c r="I44" s="72"/>
      <c r="J44" s="72"/>
      <c r="K44" s="72"/>
      <c r="L44" s="72">
        <v>1</v>
      </c>
      <c r="M44" s="72"/>
      <c r="N44" s="72"/>
      <c r="O44" s="72"/>
      <c r="P44" s="72"/>
      <c r="Q44" s="72"/>
      <c r="R44" s="72"/>
      <c r="S44" s="72"/>
      <c r="T44" s="72"/>
      <c r="U44" s="72"/>
      <c r="V44" s="72"/>
      <c r="W44" s="72"/>
      <c r="X44" s="72"/>
      <c r="Y44" s="72"/>
      <c r="Z44" s="72"/>
      <c r="AA44" s="72"/>
      <c r="AB44" s="72"/>
      <c r="AC44" s="72"/>
      <c r="AD44" s="72"/>
      <c r="AE44" s="72"/>
      <c r="AF44" s="72">
        <v>6</v>
      </c>
      <c r="AG44" s="72"/>
      <c r="AH44" s="72"/>
      <c r="AI44" s="72"/>
      <c r="AJ44" s="72"/>
      <c r="AK44" s="72">
        <v>1</v>
      </c>
      <c r="AL44" s="72"/>
      <c r="AM44" s="72"/>
      <c r="AN44" s="72"/>
      <c r="AO44" s="72"/>
      <c r="AP44" s="72"/>
      <c r="AQ44" s="72"/>
      <c r="AR44" s="72"/>
      <c r="AS44" s="72">
        <v>1</v>
      </c>
      <c r="AT44" s="72"/>
      <c r="AU44" s="72"/>
      <c r="AV44" s="72"/>
      <c r="AW44" s="72"/>
      <c r="AX44" s="72"/>
      <c r="AY44" s="72"/>
      <c r="AZ44" s="72"/>
      <c r="BA44" s="72"/>
      <c r="BB44" s="72"/>
      <c r="BC44" s="72"/>
      <c r="BD44" s="72"/>
      <c r="BE44" s="72"/>
      <c r="BF44" s="72"/>
      <c r="BG44" s="72"/>
      <c r="BH44" s="72"/>
    </row>
    <row r="45" spans="1:60" hidden="1">
      <c r="A45" s="931"/>
      <c r="B45" s="72" t="s">
        <v>1399</v>
      </c>
      <c r="C45" s="72"/>
      <c r="D45" s="72"/>
      <c r="E45" s="72"/>
      <c r="F45" s="72"/>
      <c r="G45" s="72"/>
      <c r="H45" s="72"/>
      <c r="I45" s="72"/>
      <c r="J45" s="72"/>
      <c r="K45" s="72"/>
      <c r="L45" s="72">
        <v>1</v>
      </c>
      <c r="M45" s="72"/>
      <c r="N45" s="72"/>
      <c r="O45" s="72"/>
      <c r="P45" s="72"/>
      <c r="Q45" s="72"/>
      <c r="R45" s="72"/>
      <c r="S45" s="72"/>
      <c r="T45" s="72"/>
      <c r="U45" s="72"/>
      <c r="V45" s="72"/>
      <c r="W45" s="72"/>
      <c r="X45" s="72"/>
      <c r="Y45" s="72"/>
      <c r="Z45" s="72"/>
      <c r="AA45" s="72">
        <v>1</v>
      </c>
      <c r="AB45" s="72"/>
      <c r="AC45" s="72"/>
      <c r="AD45" s="72"/>
      <c r="AE45" s="72">
        <v>6</v>
      </c>
      <c r="AF45" s="72">
        <v>6</v>
      </c>
      <c r="AG45" s="72"/>
      <c r="AH45" s="72"/>
      <c r="AI45" s="72"/>
      <c r="AJ45" s="72"/>
      <c r="AK45" s="72">
        <v>2</v>
      </c>
      <c r="AL45" s="72">
        <v>4</v>
      </c>
      <c r="AM45" s="72"/>
      <c r="AN45" s="72"/>
      <c r="AO45" s="72"/>
      <c r="AP45" s="72"/>
      <c r="AQ45" s="72"/>
      <c r="AR45" s="72">
        <v>4</v>
      </c>
      <c r="AS45" s="72">
        <v>2</v>
      </c>
      <c r="AT45" s="72"/>
      <c r="AU45" s="72"/>
      <c r="AV45" s="72"/>
      <c r="AW45" s="72"/>
      <c r="AX45" s="72"/>
      <c r="AY45" s="72"/>
      <c r="AZ45" s="72"/>
      <c r="BA45" s="72"/>
      <c r="BB45" s="72"/>
      <c r="BC45" s="72"/>
      <c r="BD45" s="72"/>
      <c r="BE45" s="72"/>
      <c r="BF45" s="72"/>
      <c r="BG45" s="72">
        <v>1</v>
      </c>
      <c r="BH45" s="72"/>
    </row>
    <row r="46" spans="1:60" hidden="1">
      <c r="A46" s="931"/>
      <c r="B46" s="72" t="s">
        <v>1400</v>
      </c>
      <c r="C46" s="72"/>
      <c r="D46" s="72"/>
      <c r="E46" s="72"/>
      <c r="F46" s="72"/>
      <c r="G46" s="72"/>
      <c r="H46" s="72"/>
      <c r="I46" s="72"/>
      <c r="J46" s="72"/>
      <c r="K46" s="72"/>
      <c r="L46" s="72">
        <v>1</v>
      </c>
      <c r="M46" s="72"/>
      <c r="N46" s="72"/>
      <c r="O46" s="72"/>
      <c r="P46" s="72"/>
      <c r="Q46" s="72"/>
      <c r="R46" s="72"/>
      <c r="S46" s="72"/>
      <c r="T46" s="72"/>
      <c r="U46" s="72"/>
      <c r="V46" s="72"/>
      <c r="W46" s="72"/>
      <c r="X46" s="72"/>
      <c r="Y46" s="72"/>
      <c r="Z46" s="72"/>
      <c r="AA46" s="72">
        <v>1</v>
      </c>
      <c r="AB46" s="72"/>
      <c r="AC46" s="72"/>
      <c r="AD46" s="72"/>
      <c r="AE46" s="72">
        <v>6</v>
      </c>
      <c r="AF46" s="72">
        <v>7</v>
      </c>
      <c r="AG46" s="72"/>
      <c r="AH46" s="72"/>
      <c r="AI46" s="72"/>
      <c r="AJ46" s="72"/>
      <c r="AK46" s="72">
        <v>2</v>
      </c>
      <c r="AL46" s="72">
        <v>4</v>
      </c>
      <c r="AM46" s="72"/>
      <c r="AN46" s="72"/>
      <c r="AO46" s="72"/>
      <c r="AP46" s="72"/>
      <c r="AQ46" s="72"/>
      <c r="AR46" s="72">
        <v>4</v>
      </c>
      <c r="AS46" s="72">
        <v>2</v>
      </c>
      <c r="AT46" s="72"/>
      <c r="AU46" s="72"/>
      <c r="AV46" s="72"/>
      <c r="AW46" s="72"/>
      <c r="AX46" s="72"/>
      <c r="AY46" s="72"/>
      <c r="AZ46" s="72"/>
      <c r="BA46" s="72"/>
      <c r="BB46" s="72"/>
      <c r="BC46" s="72"/>
      <c r="BD46" s="72"/>
      <c r="BE46" s="72"/>
      <c r="BF46" s="72"/>
      <c r="BG46" s="72">
        <v>1</v>
      </c>
      <c r="BH46" s="72"/>
    </row>
    <row r="47" spans="1:60" hidden="1">
      <c r="A47" s="931"/>
      <c r="B47" s="72" t="s">
        <v>1401</v>
      </c>
      <c r="C47" s="72"/>
      <c r="D47" s="72"/>
      <c r="E47" s="72"/>
      <c r="F47" s="72"/>
      <c r="G47" s="72"/>
      <c r="H47" s="72"/>
      <c r="I47" s="72"/>
      <c r="J47" s="72"/>
      <c r="K47" s="72"/>
      <c r="L47" s="72">
        <v>1</v>
      </c>
      <c r="M47" s="72"/>
      <c r="N47" s="72"/>
      <c r="O47" s="72"/>
      <c r="P47" s="72"/>
      <c r="Q47" s="72"/>
      <c r="R47" s="72"/>
      <c r="S47" s="72"/>
      <c r="T47" s="72"/>
      <c r="U47" s="72"/>
      <c r="V47" s="72"/>
      <c r="W47" s="72"/>
      <c r="X47" s="72"/>
      <c r="Y47" s="72"/>
      <c r="Z47" s="72"/>
      <c r="AA47" s="72"/>
      <c r="AB47" s="72"/>
      <c r="AC47" s="72"/>
      <c r="AD47" s="72"/>
      <c r="AE47" s="72">
        <v>3</v>
      </c>
      <c r="AF47" s="72"/>
      <c r="AG47" s="72"/>
      <c r="AH47" s="72"/>
      <c r="AI47" s="72"/>
      <c r="AJ47" s="72"/>
      <c r="AK47" s="72">
        <v>1</v>
      </c>
      <c r="AL47" s="72">
        <v>2</v>
      </c>
      <c r="AM47" s="72"/>
      <c r="AN47" s="72"/>
      <c r="AO47" s="72"/>
      <c r="AP47" s="72"/>
      <c r="AQ47" s="72"/>
      <c r="AR47" s="72"/>
      <c r="AS47" s="72">
        <v>1</v>
      </c>
      <c r="AT47" s="72"/>
      <c r="AU47" s="72"/>
      <c r="AV47" s="72"/>
      <c r="AW47" s="72"/>
      <c r="AX47" s="72"/>
      <c r="AY47" s="72"/>
      <c r="AZ47" s="72"/>
      <c r="BA47" s="72"/>
      <c r="BB47" s="72"/>
      <c r="BC47" s="72"/>
      <c r="BD47" s="72"/>
      <c r="BE47" s="72"/>
      <c r="BF47" s="72"/>
      <c r="BG47" s="72">
        <v>1</v>
      </c>
      <c r="BH47" s="72"/>
    </row>
    <row r="48" spans="1:60" hidden="1">
      <c r="A48" s="931"/>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row>
    <row r="49" spans="1:60" hidden="1">
      <c r="A49" s="931"/>
      <c r="B49" s="72">
        <v>1</v>
      </c>
      <c r="C49" s="72">
        <f>+B49+1</f>
        <v>2</v>
      </c>
      <c r="D49" s="72"/>
      <c r="E49" s="72"/>
      <c r="F49" s="72" t="e">
        <f>+#REF!+1</f>
        <v>#REF!</v>
      </c>
      <c r="G49" s="72" t="e">
        <f>+#REF!+1</f>
        <v>#REF!</v>
      </c>
      <c r="H49" s="72"/>
      <c r="I49" s="72" t="e">
        <f>+G49+1</f>
        <v>#REF!</v>
      </c>
      <c r="J49" s="72"/>
      <c r="K49" s="72" t="e">
        <f>+#REF!+1</f>
        <v>#REF!</v>
      </c>
      <c r="L49" s="72" t="e">
        <f>+K49+1</f>
        <v>#REF!</v>
      </c>
      <c r="M49" s="72" t="e">
        <f>+L49+1</f>
        <v>#REF!</v>
      </c>
      <c r="N49" s="72" t="e">
        <f>+#REF!+1</f>
        <v>#REF!</v>
      </c>
      <c r="O49" s="72" t="e">
        <f>+N49+1</f>
        <v>#REF!</v>
      </c>
      <c r="P49" s="72"/>
      <c r="Q49" s="72"/>
      <c r="R49" s="72"/>
      <c r="S49" s="72"/>
      <c r="T49" s="72" t="e">
        <f>+#REF!+1</f>
        <v>#REF!</v>
      </c>
      <c r="U49" s="72"/>
      <c r="V49" s="72"/>
      <c r="W49" s="72" t="e">
        <f>+#REF!+1</f>
        <v>#REF!</v>
      </c>
      <c r="X49" s="72" t="e">
        <f>+#REF!+1</f>
        <v>#REF!</v>
      </c>
      <c r="Y49" s="72"/>
      <c r="Z49" s="72"/>
      <c r="AA49" s="72" t="e">
        <f>+#REF!+1</f>
        <v>#REF!</v>
      </c>
      <c r="AB49" s="72"/>
      <c r="AC49" s="72"/>
      <c r="AD49" s="72" t="e">
        <f>+#REF!+1</f>
        <v>#REF!</v>
      </c>
      <c r="AE49" s="72" t="e">
        <f>+AD49+1</f>
        <v>#REF!</v>
      </c>
      <c r="AF49" s="72" t="e">
        <f>+AE49+1</f>
        <v>#REF!</v>
      </c>
      <c r="AG49" s="72" t="e">
        <f>+AF49+1</f>
        <v>#REF!</v>
      </c>
      <c r="AH49" s="72"/>
      <c r="AI49" s="72"/>
      <c r="AJ49" s="72"/>
      <c r="AK49" s="72" t="e">
        <f>+AG49+1</f>
        <v>#REF!</v>
      </c>
      <c r="AL49" s="72" t="e">
        <f>+AK49+1</f>
        <v>#REF!</v>
      </c>
      <c r="AM49" s="72" t="e">
        <f>+#REF!+1</f>
        <v>#REF!</v>
      </c>
      <c r="AN49" s="72" t="e">
        <f>+AM49+1</f>
        <v>#REF!</v>
      </c>
      <c r="AO49" s="72" t="e">
        <f>+AN49+1</f>
        <v>#REF!</v>
      </c>
      <c r="AP49" s="72" t="e">
        <f>+AO49+1</f>
        <v>#REF!</v>
      </c>
      <c r="AQ49" s="72" t="e">
        <f>+#REF!+1</f>
        <v>#REF!</v>
      </c>
      <c r="AR49" s="72" t="e">
        <f>+#REF!+1</f>
        <v>#REF!</v>
      </c>
      <c r="AS49" s="72" t="e">
        <f>+AR49+1</f>
        <v>#REF!</v>
      </c>
      <c r="AT49" s="72" t="e">
        <f>+AS49+1</f>
        <v>#REF!</v>
      </c>
      <c r="AU49" s="72"/>
      <c r="AV49" s="72" t="e">
        <f>+#REF!+1</f>
        <v>#REF!</v>
      </c>
      <c r="AW49" s="72" t="e">
        <f>+AV49+1</f>
        <v>#REF!</v>
      </c>
      <c r="AX49" s="72"/>
      <c r="AY49" s="72" t="e">
        <f>+AW49+1</f>
        <v>#REF!</v>
      </c>
      <c r="AZ49" s="72"/>
      <c r="BA49" s="72"/>
      <c r="BB49" s="72" t="e">
        <f>+AY49+1</f>
        <v>#REF!</v>
      </c>
      <c r="BC49" s="72"/>
      <c r="BD49" s="72"/>
      <c r="BE49" s="72"/>
      <c r="BF49" s="72" t="e">
        <f>+#REF!+1</f>
        <v>#REF!</v>
      </c>
      <c r="BG49" s="72" t="e">
        <f>+BF49+1</f>
        <v>#REF!</v>
      </c>
      <c r="BH49" s="72"/>
    </row>
    <row r="50" spans="1:60">
      <c r="A50" s="1454" t="s">
        <v>2026</v>
      </c>
      <c r="B50" s="1455"/>
      <c r="C50" s="1455"/>
      <c r="D50" s="1455"/>
      <c r="E50" s="1455"/>
      <c r="F50" s="1456"/>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1370"/>
    </row>
    <row r="51" spans="1:60">
      <c r="A51" s="1368" t="s">
        <v>1978</v>
      </c>
      <c r="B51" s="1374"/>
      <c r="C51" s="931"/>
      <c r="D51" s="931"/>
      <c r="E51" s="931"/>
      <c r="F51" s="1369"/>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67"/>
      <c r="BH51" s="1370"/>
    </row>
    <row r="52" spans="1:60">
      <c r="A52" s="944" t="s">
        <v>1976</v>
      </c>
      <c r="B52" s="72"/>
      <c r="C52" s="72"/>
      <c r="D52" s="72"/>
      <c r="E52" s="72"/>
      <c r="F52" s="72"/>
      <c r="G52" s="72"/>
      <c r="H52" s="72"/>
      <c r="I52" s="72"/>
      <c r="J52" s="72" t="s">
        <v>5819</v>
      </c>
      <c r="K52" s="72"/>
      <c r="L52" s="72"/>
      <c r="M52" s="72"/>
      <c r="N52" s="72"/>
      <c r="O52" s="72"/>
      <c r="P52" s="72"/>
      <c r="Q52" s="72"/>
      <c r="R52" s="72"/>
      <c r="S52" s="72"/>
      <c r="T52" s="72"/>
      <c r="U52" s="72"/>
      <c r="V52" s="72"/>
      <c r="W52" s="72"/>
      <c r="X52" s="72"/>
      <c r="Y52" s="72"/>
      <c r="Z52" s="72"/>
      <c r="AA52" s="72"/>
      <c r="AB52" s="72" t="s">
        <v>5819</v>
      </c>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row>
    <row r="53" spans="1:60">
      <c r="A53" s="944" t="s">
        <v>1977</v>
      </c>
      <c r="B53" s="72"/>
      <c r="C53" s="72"/>
      <c r="D53" s="72"/>
      <c r="E53" s="72"/>
      <c r="F53" s="72"/>
      <c r="G53" s="72">
        <f>C53*3</f>
        <v>0</v>
      </c>
      <c r="H53" s="72"/>
      <c r="I53" s="72">
        <f>C53</f>
        <v>0</v>
      </c>
      <c r="J53" s="72" t="s">
        <v>5819</v>
      </c>
      <c r="K53" s="72"/>
      <c r="L53" s="72"/>
      <c r="M53" s="72"/>
      <c r="N53" s="72"/>
      <c r="O53" s="72"/>
      <c r="P53" s="72"/>
      <c r="Q53" s="72"/>
      <c r="R53" s="72"/>
      <c r="S53" s="72"/>
      <c r="T53" s="72"/>
      <c r="U53" s="72"/>
      <c r="V53" s="72"/>
      <c r="W53" s="72"/>
      <c r="X53" s="72"/>
      <c r="Y53" s="72"/>
      <c r="Z53" s="72"/>
      <c r="AA53" s="72" t="s">
        <v>5819</v>
      </c>
      <c r="AB53" s="72"/>
      <c r="AC53" s="72"/>
      <c r="AD53" s="72"/>
      <c r="AE53" s="72"/>
      <c r="AF53" s="72"/>
      <c r="AG53" s="72"/>
      <c r="AH53" s="72">
        <v>1</v>
      </c>
      <c r="AI53" s="72"/>
      <c r="AJ53" s="72"/>
      <c r="AK53" s="72"/>
      <c r="AL53" s="72"/>
      <c r="AM53" s="72"/>
      <c r="AN53" s="72"/>
      <c r="AO53" s="72"/>
      <c r="AP53" s="72"/>
      <c r="AQ53" s="72"/>
      <c r="AR53" s="72"/>
      <c r="AS53" s="72"/>
      <c r="AT53" s="72"/>
      <c r="AU53" s="72">
        <v>1</v>
      </c>
      <c r="AV53" s="72"/>
      <c r="AW53" s="72"/>
      <c r="AX53" s="72"/>
      <c r="AY53" s="72"/>
      <c r="AZ53" s="72"/>
      <c r="BA53" s="72"/>
      <c r="BB53" s="72"/>
      <c r="BC53" s="72"/>
      <c r="BD53" s="72"/>
      <c r="BE53" s="72"/>
      <c r="BF53" s="72"/>
      <c r="BG53" s="72"/>
      <c r="BH53" s="72"/>
    </row>
    <row r="54" spans="1:60">
      <c r="A54" s="944" t="s">
        <v>1979</v>
      </c>
      <c r="B54" s="72" t="s">
        <v>5485</v>
      </c>
      <c r="C54" s="72">
        <v>54</v>
      </c>
      <c r="D54" s="72"/>
      <c r="E54" s="72"/>
      <c r="F54" s="72"/>
      <c r="G54" s="72">
        <f>C54*6</f>
        <v>324</v>
      </c>
      <c r="H54" s="72">
        <f>C54</f>
        <v>54</v>
      </c>
      <c r="I54" s="72"/>
      <c r="J54" s="72"/>
      <c r="K54" s="72"/>
      <c r="L54" s="72">
        <v>2</v>
      </c>
      <c r="M54" s="72"/>
      <c r="N54" s="72"/>
      <c r="O54" s="72"/>
      <c r="P54" s="72"/>
      <c r="Q54" s="72">
        <v>2</v>
      </c>
      <c r="R54" s="72"/>
      <c r="S54" s="72">
        <v>2</v>
      </c>
      <c r="T54" s="72"/>
      <c r="U54" s="72"/>
      <c r="V54" s="72"/>
      <c r="W54" s="72">
        <v>2</v>
      </c>
      <c r="X54" s="72"/>
      <c r="Y54" s="72">
        <v>1</v>
      </c>
      <c r="Z54" s="72"/>
      <c r="AA54" s="72"/>
      <c r="AB54" s="72">
        <v>2</v>
      </c>
      <c r="AC54" s="72"/>
      <c r="AD54" s="72"/>
      <c r="AE54" s="72">
        <v>12</v>
      </c>
      <c r="AF54" s="72">
        <v>10</v>
      </c>
      <c r="AG54" s="72"/>
      <c r="AH54" s="72">
        <v>2</v>
      </c>
      <c r="AI54" s="72"/>
      <c r="AJ54" s="72"/>
      <c r="AK54" s="72"/>
      <c r="AL54" s="72"/>
      <c r="AM54" s="72"/>
      <c r="AN54" s="72"/>
      <c r="AO54" s="72"/>
      <c r="AP54" s="72"/>
      <c r="AQ54" s="72"/>
      <c r="AR54" s="72"/>
      <c r="AS54" s="72"/>
      <c r="AT54" s="72"/>
      <c r="AU54" s="72">
        <v>2</v>
      </c>
      <c r="AV54" s="72"/>
      <c r="AW54" s="72"/>
      <c r="AX54" s="72"/>
      <c r="AY54" s="72"/>
      <c r="AZ54" s="72"/>
      <c r="BA54" s="72"/>
      <c r="BB54" s="72"/>
      <c r="BC54" s="72"/>
      <c r="BD54" s="72"/>
      <c r="BE54" s="72"/>
      <c r="BF54" s="72"/>
      <c r="BG54" s="72"/>
      <c r="BH54" s="72"/>
    </row>
    <row r="55" spans="1:60">
      <c r="A55" s="944" t="s">
        <v>1980</v>
      </c>
      <c r="B55" s="72" t="s">
        <v>3130</v>
      </c>
      <c r="C55" s="72">
        <v>47</v>
      </c>
      <c r="D55" s="72"/>
      <c r="E55" s="72"/>
      <c r="F55" s="72"/>
      <c r="G55" s="72">
        <f t="shared" ref="G55:G100" si="0">C55*6</f>
        <v>282</v>
      </c>
      <c r="H55" s="72">
        <f>C55</f>
        <v>47</v>
      </c>
      <c r="I55" s="72"/>
      <c r="J55" s="72"/>
      <c r="K55" s="72"/>
      <c r="L55" s="72">
        <v>1</v>
      </c>
      <c r="M55" s="72"/>
      <c r="N55" s="72"/>
      <c r="O55" s="72"/>
      <c r="P55" s="72">
        <v>1</v>
      </c>
      <c r="Q55" s="72"/>
      <c r="R55" s="72"/>
      <c r="S55" s="72"/>
      <c r="T55" s="72"/>
      <c r="U55" s="72"/>
      <c r="V55" s="72"/>
      <c r="W55" s="72"/>
      <c r="X55" s="72">
        <v>1</v>
      </c>
      <c r="Y55" s="72"/>
      <c r="Z55" s="72"/>
      <c r="AA55" s="72">
        <v>2</v>
      </c>
      <c r="AB55" s="72"/>
      <c r="AC55" s="72"/>
      <c r="AD55" s="72"/>
      <c r="AE55" s="72"/>
      <c r="AF55" s="72">
        <v>6</v>
      </c>
      <c r="AG55" s="72"/>
      <c r="AH55" s="72"/>
      <c r="AI55" s="72"/>
      <c r="AJ55" s="72"/>
      <c r="AK55" s="72">
        <v>1</v>
      </c>
      <c r="AL55" s="72"/>
      <c r="AM55" s="72"/>
      <c r="AN55" s="72"/>
      <c r="AO55" s="72"/>
      <c r="AP55" s="72"/>
      <c r="AQ55" s="72"/>
      <c r="AR55" s="72"/>
      <c r="AS55" s="72">
        <v>1</v>
      </c>
      <c r="AT55" s="72"/>
      <c r="AU55" s="72"/>
      <c r="AV55" s="72"/>
      <c r="AW55" s="72"/>
      <c r="AX55" s="72"/>
      <c r="AY55" s="72"/>
      <c r="AZ55" s="72"/>
      <c r="BA55" s="72"/>
      <c r="BB55" s="72"/>
      <c r="BC55" s="72"/>
      <c r="BD55" s="72"/>
      <c r="BE55" s="72"/>
      <c r="BF55" s="72"/>
      <c r="BG55" s="72"/>
      <c r="BH55" s="72"/>
    </row>
    <row r="56" spans="1:60">
      <c r="A56" s="944" t="s">
        <v>1981</v>
      </c>
      <c r="B56" s="72" t="s">
        <v>3130</v>
      </c>
      <c r="C56" s="72">
        <v>51</v>
      </c>
      <c r="D56" s="72"/>
      <c r="E56" s="72">
        <f>4*4</f>
        <v>16</v>
      </c>
      <c r="F56" s="72"/>
      <c r="G56" s="72">
        <f t="shared" si="0"/>
        <v>306</v>
      </c>
      <c r="H56" s="72">
        <f t="shared" ref="H56:H99" si="1">C56</f>
        <v>51</v>
      </c>
      <c r="I56" s="72"/>
      <c r="J56" s="72"/>
      <c r="K56" s="72"/>
      <c r="L56" s="72">
        <v>1</v>
      </c>
      <c r="M56" s="72"/>
      <c r="N56" s="72"/>
      <c r="O56" s="72"/>
      <c r="P56" s="72">
        <v>1</v>
      </c>
      <c r="Q56" s="72"/>
      <c r="R56" s="72"/>
      <c r="S56" s="72"/>
      <c r="T56" s="72"/>
      <c r="U56" s="72">
        <v>1</v>
      </c>
      <c r="V56" s="72">
        <v>1</v>
      </c>
      <c r="W56" s="72"/>
      <c r="X56" s="72">
        <v>1</v>
      </c>
      <c r="Y56" s="72"/>
      <c r="Z56" s="72"/>
      <c r="AA56" s="72">
        <v>2</v>
      </c>
      <c r="AB56" s="72">
        <v>1</v>
      </c>
      <c r="AC56" s="72"/>
      <c r="AD56" s="72"/>
      <c r="AE56" s="72"/>
      <c r="AF56" s="72">
        <v>6</v>
      </c>
      <c r="AG56" s="72"/>
      <c r="AH56" s="72"/>
      <c r="AI56" s="72"/>
      <c r="AJ56" s="72"/>
      <c r="AK56" s="72">
        <v>1</v>
      </c>
      <c r="AL56" s="72"/>
      <c r="AM56" s="72"/>
      <c r="AN56" s="72"/>
      <c r="AO56" s="72">
        <v>4</v>
      </c>
      <c r="AP56" s="72"/>
      <c r="AQ56" s="72"/>
      <c r="AR56" s="72"/>
      <c r="AS56" s="72">
        <v>1</v>
      </c>
      <c r="AT56" s="72"/>
      <c r="AU56" s="72"/>
      <c r="AV56" s="72"/>
      <c r="AW56" s="72"/>
      <c r="AX56" s="72"/>
      <c r="AY56" s="72"/>
      <c r="AZ56" s="72"/>
      <c r="BA56" s="72">
        <v>4</v>
      </c>
      <c r="BB56" s="72">
        <v>4</v>
      </c>
      <c r="BC56" s="72">
        <v>1</v>
      </c>
      <c r="BD56" s="72">
        <v>1</v>
      </c>
      <c r="BE56" s="72"/>
      <c r="BF56" s="72"/>
      <c r="BG56" s="72"/>
      <c r="BH56" s="72" t="s">
        <v>4639</v>
      </c>
    </row>
    <row r="57" spans="1:60">
      <c r="A57" s="944" t="s">
        <v>1982</v>
      </c>
      <c r="B57" s="72" t="s">
        <v>3130</v>
      </c>
      <c r="C57" s="72">
        <v>49</v>
      </c>
      <c r="D57" s="72"/>
      <c r="E57" s="72">
        <f>4*6</f>
        <v>24</v>
      </c>
      <c r="F57" s="72"/>
      <c r="G57" s="72">
        <f t="shared" si="0"/>
        <v>294</v>
      </c>
      <c r="H57" s="72">
        <f t="shared" si="1"/>
        <v>49</v>
      </c>
      <c r="I57" s="72"/>
      <c r="J57" s="72"/>
      <c r="K57" s="72"/>
      <c r="L57" s="72">
        <v>1</v>
      </c>
      <c r="M57" s="72"/>
      <c r="N57" s="72"/>
      <c r="O57" s="72"/>
      <c r="P57" s="72">
        <v>1</v>
      </c>
      <c r="Q57" s="72"/>
      <c r="R57" s="72"/>
      <c r="S57" s="72"/>
      <c r="T57" s="72"/>
      <c r="U57" s="72">
        <v>1</v>
      </c>
      <c r="V57" s="72">
        <v>1</v>
      </c>
      <c r="W57" s="72"/>
      <c r="X57" s="72">
        <v>1</v>
      </c>
      <c r="Y57" s="72"/>
      <c r="Z57" s="72"/>
      <c r="AA57" s="72">
        <v>3</v>
      </c>
      <c r="AB57" s="72">
        <v>1</v>
      </c>
      <c r="AC57" s="72"/>
      <c r="AD57" s="72"/>
      <c r="AE57" s="72"/>
      <c r="AF57" s="72">
        <v>10</v>
      </c>
      <c r="AG57" s="72"/>
      <c r="AH57" s="72"/>
      <c r="AI57" s="72"/>
      <c r="AJ57" s="72"/>
      <c r="AK57" s="72">
        <v>1</v>
      </c>
      <c r="AL57" s="72"/>
      <c r="AM57" s="72"/>
      <c r="AN57" s="72"/>
      <c r="AO57" s="72">
        <v>4</v>
      </c>
      <c r="AP57" s="72"/>
      <c r="AQ57" s="72"/>
      <c r="AR57" s="72"/>
      <c r="AS57" s="72">
        <v>1</v>
      </c>
      <c r="AT57" s="72"/>
      <c r="AU57" s="72"/>
      <c r="AV57" s="72"/>
      <c r="AW57" s="72"/>
      <c r="AX57" s="72"/>
      <c r="AY57" s="72"/>
      <c r="AZ57" s="72"/>
      <c r="BA57" s="72">
        <v>4</v>
      </c>
      <c r="BB57" s="72">
        <v>4</v>
      </c>
      <c r="BC57" s="72">
        <v>1</v>
      </c>
      <c r="BD57" s="72">
        <v>1</v>
      </c>
      <c r="BE57" s="72"/>
      <c r="BF57" s="72"/>
      <c r="BG57" s="72"/>
      <c r="BH57" s="72" t="s">
        <v>4639</v>
      </c>
    </row>
    <row r="58" spans="1:60">
      <c r="A58" s="944" t="s">
        <v>1983</v>
      </c>
      <c r="B58" s="72" t="s">
        <v>3130</v>
      </c>
      <c r="C58" s="72">
        <v>53</v>
      </c>
      <c r="D58" s="72"/>
      <c r="E58" s="72"/>
      <c r="F58" s="72"/>
      <c r="G58" s="72">
        <f t="shared" si="0"/>
        <v>318</v>
      </c>
      <c r="H58" s="72">
        <f t="shared" si="1"/>
        <v>53</v>
      </c>
      <c r="I58" s="72"/>
      <c r="J58" s="72"/>
      <c r="K58" s="72"/>
      <c r="L58" s="72">
        <v>1</v>
      </c>
      <c r="M58" s="72"/>
      <c r="N58" s="72"/>
      <c r="O58" s="72"/>
      <c r="P58" s="72">
        <v>1</v>
      </c>
      <c r="Q58" s="72"/>
      <c r="R58" s="72"/>
      <c r="S58" s="72"/>
      <c r="T58" s="72"/>
      <c r="U58" s="72"/>
      <c r="V58" s="72"/>
      <c r="W58" s="72"/>
      <c r="X58" s="72">
        <v>1</v>
      </c>
      <c r="Y58" s="72"/>
      <c r="Z58" s="72"/>
      <c r="AA58" s="72">
        <v>2</v>
      </c>
      <c r="AB58" s="72"/>
      <c r="AC58" s="72"/>
      <c r="AD58" s="72"/>
      <c r="AE58" s="72"/>
      <c r="AF58" s="72">
        <v>6</v>
      </c>
      <c r="AG58" s="72"/>
      <c r="AH58" s="72">
        <v>1</v>
      </c>
      <c r="AI58" s="72"/>
      <c r="AJ58" s="72"/>
      <c r="AK58" s="72">
        <v>1</v>
      </c>
      <c r="AL58" s="72"/>
      <c r="AM58" s="72"/>
      <c r="AN58" s="72"/>
      <c r="AO58" s="72"/>
      <c r="AP58" s="72"/>
      <c r="AQ58" s="72"/>
      <c r="AR58" s="72"/>
      <c r="AS58" s="72">
        <v>1</v>
      </c>
      <c r="AT58" s="72"/>
      <c r="AU58" s="72"/>
      <c r="AV58" s="72"/>
      <c r="AW58" s="72"/>
      <c r="AX58" s="72"/>
      <c r="AY58" s="72"/>
      <c r="AZ58" s="72"/>
      <c r="BA58" s="72"/>
      <c r="BB58" s="72"/>
      <c r="BC58" s="72"/>
      <c r="BD58" s="72"/>
      <c r="BE58" s="72"/>
      <c r="BF58" s="72"/>
      <c r="BG58" s="72"/>
      <c r="BH58" s="72"/>
    </row>
    <row r="59" spans="1:60">
      <c r="A59" s="944" t="s">
        <v>1984</v>
      </c>
      <c r="B59" s="72" t="s">
        <v>3130</v>
      </c>
      <c r="C59" s="72">
        <v>49</v>
      </c>
      <c r="D59" s="72"/>
      <c r="E59" s="72">
        <f>6*4</f>
        <v>24</v>
      </c>
      <c r="F59" s="72"/>
      <c r="G59" s="72">
        <f t="shared" si="0"/>
        <v>294</v>
      </c>
      <c r="H59" s="72">
        <f t="shared" si="1"/>
        <v>49</v>
      </c>
      <c r="I59" s="72"/>
      <c r="J59" s="72"/>
      <c r="K59" s="72"/>
      <c r="L59" s="72">
        <v>1</v>
      </c>
      <c r="M59" s="72"/>
      <c r="N59" s="72"/>
      <c r="O59" s="72"/>
      <c r="P59" s="72">
        <v>1</v>
      </c>
      <c r="Q59" s="72"/>
      <c r="R59" s="72"/>
      <c r="S59" s="72"/>
      <c r="T59" s="72"/>
      <c r="U59" s="72"/>
      <c r="V59" s="72">
        <v>1</v>
      </c>
      <c r="W59" s="72"/>
      <c r="X59" s="72">
        <v>1</v>
      </c>
      <c r="Y59" s="72"/>
      <c r="Z59" s="72"/>
      <c r="AA59" s="72">
        <v>2</v>
      </c>
      <c r="AB59" s="72">
        <v>1</v>
      </c>
      <c r="AC59" s="72"/>
      <c r="AD59" s="72"/>
      <c r="AE59" s="72"/>
      <c r="AF59" s="72">
        <v>8</v>
      </c>
      <c r="AG59" s="72"/>
      <c r="AH59" s="72"/>
      <c r="AI59" s="72"/>
      <c r="AJ59" s="72"/>
      <c r="AK59" s="72">
        <v>1</v>
      </c>
      <c r="AL59" s="72"/>
      <c r="AM59" s="72"/>
      <c r="AN59" s="72"/>
      <c r="AO59" s="72">
        <v>4</v>
      </c>
      <c r="AP59" s="72"/>
      <c r="AQ59" s="72"/>
      <c r="AR59" s="72"/>
      <c r="AS59" s="72">
        <v>1</v>
      </c>
      <c r="AT59" s="72"/>
      <c r="AU59" s="72"/>
      <c r="AV59" s="72"/>
      <c r="AW59" s="72"/>
      <c r="AX59" s="72"/>
      <c r="AY59" s="72"/>
      <c r="AZ59" s="72">
        <v>3</v>
      </c>
      <c r="BA59" s="72">
        <v>1</v>
      </c>
      <c r="BB59" s="72">
        <v>3</v>
      </c>
      <c r="BC59" s="72"/>
      <c r="BD59" s="72">
        <v>1</v>
      </c>
      <c r="BE59" s="72">
        <v>1</v>
      </c>
      <c r="BF59" s="72"/>
      <c r="BG59" s="72"/>
      <c r="BH59" s="72" t="s">
        <v>4565</v>
      </c>
    </row>
    <row r="60" spans="1:60">
      <c r="A60" s="944" t="s">
        <v>1985</v>
      </c>
      <c r="B60" s="72"/>
      <c r="C60" s="72">
        <v>53</v>
      </c>
      <c r="D60" s="72"/>
      <c r="E60" s="72"/>
      <c r="F60" s="72"/>
      <c r="G60" s="72">
        <f t="shared" si="0"/>
        <v>318</v>
      </c>
      <c r="H60" s="72">
        <f t="shared" si="1"/>
        <v>53</v>
      </c>
      <c r="I60" s="72"/>
      <c r="J60" s="72"/>
      <c r="K60" s="72"/>
      <c r="L60" s="72" t="s">
        <v>5819</v>
      </c>
      <c r="M60" s="72"/>
      <c r="N60" s="72"/>
      <c r="O60" s="72"/>
      <c r="P60" s="72" t="s">
        <v>5819</v>
      </c>
      <c r="Q60" s="72"/>
      <c r="R60" s="72"/>
      <c r="S60" s="72"/>
      <c r="T60" s="72"/>
      <c r="U60" s="72"/>
      <c r="V60" s="72"/>
      <c r="W60" s="72"/>
      <c r="X60" s="72" t="s">
        <v>5819</v>
      </c>
      <c r="Y60" s="72"/>
      <c r="Z60" s="72"/>
      <c r="AA60" s="72" t="s">
        <v>5819</v>
      </c>
      <c r="AB60" s="72"/>
      <c r="AC60" s="72"/>
      <c r="AD60" s="72"/>
      <c r="AE60" s="72"/>
      <c r="AF60" s="72"/>
      <c r="AG60" s="72"/>
      <c r="AH60" s="72"/>
      <c r="AI60" s="72"/>
      <c r="AJ60" s="72"/>
      <c r="AK60" s="72">
        <v>1</v>
      </c>
      <c r="AL60" s="72"/>
      <c r="AM60" s="72"/>
      <c r="AN60" s="72"/>
      <c r="AO60" s="72"/>
      <c r="AP60" s="72"/>
      <c r="AQ60" s="72"/>
      <c r="AR60" s="72"/>
      <c r="AS60" s="72">
        <v>1</v>
      </c>
      <c r="AT60" s="72"/>
      <c r="AU60" s="72"/>
      <c r="AV60" s="72"/>
      <c r="AW60" s="72"/>
      <c r="AX60" s="72"/>
      <c r="AY60" s="72"/>
      <c r="AZ60" s="72"/>
      <c r="BA60" s="72"/>
      <c r="BB60" s="72"/>
      <c r="BC60" s="72"/>
      <c r="BD60" s="72"/>
      <c r="BE60" s="72"/>
      <c r="BF60" s="72"/>
      <c r="BG60" s="72"/>
      <c r="BH60" s="72"/>
    </row>
    <row r="61" spans="1:60">
      <c r="A61" s="944" t="s">
        <v>1986</v>
      </c>
      <c r="B61" s="72"/>
      <c r="C61" s="72">
        <v>50</v>
      </c>
      <c r="D61" s="72"/>
      <c r="E61" s="72"/>
      <c r="F61" s="72"/>
      <c r="G61" s="72">
        <f t="shared" si="0"/>
        <v>300</v>
      </c>
      <c r="H61" s="72">
        <f t="shared" si="1"/>
        <v>50</v>
      </c>
      <c r="I61" s="72"/>
      <c r="J61" s="72"/>
      <c r="K61" s="72"/>
      <c r="L61" s="72" t="s">
        <v>5819</v>
      </c>
      <c r="M61" s="72"/>
      <c r="N61" s="72"/>
      <c r="O61" s="72"/>
      <c r="P61" s="72" t="s">
        <v>5819</v>
      </c>
      <c r="Q61" s="72"/>
      <c r="R61" s="72"/>
      <c r="S61" s="72"/>
      <c r="T61" s="72"/>
      <c r="U61" s="72"/>
      <c r="V61" s="72"/>
      <c r="W61" s="72"/>
      <c r="X61" s="72" t="s">
        <v>5819</v>
      </c>
      <c r="Y61" s="72"/>
      <c r="Z61" s="72"/>
      <c r="AA61" s="72" t="s">
        <v>5819</v>
      </c>
      <c r="AB61" s="72"/>
      <c r="AC61" s="72"/>
      <c r="AD61" s="72"/>
      <c r="AE61" s="72"/>
      <c r="AF61" s="72"/>
      <c r="AG61" s="72"/>
      <c r="AH61" s="72"/>
      <c r="AI61" s="72"/>
      <c r="AJ61" s="72"/>
      <c r="AK61" s="72">
        <v>1</v>
      </c>
      <c r="AL61" s="72"/>
      <c r="AM61" s="72"/>
      <c r="AN61" s="72"/>
      <c r="AO61" s="72"/>
      <c r="AP61" s="72"/>
      <c r="AQ61" s="72"/>
      <c r="AR61" s="72"/>
      <c r="AS61" s="72">
        <v>1</v>
      </c>
      <c r="AT61" s="72"/>
      <c r="AU61" s="72"/>
      <c r="AV61" s="72"/>
      <c r="AW61" s="72"/>
      <c r="AX61" s="72"/>
      <c r="AY61" s="72"/>
      <c r="AZ61" s="72"/>
      <c r="BA61" s="72"/>
      <c r="BB61" s="72"/>
      <c r="BC61" s="72"/>
      <c r="BD61" s="72"/>
      <c r="BE61" s="72"/>
      <c r="BF61" s="72"/>
      <c r="BG61" s="72"/>
      <c r="BH61" s="72"/>
    </row>
    <row r="62" spans="1:60">
      <c r="A62" s="944" t="s">
        <v>1987</v>
      </c>
      <c r="B62" s="72"/>
      <c r="C62" s="72">
        <v>47</v>
      </c>
      <c r="D62" s="72"/>
      <c r="E62" s="72"/>
      <c r="F62" s="72"/>
      <c r="G62" s="72">
        <f t="shared" si="0"/>
        <v>282</v>
      </c>
      <c r="H62" s="72">
        <f t="shared" si="1"/>
        <v>47</v>
      </c>
      <c r="I62" s="72"/>
      <c r="J62" s="72"/>
      <c r="K62" s="72"/>
      <c r="L62" s="72" t="s">
        <v>5819</v>
      </c>
      <c r="M62" s="72"/>
      <c r="N62" s="72"/>
      <c r="O62" s="72"/>
      <c r="P62" s="72" t="s">
        <v>5819</v>
      </c>
      <c r="Q62" s="72"/>
      <c r="R62" s="72"/>
      <c r="S62" s="72"/>
      <c r="T62" s="72"/>
      <c r="U62" s="72"/>
      <c r="V62" s="72"/>
      <c r="W62" s="72"/>
      <c r="X62" s="72" t="s">
        <v>5819</v>
      </c>
      <c r="Y62" s="72"/>
      <c r="Z62" s="72"/>
      <c r="AA62" s="72" t="s">
        <v>5819</v>
      </c>
      <c r="AB62" s="72"/>
      <c r="AC62" s="72"/>
      <c r="AD62" s="72"/>
      <c r="AE62" s="72"/>
      <c r="AF62" s="72"/>
      <c r="AG62" s="72"/>
      <c r="AH62" s="72"/>
      <c r="AI62" s="72"/>
      <c r="AJ62" s="72"/>
      <c r="AK62" s="72">
        <v>1</v>
      </c>
      <c r="AL62" s="72"/>
      <c r="AM62" s="72"/>
      <c r="AN62" s="72"/>
      <c r="AO62" s="72"/>
      <c r="AP62" s="72"/>
      <c r="AQ62" s="72"/>
      <c r="AR62" s="72"/>
      <c r="AS62" s="72">
        <v>1</v>
      </c>
      <c r="AT62" s="72"/>
      <c r="AU62" s="72"/>
      <c r="AV62" s="72"/>
      <c r="AW62" s="72"/>
      <c r="AX62" s="72"/>
      <c r="AY62" s="72"/>
      <c r="AZ62" s="72"/>
      <c r="BA62" s="72"/>
      <c r="BB62" s="72"/>
      <c r="BC62" s="72"/>
      <c r="BD62" s="72"/>
      <c r="BE62" s="72"/>
      <c r="BF62" s="72"/>
      <c r="BG62" s="72"/>
      <c r="BH62" s="72"/>
    </row>
    <row r="63" spans="1:60">
      <c r="A63" s="1463" t="s">
        <v>1988</v>
      </c>
      <c r="B63" s="72" t="s">
        <v>3140</v>
      </c>
      <c r="C63" s="72">
        <v>38</v>
      </c>
      <c r="D63" s="72"/>
      <c r="E63" s="72"/>
      <c r="F63" s="72">
        <f>5*3</f>
        <v>15</v>
      </c>
      <c r="G63" s="72">
        <f t="shared" si="0"/>
        <v>228</v>
      </c>
      <c r="H63" s="72">
        <f t="shared" si="1"/>
        <v>38</v>
      </c>
      <c r="I63" s="72"/>
      <c r="J63" s="72"/>
      <c r="K63" s="72"/>
      <c r="L63" s="72">
        <v>1</v>
      </c>
      <c r="M63" s="72"/>
      <c r="N63" s="72"/>
      <c r="O63" s="72"/>
      <c r="P63" s="72">
        <v>1</v>
      </c>
      <c r="Q63" s="72"/>
      <c r="R63" s="72"/>
      <c r="S63" s="72"/>
      <c r="T63" s="72"/>
      <c r="U63" s="72"/>
      <c r="V63" s="72">
        <v>1</v>
      </c>
      <c r="W63" s="72"/>
      <c r="X63" s="72">
        <v>1</v>
      </c>
      <c r="Y63" s="72"/>
      <c r="Z63" s="72"/>
      <c r="AA63" s="72">
        <v>2</v>
      </c>
      <c r="AB63" s="72">
        <v>2</v>
      </c>
      <c r="AC63" s="72"/>
      <c r="AD63" s="72"/>
      <c r="AE63" s="72">
        <v>6</v>
      </c>
      <c r="AF63" s="72">
        <v>7</v>
      </c>
      <c r="AG63" s="72"/>
      <c r="AH63" s="72"/>
      <c r="AI63" s="72"/>
      <c r="AJ63" s="72"/>
      <c r="AK63" s="72">
        <v>1</v>
      </c>
      <c r="AL63" s="72"/>
      <c r="AM63" s="72"/>
      <c r="AN63" s="72"/>
      <c r="AO63" s="72">
        <v>4</v>
      </c>
      <c r="AP63" s="72"/>
      <c r="AQ63" s="72"/>
      <c r="AR63" s="72"/>
      <c r="AS63" s="72">
        <v>1</v>
      </c>
      <c r="AT63" s="72"/>
      <c r="AU63" s="72"/>
      <c r="AV63" s="72"/>
      <c r="AW63" s="72"/>
      <c r="AX63" s="72"/>
      <c r="AY63" s="72"/>
      <c r="AZ63" s="72">
        <v>3</v>
      </c>
      <c r="BA63" s="72">
        <v>1</v>
      </c>
      <c r="BB63" s="72">
        <v>3</v>
      </c>
      <c r="BC63" s="72"/>
      <c r="BD63" s="72">
        <v>1</v>
      </c>
      <c r="BE63" s="72">
        <v>1</v>
      </c>
      <c r="BF63" s="72"/>
      <c r="BG63" s="72"/>
      <c r="BH63" s="72" t="s">
        <v>4643</v>
      </c>
    </row>
    <row r="64" spans="1:60">
      <c r="A64" s="944" t="s">
        <v>1989</v>
      </c>
      <c r="B64" s="72" t="s">
        <v>5485</v>
      </c>
      <c r="C64" s="72">
        <v>26</v>
      </c>
      <c r="D64" s="72"/>
      <c r="E64" s="72"/>
      <c r="F64" s="72"/>
      <c r="G64" s="72">
        <f t="shared" si="0"/>
        <v>156</v>
      </c>
      <c r="H64" s="72">
        <f t="shared" si="1"/>
        <v>26</v>
      </c>
      <c r="I64" s="72"/>
      <c r="J64" s="72"/>
      <c r="K64" s="72"/>
      <c r="L64" s="72">
        <v>2</v>
      </c>
      <c r="M64" s="72"/>
      <c r="N64" s="72"/>
      <c r="O64" s="72"/>
      <c r="P64" s="72"/>
      <c r="Q64" s="72">
        <v>2</v>
      </c>
      <c r="R64" s="72"/>
      <c r="S64" s="72">
        <v>2</v>
      </c>
      <c r="T64" s="72"/>
      <c r="U64" s="72"/>
      <c r="V64" s="72"/>
      <c r="W64" s="72">
        <v>2</v>
      </c>
      <c r="X64" s="72"/>
      <c r="Y64" s="72">
        <v>1</v>
      </c>
      <c r="Z64" s="72"/>
      <c r="AA64" s="72"/>
      <c r="AB64" s="72">
        <v>2</v>
      </c>
      <c r="AC64" s="72"/>
      <c r="AD64" s="72"/>
      <c r="AE64" s="72">
        <v>12</v>
      </c>
      <c r="AF64" s="72">
        <v>10</v>
      </c>
      <c r="AG64" s="72"/>
      <c r="AH64" s="72">
        <v>2</v>
      </c>
      <c r="AI64" s="72"/>
      <c r="AJ64" s="72"/>
      <c r="AK64" s="72"/>
      <c r="AL64" s="72"/>
      <c r="AM64" s="72"/>
      <c r="AN64" s="72"/>
      <c r="AO64" s="72"/>
      <c r="AP64" s="72"/>
      <c r="AQ64" s="72"/>
      <c r="AR64" s="72"/>
      <c r="AS64" s="72"/>
      <c r="AT64" s="72"/>
      <c r="AU64" s="72">
        <v>2</v>
      </c>
      <c r="AV64" s="72"/>
      <c r="AW64" s="72"/>
      <c r="AX64" s="72"/>
      <c r="AY64" s="72"/>
      <c r="AZ64" s="72"/>
      <c r="BA64" s="72"/>
      <c r="BB64" s="72"/>
      <c r="BC64" s="72"/>
      <c r="BD64" s="72"/>
      <c r="BE64" s="72"/>
      <c r="BF64" s="72"/>
      <c r="BG64" s="72"/>
      <c r="BH64" s="72"/>
    </row>
    <row r="65" spans="1:60">
      <c r="A65" s="944" t="s">
        <v>1990</v>
      </c>
      <c r="B65" s="72" t="s">
        <v>5486</v>
      </c>
      <c r="C65" s="72">
        <v>53</v>
      </c>
      <c r="D65" s="72"/>
      <c r="E65" s="72"/>
      <c r="F65" s="72"/>
      <c r="G65" s="72">
        <f t="shared" si="0"/>
        <v>318</v>
      </c>
      <c r="H65" s="72">
        <f t="shared" si="1"/>
        <v>53</v>
      </c>
      <c r="I65" s="72"/>
      <c r="J65" s="72" t="s">
        <v>5819</v>
      </c>
      <c r="K65" s="72"/>
      <c r="L65" s="72"/>
      <c r="M65" s="72"/>
      <c r="N65" s="72"/>
      <c r="O65" s="72"/>
      <c r="P65" s="72"/>
      <c r="Q65" s="72"/>
      <c r="R65" s="72"/>
      <c r="S65" s="72"/>
      <c r="T65" s="72"/>
      <c r="U65" s="72"/>
      <c r="V65" s="72"/>
      <c r="W65" s="72"/>
      <c r="X65" s="72"/>
      <c r="Y65" s="72"/>
      <c r="Z65" s="72"/>
      <c r="AA65" s="72"/>
      <c r="AB65" s="72"/>
      <c r="AC65" s="72">
        <v>1</v>
      </c>
      <c r="AD65" s="72"/>
      <c r="AE65" s="72"/>
      <c r="AF65" s="72"/>
      <c r="AG65" s="72"/>
      <c r="AH65" s="72">
        <v>2</v>
      </c>
      <c r="AI65" s="72"/>
      <c r="AJ65" s="72"/>
      <c r="AK65" s="72"/>
      <c r="AL65" s="72"/>
      <c r="AM65" s="72"/>
      <c r="AN65" s="72"/>
      <c r="AO65" s="72"/>
      <c r="AP65" s="72"/>
      <c r="AQ65" s="72"/>
      <c r="AR65" s="72"/>
      <c r="AS65" s="72"/>
      <c r="AT65" s="72"/>
      <c r="AU65" s="72">
        <v>2</v>
      </c>
      <c r="AV65" s="72"/>
      <c r="AW65" s="72"/>
      <c r="AX65" s="72"/>
      <c r="AY65" s="72"/>
      <c r="AZ65" s="72"/>
      <c r="BA65" s="72"/>
      <c r="BB65" s="72"/>
      <c r="BC65" s="72"/>
      <c r="BD65" s="72"/>
      <c r="BE65" s="72"/>
      <c r="BF65" s="72"/>
      <c r="BG65" s="72"/>
      <c r="BH65" s="72"/>
    </row>
    <row r="66" spans="1:60">
      <c r="A66" s="944" t="s">
        <v>1991</v>
      </c>
      <c r="B66" s="72" t="s">
        <v>5486</v>
      </c>
      <c r="C66" s="72">
        <v>128</v>
      </c>
      <c r="D66" s="72"/>
      <c r="E66" s="72"/>
      <c r="F66" s="72"/>
      <c r="G66" s="72">
        <f t="shared" si="0"/>
        <v>768</v>
      </c>
      <c r="H66" s="72">
        <f t="shared" si="1"/>
        <v>128</v>
      </c>
      <c r="I66" s="72"/>
      <c r="J66" s="72" t="s">
        <v>5819</v>
      </c>
      <c r="K66" s="72"/>
      <c r="L66" s="72"/>
      <c r="M66" s="72"/>
      <c r="N66" s="72"/>
      <c r="O66" s="72"/>
      <c r="P66" s="72"/>
      <c r="Q66" s="72"/>
      <c r="R66" s="72"/>
      <c r="S66" s="72"/>
      <c r="T66" s="72"/>
      <c r="U66" s="72"/>
      <c r="V66" s="72"/>
      <c r="W66" s="72"/>
      <c r="X66" s="72"/>
      <c r="Y66" s="72"/>
      <c r="Z66" s="72"/>
      <c r="AA66" s="72"/>
      <c r="AB66" s="72"/>
      <c r="AC66" s="72">
        <v>1</v>
      </c>
      <c r="AD66" s="72"/>
      <c r="AE66" s="72"/>
      <c r="AF66" s="72"/>
      <c r="AG66" s="72"/>
      <c r="AH66" s="72">
        <v>2</v>
      </c>
      <c r="AI66" s="72"/>
      <c r="AJ66" s="72"/>
      <c r="AK66" s="72"/>
      <c r="AL66" s="72"/>
      <c r="AM66" s="72"/>
      <c r="AN66" s="72"/>
      <c r="AO66" s="72"/>
      <c r="AP66" s="72"/>
      <c r="AQ66" s="72"/>
      <c r="AR66" s="72"/>
      <c r="AS66" s="72"/>
      <c r="AT66" s="72"/>
      <c r="AU66" s="72">
        <v>2</v>
      </c>
      <c r="AV66" s="72"/>
      <c r="AW66" s="72"/>
      <c r="AX66" s="72"/>
      <c r="AY66" s="72"/>
      <c r="AZ66" s="72"/>
      <c r="BA66" s="72"/>
      <c r="BB66" s="72"/>
      <c r="BC66" s="72"/>
      <c r="BD66" s="72"/>
      <c r="BE66" s="72"/>
      <c r="BF66" s="72"/>
      <c r="BG66" s="72"/>
      <c r="BH66" s="72"/>
    </row>
    <row r="67" spans="1:60">
      <c r="A67" s="944" t="s">
        <v>1992</v>
      </c>
      <c r="B67" s="72" t="s">
        <v>5485</v>
      </c>
      <c r="C67" s="72">
        <v>57</v>
      </c>
      <c r="D67" s="72"/>
      <c r="E67" s="72"/>
      <c r="F67" s="72"/>
      <c r="G67" s="72">
        <f t="shared" si="0"/>
        <v>342</v>
      </c>
      <c r="H67" s="72">
        <f t="shared" si="1"/>
        <v>57</v>
      </c>
      <c r="I67" s="72"/>
      <c r="J67" s="72"/>
      <c r="K67" s="72"/>
      <c r="L67" s="72">
        <v>2</v>
      </c>
      <c r="M67" s="72"/>
      <c r="N67" s="72"/>
      <c r="O67" s="72"/>
      <c r="P67" s="72"/>
      <c r="Q67" s="72">
        <v>2</v>
      </c>
      <c r="R67" s="72"/>
      <c r="S67" s="72">
        <v>2</v>
      </c>
      <c r="T67" s="72"/>
      <c r="U67" s="72"/>
      <c r="V67" s="72"/>
      <c r="W67" s="72">
        <v>2</v>
      </c>
      <c r="X67" s="72"/>
      <c r="Y67" s="72">
        <v>1</v>
      </c>
      <c r="Z67" s="72"/>
      <c r="AA67" s="72"/>
      <c r="AB67" s="72">
        <v>2</v>
      </c>
      <c r="AC67" s="72"/>
      <c r="AD67" s="72"/>
      <c r="AE67" s="72">
        <v>12</v>
      </c>
      <c r="AF67" s="72">
        <v>10</v>
      </c>
      <c r="AG67" s="72"/>
      <c r="AH67" s="72">
        <v>2</v>
      </c>
      <c r="AI67" s="72"/>
      <c r="AJ67" s="72"/>
      <c r="AK67" s="72"/>
      <c r="AL67" s="72"/>
      <c r="AM67" s="72"/>
      <c r="AN67" s="72"/>
      <c r="AO67" s="72"/>
      <c r="AP67" s="72"/>
      <c r="AQ67" s="72"/>
      <c r="AR67" s="72"/>
      <c r="AS67" s="72"/>
      <c r="AT67" s="72"/>
      <c r="AU67" s="72">
        <v>2</v>
      </c>
      <c r="AV67" s="72"/>
      <c r="AW67" s="72"/>
      <c r="AX67" s="72"/>
      <c r="AY67" s="72"/>
      <c r="AZ67" s="72"/>
      <c r="BA67" s="72"/>
      <c r="BB67" s="72"/>
      <c r="BC67" s="72"/>
      <c r="BD67" s="72"/>
      <c r="BE67" s="72"/>
      <c r="BF67" s="72"/>
      <c r="BG67" s="72"/>
      <c r="BH67" s="72"/>
    </row>
    <row r="68" spans="1:60">
      <c r="A68" s="944" t="s">
        <v>2023</v>
      </c>
      <c r="B68" s="72"/>
      <c r="C68" s="72">
        <v>35</v>
      </c>
      <c r="D68" s="72"/>
      <c r="E68" s="72"/>
      <c r="F68" s="72"/>
      <c r="G68" s="72">
        <f t="shared" si="0"/>
        <v>210</v>
      </c>
      <c r="H68" s="72">
        <f t="shared" si="1"/>
        <v>35</v>
      </c>
      <c r="I68" s="72"/>
      <c r="J68" s="72"/>
      <c r="K68" s="72" t="s">
        <v>5819</v>
      </c>
      <c r="L68" s="72"/>
      <c r="M68" s="72"/>
      <c r="N68" s="72"/>
      <c r="O68" s="72"/>
      <c r="P68" s="72"/>
      <c r="Q68" s="72"/>
      <c r="R68" s="72"/>
      <c r="S68" s="72"/>
      <c r="T68" s="72"/>
      <c r="U68" s="72"/>
      <c r="V68" s="72"/>
      <c r="W68" s="72"/>
      <c r="X68" s="72"/>
      <c r="Y68" s="72"/>
      <c r="Z68" s="72"/>
      <c r="AA68" s="72"/>
      <c r="AB68" s="72">
        <v>1</v>
      </c>
      <c r="AC68" s="72"/>
      <c r="AD68" s="72"/>
      <c r="AE68" s="72"/>
      <c r="AF68" s="72"/>
      <c r="AG68" s="72"/>
      <c r="AH68" s="72"/>
      <c r="AI68" s="72"/>
      <c r="AJ68" s="72"/>
      <c r="AK68" s="72">
        <v>1</v>
      </c>
      <c r="AL68" s="72"/>
      <c r="AM68" s="72"/>
      <c r="AN68" s="72"/>
      <c r="AO68" s="72"/>
      <c r="AP68" s="72"/>
      <c r="AQ68" s="72"/>
      <c r="AR68" s="72"/>
      <c r="AS68" s="72">
        <v>1</v>
      </c>
      <c r="AT68" s="72"/>
      <c r="AU68" s="72"/>
      <c r="AV68" s="72"/>
      <c r="AW68" s="72"/>
      <c r="AX68" s="72"/>
      <c r="AY68" s="72"/>
      <c r="AZ68" s="72">
        <v>3</v>
      </c>
      <c r="BA68" s="72"/>
      <c r="BB68" s="72"/>
      <c r="BC68" s="72"/>
      <c r="BD68" s="72"/>
      <c r="BE68" s="72"/>
      <c r="BF68" s="72"/>
      <c r="BG68" s="72"/>
      <c r="BH68" s="72" t="s">
        <v>4441</v>
      </c>
    </row>
    <row r="69" spans="1:60">
      <c r="A69" s="944" t="s">
        <v>1993</v>
      </c>
      <c r="B69" s="72"/>
      <c r="C69" s="72">
        <v>17</v>
      </c>
      <c r="D69" s="72"/>
      <c r="E69" s="72">
        <v>15</v>
      </c>
      <c r="F69" s="72"/>
      <c r="G69" s="72">
        <f t="shared" si="0"/>
        <v>102</v>
      </c>
      <c r="H69" s="72">
        <f t="shared" si="1"/>
        <v>17</v>
      </c>
      <c r="I69" s="72"/>
      <c r="J69" s="72"/>
      <c r="K69" s="72"/>
      <c r="L69" s="72">
        <v>1</v>
      </c>
      <c r="M69" s="72"/>
      <c r="N69" s="72"/>
      <c r="O69" s="72"/>
      <c r="P69" s="72">
        <v>1</v>
      </c>
      <c r="Q69" s="72"/>
      <c r="R69" s="72"/>
      <c r="S69" s="72"/>
      <c r="T69" s="72"/>
      <c r="U69" s="72">
        <v>1</v>
      </c>
      <c r="V69" s="72">
        <v>1</v>
      </c>
      <c r="W69" s="72"/>
      <c r="X69" s="72">
        <v>1</v>
      </c>
      <c r="Y69" s="72"/>
      <c r="Z69" s="72"/>
      <c r="AA69" s="72">
        <v>3</v>
      </c>
      <c r="AB69" s="72">
        <v>1</v>
      </c>
      <c r="AC69" s="72"/>
      <c r="AD69" s="72"/>
      <c r="AE69" s="72"/>
      <c r="AF69" s="72">
        <v>9</v>
      </c>
      <c r="AG69" s="72"/>
      <c r="AH69" s="72"/>
      <c r="AI69" s="72"/>
      <c r="AJ69" s="72"/>
      <c r="AK69" s="72">
        <v>1</v>
      </c>
      <c r="AL69" s="72"/>
      <c r="AM69" s="72"/>
      <c r="AN69" s="72"/>
      <c r="AO69" s="72">
        <v>4</v>
      </c>
      <c r="AP69" s="72"/>
      <c r="AQ69" s="72"/>
      <c r="AR69" s="72"/>
      <c r="AS69" s="72">
        <v>1</v>
      </c>
      <c r="AT69" s="72"/>
      <c r="AU69" s="72"/>
      <c r="AV69" s="72"/>
      <c r="AW69" s="72"/>
      <c r="AX69" s="72"/>
      <c r="AY69" s="72"/>
      <c r="AZ69" s="72"/>
      <c r="BA69" s="72">
        <v>4</v>
      </c>
      <c r="BB69" s="72">
        <v>4</v>
      </c>
      <c r="BC69" s="72">
        <v>1</v>
      </c>
      <c r="BD69" s="72">
        <v>1</v>
      </c>
      <c r="BE69" s="72"/>
      <c r="BF69" s="72"/>
      <c r="BG69" s="72"/>
      <c r="BH69" s="72" t="s">
        <v>4639</v>
      </c>
    </row>
    <row r="70" spans="1:60">
      <c r="A70" s="944" t="s">
        <v>1994</v>
      </c>
      <c r="B70" s="72"/>
      <c r="C70" s="72">
        <v>59</v>
      </c>
      <c r="D70" s="72"/>
      <c r="E70" s="72"/>
      <c r="F70" s="72"/>
      <c r="G70" s="72">
        <f t="shared" si="0"/>
        <v>354</v>
      </c>
      <c r="H70" s="72">
        <f t="shared" si="1"/>
        <v>59</v>
      </c>
      <c r="I70" s="72"/>
      <c r="J70" s="72"/>
      <c r="K70" s="72"/>
      <c r="L70" s="72" t="s">
        <v>5819</v>
      </c>
      <c r="M70" s="72"/>
      <c r="N70" s="72"/>
      <c r="O70" s="72"/>
      <c r="P70" s="72"/>
      <c r="Q70" s="72"/>
      <c r="R70" s="72"/>
      <c r="S70" s="72"/>
      <c r="T70" s="72"/>
      <c r="U70" s="72"/>
      <c r="V70" s="72"/>
      <c r="W70" s="72"/>
      <c r="X70" s="72" t="s">
        <v>5819</v>
      </c>
      <c r="Y70" s="72"/>
      <c r="Z70" s="72"/>
      <c r="AA70" s="72" t="s">
        <v>5819</v>
      </c>
      <c r="AB70" s="72"/>
      <c r="AC70" s="72"/>
      <c r="AD70" s="72"/>
      <c r="AE70" s="72"/>
      <c r="AF70" s="72"/>
      <c r="AG70" s="72"/>
      <c r="AH70" s="72"/>
      <c r="AI70" s="72"/>
      <c r="AJ70" s="72"/>
      <c r="AK70" s="72">
        <v>1</v>
      </c>
      <c r="AL70" s="72"/>
      <c r="AM70" s="72"/>
      <c r="AN70" s="72"/>
      <c r="AO70" s="72"/>
      <c r="AP70" s="72"/>
      <c r="AQ70" s="72"/>
      <c r="AR70" s="72"/>
      <c r="AS70" s="72">
        <v>1</v>
      </c>
      <c r="AT70" s="72"/>
      <c r="AU70" s="72"/>
      <c r="AV70" s="72"/>
      <c r="AW70" s="72"/>
      <c r="AX70" s="72"/>
      <c r="AY70" s="72"/>
      <c r="AZ70" s="72"/>
      <c r="BA70" s="72"/>
      <c r="BB70" s="72"/>
      <c r="BC70" s="72"/>
      <c r="BD70" s="72"/>
      <c r="BE70" s="72"/>
      <c r="BF70" s="72"/>
      <c r="BG70" s="72"/>
      <c r="BH70" s="72"/>
    </row>
    <row r="71" spans="1:60">
      <c r="A71" s="944" t="s">
        <v>1995</v>
      </c>
      <c r="B71" s="72"/>
      <c r="C71" s="72">
        <v>48</v>
      </c>
      <c r="D71" s="72"/>
      <c r="E71" s="72"/>
      <c r="F71" s="72"/>
      <c r="G71" s="72">
        <f t="shared" si="0"/>
        <v>288</v>
      </c>
      <c r="H71" s="72">
        <f t="shared" si="1"/>
        <v>48</v>
      </c>
      <c r="I71" s="72"/>
      <c r="J71" s="72"/>
      <c r="K71" s="72"/>
      <c r="L71" s="72" t="s">
        <v>5819</v>
      </c>
      <c r="M71" s="72"/>
      <c r="N71" s="72"/>
      <c r="O71" s="72"/>
      <c r="P71" s="72"/>
      <c r="Q71" s="72"/>
      <c r="R71" s="72"/>
      <c r="S71" s="72"/>
      <c r="T71" s="72"/>
      <c r="U71" s="72"/>
      <c r="V71" s="72"/>
      <c r="W71" s="72" t="s">
        <v>5819</v>
      </c>
      <c r="X71" s="72"/>
      <c r="Y71" s="72"/>
      <c r="Z71" s="72"/>
      <c r="AA71" s="72"/>
      <c r="AB71" s="72" t="s">
        <v>5819</v>
      </c>
      <c r="AC71" s="72"/>
      <c r="AD71" s="72"/>
      <c r="AE71" s="72"/>
      <c r="AF71" s="72"/>
      <c r="AG71" s="72"/>
      <c r="AH71" s="72"/>
      <c r="AI71" s="72"/>
      <c r="AJ71" s="72"/>
      <c r="AK71" s="72">
        <v>1</v>
      </c>
      <c r="AL71" s="72"/>
      <c r="AM71" s="72"/>
      <c r="AN71" s="72"/>
      <c r="AO71" s="72"/>
      <c r="AP71" s="72"/>
      <c r="AQ71" s="72"/>
      <c r="AR71" s="72"/>
      <c r="AS71" s="72">
        <v>1</v>
      </c>
      <c r="AT71" s="72"/>
      <c r="AU71" s="72"/>
      <c r="AV71" s="72"/>
      <c r="AW71" s="72"/>
      <c r="AX71" s="72"/>
      <c r="AY71" s="72"/>
      <c r="AZ71" s="72"/>
      <c r="BA71" s="72"/>
      <c r="BB71" s="72"/>
      <c r="BC71" s="72"/>
      <c r="BD71" s="72"/>
      <c r="BE71" s="72"/>
      <c r="BF71" s="72"/>
      <c r="BG71" s="72"/>
      <c r="BH71" s="72"/>
    </row>
    <row r="72" spans="1:60">
      <c r="A72" s="944" t="s">
        <v>1996</v>
      </c>
      <c r="B72" s="72"/>
      <c r="C72" s="72">
        <v>65</v>
      </c>
      <c r="D72" s="72"/>
      <c r="E72" s="72"/>
      <c r="F72" s="72"/>
      <c r="G72" s="72">
        <f t="shared" si="0"/>
        <v>390</v>
      </c>
      <c r="H72" s="72">
        <f t="shared" si="1"/>
        <v>65</v>
      </c>
      <c r="I72" s="72"/>
      <c r="J72" s="72"/>
      <c r="K72" s="72"/>
      <c r="L72" s="72" t="s">
        <v>5819</v>
      </c>
      <c r="M72" s="72"/>
      <c r="N72" s="72"/>
      <c r="O72" s="72"/>
      <c r="P72" s="72"/>
      <c r="Q72" s="72"/>
      <c r="R72" s="72"/>
      <c r="S72" s="72"/>
      <c r="T72" s="72"/>
      <c r="U72" s="72"/>
      <c r="V72" s="72"/>
      <c r="W72" s="72" t="s">
        <v>5819</v>
      </c>
      <c r="X72" s="72"/>
      <c r="Y72" s="72"/>
      <c r="Z72" s="72"/>
      <c r="AA72" s="72"/>
      <c r="AB72" s="72" t="s">
        <v>5819</v>
      </c>
      <c r="AC72" s="72"/>
      <c r="AD72" s="72"/>
      <c r="AE72" s="72"/>
      <c r="AF72" s="72"/>
      <c r="AG72" s="72"/>
      <c r="AH72" s="72"/>
      <c r="AI72" s="72"/>
      <c r="AJ72" s="72"/>
      <c r="AK72" s="72">
        <v>1</v>
      </c>
      <c r="AL72" s="72"/>
      <c r="AM72" s="72"/>
      <c r="AN72" s="72"/>
      <c r="AO72" s="72"/>
      <c r="AP72" s="72"/>
      <c r="AQ72" s="72"/>
      <c r="AR72" s="72"/>
      <c r="AS72" s="72">
        <v>1</v>
      </c>
      <c r="AT72" s="72"/>
      <c r="AU72" s="72"/>
      <c r="AV72" s="72"/>
      <c r="AW72" s="72"/>
      <c r="AX72" s="72"/>
      <c r="AY72" s="72"/>
      <c r="AZ72" s="72"/>
      <c r="BA72" s="72"/>
      <c r="BB72" s="72"/>
      <c r="BC72" s="72"/>
      <c r="BD72" s="72"/>
      <c r="BE72" s="72"/>
      <c r="BF72" s="72"/>
      <c r="BG72" s="72"/>
      <c r="BH72" s="72"/>
    </row>
    <row r="73" spans="1:60">
      <c r="A73" s="944" t="s">
        <v>1997</v>
      </c>
      <c r="B73" s="72"/>
      <c r="C73" s="72">
        <v>55</v>
      </c>
      <c r="D73" s="72"/>
      <c r="E73" s="72"/>
      <c r="F73" s="72"/>
      <c r="G73" s="72">
        <f t="shared" si="0"/>
        <v>330</v>
      </c>
      <c r="H73" s="72">
        <f>C73</f>
        <v>55</v>
      </c>
      <c r="I73" s="72"/>
      <c r="J73" s="72"/>
      <c r="K73" s="72"/>
      <c r="L73" s="72" t="s">
        <v>5819</v>
      </c>
      <c r="M73" s="72"/>
      <c r="N73" s="72"/>
      <c r="O73" s="72"/>
      <c r="P73" s="72"/>
      <c r="Q73" s="72"/>
      <c r="R73" s="72"/>
      <c r="S73" s="72"/>
      <c r="T73" s="72"/>
      <c r="U73" s="72"/>
      <c r="V73" s="72"/>
      <c r="W73" s="72" t="s">
        <v>5819</v>
      </c>
      <c r="X73" s="72"/>
      <c r="Y73" s="72"/>
      <c r="Z73" s="72"/>
      <c r="AA73" s="72"/>
      <c r="AB73" s="72" t="s">
        <v>5819</v>
      </c>
      <c r="AC73" s="72"/>
      <c r="AD73" s="72"/>
      <c r="AE73" s="72"/>
      <c r="AF73" s="72"/>
      <c r="AG73" s="72"/>
      <c r="AH73" s="72"/>
      <c r="AI73" s="72"/>
      <c r="AJ73" s="72"/>
      <c r="AK73" s="72">
        <v>1</v>
      </c>
      <c r="AL73" s="72"/>
      <c r="AM73" s="72"/>
      <c r="AN73" s="72"/>
      <c r="AO73" s="72"/>
      <c r="AP73" s="72"/>
      <c r="AQ73" s="72"/>
      <c r="AR73" s="72"/>
      <c r="AS73" s="72">
        <v>1</v>
      </c>
      <c r="AT73" s="72"/>
      <c r="AU73" s="72"/>
      <c r="AV73" s="72"/>
      <c r="AW73" s="72"/>
      <c r="AX73" s="72"/>
      <c r="AY73" s="72"/>
      <c r="AZ73" s="72"/>
      <c r="BA73" s="72"/>
      <c r="BB73" s="72"/>
      <c r="BC73" s="72"/>
      <c r="BD73" s="72"/>
      <c r="BE73" s="72"/>
      <c r="BF73" s="72"/>
      <c r="BG73" s="72"/>
      <c r="BH73" s="72"/>
    </row>
    <row r="74" spans="1:60">
      <c r="A74" s="944" t="s">
        <v>1998</v>
      </c>
      <c r="B74" s="72"/>
      <c r="C74" s="72">
        <v>57</v>
      </c>
      <c r="D74" s="72"/>
      <c r="E74" s="72"/>
      <c r="F74" s="72"/>
      <c r="G74" s="72">
        <f t="shared" si="0"/>
        <v>342</v>
      </c>
      <c r="H74" s="72">
        <f t="shared" si="1"/>
        <v>57</v>
      </c>
      <c r="I74" s="72"/>
      <c r="J74" s="72"/>
      <c r="K74" s="72"/>
      <c r="L74" s="72" t="s">
        <v>5819</v>
      </c>
      <c r="M74" s="72"/>
      <c r="N74" s="72"/>
      <c r="O74" s="72"/>
      <c r="P74" s="72" t="s">
        <v>5819</v>
      </c>
      <c r="Q74" s="72"/>
      <c r="R74" s="72"/>
      <c r="S74" s="72"/>
      <c r="T74" s="72"/>
      <c r="U74" s="72"/>
      <c r="V74" s="72"/>
      <c r="W74" s="72"/>
      <c r="X74" s="72" t="s">
        <v>5819</v>
      </c>
      <c r="Y74" s="72"/>
      <c r="Z74" s="72"/>
      <c r="AA74" s="72" t="s">
        <v>5819</v>
      </c>
      <c r="AB74" s="72"/>
      <c r="AC74" s="72"/>
      <c r="AD74" s="72"/>
      <c r="AE74" s="72"/>
      <c r="AF74" s="72"/>
      <c r="AG74" s="72"/>
      <c r="AH74" s="72"/>
      <c r="AI74" s="72"/>
      <c r="AJ74" s="72"/>
      <c r="AK74" s="72">
        <v>1</v>
      </c>
      <c r="AL74" s="72"/>
      <c r="AM74" s="72"/>
      <c r="AN74" s="72"/>
      <c r="AO74" s="72"/>
      <c r="AP74" s="72"/>
      <c r="AQ74" s="72"/>
      <c r="AR74" s="72"/>
      <c r="AS74" s="72">
        <v>1</v>
      </c>
      <c r="AT74" s="72"/>
      <c r="AU74" s="72"/>
      <c r="AV74" s="72"/>
      <c r="AW74" s="72"/>
      <c r="AX74" s="72"/>
      <c r="AY74" s="72"/>
      <c r="AZ74" s="72"/>
      <c r="BA74" s="72"/>
      <c r="BB74" s="72"/>
      <c r="BC74" s="72"/>
      <c r="BD74" s="72"/>
      <c r="BE74" s="72"/>
      <c r="BF74" s="72"/>
      <c r="BG74" s="72"/>
      <c r="BH74" s="72"/>
    </row>
    <row r="75" spans="1:60">
      <c r="A75" s="944" t="s">
        <v>1999</v>
      </c>
      <c r="B75" s="72"/>
      <c r="C75" s="72">
        <v>43</v>
      </c>
      <c r="D75" s="72"/>
      <c r="E75" s="72"/>
      <c r="F75" s="72"/>
      <c r="G75" s="72">
        <f t="shared" si="0"/>
        <v>258</v>
      </c>
      <c r="H75" s="72">
        <f t="shared" si="1"/>
        <v>43</v>
      </c>
      <c r="I75" s="72"/>
      <c r="J75" s="72"/>
      <c r="K75" s="72"/>
      <c r="L75" s="72" t="s">
        <v>5819</v>
      </c>
      <c r="M75" s="72"/>
      <c r="N75" s="72"/>
      <c r="O75" s="72"/>
      <c r="P75" s="72" t="s">
        <v>5819</v>
      </c>
      <c r="Q75" s="72"/>
      <c r="R75" s="72"/>
      <c r="S75" s="72"/>
      <c r="T75" s="72"/>
      <c r="U75" s="72"/>
      <c r="V75" s="72"/>
      <c r="W75" s="72"/>
      <c r="X75" s="72" t="s">
        <v>5819</v>
      </c>
      <c r="Y75" s="72"/>
      <c r="Z75" s="72"/>
      <c r="AA75" s="72" t="s">
        <v>5819</v>
      </c>
      <c r="AB75" s="72"/>
      <c r="AC75" s="72"/>
      <c r="AD75" s="72"/>
      <c r="AE75" s="72"/>
      <c r="AF75" s="72"/>
      <c r="AG75" s="72"/>
      <c r="AH75" s="72"/>
      <c r="AI75" s="72"/>
      <c r="AJ75" s="72"/>
      <c r="AK75" s="72">
        <v>1</v>
      </c>
      <c r="AL75" s="72"/>
      <c r="AM75" s="72"/>
      <c r="AN75" s="72"/>
      <c r="AO75" s="72"/>
      <c r="AP75" s="72"/>
      <c r="AQ75" s="72"/>
      <c r="AR75" s="72"/>
      <c r="AS75" s="72">
        <v>1</v>
      </c>
      <c r="AT75" s="72"/>
      <c r="AU75" s="72"/>
      <c r="AV75" s="72"/>
      <c r="AW75" s="72"/>
      <c r="AX75" s="72"/>
      <c r="AY75" s="72"/>
      <c r="AZ75" s="72"/>
      <c r="BA75" s="72"/>
      <c r="BB75" s="72"/>
      <c r="BC75" s="72"/>
      <c r="BD75" s="72"/>
      <c r="BE75" s="72"/>
      <c r="BF75" s="72"/>
      <c r="BG75" s="72"/>
      <c r="BH75" s="72"/>
    </row>
    <row r="76" spans="1:60">
      <c r="A76" s="944" t="s">
        <v>2000</v>
      </c>
      <c r="B76" s="72"/>
      <c r="C76" s="72">
        <v>53</v>
      </c>
      <c r="D76" s="72"/>
      <c r="E76" s="72"/>
      <c r="F76" s="72"/>
      <c r="G76" s="72">
        <f t="shared" si="0"/>
        <v>318</v>
      </c>
      <c r="H76" s="72">
        <f t="shared" si="1"/>
        <v>53</v>
      </c>
      <c r="I76" s="72"/>
      <c r="J76" s="72"/>
      <c r="K76" s="72"/>
      <c r="L76" s="72" t="s">
        <v>5819</v>
      </c>
      <c r="M76" s="72"/>
      <c r="N76" s="72"/>
      <c r="O76" s="72"/>
      <c r="P76" s="72" t="s">
        <v>5819</v>
      </c>
      <c r="Q76" s="72"/>
      <c r="R76" s="72"/>
      <c r="S76" s="72"/>
      <c r="T76" s="72"/>
      <c r="U76" s="72"/>
      <c r="V76" s="72"/>
      <c r="W76" s="72"/>
      <c r="X76" s="72" t="s">
        <v>5819</v>
      </c>
      <c r="Y76" s="72"/>
      <c r="Z76" s="72"/>
      <c r="AA76" s="72" t="s">
        <v>5819</v>
      </c>
      <c r="AB76" s="72"/>
      <c r="AC76" s="72"/>
      <c r="AD76" s="72"/>
      <c r="AE76" s="72"/>
      <c r="AF76" s="72"/>
      <c r="AG76" s="72"/>
      <c r="AH76" s="72"/>
      <c r="AI76" s="72"/>
      <c r="AJ76" s="72"/>
      <c r="AK76" s="72">
        <v>1</v>
      </c>
      <c r="AL76" s="72"/>
      <c r="AM76" s="72"/>
      <c r="AN76" s="72"/>
      <c r="AO76" s="72"/>
      <c r="AP76" s="72"/>
      <c r="AQ76" s="72"/>
      <c r="AR76" s="72"/>
      <c r="AS76" s="72">
        <v>1</v>
      </c>
      <c r="AT76" s="72"/>
      <c r="AU76" s="72"/>
      <c r="AV76" s="72"/>
      <c r="AW76" s="72"/>
      <c r="AX76" s="72"/>
      <c r="AY76" s="72"/>
      <c r="AZ76" s="72"/>
      <c r="BA76" s="72"/>
      <c r="BB76" s="72"/>
      <c r="BC76" s="72"/>
      <c r="BD76" s="72"/>
      <c r="BE76" s="72"/>
      <c r="BF76" s="72"/>
      <c r="BG76" s="72"/>
      <c r="BH76" s="72"/>
    </row>
    <row r="77" spans="1:60">
      <c r="A77" s="944" t="s">
        <v>2001</v>
      </c>
      <c r="B77" s="72"/>
      <c r="C77" s="72">
        <v>66</v>
      </c>
      <c r="D77" s="72"/>
      <c r="E77" s="72"/>
      <c r="F77" s="72"/>
      <c r="G77" s="72">
        <f t="shared" si="0"/>
        <v>396</v>
      </c>
      <c r="H77" s="72">
        <f t="shared" si="1"/>
        <v>66</v>
      </c>
      <c r="I77" s="72"/>
      <c r="J77" s="72"/>
      <c r="K77" s="72"/>
      <c r="L77" s="72" t="s">
        <v>5819</v>
      </c>
      <c r="M77" s="72"/>
      <c r="N77" s="72"/>
      <c r="O77" s="72"/>
      <c r="P77" s="72" t="s">
        <v>5819</v>
      </c>
      <c r="Q77" s="72"/>
      <c r="R77" s="72"/>
      <c r="S77" s="72"/>
      <c r="T77" s="72"/>
      <c r="U77" s="72"/>
      <c r="V77" s="72"/>
      <c r="W77" s="72"/>
      <c r="X77" s="72" t="s">
        <v>5819</v>
      </c>
      <c r="Y77" s="72"/>
      <c r="Z77" s="72"/>
      <c r="AA77" s="72" t="s">
        <v>5819</v>
      </c>
      <c r="AB77" s="72"/>
      <c r="AC77" s="72"/>
      <c r="AD77" s="72"/>
      <c r="AE77" s="72"/>
      <c r="AF77" s="72"/>
      <c r="AG77" s="72"/>
      <c r="AH77" s="72"/>
      <c r="AI77" s="72"/>
      <c r="AJ77" s="72"/>
      <c r="AK77" s="72">
        <v>1</v>
      </c>
      <c r="AL77" s="72"/>
      <c r="AM77" s="72"/>
      <c r="AN77" s="72"/>
      <c r="AO77" s="72"/>
      <c r="AP77" s="72"/>
      <c r="AQ77" s="72"/>
      <c r="AR77" s="72"/>
      <c r="AS77" s="72">
        <v>1</v>
      </c>
      <c r="AT77" s="72"/>
      <c r="AU77" s="72"/>
      <c r="AV77" s="72"/>
      <c r="AW77" s="72"/>
      <c r="AX77" s="72"/>
      <c r="AY77" s="72"/>
      <c r="AZ77" s="72"/>
      <c r="BA77" s="72"/>
      <c r="BB77" s="72"/>
      <c r="BC77" s="72"/>
      <c r="BD77" s="72"/>
      <c r="BE77" s="72"/>
      <c r="BF77" s="72"/>
      <c r="BG77" s="72"/>
      <c r="BH77" s="72"/>
    </row>
    <row r="78" spans="1:60">
      <c r="A78" s="944" t="s">
        <v>2002</v>
      </c>
      <c r="B78" s="72"/>
      <c r="C78" s="72">
        <v>55</v>
      </c>
      <c r="D78" s="72"/>
      <c r="E78" s="72"/>
      <c r="F78" s="72"/>
      <c r="G78" s="72">
        <f t="shared" si="0"/>
        <v>330</v>
      </c>
      <c r="H78" s="72">
        <f t="shared" si="1"/>
        <v>55</v>
      </c>
      <c r="I78" s="72"/>
      <c r="J78" s="72"/>
      <c r="K78" s="72"/>
      <c r="L78" s="72" t="s">
        <v>5819</v>
      </c>
      <c r="M78" s="72"/>
      <c r="N78" s="72"/>
      <c r="O78" s="72"/>
      <c r="P78" s="72" t="s">
        <v>5819</v>
      </c>
      <c r="Q78" s="72"/>
      <c r="R78" s="72"/>
      <c r="S78" s="72"/>
      <c r="T78" s="72"/>
      <c r="U78" s="72"/>
      <c r="V78" s="72"/>
      <c r="W78" s="72"/>
      <c r="X78" s="72" t="s">
        <v>5819</v>
      </c>
      <c r="Y78" s="72"/>
      <c r="Z78" s="72"/>
      <c r="AA78" s="72" t="s">
        <v>5819</v>
      </c>
      <c r="AB78" s="72"/>
      <c r="AC78" s="72"/>
      <c r="AD78" s="72"/>
      <c r="AE78" s="72"/>
      <c r="AF78" s="72"/>
      <c r="AG78" s="72"/>
      <c r="AH78" s="72"/>
      <c r="AI78" s="72"/>
      <c r="AJ78" s="72"/>
      <c r="AK78" s="72">
        <v>1</v>
      </c>
      <c r="AL78" s="72"/>
      <c r="AM78" s="72"/>
      <c r="AN78" s="72"/>
      <c r="AO78" s="72"/>
      <c r="AP78" s="72"/>
      <c r="AQ78" s="72"/>
      <c r="AR78" s="72"/>
      <c r="AS78" s="72">
        <v>1</v>
      </c>
      <c r="AT78" s="72"/>
      <c r="AU78" s="72"/>
      <c r="AV78" s="72"/>
      <c r="AW78" s="72"/>
      <c r="AX78" s="72"/>
      <c r="AY78" s="72"/>
      <c r="AZ78" s="72"/>
      <c r="BA78" s="72"/>
      <c r="BB78" s="72"/>
      <c r="BC78" s="72"/>
      <c r="BD78" s="72"/>
      <c r="BE78" s="72"/>
      <c r="BF78" s="72"/>
      <c r="BG78" s="72"/>
      <c r="BH78" s="72"/>
    </row>
    <row r="79" spans="1:60">
      <c r="A79" s="944" t="s">
        <v>2003</v>
      </c>
      <c r="B79" s="72"/>
      <c r="C79" s="72">
        <v>49</v>
      </c>
      <c r="D79" s="72"/>
      <c r="E79" s="72"/>
      <c r="F79" s="72"/>
      <c r="G79" s="72">
        <f t="shared" si="0"/>
        <v>294</v>
      </c>
      <c r="H79" s="72">
        <f t="shared" si="1"/>
        <v>49</v>
      </c>
      <c r="I79" s="72"/>
      <c r="J79" s="72"/>
      <c r="K79" s="72"/>
      <c r="L79" s="72" t="s">
        <v>5819</v>
      </c>
      <c r="M79" s="72"/>
      <c r="N79" s="72"/>
      <c r="O79" s="72"/>
      <c r="P79" s="72" t="s">
        <v>5819</v>
      </c>
      <c r="Q79" s="72"/>
      <c r="R79" s="72"/>
      <c r="S79" s="72"/>
      <c r="T79" s="72"/>
      <c r="U79" s="72"/>
      <c r="V79" s="72"/>
      <c r="W79" s="72"/>
      <c r="X79" s="72" t="s">
        <v>5819</v>
      </c>
      <c r="Y79" s="72"/>
      <c r="Z79" s="72"/>
      <c r="AA79" s="72" t="s">
        <v>5819</v>
      </c>
      <c r="AB79" s="72"/>
      <c r="AC79" s="72"/>
      <c r="AD79" s="72"/>
      <c r="AE79" s="72"/>
      <c r="AF79" s="72"/>
      <c r="AG79" s="72"/>
      <c r="AH79" s="72"/>
      <c r="AI79" s="72"/>
      <c r="AJ79" s="72"/>
      <c r="AK79" s="72">
        <v>1</v>
      </c>
      <c r="AL79" s="72"/>
      <c r="AM79" s="72"/>
      <c r="AN79" s="72"/>
      <c r="AO79" s="72"/>
      <c r="AP79" s="72"/>
      <c r="AQ79" s="72"/>
      <c r="AR79" s="72"/>
      <c r="AS79" s="72">
        <v>1</v>
      </c>
      <c r="AT79" s="72"/>
      <c r="AU79" s="72"/>
      <c r="AV79" s="72"/>
      <c r="AW79" s="72"/>
      <c r="AX79" s="72"/>
      <c r="AY79" s="72"/>
      <c r="AZ79" s="72"/>
      <c r="BA79" s="72"/>
      <c r="BB79" s="72"/>
      <c r="BC79" s="72"/>
      <c r="BD79" s="72"/>
      <c r="BE79" s="72"/>
      <c r="BF79" s="72"/>
      <c r="BG79" s="72"/>
      <c r="BH79" s="72"/>
    </row>
    <row r="80" spans="1:60">
      <c r="A80" s="944" t="s">
        <v>2004</v>
      </c>
      <c r="B80" s="72"/>
      <c r="C80" s="72">
        <v>56</v>
      </c>
      <c r="D80" s="72"/>
      <c r="E80" s="72"/>
      <c r="F80" s="72"/>
      <c r="G80" s="72">
        <f t="shared" si="0"/>
        <v>336</v>
      </c>
      <c r="H80" s="72">
        <f t="shared" si="1"/>
        <v>56</v>
      </c>
      <c r="I80" s="72"/>
      <c r="J80" s="72"/>
      <c r="K80" s="72"/>
      <c r="L80" s="72" t="s">
        <v>5819</v>
      </c>
      <c r="M80" s="72"/>
      <c r="N80" s="72"/>
      <c r="O80" s="72"/>
      <c r="P80" s="72" t="s">
        <v>5819</v>
      </c>
      <c r="Q80" s="72"/>
      <c r="R80" s="72"/>
      <c r="S80" s="72"/>
      <c r="T80" s="72">
        <v>1</v>
      </c>
      <c r="U80" s="72"/>
      <c r="V80" s="72"/>
      <c r="W80" s="72"/>
      <c r="X80" s="72" t="s">
        <v>5819</v>
      </c>
      <c r="Y80" s="72"/>
      <c r="Z80" s="72"/>
      <c r="AA80" s="72" t="s">
        <v>5819</v>
      </c>
      <c r="AB80" s="72"/>
      <c r="AC80" s="72"/>
      <c r="AD80" s="72"/>
      <c r="AE80" s="72">
        <v>1</v>
      </c>
      <c r="AF80" s="72"/>
      <c r="AG80" s="72"/>
      <c r="AH80" s="72"/>
      <c r="AI80" s="72"/>
      <c r="AJ80" s="72"/>
      <c r="AK80" s="72">
        <v>1</v>
      </c>
      <c r="AL80" s="72"/>
      <c r="AM80" s="72"/>
      <c r="AN80" s="72"/>
      <c r="AO80" s="72"/>
      <c r="AP80" s="72"/>
      <c r="AQ80" s="72"/>
      <c r="AR80" s="72"/>
      <c r="AS80" s="72">
        <v>1</v>
      </c>
      <c r="AT80" s="72"/>
      <c r="AU80" s="72">
        <v>1</v>
      </c>
      <c r="AV80" s="72"/>
      <c r="AW80" s="72"/>
      <c r="AX80" s="72"/>
      <c r="AY80" s="72"/>
      <c r="AZ80" s="72"/>
      <c r="BA80" s="72">
        <v>1</v>
      </c>
      <c r="BB80" s="72"/>
      <c r="BC80" s="72"/>
      <c r="BD80" s="72"/>
      <c r="BE80" s="72"/>
      <c r="BF80" s="72"/>
      <c r="BG80" s="72"/>
      <c r="BH80" s="72" t="s">
        <v>4568</v>
      </c>
    </row>
    <row r="81" spans="1:60">
      <c r="A81" s="944" t="s">
        <v>2005</v>
      </c>
      <c r="B81" s="72"/>
      <c r="C81" s="72">
        <v>58</v>
      </c>
      <c r="D81" s="72"/>
      <c r="E81" s="72"/>
      <c r="F81" s="72"/>
      <c r="G81" s="72">
        <f t="shared" si="0"/>
        <v>348</v>
      </c>
      <c r="H81" s="72">
        <f t="shared" si="1"/>
        <v>58</v>
      </c>
      <c r="I81" s="72"/>
      <c r="J81" s="72"/>
      <c r="K81" s="72"/>
      <c r="L81" s="72" t="s">
        <v>5819</v>
      </c>
      <c r="M81" s="72"/>
      <c r="N81" s="72"/>
      <c r="O81" s="72"/>
      <c r="P81" s="72" t="s">
        <v>5819</v>
      </c>
      <c r="Q81" s="72"/>
      <c r="R81" s="72"/>
      <c r="S81" s="72"/>
      <c r="T81" s="72"/>
      <c r="U81" s="72"/>
      <c r="V81" s="72"/>
      <c r="W81" s="72"/>
      <c r="X81" s="72" t="s">
        <v>5819</v>
      </c>
      <c r="Y81" s="72"/>
      <c r="Z81" s="72"/>
      <c r="AA81" s="72" t="s">
        <v>5819</v>
      </c>
      <c r="AB81" s="72"/>
      <c r="AC81" s="72"/>
      <c r="AD81" s="72"/>
      <c r="AE81" s="72"/>
      <c r="AF81" s="72"/>
      <c r="AG81" s="72"/>
      <c r="AH81" s="72"/>
      <c r="AI81" s="72"/>
      <c r="AJ81" s="72"/>
      <c r="AK81" s="72">
        <v>1</v>
      </c>
      <c r="AL81" s="72"/>
      <c r="AM81" s="72"/>
      <c r="AN81" s="72"/>
      <c r="AO81" s="72"/>
      <c r="AP81" s="72"/>
      <c r="AQ81" s="72"/>
      <c r="AR81" s="72"/>
      <c r="AS81" s="72">
        <v>1</v>
      </c>
      <c r="AT81" s="72"/>
      <c r="AU81" s="72"/>
      <c r="AV81" s="72"/>
      <c r="AW81" s="72"/>
      <c r="AX81" s="72"/>
      <c r="AY81" s="72"/>
      <c r="AZ81" s="72"/>
      <c r="BA81" s="72"/>
      <c r="BB81" s="72"/>
      <c r="BC81" s="72"/>
      <c r="BD81" s="72"/>
      <c r="BE81" s="72"/>
      <c r="BF81" s="72"/>
      <c r="BG81" s="72"/>
      <c r="BH81" s="72"/>
    </row>
    <row r="82" spans="1:60">
      <c r="A82" s="944" t="s">
        <v>2006</v>
      </c>
      <c r="B82" s="72"/>
      <c r="C82" s="72">
        <v>57</v>
      </c>
      <c r="D82" s="72"/>
      <c r="E82" s="72"/>
      <c r="F82" s="72"/>
      <c r="G82" s="72">
        <f t="shared" si="0"/>
        <v>342</v>
      </c>
      <c r="H82" s="72">
        <f t="shared" si="1"/>
        <v>57</v>
      </c>
      <c r="I82" s="72"/>
      <c r="J82" s="72"/>
      <c r="K82" s="72"/>
      <c r="L82" s="72" t="s">
        <v>5819</v>
      </c>
      <c r="M82" s="72"/>
      <c r="N82" s="72"/>
      <c r="O82" s="72"/>
      <c r="P82" s="72" t="s">
        <v>5819</v>
      </c>
      <c r="Q82" s="72"/>
      <c r="R82" s="72"/>
      <c r="S82" s="72"/>
      <c r="T82" s="72"/>
      <c r="U82" s="72"/>
      <c r="V82" s="72"/>
      <c r="W82" s="72" t="s">
        <v>5819</v>
      </c>
      <c r="X82" s="72"/>
      <c r="Y82" s="72"/>
      <c r="Z82" s="72"/>
      <c r="AA82" s="72"/>
      <c r="AB82" s="72" t="s">
        <v>5819</v>
      </c>
      <c r="AC82" s="72"/>
      <c r="AD82" s="72"/>
      <c r="AE82" s="72"/>
      <c r="AF82" s="72"/>
      <c r="AG82" s="72"/>
      <c r="AH82" s="72"/>
      <c r="AI82" s="72"/>
      <c r="AJ82" s="72"/>
      <c r="AK82" s="72">
        <v>1</v>
      </c>
      <c r="AL82" s="72"/>
      <c r="AM82" s="72"/>
      <c r="AN82" s="72"/>
      <c r="AO82" s="72"/>
      <c r="AP82" s="72"/>
      <c r="AQ82" s="72"/>
      <c r="AR82" s="72"/>
      <c r="AS82" s="72">
        <v>1</v>
      </c>
      <c r="AT82" s="72"/>
      <c r="AU82" s="72"/>
      <c r="AV82" s="72"/>
      <c r="AW82" s="72"/>
      <c r="AX82" s="72"/>
      <c r="AY82" s="72"/>
      <c r="AZ82" s="72"/>
      <c r="BA82" s="72"/>
      <c r="BB82" s="72"/>
      <c r="BC82" s="72"/>
      <c r="BD82" s="72"/>
      <c r="BE82" s="72"/>
      <c r="BF82" s="72"/>
      <c r="BG82" s="72"/>
      <c r="BH82" s="72"/>
    </row>
    <row r="83" spans="1:60">
      <c r="A83" s="944" t="s">
        <v>2007</v>
      </c>
      <c r="B83" s="72" t="s">
        <v>5485</v>
      </c>
      <c r="C83" s="72">
        <v>57</v>
      </c>
      <c r="D83" s="72"/>
      <c r="E83" s="72"/>
      <c r="F83" s="72"/>
      <c r="G83" s="72">
        <f t="shared" si="0"/>
        <v>342</v>
      </c>
      <c r="H83" s="72">
        <f t="shared" si="1"/>
        <v>57</v>
      </c>
      <c r="I83" s="72"/>
      <c r="J83" s="72"/>
      <c r="K83" s="72"/>
      <c r="L83" s="72" t="s">
        <v>5819</v>
      </c>
      <c r="M83" s="72"/>
      <c r="N83" s="72"/>
      <c r="O83" s="72"/>
      <c r="P83" s="72" t="s">
        <v>5819</v>
      </c>
      <c r="Q83" s="72"/>
      <c r="R83" s="72"/>
      <c r="S83" s="72"/>
      <c r="T83" s="72"/>
      <c r="U83" s="72"/>
      <c r="V83" s="72"/>
      <c r="W83" s="72" t="s">
        <v>5819</v>
      </c>
      <c r="X83" s="72"/>
      <c r="Y83" s="72"/>
      <c r="Z83" s="72"/>
      <c r="AA83" s="72"/>
      <c r="AB83" s="72" t="s">
        <v>5819</v>
      </c>
      <c r="AC83" s="72"/>
      <c r="AD83" s="72"/>
      <c r="AE83" s="72"/>
      <c r="AF83" s="72"/>
      <c r="AG83" s="72"/>
      <c r="AH83" s="72">
        <v>2</v>
      </c>
      <c r="AI83" s="72"/>
      <c r="AJ83" s="72"/>
      <c r="AK83" s="72"/>
      <c r="AL83" s="72"/>
      <c r="AM83" s="72"/>
      <c r="AN83" s="72"/>
      <c r="AO83" s="72"/>
      <c r="AP83" s="72"/>
      <c r="AQ83" s="72"/>
      <c r="AR83" s="72"/>
      <c r="AS83" s="72"/>
      <c r="AT83" s="72"/>
      <c r="AU83" s="72">
        <v>2</v>
      </c>
      <c r="AV83" s="72"/>
      <c r="AW83" s="72"/>
      <c r="AX83" s="72"/>
      <c r="AY83" s="72"/>
      <c r="AZ83" s="72"/>
      <c r="BA83" s="72"/>
      <c r="BB83" s="72"/>
      <c r="BC83" s="72"/>
      <c r="BD83" s="72"/>
      <c r="BE83" s="72"/>
      <c r="BF83" s="72"/>
      <c r="BG83" s="72"/>
      <c r="BH83" s="72"/>
    </row>
    <row r="84" spans="1:60">
      <c r="A84" s="944" t="s">
        <v>2008</v>
      </c>
      <c r="B84" s="72"/>
      <c r="C84" s="72">
        <v>50</v>
      </c>
      <c r="D84" s="72"/>
      <c r="E84" s="72"/>
      <c r="F84" s="72"/>
      <c r="G84" s="72">
        <f t="shared" si="0"/>
        <v>300</v>
      </c>
      <c r="H84" s="72">
        <f t="shared" si="1"/>
        <v>50</v>
      </c>
      <c r="I84" s="72"/>
      <c r="J84" s="72"/>
      <c r="K84" s="72"/>
      <c r="L84" s="72" t="s">
        <v>5819</v>
      </c>
      <c r="M84" s="72"/>
      <c r="N84" s="72"/>
      <c r="O84" s="72"/>
      <c r="P84" s="72" t="s">
        <v>5819</v>
      </c>
      <c r="Q84" s="72"/>
      <c r="R84" s="72"/>
      <c r="S84" s="72"/>
      <c r="T84" s="72"/>
      <c r="U84" s="72"/>
      <c r="V84" s="72"/>
      <c r="W84" s="72" t="s">
        <v>5819</v>
      </c>
      <c r="X84" s="72"/>
      <c r="Y84" s="72"/>
      <c r="Z84" s="72"/>
      <c r="AA84" s="72"/>
      <c r="AB84" s="72" t="s">
        <v>5819</v>
      </c>
      <c r="AC84" s="72"/>
      <c r="AD84" s="72"/>
      <c r="AE84" s="72"/>
      <c r="AF84" s="72"/>
      <c r="AG84" s="72"/>
      <c r="AH84" s="72"/>
      <c r="AI84" s="72"/>
      <c r="AJ84" s="72"/>
      <c r="AK84" s="72">
        <v>1</v>
      </c>
      <c r="AL84" s="72"/>
      <c r="AM84" s="72"/>
      <c r="AN84" s="72"/>
      <c r="AO84" s="72"/>
      <c r="AP84" s="72"/>
      <c r="AQ84" s="72"/>
      <c r="AR84" s="72"/>
      <c r="AS84" s="72">
        <v>1</v>
      </c>
      <c r="AT84" s="72"/>
      <c r="AU84" s="72"/>
      <c r="AV84" s="72"/>
      <c r="AW84" s="72"/>
      <c r="AX84" s="72"/>
      <c r="AY84" s="72"/>
      <c r="AZ84" s="72"/>
      <c r="BA84" s="72"/>
      <c r="BB84" s="72"/>
      <c r="BC84" s="72"/>
      <c r="BD84" s="72"/>
      <c r="BE84" s="72"/>
      <c r="BF84" s="72"/>
      <c r="BG84" s="72"/>
      <c r="BH84" s="72"/>
    </row>
    <row r="85" spans="1:60">
      <c r="A85" s="944" t="s">
        <v>2009</v>
      </c>
      <c r="B85" s="72"/>
      <c r="C85" s="72">
        <v>54</v>
      </c>
      <c r="D85" s="72"/>
      <c r="E85" s="72"/>
      <c r="F85" s="72"/>
      <c r="G85" s="72">
        <f t="shared" si="0"/>
        <v>324</v>
      </c>
      <c r="H85" s="72">
        <f t="shared" si="1"/>
        <v>54</v>
      </c>
      <c r="I85" s="72"/>
      <c r="J85" s="72"/>
      <c r="K85" s="72"/>
      <c r="L85" s="72" t="s">
        <v>5819</v>
      </c>
      <c r="M85" s="72"/>
      <c r="N85" s="72"/>
      <c r="O85" s="72"/>
      <c r="P85" s="72" t="s">
        <v>5819</v>
      </c>
      <c r="Q85" s="72"/>
      <c r="R85" s="72"/>
      <c r="S85" s="72"/>
      <c r="T85" s="72"/>
      <c r="U85" s="72"/>
      <c r="V85" s="72"/>
      <c r="W85" s="72" t="s">
        <v>5819</v>
      </c>
      <c r="X85" s="72"/>
      <c r="Y85" s="72"/>
      <c r="Z85" s="72"/>
      <c r="AA85" s="72"/>
      <c r="AB85" s="72" t="s">
        <v>5819</v>
      </c>
      <c r="AC85" s="72"/>
      <c r="AD85" s="72"/>
      <c r="AE85" s="72"/>
      <c r="AF85" s="72"/>
      <c r="AG85" s="72"/>
      <c r="AH85" s="72"/>
      <c r="AI85" s="72"/>
      <c r="AJ85" s="72"/>
      <c r="AK85" s="72">
        <v>1</v>
      </c>
      <c r="AL85" s="72"/>
      <c r="AM85" s="72"/>
      <c r="AN85" s="72"/>
      <c r="AO85" s="72"/>
      <c r="AP85" s="72"/>
      <c r="AQ85" s="72"/>
      <c r="AR85" s="72"/>
      <c r="AS85" s="72">
        <v>1</v>
      </c>
      <c r="AT85" s="72"/>
      <c r="AU85" s="72"/>
      <c r="AV85" s="72"/>
      <c r="AW85" s="72"/>
      <c r="AX85" s="72"/>
      <c r="AY85" s="72"/>
      <c r="AZ85" s="72"/>
      <c r="BA85" s="72"/>
      <c r="BB85" s="72"/>
      <c r="BC85" s="72"/>
      <c r="BD85" s="72"/>
      <c r="BE85" s="72"/>
      <c r="BF85" s="72"/>
      <c r="BG85" s="72"/>
      <c r="BH85" s="72"/>
    </row>
    <row r="86" spans="1:60">
      <c r="A86" s="944" t="s">
        <v>2010</v>
      </c>
      <c r="B86" s="72"/>
      <c r="C86" s="72">
        <v>53</v>
      </c>
      <c r="D86" s="72"/>
      <c r="E86" s="72"/>
      <c r="F86" s="72"/>
      <c r="G86" s="72">
        <f t="shared" si="0"/>
        <v>318</v>
      </c>
      <c r="H86" s="72">
        <f t="shared" si="1"/>
        <v>53</v>
      </c>
      <c r="I86" s="72"/>
      <c r="J86" s="72"/>
      <c r="K86" s="72"/>
      <c r="L86" s="72"/>
      <c r="M86" s="72"/>
      <c r="N86" s="72"/>
      <c r="O86" s="72"/>
      <c r="P86" s="72"/>
      <c r="Q86" s="72"/>
      <c r="R86" s="72"/>
      <c r="S86" s="72"/>
      <c r="T86" s="72"/>
      <c r="U86" s="72"/>
      <c r="V86" s="72"/>
      <c r="W86" s="72"/>
      <c r="X86" s="72" t="s">
        <v>5819</v>
      </c>
      <c r="Y86" s="72"/>
      <c r="Z86" s="72"/>
      <c r="AA86" s="72" t="s">
        <v>5819</v>
      </c>
      <c r="AB86" s="72"/>
      <c r="AC86" s="72"/>
      <c r="AD86" s="72"/>
      <c r="AE86" s="72"/>
      <c r="AF86" s="72"/>
      <c r="AG86" s="72"/>
      <c r="AH86" s="72"/>
      <c r="AI86" s="72"/>
      <c r="AJ86" s="72"/>
      <c r="AK86" s="72">
        <v>1</v>
      </c>
      <c r="AL86" s="72"/>
      <c r="AM86" s="72"/>
      <c r="AN86" s="72"/>
      <c r="AO86" s="72"/>
      <c r="AP86" s="72"/>
      <c r="AQ86" s="72"/>
      <c r="AR86" s="72"/>
      <c r="AS86" s="72">
        <v>1</v>
      </c>
      <c r="AT86" s="72"/>
      <c r="AU86" s="72"/>
      <c r="AV86" s="72"/>
      <c r="AW86" s="72"/>
      <c r="AX86" s="72"/>
      <c r="AY86" s="72"/>
      <c r="AZ86" s="72"/>
      <c r="BA86" s="72"/>
      <c r="BB86" s="72"/>
      <c r="BC86" s="72"/>
      <c r="BD86" s="72"/>
      <c r="BE86" s="72"/>
      <c r="BF86" s="72"/>
      <c r="BG86" s="72"/>
      <c r="BH86" s="72" t="s">
        <v>5482</v>
      </c>
    </row>
    <row r="87" spans="1:60">
      <c r="A87" s="944" t="s">
        <v>2011</v>
      </c>
      <c r="B87" s="72"/>
      <c r="C87" s="72">
        <v>53</v>
      </c>
      <c r="D87" s="72"/>
      <c r="E87" s="72">
        <f>5*3</f>
        <v>15</v>
      </c>
      <c r="F87" s="72"/>
      <c r="G87" s="72">
        <f t="shared" si="0"/>
        <v>318</v>
      </c>
      <c r="H87" s="72">
        <f t="shared" si="1"/>
        <v>53</v>
      </c>
      <c r="I87" s="72"/>
      <c r="J87" s="72"/>
      <c r="K87" s="72"/>
      <c r="L87" s="72">
        <v>1</v>
      </c>
      <c r="M87" s="72"/>
      <c r="N87" s="72"/>
      <c r="O87" s="72"/>
      <c r="P87" s="72">
        <v>1</v>
      </c>
      <c r="Q87" s="72"/>
      <c r="R87" s="72"/>
      <c r="S87" s="72"/>
      <c r="T87" s="72"/>
      <c r="U87" s="72">
        <v>1</v>
      </c>
      <c r="V87" s="72">
        <v>1</v>
      </c>
      <c r="W87" s="72"/>
      <c r="X87" s="72">
        <v>1</v>
      </c>
      <c r="Y87" s="72"/>
      <c r="Z87" s="72"/>
      <c r="AA87" s="72">
        <v>2</v>
      </c>
      <c r="AB87" s="72">
        <v>1</v>
      </c>
      <c r="AC87" s="72"/>
      <c r="AD87" s="72"/>
      <c r="AE87" s="72"/>
      <c r="AF87" s="72">
        <v>6</v>
      </c>
      <c r="AG87" s="72"/>
      <c r="AH87" s="72"/>
      <c r="AI87" s="72"/>
      <c r="AJ87" s="72"/>
      <c r="AK87" s="72">
        <v>1</v>
      </c>
      <c r="AL87" s="72"/>
      <c r="AM87" s="72"/>
      <c r="AN87" s="72"/>
      <c r="AO87" s="72">
        <v>3</v>
      </c>
      <c r="AP87" s="72"/>
      <c r="AQ87" s="72"/>
      <c r="AR87" s="72"/>
      <c r="AS87" s="72">
        <v>1</v>
      </c>
      <c r="AT87" s="72"/>
      <c r="AU87" s="72"/>
      <c r="AV87" s="72"/>
      <c r="AW87" s="72"/>
      <c r="AX87" s="72"/>
      <c r="AY87" s="72"/>
      <c r="AZ87" s="72"/>
      <c r="BA87" s="72">
        <v>3</v>
      </c>
      <c r="BB87" s="72">
        <v>3</v>
      </c>
      <c r="BC87" s="72">
        <v>1</v>
      </c>
      <c r="BD87" s="72"/>
      <c r="BE87" s="72"/>
      <c r="BF87" s="72"/>
      <c r="BG87" s="72"/>
      <c r="BH87" s="72" t="s">
        <v>4639</v>
      </c>
    </row>
    <row r="88" spans="1:60">
      <c r="A88" s="944" t="s">
        <v>2012</v>
      </c>
      <c r="B88" s="72"/>
      <c r="C88" s="72">
        <v>53</v>
      </c>
      <c r="D88" s="72"/>
      <c r="E88" s="72"/>
      <c r="F88" s="72"/>
      <c r="G88" s="72">
        <f>C88*6</f>
        <v>318</v>
      </c>
      <c r="H88" s="72">
        <f>C88</f>
        <v>53</v>
      </c>
      <c r="I88" s="72"/>
      <c r="J88" s="72"/>
      <c r="K88" s="72"/>
      <c r="L88" s="72" t="s">
        <v>5819</v>
      </c>
      <c r="M88" s="72"/>
      <c r="N88" s="72"/>
      <c r="O88" s="72"/>
      <c r="P88" s="72" t="s">
        <v>5819</v>
      </c>
      <c r="Q88" s="72"/>
      <c r="R88" s="72"/>
      <c r="S88" s="72"/>
      <c r="T88" s="72"/>
      <c r="U88" s="72"/>
      <c r="V88" s="72"/>
      <c r="W88" s="72"/>
      <c r="X88" s="72" t="s">
        <v>5819</v>
      </c>
      <c r="Y88" s="72"/>
      <c r="Z88" s="72"/>
      <c r="AA88" s="72" t="s">
        <v>5819</v>
      </c>
      <c r="AB88" s="72"/>
      <c r="AC88" s="72"/>
      <c r="AD88" s="72"/>
      <c r="AE88" s="72"/>
      <c r="AF88" s="72"/>
      <c r="AG88" s="72"/>
      <c r="AH88" s="72"/>
      <c r="AI88" s="72"/>
      <c r="AJ88" s="72"/>
      <c r="AK88" s="72">
        <v>1</v>
      </c>
      <c r="AL88" s="72"/>
      <c r="AM88" s="72"/>
      <c r="AN88" s="72"/>
      <c r="AO88" s="72"/>
      <c r="AP88" s="72"/>
      <c r="AQ88" s="72"/>
      <c r="AR88" s="72"/>
      <c r="AS88" s="72">
        <v>1</v>
      </c>
      <c r="AT88" s="72"/>
      <c r="AU88" s="72"/>
      <c r="AV88" s="72"/>
      <c r="AW88" s="72"/>
      <c r="AX88" s="72"/>
      <c r="AY88" s="72"/>
      <c r="AZ88" s="72"/>
      <c r="BA88" s="72"/>
      <c r="BB88" s="72"/>
      <c r="BC88" s="72"/>
      <c r="BD88" s="72"/>
      <c r="BE88" s="72"/>
      <c r="BF88" s="72"/>
      <c r="BG88" s="72"/>
      <c r="BH88" s="72"/>
    </row>
    <row r="89" spans="1:60">
      <c r="A89" s="944" t="s">
        <v>2013</v>
      </c>
      <c r="B89" s="72"/>
      <c r="C89" s="72">
        <v>56</v>
      </c>
      <c r="D89" s="72"/>
      <c r="E89" s="72"/>
      <c r="F89" s="72"/>
      <c r="G89" s="72">
        <f t="shared" si="0"/>
        <v>336</v>
      </c>
      <c r="H89" s="72">
        <f t="shared" si="1"/>
        <v>56</v>
      </c>
      <c r="I89" s="72"/>
      <c r="J89" s="72"/>
      <c r="K89" s="72"/>
      <c r="L89" s="72" t="s">
        <v>5819</v>
      </c>
      <c r="M89" s="72"/>
      <c r="N89" s="72"/>
      <c r="O89" s="72"/>
      <c r="P89" s="72" t="s">
        <v>5819</v>
      </c>
      <c r="Q89" s="72"/>
      <c r="R89" s="72"/>
      <c r="S89" s="72"/>
      <c r="T89" s="72"/>
      <c r="U89" s="72"/>
      <c r="V89" s="72"/>
      <c r="W89" s="72"/>
      <c r="X89" s="72" t="s">
        <v>5819</v>
      </c>
      <c r="Y89" s="72"/>
      <c r="Z89" s="72"/>
      <c r="AA89" s="72" t="s">
        <v>5819</v>
      </c>
      <c r="AB89" s="72"/>
      <c r="AC89" s="72"/>
      <c r="AD89" s="72"/>
      <c r="AE89" s="72"/>
      <c r="AF89" s="72"/>
      <c r="AG89" s="72"/>
      <c r="AH89" s="72"/>
      <c r="AI89" s="72"/>
      <c r="AJ89" s="72"/>
      <c r="AK89" s="72">
        <v>1</v>
      </c>
      <c r="AL89" s="72"/>
      <c r="AM89" s="72"/>
      <c r="AN89" s="72"/>
      <c r="AO89" s="72"/>
      <c r="AP89" s="72"/>
      <c r="AQ89" s="72"/>
      <c r="AR89" s="72"/>
      <c r="AS89" s="72">
        <v>1</v>
      </c>
      <c r="AT89" s="72"/>
      <c r="AU89" s="72"/>
      <c r="AV89" s="72"/>
      <c r="AW89" s="72"/>
      <c r="AX89" s="72"/>
      <c r="AY89" s="72"/>
      <c r="AZ89" s="72"/>
      <c r="BA89" s="72"/>
      <c r="BB89" s="72"/>
      <c r="BC89" s="72"/>
      <c r="BD89" s="72"/>
      <c r="BE89" s="72"/>
      <c r="BF89" s="72"/>
      <c r="BG89" s="72"/>
      <c r="BH89" s="72"/>
    </row>
    <row r="90" spans="1:60">
      <c r="A90" s="944" t="s">
        <v>2014</v>
      </c>
      <c r="B90" s="72"/>
      <c r="C90" s="72">
        <v>50</v>
      </c>
      <c r="D90" s="72"/>
      <c r="E90" s="72"/>
      <c r="F90" s="72"/>
      <c r="G90" s="72">
        <f t="shared" si="0"/>
        <v>300</v>
      </c>
      <c r="H90" s="72">
        <f t="shared" si="1"/>
        <v>50</v>
      </c>
      <c r="I90" s="72"/>
      <c r="J90" s="72"/>
      <c r="K90" s="72"/>
      <c r="L90" s="72" t="s">
        <v>5819</v>
      </c>
      <c r="M90" s="72"/>
      <c r="N90" s="72"/>
      <c r="O90" s="72"/>
      <c r="P90" s="72" t="s">
        <v>5819</v>
      </c>
      <c r="Q90" s="72"/>
      <c r="R90" s="72"/>
      <c r="S90" s="72"/>
      <c r="T90" s="72"/>
      <c r="U90" s="72"/>
      <c r="V90" s="72"/>
      <c r="W90" s="72"/>
      <c r="X90" s="72" t="s">
        <v>5819</v>
      </c>
      <c r="Y90" s="72"/>
      <c r="Z90" s="72"/>
      <c r="AA90" s="72" t="s">
        <v>5819</v>
      </c>
      <c r="AB90" s="72"/>
      <c r="AC90" s="72"/>
      <c r="AD90" s="72"/>
      <c r="AE90" s="72"/>
      <c r="AF90" s="72"/>
      <c r="AG90" s="72"/>
      <c r="AH90" s="72"/>
      <c r="AI90" s="72"/>
      <c r="AJ90" s="72"/>
      <c r="AK90" s="72">
        <v>1</v>
      </c>
      <c r="AL90" s="72"/>
      <c r="AM90" s="72"/>
      <c r="AN90" s="72"/>
      <c r="AO90" s="72"/>
      <c r="AP90" s="72"/>
      <c r="AQ90" s="72"/>
      <c r="AR90" s="72"/>
      <c r="AS90" s="72">
        <v>1</v>
      </c>
      <c r="AT90" s="72"/>
      <c r="AU90" s="72"/>
      <c r="AV90" s="72"/>
      <c r="AW90" s="72"/>
      <c r="AX90" s="72"/>
      <c r="AY90" s="72"/>
      <c r="AZ90" s="72"/>
      <c r="BA90" s="72"/>
      <c r="BB90" s="72"/>
      <c r="BC90" s="72"/>
      <c r="BD90" s="72"/>
      <c r="BE90" s="72"/>
      <c r="BF90" s="72"/>
      <c r="BG90" s="72"/>
      <c r="BH90" s="72"/>
    </row>
    <row r="91" spans="1:60">
      <c r="A91" s="944" t="s">
        <v>2015</v>
      </c>
      <c r="B91" s="72"/>
      <c r="C91" s="72">
        <v>51</v>
      </c>
      <c r="D91" s="72"/>
      <c r="E91" s="72"/>
      <c r="F91" s="72"/>
      <c r="G91" s="72">
        <f t="shared" si="0"/>
        <v>306</v>
      </c>
      <c r="H91" s="72">
        <f t="shared" si="1"/>
        <v>51</v>
      </c>
      <c r="I91" s="72"/>
      <c r="J91" s="72"/>
      <c r="K91" s="72"/>
      <c r="L91" s="72" t="s">
        <v>5819</v>
      </c>
      <c r="M91" s="72"/>
      <c r="N91" s="72"/>
      <c r="O91" s="72"/>
      <c r="P91" s="72" t="s">
        <v>5819</v>
      </c>
      <c r="Q91" s="72"/>
      <c r="R91" s="72"/>
      <c r="S91" s="72"/>
      <c r="T91" s="72"/>
      <c r="U91" s="72"/>
      <c r="V91" s="72"/>
      <c r="W91" s="72"/>
      <c r="X91" s="72" t="s">
        <v>5819</v>
      </c>
      <c r="Y91" s="72"/>
      <c r="Z91" s="72"/>
      <c r="AA91" s="72" t="s">
        <v>5819</v>
      </c>
      <c r="AB91" s="72"/>
      <c r="AC91" s="72"/>
      <c r="AD91" s="72"/>
      <c r="AE91" s="72"/>
      <c r="AF91" s="72"/>
      <c r="AG91" s="72"/>
      <c r="AH91" s="72"/>
      <c r="AI91" s="72"/>
      <c r="AJ91" s="72"/>
      <c r="AK91" s="72">
        <v>1</v>
      </c>
      <c r="AL91" s="72"/>
      <c r="AM91" s="72"/>
      <c r="AN91" s="72"/>
      <c r="AO91" s="72"/>
      <c r="AP91" s="72"/>
      <c r="AQ91" s="72"/>
      <c r="AR91" s="72"/>
      <c r="AS91" s="72">
        <v>1</v>
      </c>
      <c r="AT91" s="72"/>
      <c r="AU91" s="72"/>
      <c r="AV91" s="72"/>
      <c r="AW91" s="72"/>
      <c r="AX91" s="72"/>
      <c r="AY91" s="72"/>
      <c r="AZ91" s="72"/>
      <c r="BA91" s="72"/>
      <c r="BB91" s="72"/>
      <c r="BC91" s="72"/>
      <c r="BD91" s="72"/>
      <c r="BE91" s="72"/>
      <c r="BF91" s="72"/>
      <c r="BG91" s="72"/>
      <c r="BH91" s="72"/>
    </row>
    <row r="92" spans="1:60">
      <c r="A92" s="944" t="s">
        <v>2016</v>
      </c>
      <c r="B92" s="72"/>
      <c r="C92" s="72">
        <v>71</v>
      </c>
      <c r="D92" s="72"/>
      <c r="E92" s="72"/>
      <c r="F92" s="72"/>
      <c r="G92" s="72">
        <f t="shared" si="0"/>
        <v>426</v>
      </c>
      <c r="H92" s="72">
        <f t="shared" si="1"/>
        <v>71</v>
      </c>
      <c r="I92" s="72"/>
      <c r="J92" s="72"/>
      <c r="K92" s="72"/>
      <c r="L92" s="72" t="s">
        <v>5819</v>
      </c>
      <c r="M92" s="72"/>
      <c r="N92" s="72"/>
      <c r="O92" s="72"/>
      <c r="P92" s="72" t="s">
        <v>5819</v>
      </c>
      <c r="Q92" s="72"/>
      <c r="R92" s="72"/>
      <c r="S92" s="72"/>
      <c r="T92" s="72"/>
      <c r="U92" s="72"/>
      <c r="V92" s="72"/>
      <c r="W92" s="72"/>
      <c r="X92" s="72" t="s">
        <v>5819</v>
      </c>
      <c r="Y92" s="72"/>
      <c r="Z92" s="72"/>
      <c r="AA92" s="72" t="s">
        <v>5819</v>
      </c>
      <c r="AB92" s="72"/>
      <c r="AC92" s="72"/>
      <c r="AD92" s="72"/>
      <c r="AE92" s="72"/>
      <c r="AF92" s="72"/>
      <c r="AG92" s="72"/>
      <c r="AH92" s="72"/>
      <c r="AI92" s="72"/>
      <c r="AJ92" s="72"/>
      <c r="AK92" s="72">
        <v>1</v>
      </c>
      <c r="AL92" s="72"/>
      <c r="AM92" s="72"/>
      <c r="AN92" s="72"/>
      <c r="AO92" s="72"/>
      <c r="AP92" s="72"/>
      <c r="AQ92" s="72"/>
      <c r="AR92" s="72"/>
      <c r="AS92" s="72">
        <v>1</v>
      </c>
      <c r="AT92" s="72"/>
      <c r="AU92" s="72"/>
      <c r="AV92" s="72"/>
      <c r="AW92" s="72"/>
      <c r="AX92" s="72"/>
      <c r="AY92" s="72"/>
      <c r="AZ92" s="72"/>
      <c r="BA92" s="72"/>
      <c r="BB92" s="72"/>
      <c r="BC92" s="72"/>
      <c r="BD92" s="72"/>
      <c r="BE92" s="72"/>
      <c r="BF92" s="72"/>
      <c r="BG92" s="72"/>
      <c r="BH92" s="72"/>
    </row>
    <row r="93" spans="1:60">
      <c r="A93" s="944" t="s">
        <v>2017</v>
      </c>
      <c r="B93" s="72"/>
      <c r="C93" s="72">
        <v>63</v>
      </c>
      <c r="D93" s="72"/>
      <c r="E93" s="72"/>
      <c r="F93" s="72"/>
      <c r="G93" s="72">
        <f t="shared" si="0"/>
        <v>378</v>
      </c>
      <c r="H93" s="72">
        <f t="shared" si="1"/>
        <v>63</v>
      </c>
      <c r="I93" s="72"/>
      <c r="J93" s="72"/>
      <c r="K93" s="72"/>
      <c r="L93" s="72" t="s">
        <v>5819</v>
      </c>
      <c r="M93" s="72"/>
      <c r="N93" s="72"/>
      <c r="O93" s="72"/>
      <c r="P93" s="72" t="s">
        <v>5819</v>
      </c>
      <c r="Q93" s="72"/>
      <c r="R93" s="72"/>
      <c r="S93" s="72"/>
      <c r="T93" s="72"/>
      <c r="U93" s="72"/>
      <c r="V93" s="72"/>
      <c r="W93" s="72"/>
      <c r="X93" s="72" t="s">
        <v>5819</v>
      </c>
      <c r="Y93" s="72"/>
      <c r="Z93" s="72"/>
      <c r="AA93" s="72" t="s">
        <v>5819</v>
      </c>
      <c r="AB93" s="72"/>
      <c r="AC93" s="72"/>
      <c r="AD93" s="72"/>
      <c r="AE93" s="72"/>
      <c r="AF93" s="72"/>
      <c r="AG93" s="72"/>
      <c r="AH93" s="72"/>
      <c r="AI93" s="72"/>
      <c r="AJ93" s="72"/>
      <c r="AK93" s="72">
        <v>1</v>
      </c>
      <c r="AL93" s="72"/>
      <c r="AM93" s="72"/>
      <c r="AN93" s="72"/>
      <c r="AO93" s="72"/>
      <c r="AP93" s="72"/>
      <c r="AQ93" s="72"/>
      <c r="AR93" s="72"/>
      <c r="AS93" s="72">
        <v>1</v>
      </c>
      <c r="AT93" s="72"/>
      <c r="AU93" s="72"/>
      <c r="AV93" s="72"/>
      <c r="AW93" s="72"/>
      <c r="AX93" s="72"/>
      <c r="AY93" s="72"/>
      <c r="AZ93" s="72"/>
      <c r="BA93" s="72"/>
      <c r="BB93" s="72"/>
      <c r="BC93" s="72"/>
      <c r="BD93" s="72"/>
      <c r="BE93" s="72"/>
      <c r="BF93" s="72"/>
      <c r="BG93" s="72"/>
      <c r="BH93" s="72"/>
    </row>
    <row r="94" spans="1:60">
      <c r="A94" s="944" t="s">
        <v>2018</v>
      </c>
      <c r="B94" s="72"/>
      <c r="C94" s="72">
        <v>50</v>
      </c>
      <c r="D94" s="72"/>
      <c r="E94" s="72"/>
      <c r="F94" s="72"/>
      <c r="G94" s="72">
        <f t="shared" si="0"/>
        <v>300</v>
      </c>
      <c r="H94" s="72">
        <f t="shared" si="1"/>
        <v>50</v>
      </c>
      <c r="I94" s="72"/>
      <c r="J94" s="72"/>
      <c r="K94" s="72"/>
      <c r="L94" s="72" t="s">
        <v>5819</v>
      </c>
      <c r="M94" s="72"/>
      <c r="N94" s="72"/>
      <c r="O94" s="72"/>
      <c r="P94" s="72" t="s">
        <v>5819</v>
      </c>
      <c r="Q94" s="72"/>
      <c r="R94" s="72"/>
      <c r="S94" s="72"/>
      <c r="T94" s="72"/>
      <c r="U94" s="72"/>
      <c r="V94" s="72"/>
      <c r="W94" s="72"/>
      <c r="X94" s="72" t="s">
        <v>5819</v>
      </c>
      <c r="Y94" s="72"/>
      <c r="Z94" s="72"/>
      <c r="AA94" s="72" t="s">
        <v>5819</v>
      </c>
      <c r="AB94" s="72"/>
      <c r="AC94" s="72"/>
      <c r="AD94" s="72"/>
      <c r="AE94" s="72"/>
      <c r="AF94" s="72"/>
      <c r="AG94" s="72"/>
      <c r="AH94" s="72"/>
      <c r="AI94" s="72"/>
      <c r="AJ94" s="72"/>
      <c r="AK94" s="72">
        <v>1</v>
      </c>
      <c r="AL94" s="72"/>
      <c r="AM94" s="72"/>
      <c r="AN94" s="72"/>
      <c r="AO94" s="72"/>
      <c r="AP94" s="72"/>
      <c r="AQ94" s="72"/>
      <c r="AR94" s="72"/>
      <c r="AS94" s="72">
        <v>1</v>
      </c>
      <c r="AT94" s="72"/>
      <c r="AU94" s="72"/>
      <c r="AV94" s="72"/>
      <c r="AW94" s="72"/>
      <c r="AX94" s="72"/>
      <c r="AY94" s="72"/>
      <c r="AZ94" s="72"/>
      <c r="BA94" s="72"/>
      <c r="BB94" s="72"/>
      <c r="BC94" s="72"/>
      <c r="BD94" s="72"/>
      <c r="BE94" s="72"/>
      <c r="BF94" s="72"/>
      <c r="BG94" s="72"/>
      <c r="BH94" s="72"/>
    </row>
    <row r="95" spans="1:60">
      <c r="A95" s="944" t="s">
        <v>2019</v>
      </c>
      <c r="B95" s="72"/>
      <c r="C95" s="72">
        <v>46</v>
      </c>
      <c r="D95" s="72"/>
      <c r="E95" s="72"/>
      <c r="F95" s="72"/>
      <c r="G95" s="72">
        <f t="shared" si="0"/>
        <v>276</v>
      </c>
      <c r="H95" s="72">
        <f t="shared" si="1"/>
        <v>46</v>
      </c>
      <c r="I95" s="72"/>
      <c r="J95" s="72"/>
      <c r="K95" s="72"/>
      <c r="L95" s="72">
        <v>1</v>
      </c>
      <c r="M95" s="72"/>
      <c r="N95" s="72"/>
      <c r="O95" s="72"/>
      <c r="P95" s="72">
        <v>1</v>
      </c>
      <c r="Q95" s="72"/>
      <c r="R95" s="72"/>
      <c r="S95" s="72"/>
      <c r="T95" s="72"/>
      <c r="U95" s="72"/>
      <c r="V95" s="72"/>
      <c r="W95" s="72"/>
      <c r="X95" s="72">
        <v>1</v>
      </c>
      <c r="Y95" s="72"/>
      <c r="Z95" s="72"/>
      <c r="AA95" s="72">
        <v>2</v>
      </c>
      <c r="AB95" s="72"/>
      <c r="AC95" s="72"/>
      <c r="AD95" s="72"/>
      <c r="AE95" s="72"/>
      <c r="AF95" s="72">
        <v>6</v>
      </c>
      <c r="AG95" s="72"/>
      <c r="AH95" s="72"/>
      <c r="AI95" s="72"/>
      <c r="AJ95" s="72"/>
      <c r="AK95" s="72">
        <v>1</v>
      </c>
      <c r="AL95" s="72"/>
      <c r="AM95" s="72"/>
      <c r="AN95" s="72"/>
      <c r="AO95" s="72"/>
      <c r="AP95" s="72"/>
      <c r="AQ95" s="72"/>
      <c r="AR95" s="72"/>
      <c r="AS95" s="72">
        <v>1</v>
      </c>
      <c r="AT95" s="72"/>
      <c r="AU95" s="72"/>
      <c r="AV95" s="72"/>
      <c r="AW95" s="72"/>
      <c r="AX95" s="72"/>
      <c r="AY95" s="72"/>
      <c r="AZ95" s="72"/>
      <c r="BA95" s="72"/>
      <c r="BB95" s="72"/>
      <c r="BC95" s="72"/>
      <c r="BD95" s="72"/>
      <c r="BE95" s="72"/>
      <c r="BF95" s="72"/>
      <c r="BG95" s="72"/>
      <c r="BH95" s="72"/>
    </row>
    <row r="96" spans="1:60">
      <c r="A96" s="944" t="s">
        <v>2020</v>
      </c>
      <c r="B96" s="72"/>
      <c r="C96" s="72">
        <v>47</v>
      </c>
      <c r="D96" s="72"/>
      <c r="E96" s="72"/>
      <c r="F96" s="72"/>
      <c r="G96" s="72">
        <f t="shared" si="0"/>
        <v>282</v>
      </c>
      <c r="H96" s="72">
        <f t="shared" si="1"/>
        <v>47</v>
      </c>
      <c r="I96" s="72"/>
      <c r="J96" s="72"/>
      <c r="K96" s="72"/>
      <c r="L96" s="72">
        <v>1</v>
      </c>
      <c r="M96" s="72"/>
      <c r="N96" s="72"/>
      <c r="O96" s="72"/>
      <c r="P96" s="72">
        <v>1</v>
      </c>
      <c r="Q96" s="72"/>
      <c r="R96" s="72"/>
      <c r="S96" s="72"/>
      <c r="T96" s="72"/>
      <c r="U96" s="72"/>
      <c r="V96" s="72"/>
      <c r="W96" s="72"/>
      <c r="X96" s="72"/>
      <c r="Y96" s="72"/>
      <c r="Z96" s="72">
        <v>1</v>
      </c>
      <c r="AA96" s="72"/>
      <c r="AB96" s="72"/>
      <c r="AC96" s="72"/>
      <c r="AD96" s="72"/>
      <c r="AE96" s="72"/>
      <c r="AF96" s="72">
        <v>3</v>
      </c>
      <c r="AG96" s="72"/>
      <c r="AH96" s="72"/>
      <c r="AI96" s="72"/>
      <c r="AJ96" s="72"/>
      <c r="AK96" s="72">
        <v>1</v>
      </c>
      <c r="AL96" s="72"/>
      <c r="AM96" s="72"/>
      <c r="AN96" s="72"/>
      <c r="AO96" s="72"/>
      <c r="AP96" s="72"/>
      <c r="AQ96" s="72"/>
      <c r="AR96" s="72"/>
      <c r="AS96" s="72">
        <v>1</v>
      </c>
      <c r="AT96" s="72"/>
      <c r="AU96" s="72"/>
      <c r="AV96" s="72"/>
      <c r="AW96" s="72"/>
      <c r="AX96" s="72"/>
      <c r="AY96" s="72"/>
      <c r="AZ96" s="72"/>
      <c r="BA96" s="72"/>
      <c r="BB96" s="72"/>
      <c r="BC96" s="72"/>
      <c r="BD96" s="72"/>
      <c r="BE96" s="72"/>
      <c r="BF96" s="72"/>
      <c r="BG96" s="72"/>
      <c r="BH96" s="72"/>
    </row>
    <row r="97" spans="1:60">
      <c r="A97" s="944" t="s">
        <v>2024</v>
      </c>
      <c r="B97" s="72"/>
      <c r="C97" s="72">
        <v>10</v>
      </c>
      <c r="D97" s="72"/>
      <c r="E97" s="72"/>
      <c r="F97" s="72"/>
      <c r="G97" s="72">
        <f t="shared" si="0"/>
        <v>60</v>
      </c>
      <c r="H97" s="72">
        <f>C97</f>
        <v>10</v>
      </c>
      <c r="I97" s="72"/>
      <c r="J97" s="72" t="s">
        <v>5819</v>
      </c>
      <c r="K97" s="72"/>
      <c r="L97" s="72"/>
      <c r="M97" s="72"/>
      <c r="N97" s="72"/>
      <c r="O97" s="72"/>
      <c r="P97" s="72"/>
      <c r="Q97" s="72"/>
      <c r="R97" s="72"/>
      <c r="S97" s="72"/>
      <c r="T97" s="72"/>
      <c r="U97" s="72"/>
      <c r="V97" s="72"/>
      <c r="W97" s="72"/>
      <c r="X97" s="72"/>
      <c r="Y97" s="72"/>
      <c r="Z97" s="72" t="s">
        <v>5819</v>
      </c>
      <c r="AA97" s="72" t="s">
        <v>5819</v>
      </c>
      <c r="AB97" s="72"/>
      <c r="AC97" s="72"/>
      <c r="AD97" s="72"/>
      <c r="AE97" s="72"/>
      <c r="AF97" s="72"/>
      <c r="AG97" s="72"/>
      <c r="AH97" s="72"/>
      <c r="AI97" s="72"/>
      <c r="AJ97" s="72"/>
      <c r="AK97" s="72">
        <v>1</v>
      </c>
      <c r="AL97" s="72"/>
      <c r="AM97" s="72"/>
      <c r="AN97" s="72"/>
      <c r="AO97" s="72"/>
      <c r="AP97" s="72"/>
      <c r="AQ97" s="72"/>
      <c r="AR97" s="72"/>
      <c r="AS97" s="72">
        <v>1</v>
      </c>
      <c r="AT97" s="72"/>
      <c r="AU97" s="72"/>
      <c r="AV97" s="72"/>
      <c r="AW97" s="72"/>
      <c r="AX97" s="72"/>
      <c r="AY97" s="72"/>
      <c r="AZ97" s="72"/>
      <c r="BA97" s="72"/>
      <c r="BB97" s="72"/>
      <c r="BC97" s="72"/>
      <c r="BD97" s="72"/>
      <c r="BE97" s="72"/>
      <c r="BF97" s="72"/>
      <c r="BG97" s="72"/>
      <c r="BH97" s="72"/>
    </row>
    <row r="98" spans="1:60">
      <c r="A98" s="944" t="s">
        <v>2021</v>
      </c>
      <c r="B98" s="72"/>
      <c r="C98" s="72">
        <v>43</v>
      </c>
      <c r="D98" s="72"/>
      <c r="E98" s="72"/>
      <c r="F98" s="72"/>
      <c r="G98" s="72">
        <f t="shared" si="0"/>
        <v>258</v>
      </c>
      <c r="H98" s="72">
        <f t="shared" si="1"/>
        <v>43</v>
      </c>
      <c r="I98" s="72"/>
      <c r="J98" s="72"/>
      <c r="K98" s="72"/>
      <c r="L98" s="72">
        <v>1</v>
      </c>
      <c r="M98" s="72"/>
      <c r="N98" s="72"/>
      <c r="O98" s="72"/>
      <c r="P98" s="72">
        <v>1</v>
      </c>
      <c r="Q98" s="72"/>
      <c r="R98" s="72"/>
      <c r="S98" s="72"/>
      <c r="T98" s="72"/>
      <c r="U98" s="72"/>
      <c r="V98" s="72"/>
      <c r="W98" s="72">
        <v>1</v>
      </c>
      <c r="X98" s="72"/>
      <c r="Y98" s="72"/>
      <c r="Z98" s="72"/>
      <c r="AA98" s="72">
        <v>2</v>
      </c>
      <c r="AB98" s="72"/>
      <c r="AC98" s="72"/>
      <c r="AD98" s="72"/>
      <c r="AE98" s="72"/>
      <c r="AF98" s="72">
        <v>6</v>
      </c>
      <c r="AG98" s="72"/>
      <c r="AH98" s="72"/>
      <c r="AI98" s="72"/>
      <c r="AJ98" s="72"/>
      <c r="AK98" s="72">
        <v>1</v>
      </c>
      <c r="AL98" s="72"/>
      <c r="AM98" s="72"/>
      <c r="AN98" s="72"/>
      <c r="AO98" s="72"/>
      <c r="AP98" s="72"/>
      <c r="AQ98" s="72"/>
      <c r="AR98" s="72"/>
      <c r="AS98" s="72">
        <v>1</v>
      </c>
      <c r="AT98" s="72"/>
      <c r="AU98" s="72"/>
      <c r="AV98" s="72"/>
      <c r="AW98" s="72"/>
      <c r="AX98" s="72"/>
      <c r="AY98" s="72"/>
      <c r="AZ98" s="72"/>
      <c r="BA98" s="72"/>
      <c r="BB98" s="72"/>
      <c r="BC98" s="72"/>
      <c r="BD98" s="72"/>
      <c r="BE98" s="72"/>
      <c r="BF98" s="72"/>
      <c r="BG98" s="72"/>
      <c r="BH98" s="72"/>
    </row>
    <row r="99" spans="1:60">
      <c r="A99" s="944" t="s">
        <v>2022</v>
      </c>
      <c r="B99" s="72"/>
      <c r="C99" s="72">
        <v>62</v>
      </c>
      <c r="D99" s="72"/>
      <c r="E99" s="72"/>
      <c r="F99" s="72"/>
      <c r="G99" s="72">
        <f t="shared" si="0"/>
        <v>372</v>
      </c>
      <c r="H99" s="72">
        <f t="shared" si="1"/>
        <v>62</v>
      </c>
      <c r="I99" s="72"/>
      <c r="J99" s="72"/>
      <c r="K99" s="72"/>
      <c r="L99" s="72">
        <v>1</v>
      </c>
      <c r="M99" s="72"/>
      <c r="N99" s="72"/>
      <c r="O99" s="72"/>
      <c r="P99" s="72">
        <v>1</v>
      </c>
      <c r="Q99" s="72"/>
      <c r="R99" s="72"/>
      <c r="S99" s="72"/>
      <c r="T99" s="72"/>
      <c r="U99" s="72"/>
      <c r="V99" s="72"/>
      <c r="W99" s="72">
        <v>1</v>
      </c>
      <c r="X99" s="72"/>
      <c r="Y99" s="72"/>
      <c r="Z99" s="72"/>
      <c r="AA99" s="72">
        <v>2</v>
      </c>
      <c r="AB99" s="72"/>
      <c r="AC99" s="72"/>
      <c r="AD99" s="72"/>
      <c r="AE99" s="72"/>
      <c r="AF99" s="72">
        <v>6</v>
      </c>
      <c r="AG99" s="72"/>
      <c r="AH99" s="72"/>
      <c r="AI99" s="72"/>
      <c r="AJ99" s="72"/>
      <c r="AK99" s="72">
        <v>1</v>
      </c>
      <c r="AL99" s="72"/>
      <c r="AM99" s="72"/>
      <c r="AN99" s="72"/>
      <c r="AO99" s="72"/>
      <c r="AP99" s="72"/>
      <c r="AQ99" s="72"/>
      <c r="AR99" s="72"/>
      <c r="AS99" s="72">
        <v>1</v>
      </c>
      <c r="AT99" s="72"/>
      <c r="AU99" s="72"/>
      <c r="AV99" s="72"/>
      <c r="AW99" s="72"/>
      <c r="AX99" s="72"/>
      <c r="AY99" s="72"/>
      <c r="AZ99" s="72"/>
      <c r="BA99" s="72"/>
      <c r="BB99" s="72"/>
      <c r="BC99" s="72"/>
      <c r="BD99" s="72"/>
      <c r="BE99" s="72"/>
      <c r="BF99" s="72"/>
      <c r="BG99" s="72"/>
      <c r="BH99" s="72"/>
    </row>
    <row r="100" spans="1:60">
      <c r="A100" s="944" t="s">
        <v>2025</v>
      </c>
      <c r="B100" s="72" t="s">
        <v>5484</v>
      </c>
      <c r="C100" s="72">
        <v>28</v>
      </c>
      <c r="D100" s="72"/>
      <c r="E100" s="72"/>
      <c r="F100" s="72"/>
      <c r="G100" s="72">
        <f t="shared" si="0"/>
        <v>168</v>
      </c>
      <c r="H100" s="72">
        <f>C100</f>
        <v>28</v>
      </c>
      <c r="I100" s="72"/>
      <c r="J100" s="72"/>
      <c r="K100" s="72"/>
      <c r="L100" s="72"/>
      <c r="M100" s="72"/>
      <c r="N100" s="72"/>
      <c r="O100" s="72"/>
      <c r="P100" s="72"/>
      <c r="Q100" s="72"/>
      <c r="R100" s="72"/>
      <c r="S100" s="72"/>
      <c r="T100" s="72"/>
      <c r="U100" s="72"/>
      <c r="V100" s="72"/>
      <c r="W100" s="72"/>
      <c r="X100" s="72"/>
      <c r="Y100" s="72"/>
      <c r="Z100" s="72"/>
      <c r="AA100" s="72"/>
      <c r="AB100" s="72" t="s">
        <v>5819</v>
      </c>
      <c r="AC100" s="72"/>
      <c r="AD100" s="72"/>
      <c r="AE100" s="72"/>
      <c r="AF100" s="72" t="s">
        <v>5819</v>
      </c>
      <c r="AG100" s="72" t="s">
        <v>5819</v>
      </c>
      <c r="AH100" s="72" t="s">
        <v>5819</v>
      </c>
      <c r="AI100" s="72"/>
      <c r="AJ100" s="72"/>
      <c r="AK100" s="72"/>
      <c r="AL100" s="72"/>
      <c r="AM100" s="72"/>
      <c r="AN100" s="72"/>
      <c r="AO100" s="72"/>
      <c r="AP100" s="72"/>
      <c r="AQ100" s="72"/>
      <c r="AR100" s="72"/>
      <c r="AS100" s="72" t="s">
        <v>5819</v>
      </c>
      <c r="AT100" s="72"/>
      <c r="AU100" s="72" t="s">
        <v>5819</v>
      </c>
      <c r="AV100" s="72"/>
      <c r="AW100" s="72"/>
      <c r="AX100" s="72"/>
      <c r="AY100" s="72"/>
      <c r="AZ100" s="72"/>
      <c r="BA100" s="72"/>
      <c r="BB100" s="72"/>
      <c r="BC100" s="72"/>
      <c r="BD100" s="72"/>
      <c r="BE100" s="72"/>
      <c r="BF100" s="72"/>
      <c r="BG100" s="72"/>
      <c r="BH100" s="72"/>
    </row>
    <row r="101" spans="1:60" s="1372" customFormat="1" ht="20.100000000000001" customHeight="1">
      <c r="A101" s="1394" t="s">
        <v>5816</v>
      </c>
      <c r="B101" s="1395"/>
      <c r="C101" s="1396">
        <f>SUM(C52:C100)</f>
        <v>2425</v>
      </c>
      <c r="D101" s="1396">
        <f t="shared" ref="D101:AK101" si="2">SUM(D52:D100)</f>
        <v>0</v>
      </c>
      <c r="E101" s="1396">
        <f t="shared" si="2"/>
        <v>94</v>
      </c>
      <c r="F101" s="1396">
        <f t="shared" si="2"/>
        <v>15</v>
      </c>
      <c r="G101" s="1396">
        <f t="shared" si="2"/>
        <v>14550</v>
      </c>
      <c r="H101" s="1396">
        <f t="shared" si="2"/>
        <v>2425</v>
      </c>
      <c r="I101" s="1396">
        <f t="shared" si="2"/>
        <v>0</v>
      </c>
      <c r="J101" s="1396">
        <f t="shared" si="2"/>
        <v>0</v>
      </c>
      <c r="K101" s="1396">
        <f t="shared" si="2"/>
        <v>0</v>
      </c>
      <c r="L101" s="1396">
        <f t="shared" si="2"/>
        <v>18</v>
      </c>
      <c r="M101" s="1396">
        <f t="shared" si="2"/>
        <v>0</v>
      </c>
      <c r="N101" s="1396">
        <f t="shared" si="2"/>
        <v>0</v>
      </c>
      <c r="O101" s="1396">
        <f t="shared" si="2"/>
        <v>0</v>
      </c>
      <c r="P101" s="1396">
        <f t="shared" si="2"/>
        <v>12</v>
      </c>
      <c r="Q101" s="1396">
        <f t="shared" si="2"/>
        <v>6</v>
      </c>
      <c r="R101" s="1396">
        <f>SUM(R52:R100)</f>
        <v>0</v>
      </c>
      <c r="S101" s="1396">
        <f>SUM(S52:S100)</f>
        <v>6</v>
      </c>
      <c r="T101" s="1396">
        <f t="shared" si="2"/>
        <v>1</v>
      </c>
      <c r="U101" s="1396">
        <f t="shared" si="2"/>
        <v>4</v>
      </c>
      <c r="V101" s="1396">
        <f t="shared" si="2"/>
        <v>6</v>
      </c>
      <c r="W101" s="1396">
        <f t="shared" si="2"/>
        <v>8</v>
      </c>
      <c r="X101" s="1396">
        <f t="shared" si="2"/>
        <v>9</v>
      </c>
      <c r="Y101" s="1396">
        <f t="shared" si="2"/>
        <v>3</v>
      </c>
      <c r="Z101" s="1396">
        <f t="shared" si="2"/>
        <v>1</v>
      </c>
      <c r="AA101" s="1396">
        <f t="shared" si="2"/>
        <v>24</v>
      </c>
      <c r="AB101" s="1396">
        <f t="shared" si="2"/>
        <v>14</v>
      </c>
      <c r="AC101" s="1396">
        <f t="shared" si="2"/>
        <v>2</v>
      </c>
      <c r="AD101" s="1396">
        <f t="shared" si="2"/>
        <v>0</v>
      </c>
      <c r="AE101" s="1396">
        <f t="shared" si="2"/>
        <v>43</v>
      </c>
      <c r="AF101" s="1396">
        <f t="shared" si="2"/>
        <v>109</v>
      </c>
      <c r="AG101" s="1396">
        <f t="shared" si="2"/>
        <v>0</v>
      </c>
      <c r="AH101" s="1396">
        <f t="shared" si="2"/>
        <v>14</v>
      </c>
      <c r="AI101" s="1396">
        <f t="shared" si="2"/>
        <v>0</v>
      </c>
      <c r="AJ101" s="1396">
        <f t="shared" si="2"/>
        <v>0</v>
      </c>
      <c r="AK101" s="1396">
        <f t="shared" si="2"/>
        <v>40</v>
      </c>
      <c r="AL101" s="1396">
        <f t="shared" ref="AL101:BH101" si="3">SUM(AL52:AL100)</f>
        <v>0</v>
      </c>
      <c r="AM101" s="1396">
        <f t="shared" si="3"/>
        <v>0</v>
      </c>
      <c r="AN101" s="1396">
        <f t="shared" si="3"/>
        <v>0</v>
      </c>
      <c r="AO101" s="1396">
        <f t="shared" si="3"/>
        <v>23</v>
      </c>
      <c r="AP101" s="1396">
        <f t="shared" si="3"/>
        <v>0</v>
      </c>
      <c r="AQ101" s="1396">
        <f t="shared" si="3"/>
        <v>0</v>
      </c>
      <c r="AR101" s="1396">
        <f t="shared" si="3"/>
        <v>0</v>
      </c>
      <c r="AS101" s="1396">
        <f t="shared" si="3"/>
        <v>40</v>
      </c>
      <c r="AT101" s="1396">
        <f t="shared" si="3"/>
        <v>0</v>
      </c>
      <c r="AU101" s="1396">
        <f t="shared" si="3"/>
        <v>14</v>
      </c>
      <c r="AV101" s="1396">
        <f t="shared" si="3"/>
        <v>0</v>
      </c>
      <c r="AW101" s="1396">
        <f t="shared" si="3"/>
        <v>0</v>
      </c>
      <c r="AX101" s="1396">
        <f t="shared" si="3"/>
        <v>0</v>
      </c>
      <c r="AY101" s="1396">
        <f t="shared" si="3"/>
        <v>0</v>
      </c>
      <c r="AZ101" s="1396">
        <f t="shared" si="3"/>
        <v>9</v>
      </c>
      <c r="BA101" s="1396">
        <f t="shared" si="3"/>
        <v>18</v>
      </c>
      <c r="BB101" s="1396">
        <f t="shared" si="3"/>
        <v>21</v>
      </c>
      <c r="BC101" s="1396">
        <f t="shared" si="3"/>
        <v>4</v>
      </c>
      <c r="BD101" s="1396">
        <f t="shared" si="3"/>
        <v>5</v>
      </c>
      <c r="BE101" s="1396">
        <f t="shared" si="3"/>
        <v>2</v>
      </c>
      <c r="BF101" s="1396">
        <f t="shared" si="3"/>
        <v>0</v>
      </c>
      <c r="BG101" s="1396">
        <f t="shared" si="3"/>
        <v>0</v>
      </c>
      <c r="BH101" s="1396">
        <f t="shared" si="3"/>
        <v>0</v>
      </c>
    </row>
    <row r="102" spans="1:60">
      <c r="A102" s="1454" t="s">
        <v>599</v>
      </c>
      <c r="B102" s="1454"/>
      <c r="C102" s="1454"/>
      <c r="D102" s="1454"/>
      <c r="E102" s="1454"/>
      <c r="F102" s="1454"/>
      <c r="G102" s="67"/>
      <c r="H102" s="67"/>
      <c r="I102" s="67"/>
      <c r="J102" s="67"/>
      <c r="K102" s="67"/>
      <c r="L102" s="67"/>
      <c r="M102" s="67"/>
      <c r="N102" s="67"/>
      <c r="O102" s="67"/>
      <c r="P102" s="67"/>
      <c r="Q102" s="67"/>
      <c r="R102" s="67"/>
      <c r="S102" s="67"/>
      <c r="T102" s="67"/>
      <c r="U102" s="67"/>
      <c r="V102" s="67"/>
      <c r="W102" s="72"/>
      <c r="X102" s="72"/>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1370"/>
    </row>
    <row r="103" spans="1:60">
      <c r="A103" s="1368" t="s">
        <v>1978</v>
      </c>
      <c r="B103" s="1368" t="s">
        <v>1978</v>
      </c>
      <c r="C103" s="1368" t="s">
        <v>1978</v>
      </c>
      <c r="D103" s="1368"/>
      <c r="E103" s="1368" t="s">
        <v>1978</v>
      </c>
      <c r="F103" s="1368" t="s">
        <v>1978</v>
      </c>
      <c r="G103" s="67"/>
      <c r="H103" s="67"/>
      <c r="I103" s="67"/>
      <c r="J103" s="67"/>
      <c r="K103" s="67"/>
      <c r="L103" s="67"/>
      <c r="M103" s="67"/>
      <c r="N103" s="67"/>
      <c r="O103" s="67"/>
      <c r="P103" s="67"/>
      <c r="Q103" s="67"/>
      <c r="R103" s="67"/>
      <c r="S103" s="67"/>
      <c r="T103" s="67"/>
      <c r="U103" s="67"/>
      <c r="V103" s="67"/>
      <c r="W103" s="72" t="s">
        <v>5819</v>
      </c>
      <c r="X103" s="72"/>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1370"/>
    </row>
    <row r="104" spans="1:60">
      <c r="A104" s="944" t="s">
        <v>1977</v>
      </c>
      <c r="B104" s="72"/>
      <c r="C104" s="70"/>
      <c r="D104" s="70"/>
      <c r="E104" s="72"/>
      <c r="F104" s="72">
        <v>12</v>
      </c>
      <c r="G104" s="72"/>
      <c r="H104" s="72"/>
      <c r="I104" s="72"/>
      <c r="J104" s="72" t="s">
        <v>5819</v>
      </c>
      <c r="K104" s="72"/>
      <c r="L104" s="72"/>
      <c r="M104" s="72"/>
      <c r="N104" s="72" t="s">
        <v>5819</v>
      </c>
      <c r="O104" s="72"/>
      <c r="P104" s="72"/>
      <c r="Q104" s="72"/>
      <c r="R104" s="72"/>
      <c r="S104" s="72"/>
      <c r="T104" s="72"/>
      <c r="U104" s="72"/>
      <c r="V104" s="72"/>
      <c r="W104" s="72"/>
      <c r="X104" s="72"/>
      <c r="Y104" s="72"/>
      <c r="Z104" s="72"/>
      <c r="AA104" s="72"/>
      <c r="AB104" s="72"/>
      <c r="AC104" s="72"/>
      <c r="AD104" s="72"/>
      <c r="AE104" s="72"/>
      <c r="AF104" s="72"/>
      <c r="AG104" s="72"/>
      <c r="AH104" s="72">
        <v>1</v>
      </c>
      <c r="AI104" s="72"/>
      <c r="AJ104" s="72"/>
      <c r="AK104" s="72"/>
      <c r="AL104" s="72"/>
      <c r="AM104" s="72"/>
      <c r="AN104" s="72"/>
      <c r="AO104" s="72"/>
      <c r="AP104" s="72"/>
      <c r="AQ104" s="72"/>
      <c r="AR104" s="72"/>
      <c r="AS104" s="72"/>
      <c r="AT104" s="72"/>
      <c r="AU104" s="72">
        <v>1</v>
      </c>
      <c r="AV104" s="72"/>
      <c r="AW104" s="72"/>
      <c r="AX104" s="72"/>
      <c r="AY104" s="72"/>
      <c r="AZ104" s="72"/>
      <c r="BA104" s="72"/>
      <c r="BB104" s="72"/>
      <c r="BC104" s="72"/>
      <c r="BD104" s="72"/>
      <c r="BE104" s="72"/>
      <c r="BF104" s="72"/>
      <c r="BG104" s="72"/>
      <c r="BH104" s="72"/>
    </row>
    <row r="105" spans="1:60">
      <c r="A105" s="944" t="s">
        <v>600</v>
      </c>
      <c r="B105" s="72"/>
      <c r="C105" s="72">
        <v>30</v>
      </c>
      <c r="D105" s="72">
        <v>3</v>
      </c>
      <c r="E105" s="72"/>
      <c r="F105" s="72">
        <v>12</v>
      </c>
      <c r="G105" s="72">
        <f>C105*3</f>
        <v>90</v>
      </c>
      <c r="H105" s="72"/>
      <c r="I105" s="72">
        <f>C105</f>
        <v>30</v>
      </c>
      <c r="J105" s="72"/>
      <c r="K105" s="72"/>
      <c r="L105" s="72" t="s">
        <v>5819</v>
      </c>
      <c r="M105" s="72"/>
      <c r="N105" s="72" t="s">
        <v>5819</v>
      </c>
      <c r="O105" s="72"/>
      <c r="P105" s="72"/>
      <c r="Q105" s="72"/>
      <c r="R105" s="72"/>
      <c r="S105" s="72"/>
      <c r="T105" s="72"/>
      <c r="U105" s="72"/>
      <c r="V105" s="72">
        <v>1</v>
      </c>
      <c r="W105" s="72"/>
      <c r="X105" s="72"/>
      <c r="Y105" s="72"/>
      <c r="Z105" s="72"/>
      <c r="AA105" s="72"/>
      <c r="AB105" s="72"/>
      <c r="AC105" s="72"/>
      <c r="AD105" s="72"/>
      <c r="AE105" s="72"/>
      <c r="AF105" s="72"/>
      <c r="AG105" s="72"/>
      <c r="AH105" s="72">
        <v>2</v>
      </c>
      <c r="AI105" s="72"/>
      <c r="AJ105" s="72"/>
      <c r="AK105" s="72"/>
      <c r="AL105" s="72"/>
      <c r="AM105" s="72"/>
      <c r="AN105" s="72"/>
      <c r="AO105" s="72" t="s">
        <v>5819</v>
      </c>
      <c r="AP105" s="72"/>
      <c r="AQ105" s="72"/>
      <c r="AR105" s="72"/>
      <c r="AS105" s="72"/>
      <c r="AT105" s="72"/>
      <c r="AU105" s="72"/>
      <c r="AV105" s="72">
        <v>2</v>
      </c>
      <c r="AW105" s="72"/>
      <c r="AX105" s="72"/>
      <c r="AY105" s="72"/>
      <c r="AZ105" s="72"/>
      <c r="BA105" s="72">
        <v>1</v>
      </c>
      <c r="BB105" s="72" t="s">
        <v>5819</v>
      </c>
      <c r="BC105" s="72"/>
      <c r="BD105" s="72">
        <v>1</v>
      </c>
      <c r="BE105" s="72">
        <v>1</v>
      </c>
      <c r="BF105" s="72"/>
      <c r="BG105" s="72"/>
      <c r="BH105" s="72"/>
    </row>
    <row r="106" spans="1:60">
      <c r="A106" s="944" t="s">
        <v>601</v>
      </c>
      <c r="B106" s="72"/>
      <c r="C106" s="72">
        <v>60</v>
      </c>
      <c r="D106" s="72"/>
      <c r="E106" s="72"/>
      <c r="F106" s="72"/>
      <c r="G106" s="72">
        <f t="shared" ref="G106:G126" si="4">C106*3</f>
        <v>180</v>
      </c>
      <c r="H106" s="72"/>
      <c r="I106" s="72">
        <f>C106</f>
        <v>60</v>
      </c>
      <c r="J106" s="72"/>
      <c r="K106" s="72"/>
      <c r="L106" s="72">
        <v>1</v>
      </c>
      <c r="M106" s="72"/>
      <c r="N106" s="72"/>
      <c r="O106" s="72"/>
      <c r="P106" s="72">
        <v>1</v>
      </c>
      <c r="Q106" s="72"/>
      <c r="R106" s="72"/>
      <c r="S106" s="72"/>
      <c r="T106" s="72"/>
      <c r="U106" s="72"/>
      <c r="V106" s="72"/>
      <c r="W106" s="72"/>
      <c r="X106" s="72"/>
      <c r="Y106" s="72"/>
      <c r="Z106" s="72"/>
      <c r="AA106" s="72">
        <v>1</v>
      </c>
      <c r="AB106" s="72"/>
      <c r="AC106" s="72"/>
      <c r="AD106" s="72"/>
      <c r="AE106" s="72"/>
      <c r="AF106" s="72">
        <v>3</v>
      </c>
      <c r="AG106" s="72"/>
      <c r="AH106" s="72"/>
      <c r="AI106" s="72"/>
      <c r="AJ106" s="72"/>
      <c r="AK106" s="72">
        <v>1</v>
      </c>
      <c r="AL106" s="72"/>
      <c r="AM106" s="72"/>
      <c r="AN106" s="72"/>
      <c r="AO106" s="72"/>
      <c r="AP106" s="72"/>
      <c r="AQ106" s="72"/>
      <c r="AR106" s="72"/>
      <c r="AS106" s="72">
        <v>1</v>
      </c>
      <c r="AT106" s="72"/>
      <c r="AU106" s="72"/>
      <c r="AV106" s="72"/>
      <c r="AW106" s="72"/>
      <c r="AX106" s="72"/>
      <c r="AY106" s="72"/>
      <c r="AZ106" s="72"/>
      <c r="BA106" s="72"/>
      <c r="BB106" s="72"/>
      <c r="BC106" s="72"/>
      <c r="BD106" s="72"/>
      <c r="BE106" s="72"/>
      <c r="BF106" s="72"/>
      <c r="BG106" s="72"/>
      <c r="BH106" s="72"/>
    </row>
    <row r="107" spans="1:60">
      <c r="A107" s="944" t="s">
        <v>602</v>
      </c>
      <c r="B107" s="72"/>
      <c r="C107" s="72">
        <v>60</v>
      </c>
      <c r="D107" s="72">
        <f>12+2</f>
        <v>14</v>
      </c>
      <c r="E107" s="72"/>
      <c r="F107" s="72"/>
      <c r="G107" s="72">
        <f t="shared" si="4"/>
        <v>180</v>
      </c>
      <c r="H107" s="72"/>
      <c r="I107" s="72">
        <f>C107+2</f>
        <v>62</v>
      </c>
      <c r="J107" s="72"/>
      <c r="K107" s="72"/>
      <c r="L107" s="72" t="s">
        <v>5819</v>
      </c>
      <c r="M107" s="72"/>
      <c r="N107" s="72"/>
      <c r="O107" s="72"/>
      <c r="P107" s="72" t="s">
        <v>5819</v>
      </c>
      <c r="Q107" s="72"/>
      <c r="R107" s="72"/>
      <c r="S107" s="72"/>
      <c r="T107" s="72"/>
      <c r="U107" s="67">
        <v>1</v>
      </c>
      <c r="V107" s="67">
        <v>1</v>
      </c>
      <c r="W107" s="67"/>
      <c r="X107" s="67"/>
      <c r="Y107" s="67"/>
      <c r="Z107" s="67"/>
      <c r="AA107" s="72"/>
      <c r="AB107" s="72"/>
      <c r="AC107" s="72">
        <v>1</v>
      </c>
      <c r="AD107" s="72"/>
      <c r="AE107" s="72"/>
      <c r="AF107" s="72"/>
      <c r="AG107" s="72"/>
      <c r="AH107" s="72"/>
      <c r="AI107" s="72"/>
      <c r="AJ107" s="72"/>
      <c r="AK107" s="72">
        <v>1</v>
      </c>
      <c r="AL107" s="72"/>
      <c r="AM107" s="72"/>
      <c r="AN107" s="72"/>
      <c r="AO107" s="72"/>
      <c r="AP107" s="72"/>
      <c r="AQ107" s="72"/>
      <c r="AR107" s="72"/>
      <c r="AS107" s="72">
        <v>1</v>
      </c>
      <c r="AT107" s="72"/>
      <c r="AU107" s="72"/>
      <c r="AV107" s="72"/>
      <c r="AW107" s="72"/>
      <c r="AX107" s="72"/>
      <c r="AY107" s="72"/>
      <c r="AZ107" s="72"/>
      <c r="BA107" s="72">
        <v>4</v>
      </c>
      <c r="BB107" s="72">
        <v>4</v>
      </c>
      <c r="BC107" s="72">
        <v>1</v>
      </c>
      <c r="BD107" s="72">
        <v>1</v>
      </c>
      <c r="BE107" s="72"/>
      <c r="BF107" s="72"/>
      <c r="BG107" s="72"/>
      <c r="BH107" s="72" t="s">
        <v>4442</v>
      </c>
    </row>
    <row r="108" spans="1:60">
      <c r="A108" s="944" t="s">
        <v>603</v>
      </c>
      <c r="B108" s="72"/>
      <c r="C108" s="72">
        <v>60</v>
      </c>
      <c r="D108" s="72"/>
      <c r="E108" s="72"/>
      <c r="F108" s="72"/>
      <c r="G108" s="72">
        <f t="shared" si="4"/>
        <v>180</v>
      </c>
      <c r="H108" s="72"/>
      <c r="I108" s="72">
        <f>C108</f>
        <v>60</v>
      </c>
      <c r="J108" s="72"/>
      <c r="K108" s="72"/>
      <c r="L108" s="72" t="s">
        <v>5819</v>
      </c>
      <c r="M108" s="72"/>
      <c r="N108" s="72"/>
      <c r="O108" s="72"/>
      <c r="P108" s="72" t="s">
        <v>5819</v>
      </c>
      <c r="Q108" s="72"/>
      <c r="R108" s="72"/>
      <c r="S108" s="72"/>
      <c r="T108" s="72"/>
      <c r="U108" s="67"/>
      <c r="V108" s="67"/>
      <c r="W108" s="67"/>
      <c r="X108" s="67"/>
      <c r="Y108" s="67"/>
      <c r="Z108" s="67"/>
      <c r="AA108" s="72"/>
      <c r="AB108" s="72"/>
      <c r="AC108" s="72"/>
      <c r="AD108" s="72"/>
      <c r="AE108" s="72"/>
      <c r="AF108" s="72"/>
      <c r="AG108" s="72"/>
      <c r="AH108" s="72"/>
      <c r="AI108" s="72"/>
      <c r="AJ108" s="72"/>
      <c r="AK108" s="72">
        <v>1</v>
      </c>
      <c r="AL108" s="72"/>
      <c r="AM108" s="72"/>
      <c r="AN108" s="72"/>
      <c r="AO108" s="72"/>
      <c r="AP108" s="72"/>
      <c r="AQ108" s="72"/>
      <c r="AR108" s="72"/>
      <c r="AS108" s="72">
        <v>1</v>
      </c>
      <c r="AT108" s="72"/>
      <c r="AU108" s="72"/>
      <c r="AV108" s="72"/>
      <c r="AW108" s="72"/>
      <c r="AX108" s="72"/>
      <c r="AY108" s="72"/>
      <c r="AZ108" s="72"/>
      <c r="BA108" s="72"/>
      <c r="BB108" s="72"/>
      <c r="BC108" s="72"/>
      <c r="BD108" s="72"/>
      <c r="BE108" s="72"/>
      <c r="BF108" s="72"/>
      <c r="BG108" s="72"/>
      <c r="BH108" s="72"/>
    </row>
    <row r="109" spans="1:60">
      <c r="A109" s="944" t="s">
        <v>620</v>
      </c>
      <c r="B109" s="72"/>
      <c r="C109" s="72">
        <v>32</v>
      </c>
      <c r="D109" s="72"/>
      <c r="E109" s="72"/>
      <c r="F109" s="72">
        <v>6</v>
      </c>
      <c r="G109" s="72">
        <f t="shared" si="4"/>
        <v>96</v>
      </c>
      <c r="H109" s="72"/>
      <c r="I109" s="72">
        <f>C109</f>
        <v>32</v>
      </c>
      <c r="J109" s="72"/>
      <c r="K109" s="72"/>
      <c r="L109" s="72" t="s">
        <v>5819</v>
      </c>
      <c r="M109" s="72"/>
      <c r="N109" s="72"/>
      <c r="O109" s="72"/>
      <c r="P109" s="72" t="s">
        <v>5819</v>
      </c>
      <c r="Q109" s="72"/>
      <c r="R109" s="72"/>
      <c r="S109" s="72"/>
      <c r="T109" s="72"/>
      <c r="U109" s="72"/>
      <c r="V109" s="72"/>
      <c r="W109" s="72"/>
      <c r="X109" s="72"/>
      <c r="Y109" s="72"/>
      <c r="Z109" s="72"/>
      <c r="AA109" s="72"/>
      <c r="AB109" s="72"/>
      <c r="AC109" s="72"/>
      <c r="AD109" s="72"/>
      <c r="AE109" s="72"/>
      <c r="AF109" s="72"/>
      <c r="AG109" s="72"/>
      <c r="AH109" s="72"/>
      <c r="AI109" s="72"/>
      <c r="AJ109" s="72"/>
      <c r="AK109" s="72">
        <v>1</v>
      </c>
      <c r="AL109" s="72"/>
      <c r="AM109" s="72"/>
      <c r="AN109" s="72"/>
      <c r="AO109" s="72"/>
      <c r="AP109" s="72"/>
      <c r="AQ109" s="72"/>
      <c r="AR109" s="72"/>
      <c r="AS109" s="72">
        <v>1</v>
      </c>
      <c r="AT109" s="72"/>
      <c r="AU109" s="72"/>
      <c r="AV109" s="72"/>
      <c r="AW109" s="72"/>
      <c r="AX109" s="72"/>
      <c r="AY109" s="72"/>
      <c r="AZ109" s="72"/>
      <c r="BA109" s="72"/>
      <c r="BB109" s="72"/>
      <c r="BC109" s="72"/>
      <c r="BD109" s="72"/>
      <c r="BE109" s="72"/>
      <c r="BF109" s="72"/>
      <c r="BG109" s="72"/>
      <c r="BH109" s="72" t="s">
        <v>4443</v>
      </c>
    </row>
    <row r="110" spans="1:60">
      <c r="A110" s="944" t="s">
        <v>604</v>
      </c>
      <c r="B110" s="72"/>
      <c r="C110" s="72">
        <v>28</v>
      </c>
      <c r="D110" s="72"/>
      <c r="E110" s="72"/>
      <c r="F110" s="72"/>
      <c r="G110" s="72">
        <f t="shared" si="4"/>
        <v>84</v>
      </c>
      <c r="H110" s="72"/>
      <c r="I110" s="72">
        <f>C110</f>
        <v>28</v>
      </c>
      <c r="J110" s="72"/>
      <c r="K110" s="72"/>
      <c r="L110" s="72">
        <v>1</v>
      </c>
      <c r="M110" s="72"/>
      <c r="N110" s="72"/>
      <c r="O110" s="72"/>
      <c r="P110" s="72">
        <v>1</v>
      </c>
      <c r="Q110" s="72"/>
      <c r="R110" s="72"/>
      <c r="S110" s="72"/>
      <c r="T110" s="72"/>
      <c r="U110" s="72"/>
      <c r="V110" s="72"/>
      <c r="W110" s="72"/>
      <c r="X110" s="72"/>
      <c r="Y110" s="72"/>
      <c r="Z110" s="72"/>
      <c r="AA110" s="72">
        <v>1</v>
      </c>
      <c r="AB110" s="72"/>
      <c r="AC110" s="72"/>
      <c r="AD110" s="72"/>
      <c r="AE110" s="72"/>
      <c r="AF110" s="72">
        <v>3</v>
      </c>
      <c r="AG110" s="72"/>
      <c r="AH110" s="72"/>
      <c r="AI110" s="72"/>
      <c r="AJ110" s="72"/>
      <c r="AK110" s="72">
        <v>1</v>
      </c>
      <c r="AL110" s="72"/>
      <c r="AM110" s="72"/>
      <c r="AN110" s="72"/>
      <c r="AO110" s="72"/>
      <c r="AP110" s="72"/>
      <c r="AQ110" s="72"/>
      <c r="AR110" s="72"/>
      <c r="AS110" s="72">
        <v>1</v>
      </c>
      <c r="AT110" s="72"/>
      <c r="AU110" s="72"/>
      <c r="AV110" s="72"/>
      <c r="AW110" s="72"/>
      <c r="AX110" s="72"/>
      <c r="AY110" s="72"/>
      <c r="AZ110" s="72"/>
      <c r="BA110" s="72"/>
      <c r="BB110" s="72"/>
      <c r="BC110" s="72"/>
      <c r="BD110" s="72"/>
      <c r="BE110" s="72"/>
      <c r="BF110" s="72"/>
      <c r="BG110" s="72"/>
      <c r="BH110" s="72"/>
    </row>
    <row r="111" spans="1:60">
      <c r="A111" s="944" t="s">
        <v>605</v>
      </c>
      <c r="B111" s="72"/>
      <c r="C111" s="72">
        <v>60</v>
      </c>
      <c r="D111" s="72">
        <v>2</v>
      </c>
      <c r="E111" s="72"/>
      <c r="F111" s="72"/>
      <c r="G111" s="72">
        <f t="shared" si="4"/>
        <v>180</v>
      </c>
      <c r="H111" s="72"/>
      <c r="I111" s="72">
        <f>C111</f>
        <v>60</v>
      </c>
      <c r="J111" s="72"/>
      <c r="K111" s="72"/>
      <c r="L111" s="72" t="s">
        <v>5819</v>
      </c>
      <c r="M111" s="72"/>
      <c r="N111" s="72"/>
      <c r="O111" s="72"/>
      <c r="P111" s="72" t="s">
        <v>5819</v>
      </c>
      <c r="Q111" s="72"/>
      <c r="R111" s="72"/>
      <c r="S111" s="72"/>
      <c r="T111" s="72">
        <v>1</v>
      </c>
      <c r="U111" s="72"/>
      <c r="V111" s="72"/>
      <c r="W111" s="72"/>
      <c r="X111" s="72"/>
      <c r="Y111" s="72"/>
      <c r="Z111" s="72"/>
      <c r="AA111" s="72"/>
      <c r="AB111" s="72"/>
      <c r="AC111" s="72"/>
      <c r="AD111" s="72"/>
      <c r="AE111" s="72">
        <v>1</v>
      </c>
      <c r="AF111" s="72"/>
      <c r="AG111" s="72"/>
      <c r="AH111" s="72"/>
      <c r="AI111" s="72"/>
      <c r="AJ111" s="72"/>
      <c r="AK111" s="72">
        <v>1</v>
      </c>
      <c r="AL111" s="72"/>
      <c r="AM111" s="72"/>
      <c r="AN111" s="72"/>
      <c r="AO111" s="72"/>
      <c r="AP111" s="72"/>
      <c r="AQ111" s="72"/>
      <c r="AR111" s="72"/>
      <c r="AS111" s="72">
        <v>1</v>
      </c>
      <c r="AT111" s="72"/>
      <c r="AU111" s="72">
        <v>1</v>
      </c>
      <c r="AV111" s="72"/>
      <c r="AW111" s="72"/>
      <c r="AX111" s="72"/>
      <c r="AY111" s="72"/>
      <c r="AZ111" s="72"/>
      <c r="BA111" s="72">
        <v>1</v>
      </c>
      <c r="BB111" s="72"/>
      <c r="BC111" s="72"/>
      <c r="BD111" s="72"/>
      <c r="BE111" s="72"/>
      <c r="BF111" s="72"/>
      <c r="BG111" s="72"/>
      <c r="BH111" s="72" t="s">
        <v>5487</v>
      </c>
    </row>
    <row r="112" spans="1:60">
      <c r="A112" s="944" t="s">
        <v>606</v>
      </c>
      <c r="B112" s="72"/>
      <c r="C112" s="72">
        <v>60</v>
      </c>
      <c r="D112" s="72"/>
      <c r="E112" s="72"/>
      <c r="F112" s="72"/>
      <c r="G112" s="72">
        <f t="shared" si="4"/>
        <v>180</v>
      </c>
      <c r="H112" s="72"/>
      <c r="I112" s="72">
        <f>C112</f>
        <v>60</v>
      </c>
      <c r="J112" s="72"/>
      <c r="K112" s="72"/>
      <c r="L112" s="72" t="s">
        <v>5819</v>
      </c>
      <c r="M112" s="72"/>
      <c r="N112" s="72"/>
      <c r="O112" s="72"/>
      <c r="P112" s="72" t="s">
        <v>5819</v>
      </c>
      <c r="Q112" s="72"/>
      <c r="R112" s="72"/>
      <c r="S112" s="72"/>
      <c r="T112" s="72"/>
      <c r="U112" s="72"/>
      <c r="V112" s="72"/>
      <c r="W112" s="72"/>
      <c r="X112" s="72"/>
      <c r="Y112" s="72"/>
      <c r="Z112" s="72"/>
      <c r="AA112" s="72"/>
      <c r="AB112" s="72"/>
      <c r="AC112" s="72"/>
      <c r="AD112" s="72"/>
      <c r="AE112" s="72"/>
      <c r="AF112" s="72"/>
      <c r="AG112" s="72"/>
      <c r="AH112" s="72"/>
      <c r="AI112" s="72"/>
      <c r="AJ112" s="72"/>
      <c r="AK112" s="72">
        <v>1</v>
      </c>
      <c r="AL112" s="72"/>
      <c r="AM112" s="72"/>
      <c r="AN112" s="72"/>
      <c r="AO112" s="72"/>
      <c r="AP112" s="72"/>
      <c r="AQ112" s="72"/>
      <c r="AR112" s="72"/>
      <c r="AS112" s="72">
        <v>1</v>
      </c>
      <c r="AT112" s="72"/>
      <c r="AU112" s="72"/>
      <c r="AV112" s="72"/>
      <c r="AW112" s="72"/>
      <c r="AX112" s="72"/>
      <c r="AY112" s="72"/>
      <c r="AZ112" s="72"/>
      <c r="BA112" s="72"/>
      <c r="BB112" s="72"/>
      <c r="BC112" s="72"/>
      <c r="BD112" s="72"/>
      <c r="BE112" s="72"/>
      <c r="BF112" s="72"/>
      <c r="BG112" s="72"/>
      <c r="BH112" s="72"/>
    </row>
    <row r="113" spans="1:60">
      <c r="A113" s="944" t="s">
        <v>607</v>
      </c>
      <c r="B113" s="72"/>
      <c r="C113" s="72">
        <v>59</v>
      </c>
      <c r="D113" s="72"/>
      <c r="E113" s="72"/>
      <c r="F113" s="72"/>
      <c r="G113" s="72">
        <f t="shared" si="4"/>
        <v>177</v>
      </c>
      <c r="H113" s="72"/>
      <c r="I113" s="72">
        <f>C113+2</f>
        <v>61</v>
      </c>
      <c r="J113" s="72"/>
      <c r="K113" s="72"/>
      <c r="L113" s="72" t="s">
        <v>5819</v>
      </c>
      <c r="M113" s="72"/>
      <c r="N113" s="72"/>
      <c r="O113" s="72"/>
      <c r="P113" s="72" t="s">
        <v>5819</v>
      </c>
      <c r="Q113" s="72"/>
      <c r="R113" s="72"/>
      <c r="S113" s="72"/>
      <c r="T113" s="72"/>
      <c r="U113" s="72"/>
      <c r="V113" s="72"/>
      <c r="W113" s="72"/>
      <c r="X113" s="72"/>
      <c r="Y113" s="72"/>
      <c r="Z113" s="72"/>
      <c r="AA113" s="72"/>
      <c r="AB113" s="72"/>
      <c r="AC113" s="72"/>
      <c r="AD113" s="72"/>
      <c r="AE113" s="72"/>
      <c r="AF113" s="72"/>
      <c r="AG113" s="72"/>
      <c r="AH113" s="72"/>
      <c r="AI113" s="72"/>
      <c r="AJ113" s="72"/>
      <c r="AK113" s="72">
        <v>1</v>
      </c>
      <c r="AL113" s="72"/>
      <c r="AM113" s="72"/>
      <c r="AN113" s="72"/>
      <c r="AO113" s="72"/>
      <c r="AP113" s="72"/>
      <c r="AQ113" s="72"/>
      <c r="AR113" s="72"/>
      <c r="AS113" s="72">
        <v>1</v>
      </c>
      <c r="AT113" s="72"/>
      <c r="AU113" s="72"/>
      <c r="AV113" s="72"/>
      <c r="AW113" s="72"/>
      <c r="AX113" s="72"/>
      <c r="AY113" s="72"/>
      <c r="AZ113" s="72"/>
      <c r="BA113" s="72"/>
      <c r="BB113" s="72"/>
      <c r="BC113" s="72"/>
      <c r="BD113" s="72"/>
      <c r="BE113" s="72"/>
      <c r="BF113" s="72"/>
      <c r="BG113" s="72"/>
      <c r="BH113" s="72"/>
    </row>
    <row r="114" spans="1:60">
      <c r="A114" s="944" t="s">
        <v>621</v>
      </c>
      <c r="B114" s="72"/>
      <c r="C114" s="72">
        <v>34</v>
      </c>
      <c r="D114" s="72">
        <v>5</v>
      </c>
      <c r="E114" s="72"/>
      <c r="F114" s="72">
        <v>15</v>
      </c>
      <c r="G114" s="72">
        <f t="shared" si="4"/>
        <v>102</v>
      </c>
      <c r="H114" s="72"/>
      <c r="I114" s="72">
        <f>C114</f>
        <v>34</v>
      </c>
      <c r="J114" s="72"/>
      <c r="K114" s="72"/>
      <c r="L114" s="72" t="s">
        <v>5819</v>
      </c>
      <c r="M114" s="72"/>
      <c r="N114" s="72" t="s">
        <v>5819</v>
      </c>
      <c r="O114" s="72"/>
      <c r="P114" s="72"/>
      <c r="Q114" s="72"/>
      <c r="R114" s="72"/>
      <c r="S114" s="72"/>
      <c r="T114" s="72">
        <v>1</v>
      </c>
      <c r="U114" s="72"/>
      <c r="V114" s="72">
        <v>1</v>
      </c>
      <c r="W114" s="72"/>
      <c r="X114" s="72"/>
      <c r="Y114" s="72"/>
      <c r="Z114" s="72"/>
      <c r="AA114" s="72"/>
      <c r="AB114" s="72">
        <v>1</v>
      </c>
      <c r="AC114" s="72"/>
      <c r="AD114" s="72"/>
      <c r="AE114" s="72">
        <v>3</v>
      </c>
      <c r="AF114" s="72">
        <v>1</v>
      </c>
      <c r="AG114" s="72"/>
      <c r="AH114" s="72"/>
      <c r="AI114" s="72"/>
      <c r="AJ114" s="72"/>
      <c r="AK114" s="72">
        <v>1</v>
      </c>
      <c r="AL114" s="72"/>
      <c r="AM114" s="72"/>
      <c r="AN114" s="72"/>
      <c r="AO114" s="72"/>
      <c r="AP114" s="72"/>
      <c r="AQ114" s="72"/>
      <c r="AR114" s="72"/>
      <c r="AS114" s="72">
        <v>1</v>
      </c>
      <c r="AT114" s="72"/>
      <c r="AU114" s="72"/>
      <c r="AV114" s="72"/>
      <c r="AW114" s="72"/>
      <c r="AX114" s="72"/>
      <c r="AY114" s="72"/>
      <c r="AZ114" s="72">
        <v>3</v>
      </c>
      <c r="BA114" s="72">
        <v>1</v>
      </c>
      <c r="BB114" s="72">
        <v>3</v>
      </c>
      <c r="BC114" s="72"/>
      <c r="BD114" s="72">
        <v>1</v>
      </c>
      <c r="BE114" s="72">
        <v>1</v>
      </c>
      <c r="BF114" s="72"/>
      <c r="BG114" s="72"/>
      <c r="BH114" s="72" t="s">
        <v>4444</v>
      </c>
    </row>
    <row r="115" spans="1:60">
      <c r="A115" s="944" t="s">
        <v>608</v>
      </c>
      <c r="B115" s="72"/>
      <c r="C115" s="72">
        <v>26</v>
      </c>
      <c r="D115" s="72"/>
      <c r="E115" s="72"/>
      <c r="F115" s="72"/>
      <c r="G115" s="72">
        <f t="shared" si="4"/>
        <v>78</v>
      </c>
      <c r="H115" s="72"/>
      <c r="I115" s="72">
        <f>C115</f>
        <v>26</v>
      </c>
      <c r="J115" s="72"/>
      <c r="K115" s="72"/>
      <c r="L115" s="72" t="s">
        <v>5819</v>
      </c>
      <c r="M115" s="72"/>
      <c r="N115" s="72" t="s">
        <v>5819</v>
      </c>
      <c r="O115" s="72"/>
      <c r="P115" s="72"/>
      <c r="Q115" s="72"/>
      <c r="R115" s="72"/>
      <c r="S115" s="72"/>
      <c r="T115" s="72"/>
      <c r="U115" s="72"/>
      <c r="V115" s="72"/>
      <c r="W115" s="72"/>
      <c r="X115" s="72"/>
      <c r="Y115" s="72"/>
      <c r="Z115" s="72"/>
      <c r="AA115" s="72"/>
      <c r="AB115" s="72"/>
      <c r="AC115" s="72"/>
      <c r="AD115" s="72"/>
      <c r="AE115" s="72">
        <v>2</v>
      </c>
      <c r="AF115" s="72"/>
      <c r="AG115" s="72"/>
      <c r="AH115" s="72"/>
      <c r="AI115" s="72"/>
      <c r="AJ115" s="72"/>
      <c r="AK115" s="72">
        <v>1</v>
      </c>
      <c r="AL115" s="72"/>
      <c r="AM115" s="72"/>
      <c r="AN115" s="72"/>
      <c r="AO115" s="72"/>
      <c r="AP115" s="72"/>
      <c r="AQ115" s="72"/>
      <c r="AR115" s="72"/>
      <c r="AS115" s="72"/>
      <c r="AT115" s="72"/>
      <c r="AU115" s="72"/>
      <c r="AV115" s="72">
        <v>2</v>
      </c>
      <c r="AW115" s="72"/>
      <c r="AX115" s="72"/>
      <c r="AY115" s="72"/>
      <c r="AZ115" s="72"/>
      <c r="BA115" s="72"/>
      <c r="BB115" s="72"/>
      <c r="BC115" s="72"/>
      <c r="BD115" s="72"/>
      <c r="BE115" s="72"/>
      <c r="BF115" s="72"/>
      <c r="BG115" s="72"/>
      <c r="BH115" s="72"/>
    </row>
    <row r="116" spans="1:60">
      <c r="A116" s="944" t="s">
        <v>609</v>
      </c>
      <c r="B116" s="72"/>
      <c r="C116" s="72">
        <v>59</v>
      </c>
      <c r="D116" s="72"/>
      <c r="E116" s="72"/>
      <c r="F116" s="72"/>
      <c r="G116" s="72">
        <f t="shared" si="4"/>
        <v>177</v>
      </c>
      <c r="H116" s="72"/>
      <c r="I116" s="72">
        <f>C116</f>
        <v>59</v>
      </c>
      <c r="J116" s="72"/>
      <c r="K116" s="72"/>
      <c r="L116" s="72" t="s">
        <v>5819</v>
      </c>
      <c r="M116" s="72"/>
      <c r="N116" s="72"/>
      <c r="O116" s="72"/>
      <c r="P116" s="72" t="s">
        <v>5819</v>
      </c>
      <c r="Q116" s="72"/>
      <c r="R116" s="72"/>
      <c r="S116" s="72"/>
      <c r="T116" s="72"/>
      <c r="U116" s="72"/>
      <c r="V116" s="72"/>
      <c r="W116" s="72"/>
      <c r="X116" s="72"/>
      <c r="Y116" s="72"/>
      <c r="Z116" s="72"/>
      <c r="AA116" s="72"/>
      <c r="AB116" s="72"/>
      <c r="AC116" s="72"/>
      <c r="AD116" s="72"/>
      <c r="AE116" s="72"/>
      <c r="AF116" s="72"/>
      <c r="AG116" s="72"/>
      <c r="AH116" s="72"/>
      <c r="AI116" s="72"/>
      <c r="AJ116" s="72"/>
      <c r="AK116" s="72">
        <v>1</v>
      </c>
      <c r="AL116" s="72"/>
      <c r="AM116" s="72"/>
      <c r="AN116" s="72"/>
      <c r="AO116" s="72"/>
      <c r="AP116" s="72"/>
      <c r="AQ116" s="72"/>
      <c r="AR116" s="72"/>
      <c r="AS116" s="72">
        <v>1</v>
      </c>
      <c r="AT116" s="72"/>
      <c r="AU116" s="72"/>
      <c r="AV116" s="72"/>
      <c r="AW116" s="72"/>
      <c r="AX116" s="72"/>
      <c r="AY116" s="72"/>
      <c r="AZ116" s="72"/>
      <c r="BA116" s="72"/>
      <c r="BB116" s="72"/>
      <c r="BC116" s="72"/>
      <c r="BD116" s="72"/>
      <c r="BE116" s="72"/>
      <c r="BF116" s="72"/>
      <c r="BG116" s="72"/>
      <c r="BH116" s="72"/>
    </row>
    <row r="117" spans="1:60">
      <c r="A117" s="944" t="s">
        <v>610</v>
      </c>
      <c r="B117" s="72"/>
      <c r="C117" s="72">
        <v>61</v>
      </c>
      <c r="D117" s="72"/>
      <c r="E117" s="72"/>
      <c r="F117" s="72"/>
      <c r="G117" s="72">
        <f t="shared" si="4"/>
        <v>183</v>
      </c>
      <c r="H117" s="72"/>
      <c r="I117" s="72">
        <f>C117</f>
        <v>61</v>
      </c>
      <c r="J117" s="72"/>
      <c r="K117" s="72"/>
      <c r="L117" s="72" t="s">
        <v>5819</v>
      </c>
      <c r="M117" s="72"/>
      <c r="N117" s="72"/>
      <c r="O117" s="72"/>
      <c r="P117" s="72" t="s">
        <v>5819</v>
      </c>
      <c r="Q117" s="72"/>
      <c r="R117" s="72"/>
      <c r="S117" s="72"/>
      <c r="T117" s="72"/>
      <c r="U117" s="72"/>
      <c r="V117" s="72"/>
      <c r="W117" s="72"/>
      <c r="X117" s="72"/>
      <c r="Y117" s="72"/>
      <c r="Z117" s="72"/>
      <c r="AA117" s="72"/>
      <c r="AB117" s="72"/>
      <c r="AC117" s="72"/>
      <c r="AD117" s="72"/>
      <c r="AE117" s="72"/>
      <c r="AF117" s="72"/>
      <c r="AG117" s="72"/>
      <c r="AH117" s="72"/>
      <c r="AI117" s="72"/>
      <c r="AJ117" s="72"/>
      <c r="AK117" s="72">
        <v>1</v>
      </c>
      <c r="AL117" s="72"/>
      <c r="AM117" s="72"/>
      <c r="AN117" s="72"/>
      <c r="AO117" s="72"/>
      <c r="AP117" s="72"/>
      <c r="AQ117" s="72"/>
      <c r="AR117" s="72"/>
      <c r="AS117" s="72">
        <v>1</v>
      </c>
      <c r="AT117" s="72"/>
      <c r="AU117" s="72"/>
      <c r="AV117" s="72"/>
      <c r="AW117" s="72"/>
      <c r="AX117" s="72"/>
      <c r="AY117" s="72"/>
      <c r="AZ117" s="72"/>
      <c r="BA117" s="72"/>
      <c r="BB117" s="72"/>
      <c r="BC117" s="72"/>
      <c r="BD117" s="72"/>
      <c r="BE117" s="72"/>
      <c r="BF117" s="72"/>
      <c r="BG117" s="72"/>
      <c r="BH117" s="72"/>
    </row>
    <row r="118" spans="1:60">
      <c r="A118" s="944" t="s">
        <v>611</v>
      </c>
      <c r="B118" s="72"/>
      <c r="C118" s="72">
        <v>60</v>
      </c>
      <c r="D118" s="72"/>
      <c r="E118" s="72">
        <v>8</v>
      </c>
      <c r="F118" s="72"/>
      <c r="G118" s="72">
        <f t="shared" si="4"/>
        <v>180</v>
      </c>
      <c r="H118" s="72"/>
      <c r="I118" s="72">
        <f>C118</f>
        <v>60</v>
      </c>
      <c r="J118" s="72"/>
      <c r="K118" s="72"/>
      <c r="L118" s="72" t="s">
        <v>5819</v>
      </c>
      <c r="M118" s="72"/>
      <c r="N118" s="72"/>
      <c r="O118" s="72"/>
      <c r="P118" s="72" t="s">
        <v>5819</v>
      </c>
      <c r="Q118" s="72"/>
      <c r="R118" s="72"/>
      <c r="S118" s="72"/>
      <c r="T118" s="72"/>
      <c r="U118" s="72"/>
      <c r="V118" s="72"/>
      <c r="W118" s="72"/>
      <c r="X118" s="72"/>
      <c r="Y118" s="72"/>
      <c r="Z118" s="72"/>
      <c r="AA118" s="72"/>
      <c r="AB118" s="72">
        <v>1</v>
      </c>
      <c r="AC118" s="72"/>
      <c r="AD118" s="72"/>
      <c r="AE118" s="72"/>
      <c r="AF118" s="72"/>
      <c r="AG118" s="72"/>
      <c r="AH118" s="72"/>
      <c r="AI118" s="72"/>
      <c r="AJ118" s="72"/>
      <c r="AK118" s="72">
        <v>1</v>
      </c>
      <c r="AL118" s="72"/>
      <c r="AM118" s="72"/>
      <c r="AN118" s="72"/>
      <c r="AO118" s="72">
        <v>3</v>
      </c>
      <c r="AP118" s="72"/>
      <c r="AQ118" s="72"/>
      <c r="AR118" s="72"/>
      <c r="AS118" s="72">
        <v>1</v>
      </c>
      <c r="AT118" s="72"/>
      <c r="AU118" s="72"/>
      <c r="AV118" s="72"/>
      <c r="AW118" s="72"/>
      <c r="AX118" s="72"/>
      <c r="AY118" s="72"/>
      <c r="AZ118" s="72">
        <v>3</v>
      </c>
      <c r="BA118" s="72"/>
      <c r="BB118" s="72"/>
      <c r="BC118" s="72"/>
      <c r="BD118" s="72"/>
      <c r="BE118" s="72"/>
      <c r="BF118" s="72"/>
      <c r="BG118" s="72"/>
      <c r="BH118" s="72" t="s">
        <v>4445</v>
      </c>
    </row>
    <row r="119" spans="1:60">
      <c r="A119" s="944" t="s">
        <v>612</v>
      </c>
      <c r="B119" s="72"/>
      <c r="C119" s="72">
        <v>60</v>
      </c>
      <c r="D119" s="72"/>
      <c r="E119" s="72"/>
      <c r="F119" s="72"/>
      <c r="G119" s="72">
        <f t="shared" si="4"/>
        <v>180</v>
      </c>
      <c r="H119" s="72"/>
      <c r="I119" s="72">
        <f>C119+2</f>
        <v>62</v>
      </c>
      <c r="J119" s="72"/>
      <c r="K119" s="72"/>
      <c r="L119" s="72" t="s">
        <v>5819</v>
      </c>
      <c r="M119" s="72"/>
      <c r="N119" s="72"/>
      <c r="O119" s="72"/>
      <c r="P119" s="72" t="s">
        <v>5819</v>
      </c>
      <c r="Q119" s="72"/>
      <c r="R119" s="72"/>
      <c r="S119" s="72"/>
      <c r="T119" s="72"/>
      <c r="U119" s="72"/>
      <c r="V119" s="72"/>
      <c r="W119" s="72"/>
      <c r="X119" s="72"/>
      <c r="Y119" s="72"/>
      <c r="Z119" s="72"/>
      <c r="AA119" s="72"/>
      <c r="AB119" s="72"/>
      <c r="AC119" s="72"/>
      <c r="AD119" s="72"/>
      <c r="AE119" s="72"/>
      <c r="AF119" s="72"/>
      <c r="AG119" s="72"/>
      <c r="AH119" s="72"/>
      <c r="AI119" s="72"/>
      <c r="AJ119" s="72"/>
      <c r="AK119" s="72">
        <v>1</v>
      </c>
      <c r="AL119" s="72"/>
      <c r="AM119" s="72"/>
      <c r="AN119" s="72"/>
      <c r="AO119" s="72"/>
      <c r="AP119" s="72"/>
      <c r="AQ119" s="72"/>
      <c r="AR119" s="72"/>
      <c r="AS119" s="72">
        <v>1</v>
      </c>
      <c r="AT119" s="72"/>
      <c r="AU119" s="72"/>
      <c r="AV119" s="72"/>
      <c r="AW119" s="72"/>
      <c r="AX119" s="72"/>
      <c r="AY119" s="72"/>
      <c r="AZ119" s="72"/>
      <c r="BA119" s="72"/>
      <c r="BB119" s="72"/>
      <c r="BC119" s="72"/>
      <c r="BD119" s="72"/>
      <c r="BE119" s="72"/>
      <c r="BF119" s="72"/>
      <c r="BG119" s="72"/>
      <c r="BH119" s="72"/>
    </row>
    <row r="120" spans="1:60">
      <c r="A120" s="944" t="s">
        <v>613</v>
      </c>
      <c r="B120" s="72"/>
      <c r="C120" s="72">
        <v>60</v>
      </c>
      <c r="D120" s="72"/>
      <c r="E120" s="72"/>
      <c r="F120" s="72"/>
      <c r="G120" s="72">
        <f t="shared" si="4"/>
        <v>180</v>
      </c>
      <c r="H120" s="72"/>
      <c r="I120" s="72">
        <f t="shared" ref="I120:I125" si="5">C120</f>
        <v>60</v>
      </c>
      <c r="J120" s="72"/>
      <c r="K120" s="72"/>
      <c r="L120" s="72" t="s">
        <v>5819</v>
      </c>
      <c r="M120" s="72"/>
      <c r="N120" s="72"/>
      <c r="O120" s="72"/>
      <c r="P120" s="72" t="s">
        <v>5819</v>
      </c>
      <c r="Q120" s="72"/>
      <c r="R120" s="72"/>
      <c r="S120" s="72"/>
      <c r="T120" s="72"/>
      <c r="U120" s="72"/>
      <c r="V120" s="72"/>
      <c r="W120" s="72"/>
      <c r="X120" s="72"/>
      <c r="Y120" s="72"/>
      <c r="Z120" s="72"/>
      <c r="AA120" s="72"/>
      <c r="AB120" s="72"/>
      <c r="AC120" s="72"/>
      <c r="AD120" s="72"/>
      <c r="AE120" s="72"/>
      <c r="AF120" s="72"/>
      <c r="AG120" s="72"/>
      <c r="AH120" s="72"/>
      <c r="AI120" s="72"/>
      <c r="AJ120" s="72"/>
      <c r="AK120" s="72">
        <v>1</v>
      </c>
      <c r="AL120" s="72"/>
      <c r="AM120" s="72"/>
      <c r="AN120" s="72"/>
      <c r="AO120" s="72"/>
      <c r="AP120" s="72"/>
      <c r="AQ120" s="72"/>
      <c r="AR120" s="72"/>
      <c r="AS120" s="72">
        <v>1</v>
      </c>
      <c r="AT120" s="72"/>
      <c r="AU120" s="72"/>
      <c r="AV120" s="72"/>
      <c r="AW120" s="72"/>
      <c r="AX120" s="72"/>
      <c r="AY120" s="72"/>
      <c r="AZ120" s="72"/>
      <c r="BA120" s="72"/>
      <c r="BB120" s="72"/>
      <c r="BC120" s="72"/>
      <c r="BD120" s="72"/>
      <c r="BE120" s="72"/>
      <c r="BF120" s="72"/>
      <c r="BG120" s="72"/>
      <c r="BH120" s="72"/>
    </row>
    <row r="121" spans="1:60">
      <c r="A121" s="944" t="s">
        <v>614</v>
      </c>
      <c r="B121" s="72"/>
      <c r="C121" s="72">
        <v>60</v>
      </c>
      <c r="D121" s="72"/>
      <c r="E121" s="72"/>
      <c r="F121" s="72"/>
      <c r="G121" s="72">
        <f t="shared" si="4"/>
        <v>180</v>
      </c>
      <c r="H121" s="72"/>
      <c r="I121" s="72">
        <f t="shared" si="5"/>
        <v>60</v>
      </c>
      <c r="J121" s="72"/>
      <c r="K121" s="72"/>
      <c r="L121" s="72" t="s">
        <v>5819</v>
      </c>
      <c r="M121" s="72"/>
      <c r="N121" s="72"/>
      <c r="O121" s="72"/>
      <c r="P121" s="72" t="s">
        <v>5819</v>
      </c>
      <c r="Q121" s="72"/>
      <c r="R121" s="72"/>
      <c r="S121" s="72"/>
      <c r="T121" s="72"/>
      <c r="U121" s="72"/>
      <c r="V121" s="72"/>
      <c r="W121" s="72"/>
      <c r="X121" s="72"/>
      <c r="Y121" s="72"/>
      <c r="Z121" s="72"/>
      <c r="AA121" s="72"/>
      <c r="AB121" s="72"/>
      <c r="AC121" s="72"/>
      <c r="AD121" s="72"/>
      <c r="AE121" s="72"/>
      <c r="AF121" s="72"/>
      <c r="AG121" s="72"/>
      <c r="AH121" s="72"/>
      <c r="AI121" s="72"/>
      <c r="AJ121" s="72"/>
      <c r="AK121" s="72">
        <v>1</v>
      </c>
      <c r="AL121" s="72"/>
      <c r="AM121" s="72"/>
      <c r="AN121" s="72"/>
      <c r="AO121" s="72"/>
      <c r="AP121" s="72"/>
      <c r="AQ121" s="72"/>
      <c r="AR121" s="72"/>
      <c r="AS121" s="72">
        <v>1</v>
      </c>
      <c r="AT121" s="72"/>
      <c r="AU121" s="72"/>
      <c r="AV121" s="72"/>
      <c r="AW121" s="72"/>
      <c r="AX121" s="72"/>
      <c r="AY121" s="72"/>
      <c r="AZ121" s="72"/>
      <c r="BA121" s="72"/>
      <c r="BB121" s="72"/>
      <c r="BC121" s="72"/>
      <c r="BD121" s="72"/>
      <c r="BE121" s="72"/>
      <c r="BF121" s="72"/>
      <c r="BG121" s="72"/>
      <c r="BH121" s="72"/>
    </row>
    <row r="122" spans="1:60">
      <c r="A122" s="944" t="s">
        <v>615</v>
      </c>
      <c r="B122" s="72"/>
      <c r="C122" s="72">
        <v>59</v>
      </c>
      <c r="D122" s="72"/>
      <c r="E122" s="72"/>
      <c r="F122" s="72"/>
      <c r="G122" s="72">
        <f t="shared" si="4"/>
        <v>177</v>
      </c>
      <c r="H122" s="72"/>
      <c r="I122" s="72">
        <f t="shared" si="5"/>
        <v>59</v>
      </c>
      <c r="J122" s="72"/>
      <c r="K122" s="72"/>
      <c r="L122" s="72" t="s">
        <v>5819</v>
      </c>
      <c r="M122" s="72"/>
      <c r="N122" s="72"/>
      <c r="O122" s="72"/>
      <c r="P122" s="72" t="s">
        <v>5819</v>
      </c>
      <c r="Q122" s="72"/>
      <c r="R122" s="72"/>
      <c r="S122" s="72"/>
      <c r="T122" s="72"/>
      <c r="U122" s="72"/>
      <c r="V122" s="72"/>
      <c r="W122" s="72"/>
      <c r="X122" s="72"/>
      <c r="Y122" s="72"/>
      <c r="Z122" s="72"/>
      <c r="AA122" s="72"/>
      <c r="AB122" s="72"/>
      <c r="AC122" s="72"/>
      <c r="AD122" s="72"/>
      <c r="AE122" s="72"/>
      <c r="AF122" s="72"/>
      <c r="AG122" s="72"/>
      <c r="AH122" s="72"/>
      <c r="AI122" s="72"/>
      <c r="AJ122" s="72"/>
      <c r="AK122" s="72">
        <v>1</v>
      </c>
      <c r="AL122" s="72"/>
      <c r="AM122" s="72"/>
      <c r="AN122" s="72"/>
      <c r="AO122" s="72"/>
      <c r="AP122" s="72"/>
      <c r="AQ122" s="72"/>
      <c r="AR122" s="72"/>
      <c r="AS122" s="72">
        <v>1</v>
      </c>
      <c r="AT122" s="72"/>
      <c r="AU122" s="72"/>
      <c r="AV122" s="72"/>
      <c r="AW122" s="72"/>
      <c r="AX122" s="72"/>
      <c r="AY122" s="72"/>
      <c r="AZ122" s="72"/>
      <c r="BA122" s="72"/>
      <c r="BB122" s="72"/>
      <c r="BC122" s="72"/>
      <c r="BD122" s="72"/>
      <c r="BE122" s="72"/>
      <c r="BF122" s="72"/>
      <c r="BG122" s="72"/>
      <c r="BH122" s="72"/>
    </row>
    <row r="123" spans="1:60">
      <c r="A123" s="944" t="s">
        <v>616</v>
      </c>
      <c r="B123" s="72"/>
      <c r="C123" s="72">
        <v>69</v>
      </c>
      <c r="D123" s="72"/>
      <c r="E123" s="72"/>
      <c r="F123" s="72"/>
      <c r="G123" s="72">
        <f t="shared" si="4"/>
        <v>207</v>
      </c>
      <c r="H123" s="72"/>
      <c r="I123" s="72">
        <f t="shared" si="5"/>
        <v>69</v>
      </c>
      <c r="J123" s="72"/>
      <c r="K123" s="72"/>
      <c r="L123" s="72" t="s">
        <v>5819</v>
      </c>
      <c r="M123" s="72"/>
      <c r="N123" s="72"/>
      <c r="O123" s="72"/>
      <c r="P123" s="72" t="s">
        <v>5819</v>
      </c>
      <c r="Q123" s="72"/>
      <c r="R123" s="72"/>
      <c r="S123" s="72"/>
      <c r="T123" s="72"/>
      <c r="U123" s="72"/>
      <c r="V123" s="72"/>
      <c r="W123" s="72"/>
      <c r="X123" s="72"/>
      <c r="Y123" s="72"/>
      <c r="Z123" s="72"/>
      <c r="AA123" s="72"/>
      <c r="AB123" s="72"/>
      <c r="AC123" s="72"/>
      <c r="AD123" s="72"/>
      <c r="AE123" s="72"/>
      <c r="AF123" s="72"/>
      <c r="AG123" s="72"/>
      <c r="AH123" s="72"/>
      <c r="AI123" s="72"/>
      <c r="AJ123" s="72"/>
      <c r="AK123" s="72">
        <v>1</v>
      </c>
      <c r="AL123" s="72"/>
      <c r="AM123" s="72"/>
      <c r="AN123" s="72"/>
      <c r="AO123" s="72"/>
      <c r="AP123" s="72"/>
      <c r="AQ123" s="72"/>
      <c r="AR123" s="72"/>
      <c r="AS123" s="72">
        <v>1</v>
      </c>
      <c r="AT123" s="72"/>
      <c r="AU123" s="72"/>
      <c r="AV123" s="72"/>
      <c r="AW123" s="72"/>
      <c r="AX123" s="72"/>
      <c r="AY123" s="72"/>
      <c r="AZ123" s="72"/>
      <c r="BA123" s="72"/>
      <c r="BB123" s="72"/>
      <c r="BC123" s="72"/>
      <c r="BD123" s="72"/>
      <c r="BE123" s="72"/>
      <c r="BF123" s="72"/>
      <c r="BG123" s="72"/>
      <c r="BH123" s="72"/>
    </row>
    <row r="124" spans="1:60">
      <c r="A124" s="944" t="s">
        <v>617</v>
      </c>
      <c r="B124" s="72"/>
      <c r="C124" s="72">
        <v>50</v>
      </c>
      <c r="D124" s="72"/>
      <c r="E124" s="72"/>
      <c r="F124" s="72"/>
      <c r="G124" s="72">
        <f t="shared" si="4"/>
        <v>150</v>
      </c>
      <c r="H124" s="72"/>
      <c r="I124" s="72">
        <f t="shared" si="5"/>
        <v>50</v>
      </c>
      <c r="J124" s="72"/>
      <c r="K124" s="72"/>
      <c r="L124" s="72" t="s">
        <v>5819</v>
      </c>
      <c r="M124" s="72"/>
      <c r="N124" s="72"/>
      <c r="O124" s="72"/>
      <c r="P124" s="72" t="s">
        <v>5819</v>
      </c>
      <c r="Q124" s="72"/>
      <c r="R124" s="72"/>
      <c r="S124" s="72"/>
      <c r="T124" s="72"/>
      <c r="U124" s="72"/>
      <c r="V124" s="72"/>
      <c r="W124" s="72"/>
      <c r="X124" s="72"/>
      <c r="Y124" s="72"/>
      <c r="Z124" s="72"/>
      <c r="AA124" s="72"/>
      <c r="AB124" s="72"/>
      <c r="AC124" s="72"/>
      <c r="AD124" s="72"/>
      <c r="AE124" s="72"/>
      <c r="AF124" s="72"/>
      <c r="AG124" s="72"/>
      <c r="AH124" s="72"/>
      <c r="AI124" s="72"/>
      <c r="AJ124" s="72"/>
      <c r="AK124" s="72">
        <v>1</v>
      </c>
      <c r="AL124" s="72"/>
      <c r="AM124" s="72"/>
      <c r="AN124" s="72"/>
      <c r="AO124" s="72"/>
      <c r="AP124" s="72"/>
      <c r="AQ124" s="72"/>
      <c r="AR124" s="72"/>
      <c r="AS124" s="72">
        <v>1</v>
      </c>
      <c r="AT124" s="72"/>
      <c r="AU124" s="72"/>
      <c r="AV124" s="72"/>
      <c r="AW124" s="72"/>
      <c r="AX124" s="72"/>
      <c r="AY124" s="72"/>
      <c r="AZ124" s="72"/>
      <c r="BA124" s="72"/>
      <c r="BB124" s="72"/>
      <c r="BC124" s="72"/>
      <c r="BD124" s="72"/>
      <c r="BE124" s="72"/>
      <c r="BF124" s="72"/>
      <c r="BG124" s="72"/>
      <c r="BH124" s="72"/>
    </row>
    <row r="125" spans="1:60">
      <c r="A125" s="944" t="s">
        <v>618</v>
      </c>
      <c r="B125" s="72"/>
      <c r="C125" s="72">
        <v>59</v>
      </c>
      <c r="D125" s="72">
        <v>4</v>
      </c>
      <c r="E125" s="72"/>
      <c r="F125" s="72"/>
      <c r="G125" s="72">
        <f t="shared" si="4"/>
        <v>177</v>
      </c>
      <c r="H125" s="72"/>
      <c r="I125" s="72">
        <f t="shared" si="5"/>
        <v>59</v>
      </c>
      <c r="J125" s="72"/>
      <c r="K125" s="72"/>
      <c r="L125" s="72" t="s">
        <v>5819</v>
      </c>
      <c r="M125" s="72"/>
      <c r="N125" s="72"/>
      <c r="O125" s="72"/>
      <c r="P125" s="72" t="s">
        <v>5819</v>
      </c>
      <c r="Q125" s="72"/>
      <c r="R125" s="72"/>
      <c r="S125" s="72"/>
      <c r="T125" s="72">
        <v>1</v>
      </c>
      <c r="U125" s="72"/>
      <c r="V125" s="72"/>
      <c r="W125" s="72"/>
      <c r="X125" s="72"/>
      <c r="Y125" s="72"/>
      <c r="Z125" s="72"/>
      <c r="AA125" s="72"/>
      <c r="AB125" s="72"/>
      <c r="AC125" s="72"/>
      <c r="AD125" s="72"/>
      <c r="AE125" s="72"/>
      <c r="AF125" s="72"/>
      <c r="AG125" s="72"/>
      <c r="AH125" s="72"/>
      <c r="AI125" s="72"/>
      <c r="AJ125" s="72"/>
      <c r="AK125" s="72">
        <v>1</v>
      </c>
      <c r="AL125" s="72"/>
      <c r="AM125" s="72"/>
      <c r="AN125" s="72"/>
      <c r="AO125" s="72"/>
      <c r="AP125" s="72"/>
      <c r="AQ125" s="72"/>
      <c r="AR125" s="72"/>
      <c r="AS125" s="72">
        <v>1</v>
      </c>
      <c r="AT125" s="72"/>
      <c r="AU125" s="72"/>
      <c r="AV125" s="72"/>
      <c r="AW125" s="72"/>
      <c r="AX125" s="72"/>
      <c r="AY125" s="72"/>
      <c r="AZ125" s="72"/>
      <c r="BA125" s="72">
        <v>1</v>
      </c>
      <c r="BB125" s="72">
        <v>1</v>
      </c>
      <c r="BC125" s="72"/>
      <c r="BD125" s="72"/>
      <c r="BE125" s="72"/>
      <c r="BF125" s="72"/>
      <c r="BG125" s="72"/>
      <c r="BH125" s="72" t="s">
        <v>4446</v>
      </c>
    </row>
    <row r="126" spans="1:60">
      <c r="A126" s="944" t="s">
        <v>619</v>
      </c>
      <c r="B126" s="72"/>
      <c r="C126" s="72">
        <v>73</v>
      </c>
      <c r="D126" s="72"/>
      <c r="E126" s="72"/>
      <c r="F126" s="72"/>
      <c r="G126" s="72">
        <f t="shared" si="4"/>
        <v>219</v>
      </c>
      <c r="H126" s="72"/>
      <c r="I126" s="72">
        <f>C126+2</f>
        <v>75</v>
      </c>
      <c r="J126" s="72"/>
      <c r="K126" s="72"/>
      <c r="L126" s="72" t="s">
        <v>5819</v>
      </c>
      <c r="M126" s="72"/>
      <c r="N126" s="72" t="s">
        <v>5819</v>
      </c>
      <c r="O126" s="72"/>
      <c r="P126" s="72"/>
      <c r="Q126" s="72"/>
      <c r="R126" s="72"/>
      <c r="S126" s="72"/>
      <c r="T126" s="72"/>
      <c r="U126" s="72"/>
      <c r="V126" s="72"/>
      <c r="W126" s="72"/>
      <c r="X126" s="72"/>
      <c r="Y126" s="72"/>
      <c r="Z126" s="72"/>
      <c r="AA126" s="72"/>
      <c r="AB126" s="72"/>
      <c r="AC126" s="72"/>
      <c r="AD126" s="72"/>
      <c r="AE126" s="72"/>
      <c r="AF126" s="72"/>
      <c r="AG126" s="72"/>
      <c r="AH126" s="72">
        <v>1</v>
      </c>
      <c r="AI126" s="72"/>
      <c r="AJ126" s="72"/>
      <c r="AK126" s="72"/>
      <c r="AL126" s="72"/>
      <c r="AM126" s="72"/>
      <c r="AN126" s="72"/>
      <c r="AO126" s="72"/>
      <c r="AP126" s="72"/>
      <c r="AQ126" s="72"/>
      <c r="AR126" s="72"/>
      <c r="AS126" s="72"/>
      <c r="AT126" s="72"/>
      <c r="AU126" s="72"/>
      <c r="AV126" s="72">
        <v>1</v>
      </c>
      <c r="AW126" s="72"/>
      <c r="AX126" s="72"/>
      <c r="AY126" s="72"/>
      <c r="AZ126" s="72"/>
      <c r="BA126" s="72"/>
      <c r="BB126" s="72"/>
      <c r="BC126" s="72"/>
      <c r="BD126" s="72"/>
      <c r="BE126" s="72"/>
      <c r="BF126" s="72"/>
      <c r="BG126" s="72"/>
      <c r="BH126" s="72"/>
    </row>
    <row r="127" spans="1:60" s="1372" customFormat="1" ht="20.100000000000001" customHeight="1">
      <c r="A127" s="1394" t="s">
        <v>5817</v>
      </c>
      <c r="B127" s="1395"/>
      <c r="C127" s="1396">
        <f>SUM(C104:C126)</f>
        <v>1179</v>
      </c>
      <c r="D127" s="1396">
        <f t="shared" ref="D127:AK127" si="6">SUM(D104:D126)</f>
        <v>28</v>
      </c>
      <c r="E127" s="1396">
        <f t="shared" si="6"/>
        <v>8</v>
      </c>
      <c r="F127" s="1396">
        <f t="shared" si="6"/>
        <v>45</v>
      </c>
      <c r="G127" s="1396">
        <f t="shared" si="6"/>
        <v>3537</v>
      </c>
      <c r="H127" s="1396">
        <f t="shared" si="6"/>
        <v>0</v>
      </c>
      <c r="I127" s="1396">
        <f t="shared" si="6"/>
        <v>1187</v>
      </c>
      <c r="J127" s="1396">
        <f t="shared" si="6"/>
        <v>0</v>
      </c>
      <c r="K127" s="1396">
        <f t="shared" si="6"/>
        <v>0</v>
      </c>
      <c r="L127" s="1396">
        <f t="shared" si="6"/>
        <v>2</v>
      </c>
      <c r="M127" s="1396">
        <f t="shared" si="6"/>
        <v>0</v>
      </c>
      <c r="N127" s="1396">
        <f t="shared" si="6"/>
        <v>0</v>
      </c>
      <c r="O127" s="1396">
        <f t="shared" si="6"/>
        <v>0</v>
      </c>
      <c r="P127" s="1396">
        <f t="shared" si="6"/>
        <v>2</v>
      </c>
      <c r="Q127" s="1396">
        <f>SUM(Q104:Q126)</f>
        <v>0</v>
      </c>
      <c r="R127" s="1396">
        <f>SUM(R104:R126)</f>
        <v>0</v>
      </c>
      <c r="S127" s="1396">
        <f>SUM(S104:S126)</f>
        <v>0</v>
      </c>
      <c r="T127" s="1396">
        <f>SUM(T104:T126)</f>
        <v>3</v>
      </c>
      <c r="U127" s="1396">
        <f t="shared" si="6"/>
        <v>1</v>
      </c>
      <c r="V127" s="1396">
        <f t="shared" si="6"/>
        <v>3</v>
      </c>
      <c r="W127" s="1396">
        <f t="shared" si="6"/>
        <v>0</v>
      </c>
      <c r="X127" s="1396">
        <f t="shared" si="6"/>
        <v>0</v>
      </c>
      <c r="Y127" s="1396">
        <f t="shared" si="6"/>
        <v>0</v>
      </c>
      <c r="Z127" s="1396">
        <f t="shared" si="6"/>
        <v>0</v>
      </c>
      <c r="AA127" s="1396">
        <f t="shared" si="6"/>
        <v>2</v>
      </c>
      <c r="AB127" s="1396">
        <f t="shared" si="6"/>
        <v>2</v>
      </c>
      <c r="AC127" s="1396">
        <f t="shared" si="6"/>
        <v>1</v>
      </c>
      <c r="AD127" s="1396">
        <f t="shared" si="6"/>
        <v>0</v>
      </c>
      <c r="AE127" s="1396">
        <f t="shared" si="6"/>
        <v>6</v>
      </c>
      <c r="AF127" s="1396">
        <f t="shared" si="6"/>
        <v>7</v>
      </c>
      <c r="AG127" s="1396">
        <f t="shared" si="6"/>
        <v>0</v>
      </c>
      <c r="AH127" s="1396">
        <f t="shared" si="6"/>
        <v>4</v>
      </c>
      <c r="AI127" s="1396">
        <f t="shared" si="6"/>
        <v>0</v>
      </c>
      <c r="AJ127" s="1396">
        <f t="shared" si="6"/>
        <v>0</v>
      </c>
      <c r="AK127" s="1396">
        <f t="shared" si="6"/>
        <v>20</v>
      </c>
      <c r="AL127" s="1396">
        <f t="shared" ref="AL127:BH127" si="7">SUM(AL104:AL126)</f>
        <v>0</v>
      </c>
      <c r="AM127" s="1396">
        <f t="shared" si="7"/>
        <v>0</v>
      </c>
      <c r="AN127" s="1396">
        <f t="shared" si="7"/>
        <v>0</v>
      </c>
      <c r="AO127" s="1396">
        <f t="shared" si="7"/>
        <v>3</v>
      </c>
      <c r="AP127" s="1396">
        <f t="shared" si="7"/>
        <v>0</v>
      </c>
      <c r="AQ127" s="1396">
        <f t="shared" si="7"/>
        <v>0</v>
      </c>
      <c r="AR127" s="1396">
        <f t="shared" si="7"/>
        <v>0</v>
      </c>
      <c r="AS127" s="1396">
        <f t="shared" si="7"/>
        <v>19</v>
      </c>
      <c r="AT127" s="1396">
        <f t="shared" si="7"/>
        <v>0</v>
      </c>
      <c r="AU127" s="1396">
        <f t="shared" si="7"/>
        <v>2</v>
      </c>
      <c r="AV127" s="1396">
        <f t="shared" si="7"/>
        <v>5</v>
      </c>
      <c r="AW127" s="1396">
        <f t="shared" si="7"/>
        <v>0</v>
      </c>
      <c r="AX127" s="1396">
        <f t="shared" si="7"/>
        <v>0</v>
      </c>
      <c r="AY127" s="1396">
        <f t="shared" si="7"/>
        <v>0</v>
      </c>
      <c r="AZ127" s="1396">
        <f t="shared" si="7"/>
        <v>6</v>
      </c>
      <c r="BA127" s="1396">
        <f t="shared" si="7"/>
        <v>8</v>
      </c>
      <c r="BB127" s="1396">
        <f t="shared" si="7"/>
        <v>8</v>
      </c>
      <c r="BC127" s="1396">
        <f t="shared" si="7"/>
        <v>1</v>
      </c>
      <c r="BD127" s="1396">
        <f t="shared" si="7"/>
        <v>3</v>
      </c>
      <c r="BE127" s="1396">
        <f t="shared" si="7"/>
        <v>2</v>
      </c>
      <c r="BF127" s="1396">
        <f t="shared" si="7"/>
        <v>0</v>
      </c>
      <c r="BG127" s="1396">
        <f t="shared" si="7"/>
        <v>0</v>
      </c>
      <c r="BH127" s="1396">
        <f t="shared" si="7"/>
        <v>0</v>
      </c>
    </row>
    <row r="128" spans="1:60" ht="3" customHeight="1">
      <c r="A128" s="2081" t="s">
        <v>1208</v>
      </c>
      <c r="B128" s="2082"/>
      <c r="C128" s="945"/>
      <c r="D128" s="945"/>
      <c r="E128" s="945"/>
      <c r="F128" s="946"/>
      <c r="G128" s="946"/>
      <c r="H128" s="946"/>
      <c r="I128" s="946"/>
      <c r="J128" s="946"/>
      <c r="K128" s="945"/>
      <c r="L128" s="947"/>
      <c r="M128" s="947"/>
      <c r="N128" s="947"/>
      <c r="O128" s="947"/>
      <c r="P128" s="947"/>
      <c r="Q128" s="947"/>
      <c r="R128" s="947"/>
      <c r="S128" s="947"/>
      <c r="T128" s="948"/>
      <c r="U128" s="1471"/>
      <c r="V128" s="1471"/>
      <c r="W128" s="1471"/>
      <c r="X128" s="1471"/>
      <c r="Y128" s="1471"/>
      <c r="Z128" s="1471"/>
      <c r="AA128" s="1471"/>
      <c r="AB128" s="1471"/>
      <c r="AC128" s="1471"/>
      <c r="AD128" s="948"/>
      <c r="AE128" s="948"/>
      <c r="AF128" s="948"/>
      <c r="AG128" s="948"/>
      <c r="AH128" s="948"/>
      <c r="AI128" s="948"/>
      <c r="AJ128" s="948"/>
      <c r="AK128" s="948"/>
      <c r="AL128" s="948"/>
      <c r="AM128" s="948"/>
      <c r="AN128" s="948"/>
      <c r="AO128" s="948"/>
      <c r="AP128" s="948"/>
      <c r="AQ128" s="948"/>
      <c r="AR128" s="948"/>
      <c r="AS128" s="948"/>
      <c r="AT128" s="948"/>
      <c r="AU128" s="948"/>
      <c r="AV128" s="948"/>
      <c r="AW128" s="948"/>
      <c r="AX128" s="948"/>
      <c r="AY128" s="948"/>
      <c r="AZ128" s="948"/>
      <c r="BA128" s="948"/>
      <c r="BB128" s="948"/>
      <c r="BC128" s="948"/>
      <c r="BD128" s="948"/>
      <c r="BE128" s="948"/>
      <c r="BF128" s="948"/>
      <c r="BG128" s="948"/>
      <c r="BH128" s="949"/>
    </row>
    <row r="129" spans="1:60" s="631" customFormat="1" ht="30" customHeight="1">
      <c r="A129" s="2083"/>
      <c r="B129" s="2084"/>
      <c r="C129" s="1397">
        <f>C101+C127</f>
        <v>3604</v>
      </c>
      <c r="D129" s="1397">
        <f t="shared" ref="D129:BH129" si="8">D101+D127</f>
        <v>28</v>
      </c>
      <c r="E129" s="1397">
        <f t="shared" si="8"/>
        <v>102</v>
      </c>
      <c r="F129" s="1397">
        <f t="shared" si="8"/>
        <v>60</v>
      </c>
      <c r="G129" s="1397">
        <f>G101+G127</f>
        <v>18087</v>
      </c>
      <c r="H129" s="1397">
        <f>H101+H127</f>
        <v>2425</v>
      </c>
      <c r="I129" s="1397">
        <f t="shared" si="8"/>
        <v>1187</v>
      </c>
      <c r="J129" s="1397">
        <f t="shared" si="8"/>
        <v>0</v>
      </c>
      <c r="K129" s="1397">
        <f t="shared" si="8"/>
        <v>0</v>
      </c>
      <c r="L129" s="1397">
        <f t="shared" si="8"/>
        <v>20</v>
      </c>
      <c r="M129" s="1397">
        <f t="shared" si="8"/>
        <v>0</v>
      </c>
      <c r="N129" s="1397">
        <f t="shared" si="8"/>
        <v>0</v>
      </c>
      <c r="O129" s="1397">
        <f t="shared" si="8"/>
        <v>0</v>
      </c>
      <c r="P129" s="1397">
        <f t="shared" si="8"/>
        <v>14</v>
      </c>
      <c r="Q129" s="1397">
        <f t="shared" si="8"/>
        <v>6</v>
      </c>
      <c r="R129" s="1397">
        <f t="shared" si="8"/>
        <v>0</v>
      </c>
      <c r="S129" s="1397">
        <f t="shared" si="8"/>
        <v>6</v>
      </c>
      <c r="T129" s="1397">
        <f t="shared" si="8"/>
        <v>4</v>
      </c>
      <c r="U129" s="1397">
        <f t="shared" si="8"/>
        <v>5</v>
      </c>
      <c r="V129" s="1397">
        <f t="shared" si="8"/>
        <v>9</v>
      </c>
      <c r="W129" s="1397">
        <f t="shared" si="8"/>
        <v>8</v>
      </c>
      <c r="X129" s="1397">
        <f t="shared" si="8"/>
        <v>9</v>
      </c>
      <c r="Y129" s="1397">
        <f t="shared" si="8"/>
        <v>3</v>
      </c>
      <c r="Z129" s="1397">
        <f t="shared" si="8"/>
        <v>1</v>
      </c>
      <c r="AA129" s="1397">
        <f t="shared" si="8"/>
        <v>26</v>
      </c>
      <c r="AB129" s="1397">
        <f t="shared" si="8"/>
        <v>16</v>
      </c>
      <c r="AC129" s="1397">
        <f t="shared" si="8"/>
        <v>3</v>
      </c>
      <c r="AD129" s="1397">
        <f t="shared" si="8"/>
        <v>0</v>
      </c>
      <c r="AE129" s="1397">
        <f t="shared" si="8"/>
        <v>49</v>
      </c>
      <c r="AF129" s="1397">
        <f t="shared" si="8"/>
        <v>116</v>
      </c>
      <c r="AG129" s="1397">
        <f t="shared" si="8"/>
        <v>0</v>
      </c>
      <c r="AH129" s="1397">
        <f t="shared" si="8"/>
        <v>18</v>
      </c>
      <c r="AI129" s="1397">
        <f t="shared" si="8"/>
        <v>0</v>
      </c>
      <c r="AJ129" s="1397">
        <f t="shared" si="8"/>
        <v>0</v>
      </c>
      <c r="AK129" s="1397">
        <f t="shared" si="8"/>
        <v>60</v>
      </c>
      <c r="AL129" s="1397">
        <f t="shared" si="8"/>
        <v>0</v>
      </c>
      <c r="AM129" s="1397">
        <f t="shared" si="8"/>
        <v>0</v>
      </c>
      <c r="AN129" s="1397">
        <f t="shared" si="8"/>
        <v>0</v>
      </c>
      <c r="AO129" s="1397">
        <f t="shared" si="8"/>
        <v>26</v>
      </c>
      <c r="AP129" s="1397">
        <f t="shared" si="8"/>
        <v>0</v>
      </c>
      <c r="AQ129" s="1397">
        <f t="shared" si="8"/>
        <v>0</v>
      </c>
      <c r="AR129" s="1397">
        <f t="shared" si="8"/>
        <v>0</v>
      </c>
      <c r="AS129" s="1397">
        <f t="shared" si="8"/>
        <v>59</v>
      </c>
      <c r="AT129" s="1397">
        <f t="shared" si="8"/>
        <v>0</v>
      </c>
      <c r="AU129" s="1397">
        <f t="shared" si="8"/>
        <v>16</v>
      </c>
      <c r="AV129" s="1397">
        <f t="shared" si="8"/>
        <v>5</v>
      </c>
      <c r="AW129" s="1397">
        <f t="shared" si="8"/>
        <v>0</v>
      </c>
      <c r="AX129" s="1397">
        <f t="shared" si="8"/>
        <v>0</v>
      </c>
      <c r="AY129" s="1397">
        <f t="shared" si="8"/>
        <v>0</v>
      </c>
      <c r="AZ129" s="1397">
        <f t="shared" si="8"/>
        <v>15</v>
      </c>
      <c r="BA129" s="1397">
        <f t="shared" si="8"/>
        <v>26</v>
      </c>
      <c r="BB129" s="1397">
        <f t="shared" si="8"/>
        <v>29</v>
      </c>
      <c r="BC129" s="1397">
        <f t="shared" si="8"/>
        <v>5</v>
      </c>
      <c r="BD129" s="1397">
        <f t="shared" si="8"/>
        <v>8</v>
      </c>
      <c r="BE129" s="1397">
        <f t="shared" si="8"/>
        <v>4</v>
      </c>
      <c r="BF129" s="1397">
        <f t="shared" si="8"/>
        <v>0</v>
      </c>
      <c r="BG129" s="1397">
        <f t="shared" si="8"/>
        <v>0</v>
      </c>
      <c r="BH129" s="1397">
        <f t="shared" si="8"/>
        <v>0</v>
      </c>
    </row>
    <row r="130" spans="1:60" ht="10.5" customHeight="1">
      <c r="A130" s="40"/>
      <c r="B130" s="52"/>
      <c r="C130" s="40"/>
      <c r="D130" s="40"/>
      <c r="E130" s="40"/>
      <c r="F130" s="40"/>
      <c r="G130" s="40"/>
      <c r="H130" s="40"/>
      <c r="I130" s="40"/>
      <c r="J130" s="40"/>
      <c r="K130" s="40"/>
      <c r="L130" s="40"/>
      <c r="M130" s="40"/>
    </row>
    <row r="131" spans="1:60">
      <c r="A131" s="2075" t="s">
        <v>3844</v>
      </c>
      <c r="B131" s="2075"/>
      <c r="C131" s="2075"/>
      <c r="D131" s="1366"/>
      <c r="E131" s="1366"/>
      <c r="F131" s="40"/>
      <c r="G131" s="40"/>
      <c r="H131" s="40"/>
      <c r="I131" s="40"/>
      <c r="J131" s="40"/>
      <c r="K131" s="40"/>
      <c r="L131" s="40"/>
      <c r="M131" s="40"/>
    </row>
    <row r="132" spans="1:60">
      <c r="A132" s="2073" t="s">
        <v>3845</v>
      </c>
      <c r="B132" s="2073"/>
      <c r="C132" s="2073"/>
      <c r="D132" s="52"/>
      <c r="E132" s="52"/>
    </row>
    <row r="133" spans="1:60">
      <c r="A133" s="40"/>
      <c r="B133" s="52"/>
      <c r="C133" s="40"/>
      <c r="D133" s="40"/>
      <c r="E133" s="40"/>
      <c r="F133" s="41"/>
      <c r="G133" s="41" t="str">
        <f>+ROUND(G129,0)&amp;"m x 1,02 ="</f>
        <v>18087m x 1,02 =</v>
      </c>
      <c r="H133" s="41"/>
      <c r="I133" s="1371">
        <f>+ROUND(+G129*1.02,0)</f>
        <v>18449</v>
      </c>
      <c r="J133" s="43" t="s">
        <v>5488</v>
      </c>
      <c r="N133" s="40"/>
      <c r="O133" s="40"/>
      <c r="P133" s="40"/>
      <c r="Q133" s="40"/>
      <c r="R133" s="40"/>
      <c r="S133" s="40"/>
    </row>
    <row r="134" spans="1:60">
      <c r="A134" s="40"/>
      <c r="B134" s="52"/>
      <c r="C134" s="40"/>
      <c r="D134" s="40"/>
      <c r="E134" s="40"/>
      <c r="F134" s="41"/>
      <c r="G134" s="41" t="str">
        <f>+ROUND(H129,0)&amp;"m x 1,02 ="</f>
        <v>2425m x 1,02 =</v>
      </c>
      <c r="H134" s="41"/>
      <c r="I134" s="1371">
        <f>+ROUND(+H129*1.02,0)</f>
        <v>2474</v>
      </c>
      <c r="J134" s="43" t="s">
        <v>5489</v>
      </c>
      <c r="N134" s="40"/>
      <c r="O134" s="40"/>
      <c r="P134" s="40"/>
      <c r="Q134" s="40"/>
      <c r="R134" s="40"/>
      <c r="S134" s="40"/>
    </row>
    <row r="135" spans="1:60">
      <c r="A135" s="40"/>
      <c r="B135" s="52"/>
      <c r="C135" s="40"/>
      <c r="D135" s="40"/>
      <c r="E135" s="40"/>
      <c r="F135" s="41"/>
      <c r="G135" s="41" t="str">
        <f>+ROUND(I129,0)&amp;"m x 1,02 ="</f>
        <v>1187m x 1,02 =</v>
      </c>
      <c r="H135" s="41"/>
      <c r="I135" s="1371">
        <f>+ROUND(+I129*1.02,0)</f>
        <v>1211</v>
      </c>
      <c r="J135" s="43" t="s">
        <v>5490</v>
      </c>
      <c r="N135" s="40"/>
      <c r="O135" s="40"/>
      <c r="P135" s="40"/>
      <c r="Q135" s="40"/>
      <c r="R135" s="40"/>
      <c r="S135" s="40"/>
    </row>
    <row r="136" spans="1:60">
      <c r="A136" s="40"/>
      <c r="B136" s="52"/>
      <c r="C136" s="40"/>
      <c r="D136" s="40"/>
      <c r="E136" s="40"/>
      <c r="F136" s="41"/>
      <c r="G136" s="41"/>
      <c r="H136" s="41"/>
      <c r="I136" s="1371">
        <f>F129</f>
        <v>60</v>
      </c>
      <c r="J136" s="43" t="s">
        <v>2040</v>
      </c>
      <c r="N136" s="40"/>
      <c r="O136" s="40"/>
      <c r="P136" s="40"/>
      <c r="Q136" s="40"/>
      <c r="R136" s="40"/>
      <c r="S136" s="40"/>
    </row>
    <row r="137" spans="1:60">
      <c r="A137" s="40"/>
      <c r="B137" s="52"/>
      <c r="C137" s="40"/>
      <c r="D137" s="40"/>
      <c r="E137" s="40"/>
      <c r="F137" s="41"/>
      <c r="G137" s="41"/>
      <c r="H137" s="41"/>
      <c r="I137" s="1371">
        <f>E129</f>
        <v>102</v>
      </c>
      <c r="J137" s="43" t="s">
        <v>4645</v>
      </c>
      <c r="N137" s="40"/>
      <c r="O137" s="40"/>
      <c r="P137" s="40"/>
      <c r="Q137" s="40"/>
      <c r="R137" s="40"/>
      <c r="S137" s="40"/>
    </row>
    <row r="138" spans="1:60">
      <c r="A138" s="40"/>
      <c r="B138" s="52"/>
      <c r="C138" s="40"/>
      <c r="D138" s="40"/>
      <c r="E138" s="40"/>
      <c r="F138" s="41"/>
      <c r="G138" s="41"/>
      <c r="H138" s="41"/>
      <c r="I138" s="1371">
        <f>D129</f>
        <v>28</v>
      </c>
      <c r="J138" s="43" t="s">
        <v>2041</v>
      </c>
      <c r="N138" s="40"/>
      <c r="O138" s="40"/>
      <c r="P138" s="40"/>
      <c r="Q138" s="40"/>
      <c r="R138" s="40"/>
      <c r="S138" s="40"/>
    </row>
    <row r="139" spans="1:60">
      <c r="A139" s="2073" t="s">
        <v>3846</v>
      </c>
      <c r="B139" s="2073"/>
      <c r="C139" s="2073"/>
      <c r="D139" s="52"/>
      <c r="E139" s="52"/>
      <c r="F139" s="40"/>
      <c r="G139" s="40"/>
      <c r="H139" s="40"/>
      <c r="I139" s="41"/>
      <c r="J139" s="40"/>
      <c r="N139" s="40"/>
      <c r="O139" s="40"/>
      <c r="P139" s="40"/>
      <c r="Q139" s="40"/>
      <c r="R139" s="40"/>
      <c r="S139" s="40"/>
    </row>
    <row r="140" spans="1:60">
      <c r="F140" s="41"/>
      <c r="G140" s="41" t="str">
        <f>+I133&amp;" m x 0,705 kg/m ="</f>
        <v>18449 m x 0,705 kg/m =</v>
      </c>
      <c r="H140" s="41"/>
      <c r="I140" s="1371">
        <f>+ROUND((I133*0.705),0)</f>
        <v>13007</v>
      </c>
      <c r="J140" s="43" t="s">
        <v>5491</v>
      </c>
    </row>
    <row r="141" spans="1:60">
      <c r="F141" s="41"/>
      <c r="G141" s="41" t="str">
        <f>+I134&amp;" m x 0,6 kg/m ="</f>
        <v>2474 m x 0,6 kg/m =</v>
      </c>
      <c r="H141" s="41"/>
      <c r="I141" s="1371">
        <f>+ROUND((I134*0.6),0)</f>
        <v>1484</v>
      </c>
      <c r="J141" s="43" t="s">
        <v>5492</v>
      </c>
      <c r="K141" s="41"/>
      <c r="L141" s="44"/>
    </row>
    <row r="142" spans="1:60">
      <c r="G142" s="41" t="str">
        <f>+I135&amp;" m x 0,471 kg/m ="</f>
        <v>1211 m x 0,471 kg/m =</v>
      </c>
      <c r="I142" s="1371">
        <f>+ROUND((I135*0.471),0)</f>
        <v>570</v>
      </c>
      <c r="J142" s="43" t="s">
        <v>5493</v>
      </c>
    </row>
  </sheetData>
  <mergeCells count="43">
    <mergeCell ref="A1:BH1"/>
    <mergeCell ref="A3:A4"/>
    <mergeCell ref="B3:B4"/>
    <mergeCell ref="C3:C4"/>
    <mergeCell ref="E3:I3"/>
    <mergeCell ref="AU3:AU4"/>
    <mergeCell ref="AN3:AN4"/>
    <mergeCell ref="N3:P3"/>
    <mergeCell ref="AA3:AB3"/>
    <mergeCell ref="AD3:AD4"/>
    <mergeCell ref="AE3:AE4"/>
    <mergeCell ref="AF3:AF4"/>
    <mergeCell ref="AG3:AG4"/>
    <mergeCell ref="BH3:BH4"/>
    <mergeCell ref="BG3:BG4"/>
    <mergeCell ref="BE3:BE4"/>
    <mergeCell ref="AK3:AK4"/>
    <mergeCell ref="AL3:AL4"/>
    <mergeCell ref="BC3:BC4"/>
    <mergeCell ref="BD3:BD4"/>
    <mergeCell ref="BA3:BA4"/>
    <mergeCell ref="BB3:BB4"/>
    <mergeCell ref="BF3:BF4"/>
    <mergeCell ref="AV3:AV4"/>
    <mergeCell ref="AW3:AW4"/>
    <mergeCell ref="AX3:AX4"/>
    <mergeCell ref="AZ3:AZ4"/>
    <mergeCell ref="A132:C132"/>
    <mergeCell ref="A139:C139"/>
    <mergeCell ref="AY3:AY4"/>
    <mergeCell ref="AR3:AR4"/>
    <mergeCell ref="AS3:AS4"/>
    <mergeCell ref="AT3:AT4"/>
    <mergeCell ref="AM3:AM4"/>
    <mergeCell ref="AH3:AH4"/>
    <mergeCell ref="AI3:AI4"/>
    <mergeCell ref="J3:M3"/>
    <mergeCell ref="A128:B129"/>
    <mergeCell ref="A131:C131"/>
    <mergeCell ref="AO3:AO4"/>
    <mergeCell ref="AP3:AP4"/>
    <mergeCell ref="AQ3:AQ4"/>
    <mergeCell ref="AJ3:AJ4"/>
  </mergeCells>
  <phoneticPr fontId="152" type="noConversion"/>
  <pageMargins left="0.75" right="0.75" top="1" bottom="1" header="0.5" footer="0.5"/>
  <headerFooter alignWithMargins="0"/>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42"/>
  </sheetPr>
  <dimension ref="A1:BH145"/>
  <sheetViews>
    <sheetView showZeros="0" workbookViewId="0">
      <pane xSplit="3" ySplit="49" topLeftCell="D50" activePane="bottomRight" state="frozen"/>
      <selection activeCell="C10" sqref="C10:D10"/>
      <selection pane="topRight" activeCell="C10" sqref="C10:D10"/>
      <selection pane="bottomLeft" activeCell="C10" sqref="C10:D10"/>
      <selection pane="bottomRight" activeCell="C10" sqref="C10:D10"/>
    </sheetView>
  </sheetViews>
  <sheetFormatPr defaultColWidth="9.33203125" defaultRowHeight="12.75"/>
  <cols>
    <col min="1" max="1" width="15.83203125" style="38" customWidth="1"/>
    <col min="2" max="2" width="8.6640625" style="53" customWidth="1"/>
    <col min="3" max="3" width="17" style="38" bestFit="1" customWidth="1"/>
    <col min="4" max="6" width="4" style="38" customWidth="1"/>
    <col min="7" max="7" width="5.83203125" style="38" customWidth="1"/>
    <col min="8" max="9" width="6.1640625" style="38" customWidth="1"/>
    <col min="10" max="10" width="6.6640625" style="38" customWidth="1"/>
    <col min="11" max="40" width="4" style="38" customWidth="1"/>
    <col min="41" max="41" width="3.6640625" style="38" bestFit="1" customWidth="1"/>
    <col min="42" max="58" width="4" style="38" customWidth="1"/>
    <col min="59" max="59" width="14.83203125" style="38" customWidth="1"/>
    <col min="60" max="60" width="8.83203125" style="38" customWidth="1"/>
    <col min="61" max="16384" width="9.33203125" style="38"/>
  </cols>
  <sheetData>
    <row r="1" spans="1:60" ht="18.75">
      <c r="A1" s="2085" t="s">
        <v>3005</v>
      </c>
      <c r="B1" s="2085"/>
      <c r="C1" s="2085"/>
      <c r="D1" s="2085"/>
      <c r="E1" s="2085"/>
      <c r="F1" s="2085"/>
      <c r="G1" s="2085"/>
      <c r="H1" s="2085"/>
      <c r="I1" s="2085"/>
      <c r="J1" s="2085"/>
      <c r="K1" s="2085"/>
      <c r="L1" s="2085"/>
      <c r="M1" s="2085"/>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c r="AL1" s="2085"/>
      <c r="AM1" s="2085"/>
      <c r="AN1" s="2085"/>
      <c r="AO1" s="2085"/>
      <c r="AP1" s="2085"/>
      <c r="AQ1" s="2085"/>
      <c r="AR1" s="2085"/>
      <c r="AS1" s="2085"/>
      <c r="AT1" s="2085"/>
      <c r="AU1" s="2085"/>
      <c r="AV1" s="2085"/>
      <c r="AW1" s="2085"/>
      <c r="AX1" s="2085"/>
      <c r="AY1" s="2085"/>
      <c r="AZ1" s="2085"/>
      <c r="BA1" s="2085"/>
      <c r="BB1" s="2085"/>
      <c r="BC1" s="2085"/>
      <c r="BD1" s="2085"/>
      <c r="BE1" s="2085"/>
      <c r="BF1" s="2085"/>
      <c r="BG1" s="2085"/>
      <c r="BH1" s="37"/>
    </row>
    <row r="2" spans="1:60" ht="15" customHeight="1"/>
    <row r="3" spans="1:60" ht="14.25" customHeight="1">
      <c r="A3" s="2071" t="s">
        <v>2541</v>
      </c>
      <c r="B3" s="2071" t="s">
        <v>2542</v>
      </c>
      <c r="C3" s="2071" t="s">
        <v>2543</v>
      </c>
      <c r="D3" s="1476"/>
      <c r="E3" s="2078" t="s">
        <v>1373</v>
      </c>
      <c r="F3" s="2079"/>
      <c r="G3" s="2079"/>
      <c r="H3" s="2079"/>
      <c r="I3" s="2079"/>
      <c r="J3" s="2080"/>
      <c r="K3" s="2078" t="s">
        <v>5201</v>
      </c>
      <c r="L3" s="2079"/>
      <c r="M3" s="2079"/>
      <c r="N3" s="2080"/>
      <c r="O3" s="1461"/>
      <c r="P3" s="1461"/>
      <c r="Q3" s="2078" t="s">
        <v>2546</v>
      </c>
      <c r="R3" s="2079"/>
      <c r="S3" s="2080"/>
      <c r="T3" s="2087" t="s">
        <v>3847</v>
      </c>
      <c r="U3" s="2086"/>
      <c r="V3" s="2086"/>
      <c r="W3" s="2086"/>
      <c r="X3" s="1459"/>
      <c r="Y3" s="1459"/>
      <c r="Z3" s="1459"/>
      <c r="AA3" s="1459"/>
      <c r="AB3" s="2068" t="s">
        <v>3027</v>
      </c>
      <c r="AC3" s="2068" t="s">
        <v>2548</v>
      </c>
      <c r="AD3" s="2068" t="s">
        <v>455</v>
      </c>
      <c r="AE3" s="2068" t="s">
        <v>4555</v>
      </c>
      <c r="AF3" s="2068" t="s">
        <v>3157</v>
      </c>
      <c r="AG3" s="2076" t="s">
        <v>4554</v>
      </c>
      <c r="AH3" s="2076" t="s">
        <v>4554</v>
      </c>
      <c r="AI3" s="2068" t="s">
        <v>4348</v>
      </c>
      <c r="AJ3" s="2068" t="s">
        <v>5206</v>
      </c>
      <c r="AK3" s="2068" t="s">
        <v>5127</v>
      </c>
      <c r="AL3" s="2068" t="s">
        <v>4320</v>
      </c>
      <c r="AM3" s="2068" t="s">
        <v>1885</v>
      </c>
      <c r="AN3" s="2068" t="s">
        <v>1898</v>
      </c>
      <c r="AO3" s="2068" t="s">
        <v>3158</v>
      </c>
      <c r="AP3" s="2068" t="s">
        <v>4571</v>
      </c>
      <c r="AQ3" s="2068" t="s">
        <v>4447</v>
      </c>
      <c r="AR3" s="2068" t="s">
        <v>1888</v>
      </c>
      <c r="AS3" s="2068" t="s">
        <v>5198</v>
      </c>
      <c r="AT3" s="2068" t="s">
        <v>4759</v>
      </c>
      <c r="AU3" s="2068" t="s">
        <v>1889</v>
      </c>
      <c r="AV3" s="2068" t="s">
        <v>5207</v>
      </c>
      <c r="AW3" s="2068" t="s">
        <v>1890</v>
      </c>
      <c r="AX3" s="2076" t="s">
        <v>4573</v>
      </c>
      <c r="AY3" s="2076" t="s">
        <v>4647</v>
      </c>
      <c r="AZ3" s="2088" t="s">
        <v>4646</v>
      </c>
      <c r="BA3" s="2068" t="s">
        <v>4649</v>
      </c>
      <c r="BB3" s="2076" t="s">
        <v>4650</v>
      </c>
      <c r="BC3" s="2076" t="s">
        <v>4648</v>
      </c>
      <c r="BD3" s="2076" t="s">
        <v>4651</v>
      </c>
      <c r="BE3" s="2068" t="s">
        <v>1891</v>
      </c>
      <c r="BF3" s="2071" t="s">
        <v>4557</v>
      </c>
      <c r="BG3" s="2063" t="s">
        <v>6403</v>
      </c>
    </row>
    <row r="4" spans="1:60" ht="159.94999999999999" customHeight="1">
      <c r="A4" s="2071"/>
      <c r="B4" s="2071"/>
      <c r="C4" s="2071"/>
      <c r="D4" s="51" t="s">
        <v>4536</v>
      </c>
      <c r="E4" s="51" t="s">
        <v>5200</v>
      </c>
      <c r="F4" s="51" t="s">
        <v>4404</v>
      </c>
      <c r="G4" s="51" t="s">
        <v>2042</v>
      </c>
      <c r="H4" s="51" t="s">
        <v>4405</v>
      </c>
      <c r="I4" s="51" t="s">
        <v>4407</v>
      </c>
      <c r="J4" s="51" t="s">
        <v>4406</v>
      </c>
      <c r="K4" s="51" t="s">
        <v>3055</v>
      </c>
      <c r="L4" s="51" t="s">
        <v>5507</v>
      </c>
      <c r="M4" s="51" t="s">
        <v>3959</v>
      </c>
      <c r="N4" s="51" t="s">
        <v>3891</v>
      </c>
      <c r="O4" s="51" t="s">
        <v>4559</v>
      </c>
      <c r="P4" s="51" t="s">
        <v>4576</v>
      </c>
      <c r="Q4" s="51" t="s">
        <v>2374</v>
      </c>
      <c r="R4" s="51" t="s">
        <v>2375</v>
      </c>
      <c r="S4" s="51" t="s">
        <v>280</v>
      </c>
      <c r="T4" s="59" t="s">
        <v>4552</v>
      </c>
      <c r="U4" s="59" t="s">
        <v>4553</v>
      </c>
      <c r="V4" s="59" t="s">
        <v>3848</v>
      </c>
      <c r="W4" s="59" t="s">
        <v>3477</v>
      </c>
      <c r="X4" s="59" t="s">
        <v>1835</v>
      </c>
      <c r="Y4" s="59" t="s">
        <v>4449</v>
      </c>
      <c r="Z4" s="59" t="s">
        <v>4448</v>
      </c>
      <c r="AA4" s="59" t="s">
        <v>4548</v>
      </c>
      <c r="AB4" s="2068"/>
      <c r="AC4" s="2068"/>
      <c r="AD4" s="2068"/>
      <c r="AE4" s="2068"/>
      <c r="AF4" s="2068"/>
      <c r="AG4" s="2077"/>
      <c r="AH4" s="2077"/>
      <c r="AI4" s="2068"/>
      <c r="AJ4" s="2068"/>
      <c r="AK4" s="2068"/>
      <c r="AL4" s="2068"/>
      <c r="AM4" s="2068"/>
      <c r="AN4" s="2068"/>
      <c r="AO4" s="2068"/>
      <c r="AP4" s="2068"/>
      <c r="AQ4" s="2068"/>
      <c r="AR4" s="2068"/>
      <c r="AS4" s="2068"/>
      <c r="AT4" s="2068"/>
      <c r="AU4" s="2068"/>
      <c r="AV4" s="2068"/>
      <c r="AW4" s="2068"/>
      <c r="AX4" s="2077"/>
      <c r="AY4" s="2077"/>
      <c r="AZ4" s="2089"/>
      <c r="BA4" s="2068"/>
      <c r="BB4" s="2077"/>
      <c r="BC4" s="2077"/>
      <c r="BD4" s="2077"/>
      <c r="BE4" s="2068"/>
      <c r="BF4" s="2072"/>
      <c r="BG4" s="2063"/>
    </row>
    <row r="5" spans="1:60" hidden="1">
      <c r="A5" s="932"/>
      <c r="B5" s="933"/>
      <c r="C5" s="934"/>
      <c r="D5" s="1373"/>
      <c r="E5" s="1373"/>
      <c r="F5" s="935"/>
      <c r="G5" s="935"/>
      <c r="H5" s="935"/>
      <c r="I5" s="935"/>
      <c r="J5" s="935"/>
      <c r="K5" s="935"/>
      <c r="L5" s="935"/>
      <c r="M5" s="936"/>
      <c r="N5" s="936"/>
      <c r="O5" s="936"/>
      <c r="P5" s="936"/>
      <c r="Q5" s="936"/>
      <c r="R5" s="936"/>
      <c r="S5" s="936"/>
      <c r="T5" s="939"/>
      <c r="U5" s="939"/>
      <c r="V5" s="939"/>
      <c r="W5" s="939"/>
      <c r="X5" s="1465"/>
      <c r="Y5" s="1465"/>
      <c r="Z5" s="1465"/>
      <c r="AA5" s="1465"/>
      <c r="AB5" s="938"/>
      <c r="AC5" s="939"/>
      <c r="AD5" s="939"/>
      <c r="AE5" s="938"/>
      <c r="AF5" s="938"/>
      <c r="AG5" s="938"/>
      <c r="AH5" s="938"/>
      <c r="AI5" s="939"/>
      <c r="AJ5" s="938"/>
      <c r="AK5" s="938"/>
      <c r="AL5" s="938"/>
      <c r="AM5" s="938"/>
      <c r="AN5" s="938"/>
      <c r="AO5" s="938"/>
      <c r="AP5" s="938"/>
      <c r="AQ5" s="938"/>
      <c r="AR5" s="938"/>
      <c r="AS5" s="938"/>
      <c r="AT5" s="938"/>
      <c r="AU5" s="938"/>
      <c r="AV5" s="938"/>
      <c r="AW5" s="938"/>
      <c r="AX5" s="938"/>
      <c r="AY5" s="938"/>
      <c r="AZ5" s="938"/>
      <c r="BA5" s="938"/>
      <c r="BB5" s="938"/>
      <c r="BC5" s="938"/>
      <c r="BD5" s="938"/>
      <c r="BE5" s="938"/>
      <c r="BF5" s="938"/>
      <c r="BG5" s="938"/>
    </row>
    <row r="6" spans="1:60" hidden="1">
      <c r="A6" s="931"/>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row>
    <row r="7" spans="1:60" hidden="1">
      <c r="A7" s="931">
        <v>1</v>
      </c>
      <c r="B7" s="72" t="s">
        <v>3120</v>
      </c>
      <c r="C7" s="72"/>
      <c r="D7" s="72"/>
      <c r="E7" s="72"/>
      <c r="F7" s="72"/>
      <c r="G7" s="72"/>
      <c r="H7" s="72"/>
      <c r="I7" s="72"/>
      <c r="J7" s="76"/>
      <c r="K7" s="76"/>
      <c r="L7" s="72"/>
      <c r="M7" s="72">
        <v>1</v>
      </c>
      <c r="N7" s="72"/>
      <c r="O7" s="72"/>
      <c r="P7" s="72"/>
      <c r="Q7" s="72"/>
      <c r="R7" s="72"/>
      <c r="S7" s="72"/>
      <c r="T7" s="72"/>
      <c r="U7" s="72"/>
      <c r="V7" s="72"/>
      <c r="W7" s="72"/>
      <c r="X7" s="72"/>
      <c r="Y7" s="72"/>
      <c r="Z7" s="72"/>
      <c r="AA7" s="72"/>
      <c r="AB7" s="72"/>
      <c r="AC7" s="72"/>
      <c r="AD7" s="72"/>
      <c r="AE7" s="72"/>
      <c r="AF7" s="72"/>
      <c r="AG7" s="72"/>
      <c r="AH7" s="72"/>
      <c r="AI7" s="72">
        <v>1</v>
      </c>
      <c r="AJ7" s="72"/>
      <c r="AK7" s="72"/>
      <c r="AL7" s="72"/>
      <c r="AM7" s="72"/>
      <c r="AN7" s="72"/>
      <c r="AO7" s="72"/>
      <c r="AP7" s="72"/>
      <c r="AQ7" s="72">
        <v>1</v>
      </c>
      <c r="AR7" s="72"/>
      <c r="AS7" s="72"/>
      <c r="AT7" s="72"/>
      <c r="AU7" s="72"/>
      <c r="AV7" s="72"/>
      <c r="AW7" s="72"/>
      <c r="AX7" s="72"/>
      <c r="AY7" s="72"/>
      <c r="AZ7" s="72"/>
      <c r="BA7" s="72"/>
      <c r="BB7" s="72"/>
      <c r="BC7" s="72"/>
      <c r="BD7" s="72"/>
      <c r="BE7" s="72"/>
      <c r="BF7" s="72"/>
      <c r="BG7" s="72"/>
    </row>
    <row r="8" spans="1:60" hidden="1">
      <c r="A8" s="931"/>
      <c r="B8" s="72" t="s">
        <v>3121</v>
      </c>
      <c r="C8" s="72"/>
      <c r="D8" s="72"/>
      <c r="E8" s="72"/>
      <c r="F8" s="72"/>
      <c r="G8" s="72"/>
      <c r="H8" s="72"/>
      <c r="I8" s="72"/>
      <c r="J8" s="76"/>
      <c r="K8" s="76"/>
      <c r="L8" s="72"/>
      <c r="M8" s="72">
        <v>1</v>
      </c>
      <c r="N8" s="72"/>
      <c r="O8" s="72"/>
      <c r="P8" s="72"/>
      <c r="Q8" s="72"/>
      <c r="R8" s="72"/>
      <c r="S8" s="72"/>
      <c r="T8" s="72"/>
      <c r="U8" s="72"/>
      <c r="V8" s="72"/>
      <c r="W8" s="72"/>
      <c r="X8" s="72"/>
      <c r="Y8" s="72"/>
      <c r="Z8" s="72"/>
      <c r="AA8" s="72"/>
      <c r="AB8" s="72"/>
      <c r="AC8" s="72"/>
      <c r="AD8" s="72"/>
      <c r="AE8" s="72"/>
      <c r="AF8" s="72"/>
      <c r="AG8" s="72"/>
      <c r="AH8" s="72"/>
      <c r="AI8" s="72">
        <v>1</v>
      </c>
      <c r="AJ8" s="72"/>
      <c r="AK8" s="72"/>
      <c r="AL8" s="72"/>
      <c r="AM8" s="72"/>
      <c r="AN8" s="72"/>
      <c r="AO8" s="72"/>
      <c r="AP8" s="72"/>
      <c r="AQ8" s="72">
        <v>1</v>
      </c>
      <c r="AR8" s="72"/>
      <c r="AS8" s="72"/>
      <c r="AT8" s="72"/>
      <c r="AU8" s="72"/>
      <c r="AV8" s="72"/>
      <c r="AW8" s="72"/>
      <c r="AX8" s="72"/>
      <c r="AY8" s="72"/>
      <c r="AZ8" s="72"/>
      <c r="BA8" s="72"/>
      <c r="BB8" s="72"/>
      <c r="BC8" s="72"/>
      <c r="BD8" s="72"/>
      <c r="BE8" s="72"/>
      <c r="BF8" s="72"/>
      <c r="BG8" s="72"/>
    </row>
    <row r="9" spans="1:60" hidden="1">
      <c r="A9" s="931"/>
      <c r="B9" s="72" t="s">
        <v>3122</v>
      </c>
      <c r="C9" s="72"/>
      <c r="D9" s="72"/>
      <c r="E9" s="72"/>
      <c r="F9" s="72"/>
      <c r="G9" s="72"/>
      <c r="H9" s="72"/>
      <c r="I9" s="72"/>
      <c r="J9" s="76"/>
      <c r="K9" s="76"/>
      <c r="L9" s="72"/>
      <c r="M9" s="72">
        <v>1</v>
      </c>
      <c r="N9" s="72"/>
      <c r="O9" s="72"/>
      <c r="P9" s="72"/>
      <c r="Q9" s="72"/>
      <c r="R9" s="72"/>
      <c r="S9" s="72"/>
      <c r="T9" s="72"/>
      <c r="U9" s="72"/>
      <c r="V9" s="72"/>
      <c r="W9" s="72"/>
      <c r="X9" s="72"/>
      <c r="Y9" s="72"/>
      <c r="Z9" s="72"/>
      <c r="AA9" s="72"/>
      <c r="AB9" s="72"/>
      <c r="AC9" s="72">
        <v>2</v>
      </c>
      <c r="AD9" s="72"/>
      <c r="AE9" s="72"/>
      <c r="AF9" s="72"/>
      <c r="AG9" s="72"/>
      <c r="AH9" s="72"/>
      <c r="AI9" s="72">
        <v>2</v>
      </c>
      <c r="AJ9" s="72">
        <v>4</v>
      </c>
      <c r="AK9" s="72"/>
      <c r="AL9" s="72"/>
      <c r="AM9" s="72"/>
      <c r="AN9" s="72"/>
      <c r="AO9" s="72"/>
      <c r="AP9" s="72">
        <v>2</v>
      </c>
      <c r="AQ9" s="72">
        <v>2</v>
      </c>
      <c r="AR9" s="72"/>
      <c r="AS9" s="72"/>
      <c r="AT9" s="72"/>
      <c r="AU9" s="72"/>
      <c r="AV9" s="72"/>
      <c r="AW9" s="72"/>
      <c r="AX9" s="72"/>
      <c r="AY9" s="72"/>
      <c r="AZ9" s="72"/>
      <c r="BA9" s="72"/>
      <c r="BB9" s="72"/>
      <c r="BC9" s="72"/>
      <c r="BD9" s="72"/>
      <c r="BE9" s="72"/>
      <c r="BF9" s="72">
        <v>1</v>
      </c>
      <c r="BG9" s="72"/>
    </row>
    <row r="10" spans="1:60" hidden="1">
      <c r="A10" s="931"/>
      <c r="B10" s="72" t="s">
        <v>3123</v>
      </c>
      <c r="C10" s="72"/>
      <c r="D10" s="72"/>
      <c r="E10" s="72"/>
      <c r="F10" s="72"/>
      <c r="G10" s="72"/>
      <c r="H10" s="72"/>
      <c r="I10" s="72"/>
      <c r="J10" s="76"/>
      <c r="K10" s="76"/>
      <c r="L10" s="72"/>
      <c r="M10" s="72">
        <v>1</v>
      </c>
      <c r="N10" s="72"/>
      <c r="O10" s="72"/>
      <c r="P10" s="72"/>
      <c r="Q10" s="72"/>
      <c r="R10" s="72"/>
      <c r="S10" s="72"/>
      <c r="T10" s="72"/>
      <c r="U10" s="72"/>
      <c r="V10" s="72"/>
      <c r="W10" s="72"/>
      <c r="X10" s="72"/>
      <c r="Y10" s="72"/>
      <c r="Z10" s="72"/>
      <c r="AA10" s="72"/>
      <c r="AB10" s="72"/>
      <c r="AC10" s="72">
        <v>2</v>
      </c>
      <c r="AD10" s="72"/>
      <c r="AE10" s="72"/>
      <c r="AF10" s="72"/>
      <c r="AG10" s="72"/>
      <c r="AH10" s="72"/>
      <c r="AI10" s="72">
        <v>2</v>
      </c>
      <c r="AJ10" s="72">
        <v>4</v>
      </c>
      <c r="AK10" s="72"/>
      <c r="AL10" s="72"/>
      <c r="AM10" s="72"/>
      <c r="AN10" s="72"/>
      <c r="AO10" s="72"/>
      <c r="AP10" s="72">
        <v>2</v>
      </c>
      <c r="AQ10" s="72">
        <v>2</v>
      </c>
      <c r="AR10" s="72"/>
      <c r="AS10" s="72"/>
      <c r="AT10" s="72"/>
      <c r="AU10" s="72"/>
      <c r="AV10" s="72"/>
      <c r="AW10" s="72"/>
      <c r="AX10" s="72"/>
      <c r="AY10" s="72"/>
      <c r="AZ10" s="72"/>
      <c r="BA10" s="72"/>
      <c r="BB10" s="72"/>
      <c r="BC10" s="72"/>
      <c r="BD10" s="72"/>
      <c r="BE10" s="72"/>
      <c r="BF10" s="72">
        <v>1</v>
      </c>
      <c r="BG10" s="72"/>
    </row>
    <row r="11" spans="1:60" hidden="1">
      <c r="A11" s="931"/>
      <c r="B11" s="72" t="s">
        <v>3124</v>
      </c>
      <c r="C11" s="72"/>
      <c r="D11" s="72"/>
      <c r="E11" s="72"/>
      <c r="F11" s="72"/>
      <c r="G11" s="72"/>
      <c r="H11" s="72"/>
      <c r="I11" s="72"/>
      <c r="J11" s="76"/>
      <c r="K11" s="76"/>
      <c r="L11" s="72"/>
      <c r="M11" s="72">
        <v>1</v>
      </c>
      <c r="N11" s="72"/>
      <c r="O11" s="72"/>
      <c r="P11" s="72"/>
      <c r="Q11" s="72"/>
      <c r="R11" s="72"/>
      <c r="S11" s="72"/>
      <c r="T11" s="72"/>
      <c r="U11" s="72"/>
      <c r="V11" s="72"/>
      <c r="W11" s="72"/>
      <c r="X11" s="72"/>
      <c r="Y11" s="72"/>
      <c r="Z11" s="72"/>
      <c r="AA11" s="72"/>
      <c r="AB11" s="72"/>
      <c r="AC11" s="72">
        <v>1</v>
      </c>
      <c r="AD11" s="72"/>
      <c r="AE11" s="72"/>
      <c r="AF11" s="72"/>
      <c r="AG11" s="72"/>
      <c r="AH11" s="72"/>
      <c r="AI11" s="72">
        <v>1</v>
      </c>
      <c r="AJ11" s="72">
        <v>2</v>
      </c>
      <c r="AK11" s="72"/>
      <c r="AL11" s="72"/>
      <c r="AM11" s="72"/>
      <c r="AN11" s="72"/>
      <c r="AO11" s="72"/>
      <c r="AP11" s="72"/>
      <c r="AQ11" s="72">
        <v>1</v>
      </c>
      <c r="AR11" s="72"/>
      <c r="AS11" s="72"/>
      <c r="AT11" s="72"/>
      <c r="AU11" s="72"/>
      <c r="AV11" s="72"/>
      <c r="AW11" s="72"/>
      <c r="AX11" s="72"/>
      <c r="AY11" s="72"/>
      <c r="AZ11" s="72"/>
      <c r="BA11" s="72"/>
      <c r="BB11" s="72"/>
      <c r="BC11" s="72"/>
      <c r="BD11" s="72"/>
      <c r="BE11" s="72"/>
      <c r="BF11" s="72">
        <v>1</v>
      </c>
      <c r="BG11" s="72"/>
    </row>
    <row r="12" spans="1:60" hidden="1">
      <c r="A12" s="931"/>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row>
    <row r="13" spans="1:60" hidden="1">
      <c r="A13" s="931">
        <v>2</v>
      </c>
      <c r="B13" s="72" t="s">
        <v>3125</v>
      </c>
      <c r="C13" s="72"/>
      <c r="D13" s="72"/>
      <c r="E13" s="72"/>
      <c r="F13" s="72"/>
      <c r="G13" s="72"/>
      <c r="H13" s="72"/>
      <c r="I13" s="72"/>
      <c r="J13" s="72">
        <v>2</v>
      </c>
      <c r="K13" s="72"/>
      <c r="L13" s="72"/>
      <c r="M13" s="72">
        <v>1</v>
      </c>
      <c r="N13" s="72"/>
      <c r="O13" s="72"/>
      <c r="P13" s="72"/>
      <c r="Q13" s="72"/>
      <c r="R13" s="72"/>
      <c r="S13" s="72"/>
      <c r="T13" s="72">
        <v>1</v>
      </c>
      <c r="U13" s="72">
        <v>1</v>
      </c>
      <c r="V13" s="72"/>
      <c r="W13" s="72"/>
      <c r="X13" s="72"/>
      <c r="Y13" s="72"/>
      <c r="Z13" s="72"/>
      <c r="AA13" s="72"/>
      <c r="AB13" s="72"/>
      <c r="AC13" s="72">
        <v>1</v>
      </c>
      <c r="AD13" s="72"/>
      <c r="AE13" s="72"/>
      <c r="AF13" s="72"/>
      <c r="AG13" s="72"/>
      <c r="AH13" s="72"/>
      <c r="AI13" s="72">
        <v>2</v>
      </c>
      <c r="AJ13" s="72">
        <v>2</v>
      </c>
      <c r="AK13" s="72"/>
      <c r="AL13" s="72">
        <v>2</v>
      </c>
      <c r="AM13" s="72"/>
      <c r="AN13" s="72">
        <v>1</v>
      </c>
      <c r="AO13" s="72">
        <v>1</v>
      </c>
      <c r="AP13" s="72"/>
      <c r="AQ13" s="72">
        <v>2</v>
      </c>
      <c r="AR13" s="72"/>
      <c r="AS13" s="72"/>
      <c r="AT13" s="72"/>
      <c r="AU13" s="72"/>
      <c r="AV13" s="72"/>
      <c r="AW13" s="72"/>
      <c r="AX13" s="72"/>
      <c r="AY13" s="72"/>
      <c r="AZ13" s="72"/>
      <c r="BA13" s="72"/>
      <c r="BB13" s="72"/>
      <c r="BC13" s="72"/>
      <c r="BD13" s="72"/>
      <c r="BE13" s="72">
        <v>1</v>
      </c>
      <c r="BF13" s="72">
        <v>1</v>
      </c>
      <c r="BG13" s="72"/>
    </row>
    <row r="14" spans="1:60" hidden="1">
      <c r="A14" s="931"/>
      <c r="B14" s="72" t="s">
        <v>3126</v>
      </c>
      <c r="C14" s="72"/>
      <c r="D14" s="72"/>
      <c r="E14" s="72"/>
      <c r="F14" s="72"/>
      <c r="G14" s="72"/>
      <c r="H14" s="72"/>
      <c r="I14" s="72"/>
      <c r="J14" s="72">
        <v>2</v>
      </c>
      <c r="K14" s="72"/>
      <c r="L14" s="72"/>
      <c r="M14" s="72">
        <v>1</v>
      </c>
      <c r="N14" s="72"/>
      <c r="O14" s="72"/>
      <c r="P14" s="72"/>
      <c r="Q14" s="72"/>
      <c r="R14" s="72"/>
      <c r="S14" s="72"/>
      <c r="T14" s="72">
        <v>1</v>
      </c>
      <c r="U14" s="72">
        <v>1</v>
      </c>
      <c r="V14" s="72"/>
      <c r="W14" s="72"/>
      <c r="X14" s="72"/>
      <c r="Y14" s="72"/>
      <c r="Z14" s="72"/>
      <c r="AA14" s="72"/>
      <c r="AB14" s="72"/>
      <c r="AC14" s="72">
        <v>1</v>
      </c>
      <c r="AD14" s="72"/>
      <c r="AE14" s="72"/>
      <c r="AF14" s="72"/>
      <c r="AG14" s="72"/>
      <c r="AH14" s="72"/>
      <c r="AI14" s="72">
        <v>2</v>
      </c>
      <c r="AJ14" s="72">
        <v>2</v>
      </c>
      <c r="AK14" s="72"/>
      <c r="AL14" s="72">
        <v>2</v>
      </c>
      <c r="AM14" s="72"/>
      <c r="AN14" s="72">
        <v>1</v>
      </c>
      <c r="AO14" s="72">
        <v>1</v>
      </c>
      <c r="AP14" s="72"/>
      <c r="AQ14" s="72">
        <v>2</v>
      </c>
      <c r="AR14" s="72"/>
      <c r="AS14" s="72"/>
      <c r="AT14" s="72"/>
      <c r="AU14" s="72"/>
      <c r="AV14" s="72"/>
      <c r="AW14" s="72"/>
      <c r="AX14" s="72"/>
      <c r="AY14" s="72"/>
      <c r="AZ14" s="72"/>
      <c r="BA14" s="72"/>
      <c r="BB14" s="72"/>
      <c r="BC14" s="72"/>
      <c r="BD14" s="72"/>
      <c r="BE14" s="72">
        <v>1</v>
      </c>
      <c r="BF14" s="72">
        <v>1</v>
      </c>
      <c r="BG14" s="72"/>
    </row>
    <row r="15" spans="1:60" hidden="1">
      <c r="A15" s="931"/>
      <c r="B15" s="72" t="s">
        <v>3127</v>
      </c>
      <c r="C15" s="72"/>
      <c r="D15" s="72"/>
      <c r="E15" s="72"/>
      <c r="F15" s="72"/>
      <c r="G15" s="72"/>
      <c r="H15" s="72"/>
      <c r="I15" s="72"/>
      <c r="J15" s="72">
        <v>2</v>
      </c>
      <c r="K15" s="72"/>
      <c r="L15" s="72"/>
      <c r="M15" s="72">
        <v>1</v>
      </c>
      <c r="N15" s="72"/>
      <c r="O15" s="72"/>
      <c r="P15" s="72"/>
      <c r="Q15" s="72"/>
      <c r="R15" s="72"/>
      <c r="S15" s="72"/>
      <c r="T15" s="72">
        <v>1</v>
      </c>
      <c r="U15" s="72">
        <v>1</v>
      </c>
      <c r="V15" s="72"/>
      <c r="W15" s="72"/>
      <c r="X15" s="72"/>
      <c r="Y15" s="72"/>
      <c r="Z15" s="72"/>
      <c r="AA15" s="72"/>
      <c r="AB15" s="72"/>
      <c r="AC15" s="72">
        <v>3</v>
      </c>
      <c r="AD15" s="72"/>
      <c r="AE15" s="72"/>
      <c r="AF15" s="72"/>
      <c r="AG15" s="72"/>
      <c r="AH15" s="72"/>
      <c r="AI15" s="72">
        <v>3</v>
      </c>
      <c r="AJ15" s="72">
        <v>6</v>
      </c>
      <c r="AK15" s="72"/>
      <c r="AL15" s="72">
        <v>2</v>
      </c>
      <c r="AM15" s="72"/>
      <c r="AN15" s="72">
        <v>1</v>
      </c>
      <c r="AO15" s="72">
        <v>1</v>
      </c>
      <c r="AP15" s="72">
        <v>2</v>
      </c>
      <c r="AQ15" s="72">
        <v>3</v>
      </c>
      <c r="AR15" s="72"/>
      <c r="AS15" s="72"/>
      <c r="AT15" s="72"/>
      <c r="AU15" s="72"/>
      <c r="AV15" s="72"/>
      <c r="AW15" s="72"/>
      <c r="AX15" s="72"/>
      <c r="AY15" s="72"/>
      <c r="AZ15" s="72"/>
      <c r="BA15" s="72"/>
      <c r="BB15" s="72"/>
      <c r="BC15" s="72"/>
      <c r="BD15" s="72"/>
      <c r="BE15" s="72">
        <v>1</v>
      </c>
      <c r="BF15" s="72">
        <v>1</v>
      </c>
      <c r="BG15" s="72"/>
    </row>
    <row r="16" spans="1:60" hidden="1">
      <c r="A16" s="931"/>
      <c r="B16" s="72" t="s">
        <v>3128</v>
      </c>
      <c r="C16" s="72"/>
      <c r="D16" s="72"/>
      <c r="E16" s="72"/>
      <c r="F16" s="72"/>
      <c r="G16" s="72"/>
      <c r="H16" s="72"/>
      <c r="I16" s="72"/>
      <c r="J16" s="72">
        <v>2</v>
      </c>
      <c r="K16" s="72"/>
      <c r="L16" s="72"/>
      <c r="M16" s="72">
        <v>1</v>
      </c>
      <c r="N16" s="72"/>
      <c r="O16" s="72"/>
      <c r="P16" s="72"/>
      <c r="Q16" s="72"/>
      <c r="R16" s="72"/>
      <c r="S16" s="72"/>
      <c r="T16" s="72">
        <v>1</v>
      </c>
      <c r="U16" s="72">
        <v>1</v>
      </c>
      <c r="V16" s="72"/>
      <c r="W16" s="72"/>
      <c r="X16" s="72"/>
      <c r="Y16" s="72"/>
      <c r="Z16" s="72"/>
      <c r="AA16" s="72"/>
      <c r="AB16" s="72"/>
      <c r="AC16" s="72">
        <v>3</v>
      </c>
      <c r="AD16" s="72"/>
      <c r="AE16" s="72"/>
      <c r="AF16" s="72"/>
      <c r="AG16" s="72"/>
      <c r="AH16" s="72"/>
      <c r="AI16" s="72">
        <v>3</v>
      </c>
      <c r="AJ16" s="72">
        <v>6</v>
      </c>
      <c r="AK16" s="72"/>
      <c r="AL16" s="72">
        <v>2</v>
      </c>
      <c r="AM16" s="72"/>
      <c r="AN16" s="72">
        <v>1</v>
      </c>
      <c r="AO16" s="72">
        <v>1</v>
      </c>
      <c r="AP16" s="72">
        <v>2</v>
      </c>
      <c r="AQ16" s="72">
        <v>3</v>
      </c>
      <c r="AR16" s="72"/>
      <c r="AS16" s="72"/>
      <c r="AT16" s="72"/>
      <c r="AU16" s="72"/>
      <c r="AV16" s="72"/>
      <c r="AW16" s="72"/>
      <c r="AX16" s="72"/>
      <c r="AY16" s="72"/>
      <c r="AZ16" s="72"/>
      <c r="BA16" s="72"/>
      <c r="BB16" s="72"/>
      <c r="BC16" s="72"/>
      <c r="BD16" s="72"/>
      <c r="BE16" s="72">
        <v>1</v>
      </c>
      <c r="BF16" s="72">
        <v>1</v>
      </c>
      <c r="BG16" s="72"/>
    </row>
    <row r="17" spans="1:59" hidden="1">
      <c r="A17" s="931"/>
      <c r="B17" s="72" t="s">
        <v>3129</v>
      </c>
      <c r="C17" s="72"/>
      <c r="D17" s="72"/>
      <c r="E17" s="72"/>
      <c r="F17" s="72"/>
      <c r="G17" s="72"/>
      <c r="H17" s="72"/>
      <c r="I17" s="72"/>
      <c r="J17" s="72">
        <v>2</v>
      </c>
      <c r="K17" s="72"/>
      <c r="L17" s="72"/>
      <c r="M17" s="72">
        <v>1</v>
      </c>
      <c r="N17" s="72"/>
      <c r="O17" s="72"/>
      <c r="P17" s="72"/>
      <c r="Q17" s="72"/>
      <c r="R17" s="72"/>
      <c r="S17" s="72"/>
      <c r="T17" s="72">
        <v>1</v>
      </c>
      <c r="U17" s="72">
        <v>1</v>
      </c>
      <c r="V17" s="72"/>
      <c r="W17" s="72"/>
      <c r="X17" s="72"/>
      <c r="Y17" s="72"/>
      <c r="Z17" s="72"/>
      <c r="AA17" s="72"/>
      <c r="AB17" s="72"/>
      <c r="AC17" s="72">
        <v>2</v>
      </c>
      <c r="AD17" s="72"/>
      <c r="AE17" s="72"/>
      <c r="AF17" s="72"/>
      <c r="AG17" s="72"/>
      <c r="AH17" s="72"/>
      <c r="AI17" s="72">
        <v>2</v>
      </c>
      <c r="AJ17" s="72">
        <v>4</v>
      </c>
      <c r="AK17" s="72"/>
      <c r="AL17" s="72">
        <v>2</v>
      </c>
      <c r="AM17" s="72"/>
      <c r="AN17" s="72">
        <v>1</v>
      </c>
      <c r="AO17" s="72">
        <v>1</v>
      </c>
      <c r="AP17" s="72"/>
      <c r="AQ17" s="72">
        <v>2</v>
      </c>
      <c r="AR17" s="72"/>
      <c r="AS17" s="72"/>
      <c r="AT17" s="72"/>
      <c r="AU17" s="72"/>
      <c r="AV17" s="72"/>
      <c r="AW17" s="72"/>
      <c r="AX17" s="72"/>
      <c r="AY17" s="72"/>
      <c r="AZ17" s="72"/>
      <c r="BA17" s="72"/>
      <c r="BB17" s="72"/>
      <c r="BC17" s="72"/>
      <c r="BD17" s="72"/>
      <c r="BE17" s="72">
        <v>1</v>
      </c>
      <c r="BF17" s="72">
        <v>1</v>
      </c>
      <c r="BG17" s="72"/>
    </row>
    <row r="18" spans="1:59" hidden="1">
      <c r="A18" s="931"/>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59" hidden="1">
      <c r="A19" s="931">
        <v>3</v>
      </c>
      <c r="B19" s="72" t="s">
        <v>3130</v>
      </c>
      <c r="C19" s="72"/>
      <c r="D19" s="72"/>
      <c r="E19" s="72"/>
      <c r="F19" s="72"/>
      <c r="G19" s="72"/>
      <c r="H19" s="72"/>
      <c r="I19" s="72"/>
      <c r="J19" s="72"/>
      <c r="K19" s="72"/>
      <c r="L19" s="72"/>
      <c r="M19" s="72">
        <v>1</v>
      </c>
      <c r="N19" s="72"/>
      <c r="O19" s="72"/>
      <c r="P19" s="72"/>
      <c r="Q19" s="72"/>
      <c r="R19" s="72"/>
      <c r="S19" s="72"/>
      <c r="T19" s="72"/>
      <c r="U19" s="72"/>
      <c r="V19" s="72">
        <v>1</v>
      </c>
      <c r="W19" s="72"/>
      <c r="X19" s="72"/>
      <c r="Y19" s="72"/>
      <c r="Z19" s="72"/>
      <c r="AA19" s="72"/>
      <c r="AB19" s="72"/>
      <c r="AC19" s="72"/>
      <c r="AD19" s="72">
        <v>3</v>
      </c>
      <c r="AE19" s="72"/>
      <c r="AF19" s="72"/>
      <c r="AG19" s="72"/>
      <c r="AH19" s="72"/>
      <c r="AI19" s="72">
        <v>1</v>
      </c>
      <c r="AJ19" s="72"/>
      <c r="AK19" s="72"/>
      <c r="AL19" s="72"/>
      <c r="AM19" s="72"/>
      <c r="AN19" s="72"/>
      <c r="AO19" s="72"/>
      <c r="AP19" s="72"/>
      <c r="AQ19" s="72">
        <v>1</v>
      </c>
      <c r="AR19" s="72"/>
      <c r="AS19" s="72"/>
      <c r="AT19" s="72"/>
      <c r="AU19" s="72"/>
      <c r="AV19" s="72"/>
      <c r="AW19" s="72"/>
      <c r="AX19" s="72"/>
      <c r="AY19" s="72"/>
      <c r="AZ19" s="72"/>
      <c r="BA19" s="72"/>
      <c r="BB19" s="72"/>
      <c r="BC19" s="72"/>
      <c r="BD19" s="72"/>
      <c r="BE19" s="72"/>
      <c r="BF19" s="72"/>
      <c r="BG19" s="72"/>
    </row>
    <row r="20" spans="1:59" hidden="1">
      <c r="A20" s="931"/>
      <c r="B20" s="72" t="s">
        <v>3131</v>
      </c>
      <c r="C20" s="72"/>
      <c r="D20" s="72"/>
      <c r="E20" s="72"/>
      <c r="F20" s="72"/>
      <c r="G20" s="72"/>
      <c r="H20" s="72"/>
      <c r="I20" s="72"/>
      <c r="J20" s="72"/>
      <c r="K20" s="72"/>
      <c r="L20" s="72"/>
      <c r="M20" s="72">
        <v>1</v>
      </c>
      <c r="N20" s="72"/>
      <c r="O20" s="72"/>
      <c r="P20" s="72"/>
      <c r="Q20" s="72"/>
      <c r="R20" s="72"/>
      <c r="S20" s="72"/>
      <c r="T20" s="72"/>
      <c r="U20" s="72"/>
      <c r="V20" s="72"/>
      <c r="W20" s="72"/>
      <c r="X20" s="72"/>
      <c r="Y20" s="72"/>
      <c r="Z20" s="72"/>
      <c r="AA20" s="72"/>
      <c r="AB20" s="72"/>
      <c r="AC20" s="72"/>
      <c r="AD20" s="72">
        <v>6</v>
      </c>
      <c r="AE20" s="72"/>
      <c r="AF20" s="72"/>
      <c r="AG20" s="72"/>
      <c r="AH20" s="72"/>
      <c r="AI20" s="72">
        <v>1</v>
      </c>
      <c r="AJ20" s="72"/>
      <c r="AK20" s="72"/>
      <c r="AL20" s="72"/>
      <c r="AM20" s="72"/>
      <c r="AN20" s="72"/>
      <c r="AO20" s="72"/>
      <c r="AP20" s="72"/>
      <c r="AQ20" s="72">
        <v>1</v>
      </c>
      <c r="AR20" s="72"/>
      <c r="AS20" s="72"/>
      <c r="AT20" s="72"/>
      <c r="AU20" s="72"/>
      <c r="AV20" s="72"/>
      <c r="AW20" s="72"/>
      <c r="AX20" s="72"/>
      <c r="AY20" s="72"/>
      <c r="AZ20" s="72"/>
      <c r="BA20" s="72"/>
      <c r="BB20" s="72"/>
      <c r="BC20" s="72"/>
      <c r="BD20" s="72"/>
      <c r="BE20" s="72"/>
      <c r="BF20" s="72"/>
      <c r="BG20" s="72"/>
    </row>
    <row r="21" spans="1:59" hidden="1">
      <c r="A21" s="931"/>
      <c r="B21" s="72" t="s">
        <v>3132</v>
      </c>
      <c r="C21" s="72"/>
      <c r="D21" s="72"/>
      <c r="E21" s="72"/>
      <c r="F21" s="72"/>
      <c r="G21" s="72"/>
      <c r="H21" s="72"/>
      <c r="I21" s="72"/>
      <c r="J21" s="72"/>
      <c r="K21" s="72"/>
      <c r="L21" s="72"/>
      <c r="M21" s="72">
        <v>1</v>
      </c>
      <c r="N21" s="72"/>
      <c r="O21" s="72"/>
      <c r="P21" s="72"/>
      <c r="Q21" s="72"/>
      <c r="R21" s="72"/>
      <c r="S21" s="72"/>
      <c r="T21" s="72"/>
      <c r="U21" s="72"/>
      <c r="V21" s="72"/>
      <c r="W21" s="72"/>
      <c r="X21" s="72"/>
      <c r="Y21" s="72"/>
      <c r="Z21" s="72"/>
      <c r="AA21" s="72"/>
      <c r="AB21" s="72"/>
      <c r="AC21" s="72">
        <v>6</v>
      </c>
      <c r="AD21" s="72">
        <v>1</v>
      </c>
      <c r="AE21" s="72"/>
      <c r="AF21" s="72"/>
      <c r="AG21" s="72"/>
      <c r="AH21" s="72"/>
      <c r="AI21" s="72">
        <v>2</v>
      </c>
      <c r="AJ21" s="72">
        <v>4</v>
      </c>
      <c r="AK21" s="72"/>
      <c r="AL21" s="72"/>
      <c r="AM21" s="72"/>
      <c r="AN21" s="72"/>
      <c r="AO21" s="72"/>
      <c r="AP21" s="72">
        <v>4</v>
      </c>
      <c r="AQ21" s="72">
        <v>2</v>
      </c>
      <c r="AR21" s="72"/>
      <c r="AS21" s="72"/>
      <c r="AT21" s="72"/>
      <c r="AU21" s="72"/>
      <c r="AV21" s="72"/>
      <c r="AW21" s="72"/>
      <c r="AX21" s="72"/>
      <c r="AY21" s="72"/>
      <c r="AZ21" s="72"/>
      <c r="BA21" s="72"/>
      <c r="BB21" s="72"/>
      <c r="BC21" s="72"/>
      <c r="BD21" s="72"/>
      <c r="BE21" s="72"/>
      <c r="BF21" s="72">
        <v>1</v>
      </c>
      <c r="BG21" s="72"/>
    </row>
    <row r="22" spans="1:59" hidden="1">
      <c r="A22" s="931"/>
      <c r="B22" s="72" t="s">
        <v>3133</v>
      </c>
      <c r="C22" s="72"/>
      <c r="D22" s="72"/>
      <c r="E22" s="72"/>
      <c r="F22" s="72"/>
      <c r="G22" s="72"/>
      <c r="H22" s="72"/>
      <c r="I22" s="72"/>
      <c r="J22" s="72"/>
      <c r="K22" s="72"/>
      <c r="L22" s="72"/>
      <c r="M22" s="72">
        <v>1</v>
      </c>
      <c r="N22" s="72"/>
      <c r="O22" s="72"/>
      <c r="P22" s="72"/>
      <c r="Q22" s="72"/>
      <c r="R22" s="72"/>
      <c r="S22" s="72"/>
      <c r="T22" s="72"/>
      <c r="U22" s="72"/>
      <c r="V22" s="72"/>
      <c r="W22" s="72"/>
      <c r="X22" s="72"/>
      <c r="Y22" s="72"/>
      <c r="Z22" s="72"/>
      <c r="AA22" s="72"/>
      <c r="AB22" s="72"/>
      <c r="AC22" s="72">
        <v>6</v>
      </c>
      <c r="AD22" s="72">
        <v>4</v>
      </c>
      <c r="AE22" s="72"/>
      <c r="AF22" s="72"/>
      <c r="AG22" s="72"/>
      <c r="AH22" s="72"/>
      <c r="AI22" s="72">
        <v>2</v>
      </c>
      <c r="AJ22" s="72">
        <v>4</v>
      </c>
      <c r="AK22" s="72"/>
      <c r="AL22" s="72"/>
      <c r="AM22" s="72"/>
      <c r="AN22" s="72"/>
      <c r="AO22" s="72"/>
      <c r="AP22" s="72">
        <v>4</v>
      </c>
      <c r="AQ22" s="72">
        <v>2</v>
      </c>
      <c r="AR22" s="72"/>
      <c r="AS22" s="72"/>
      <c r="AT22" s="72"/>
      <c r="AU22" s="72"/>
      <c r="AV22" s="72"/>
      <c r="AW22" s="72"/>
      <c r="AX22" s="72"/>
      <c r="AY22" s="72"/>
      <c r="AZ22" s="72"/>
      <c r="BA22" s="72"/>
      <c r="BB22" s="72"/>
      <c r="BC22" s="72"/>
      <c r="BD22" s="72"/>
      <c r="BE22" s="72"/>
      <c r="BF22" s="72">
        <v>1</v>
      </c>
      <c r="BG22" s="72"/>
    </row>
    <row r="23" spans="1:59" hidden="1">
      <c r="A23" s="931"/>
      <c r="B23" s="72" t="s">
        <v>3134</v>
      </c>
      <c r="C23" s="72"/>
      <c r="D23" s="72"/>
      <c r="E23" s="72"/>
      <c r="F23" s="72"/>
      <c r="G23" s="72"/>
      <c r="H23" s="72"/>
      <c r="I23" s="72"/>
      <c r="J23" s="72"/>
      <c r="K23" s="72"/>
      <c r="L23" s="72"/>
      <c r="M23" s="72">
        <v>1</v>
      </c>
      <c r="N23" s="72"/>
      <c r="O23" s="72"/>
      <c r="P23" s="72"/>
      <c r="Q23" s="72"/>
      <c r="R23" s="72"/>
      <c r="S23" s="72"/>
      <c r="T23" s="72"/>
      <c r="U23" s="72"/>
      <c r="V23" s="72"/>
      <c r="W23" s="72"/>
      <c r="X23" s="72"/>
      <c r="Y23" s="72"/>
      <c r="Z23" s="72"/>
      <c r="AA23" s="72"/>
      <c r="AB23" s="72"/>
      <c r="AC23" s="72">
        <v>3</v>
      </c>
      <c r="AD23" s="72"/>
      <c r="AE23" s="72"/>
      <c r="AF23" s="72"/>
      <c r="AG23" s="72"/>
      <c r="AH23" s="72"/>
      <c r="AI23" s="72">
        <v>1</v>
      </c>
      <c r="AJ23" s="72">
        <v>2</v>
      </c>
      <c r="AK23" s="72"/>
      <c r="AL23" s="72"/>
      <c r="AM23" s="72"/>
      <c r="AN23" s="72"/>
      <c r="AO23" s="72"/>
      <c r="AP23" s="72"/>
      <c r="AQ23" s="72">
        <v>1</v>
      </c>
      <c r="AR23" s="72"/>
      <c r="AS23" s="72"/>
      <c r="AT23" s="72"/>
      <c r="AU23" s="72"/>
      <c r="AV23" s="72"/>
      <c r="AW23" s="72"/>
      <c r="AX23" s="72"/>
      <c r="AY23" s="72"/>
      <c r="AZ23" s="72"/>
      <c r="BA23" s="72"/>
      <c r="BB23" s="72"/>
      <c r="BC23" s="72"/>
      <c r="BD23" s="72"/>
      <c r="BE23" s="72"/>
      <c r="BF23" s="72">
        <v>1</v>
      </c>
      <c r="BG23" s="72"/>
    </row>
    <row r="24" spans="1:59" hidden="1">
      <c r="A24" s="931"/>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59" hidden="1">
      <c r="A25" s="931">
        <v>4</v>
      </c>
      <c r="B25" s="72" t="s">
        <v>3135</v>
      </c>
      <c r="C25" s="72"/>
      <c r="D25" s="72"/>
      <c r="E25" s="72"/>
      <c r="F25" s="72"/>
      <c r="G25" s="72"/>
      <c r="H25" s="72"/>
      <c r="I25" s="72"/>
      <c r="J25" s="72">
        <v>2</v>
      </c>
      <c r="K25" s="72"/>
      <c r="L25" s="72"/>
      <c r="M25" s="72">
        <v>1</v>
      </c>
      <c r="N25" s="72"/>
      <c r="O25" s="72"/>
      <c r="P25" s="72"/>
      <c r="Q25" s="72"/>
      <c r="R25" s="72"/>
      <c r="S25" s="72"/>
      <c r="T25" s="72">
        <v>1</v>
      </c>
      <c r="U25" s="72">
        <v>1</v>
      </c>
      <c r="V25" s="72">
        <v>1</v>
      </c>
      <c r="W25" s="72"/>
      <c r="X25" s="72"/>
      <c r="Y25" s="72"/>
      <c r="Z25" s="72"/>
      <c r="AA25" s="72"/>
      <c r="AB25" s="72"/>
      <c r="AC25" s="72">
        <v>1</v>
      </c>
      <c r="AD25" s="72">
        <v>3</v>
      </c>
      <c r="AE25" s="72"/>
      <c r="AF25" s="72"/>
      <c r="AG25" s="72"/>
      <c r="AH25" s="72"/>
      <c r="AI25" s="72">
        <v>2</v>
      </c>
      <c r="AJ25" s="72">
        <v>2</v>
      </c>
      <c r="AK25" s="72">
        <v>2</v>
      </c>
      <c r="AL25" s="72"/>
      <c r="AM25" s="72">
        <v>1</v>
      </c>
      <c r="AN25" s="72"/>
      <c r="AO25" s="72">
        <v>1</v>
      </c>
      <c r="AP25" s="72"/>
      <c r="AQ25" s="72">
        <v>2</v>
      </c>
      <c r="AR25" s="72"/>
      <c r="AS25" s="72"/>
      <c r="AT25" s="72"/>
      <c r="AU25" s="72"/>
      <c r="AV25" s="72"/>
      <c r="AW25" s="72"/>
      <c r="AX25" s="72"/>
      <c r="AY25" s="72"/>
      <c r="AZ25" s="72"/>
      <c r="BA25" s="72"/>
      <c r="BB25" s="72"/>
      <c r="BC25" s="72"/>
      <c r="BD25" s="72"/>
      <c r="BE25" s="72">
        <v>1</v>
      </c>
      <c r="BF25" s="72">
        <v>1</v>
      </c>
      <c r="BG25" s="72"/>
    </row>
    <row r="26" spans="1:59" hidden="1">
      <c r="A26" s="931"/>
      <c r="B26" s="72" t="s">
        <v>3136</v>
      </c>
      <c r="C26" s="72"/>
      <c r="D26" s="72"/>
      <c r="E26" s="72"/>
      <c r="F26" s="72"/>
      <c r="G26" s="72"/>
      <c r="H26" s="72"/>
      <c r="I26" s="72"/>
      <c r="J26" s="72">
        <v>2</v>
      </c>
      <c r="K26" s="72"/>
      <c r="L26" s="72"/>
      <c r="M26" s="72">
        <v>1</v>
      </c>
      <c r="N26" s="72"/>
      <c r="O26" s="72"/>
      <c r="P26" s="72"/>
      <c r="Q26" s="72"/>
      <c r="R26" s="72"/>
      <c r="S26" s="72"/>
      <c r="T26" s="72">
        <v>1</v>
      </c>
      <c r="U26" s="72">
        <v>1</v>
      </c>
      <c r="V26" s="72"/>
      <c r="W26" s="72"/>
      <c r="X26" s="72"/>
      <c r="Y26" s="72"/>
      <c r="Z26" s="72"/>
      <c r="AA26" s="72"/>
      <c r="AB26" s="72"/>
      <c r="AC26" s="72">
        <v>1</v>
      </c>
      <c r="AD26" s="72">
        <v>6</v>
      </c>
      <c r="AE26" s="72"/>
      <c r="AF26" s="72"/>
      <c r="AG26" s="72"/>
      <c r="AH26" s="72"/>
      <c r="AI26" s="72">
        <v>2</v>
      </c>
      <c r="AJ26" s="72">
        <v>2</v>
      </c>
      <c r="AK26" s="72">
        <v>2</v>
      </c>
      <c r="AL26" s="72"/>
      <c r="AM26" s="72">
        <v>1</v>
      </c>
      <c r="AN26" s="72"/>
      <c r="AO26" s="72">
        <v>1</v>
      </c>
      <c r="AP26" s="72"/>
      <c r="AQ26" s="72">
        <v>2</v>
      </c>
      <c r="AR26" s="72"/>
      <c r="AS26" s="72"/>
      <c r="AT26" s="72"/>
      <c r="AU26" s="72"/>
      <c r="AV26" s="72"/>
      <c r="AW26" s="72"/>
      <c r="AX26" s="72"/>
      <c r="AY26" s="72"/>
      <c r="AZ26" s="72"/>
      <c r="BA26" s="72"/>
      <c r="BB26" s="72"/>
      <c r="BC26" s="72"/>
      <c r="BD26" s="72"/>
      <c r="BE26" s="72">
        <v>1</v>
      </c>
      <c r="BF26" s="72">
        <v>1</v>
      </c>
      <c r="BG26" s="72"/>
    </row>
    <row r="27" spans="1:59" hidden="1">
      <c r="A27" s="931"/>
      <c r="B27" s="72" t="s">
        <v>3137</v>
      </c>
      <c r="C27" s="72"/>
      <c r="D27" s="72"/>
      <c r="E27" s="72"/>
      <c r="F27" s="72"/>
      <c r="G27" s="72"/>
      <c r="H27" s="72"/>
      <c r="I27" s="72"/>
      <c r="J27" s="72">
        <v>2</v>
      </c>
      <c r="K27" s="72"/>
      <c r="L27" s="72"/>
      <c r="M27" s="72">
        <v>1</v>
      </c>
      <c r="N27" s="72"/>
      <c r="O27" s="72"/>
      <c r="P27" s="72"/>
      <c r="Q27" s="72"/>
      <c r="R27" s="72"/>
      <c r="S27" s="72"/>
      <c r="T27" s="72">
        <v>1</v>
      </c>
      <c r="U27" s="72">
        <v>1</v>
      </c>
      <c r="V27" s="72"/>
      <c r="W27" s="72"/>
      <c r="X27" s="72"/>
      <c r="Y27" s="72"/>
      <c r="Z27" s="72"/>
      <c r="AA27" s="72"/>
      <c r="AB27" s="72"/>
      <c r="AC27" s="72">
        <v>7</v>
      </c>
      <c r="AD27" s="72">
        <v>1</v>
      </c>
      <c r="AE27" s="72"/>
      <c r="AF27" s="72"/>
      <c r="AG27" s="72"/>
      <c r="AH27" s="72"/>
      <c r="AI27" s="72">
        <v>3</v>
      </c>
      <c r="AJ27" s="72">
        <v>6</v>
      </c>
      <c r="AK27" s="72">
        <v>2</v>
      </c>
      <c r="AL27" s="72"/>
      <c r="AM27" s="72">
        <v>1</v>
      </c>
      <c r="AN27" s="72"/>
      <c r="AO27" s="72">
        <v>1</v>
      </c>
      <c r="AP27" s="72">
        <v>4</v>
      </c>
      <c r="AQ27" s="72">
        <v>3</v>
      </c>
      <c r="AR27" s="72"/>
      <c r="AS27" s="72"/>
      <c r="AT27" s="72"/>
      <c r="AU27" s="72"/>
      <c r="AV27" s="72"/>
      <c r="AW27" s="72"/>
      <c r="AX27" s="72"/>
      <c r="AY27" s="72"/>
      <c r="AZ27" s="72"/>
      <c r="BA27" s="72"/>
      <c r="BB27" s="72"/>
      <c r="BC27" s="72"/>
      <c r="BD27" s="72"/>
      <c r="BE27" s="72">
        <v>1</v>
      </c>
      <c r="BF27" s="72">
        <v>1</v>
      </c>
      <c r="BG27" s="72"/>
    </row>
    <row r="28" spans="1:59" hidden="1">
      <c r="A28" s="931"/>
      <c r="B28" s="72" t="s">
        <v>3138</v>
      </c>
      <c r="C28" s="72"/>
      <c r="D28" s="72"/>
      <c r="E28" s="72"/>
      <c r="F28" s="72"/>
      <c r="G28" s="72"/>
      <c r="H28" s="72"/>
      <c r="I28" s="72"/>
      <c r="J28" s="72">
        <v>2</v>
      </c>
      <c r="K28" s="72"/>
      <c r="L28" s="72"/>
      <c r="M28" s="72">
        <v>1</v>
      </c>
      <c r="N28" s="72"/>
      <c r="O28" s="72"/>
      <c r="P28" s="72"/>
      <c r="Q28" s="72"/>
      <c r="R28" s="72"/>
      <c r="S28" s="72"/>
      <c r="T28" s="72"/>
      <c r="U28" s="72"/>
      <c r="V28" s="72"/>
      <c r="W28" s="72"/>
      <c r="X28" s="72"/>
      <c r="Y28" s="72"/>
      <c r="Z28" s="72"/>
      <c r="AA28" s="72"/>
      <c r="AB28" s="72"/>
      <c r="AC28" s="72">
        <v>7</v>
      </c>
      <c r="AD28" s="72">
        <v>4</v>
      </c>
      <c r="AE28" s="72"/>
      <c r="AF28" s="72"/>
      <c r="AG28" s="72"/>
      <c r="AH28" s="72"/>
      <c r="AI28" s="72">
        <v>3</v>
      </c>
      <c r="AJ28" s="72">
        <v>6</v>
      </c>
      <c r="AK28" s="72">
        <v>2</v>
      </c>
      <c r="AL28" s="72"/>
      <c r="AM28" s="72">
        <v>1</v>
      </c>
      <c r="AN28" s="72"/>
      <c r="AO28" s="72">
        <v>1</v>
      </c>
      <c r="AP28" s="72">
        <v>4</v>
      </c>
      <c r="AQ28" s="72">
        <v>3</v>
      </c>
      <c r="AR28" s="72"/>
      <c r="AS28" s="72"/>
      <c r="AT28" s="72"/>
      <c r="AU28" s="72"/>
      <c r="AV28" s="72"/>
      <c r="AW28" s="72"/>
      <c r="AX28" s="72"/>
      <c r="AY28" s="72"/>
      <c r="AZ28" s="72"/>
      <c r="BA28" s="72"/>
      <c r="BB28" s="72"/>
      <c r="BC28" s="72"/>
      <c r="BD28" s="72"/>
      <c r="BE28" s="72">
        <v>1</v>
      </c>
      <c r="BF28" s="72">
        <v>1</v>
      </c>
      <c r="BG28" s="72"/>
    </row>
    <row r="29" spans="1:59" hidden="1">
      <c r="A29" s="931"/>
      <c r="B29" s="72" t="s">
        <v>3139</v>
      </c>
      <c r="C29" s="72"/>
      <c r="D29" s="72"/>
      <c r="E29" s="72"/>
      <c r="F29" s="72"/>
      <c r="G29" s="72"/>
      <c r="H29" s="72"/>
      <c r="I29" s="72"/>
      <c r="J29" s="72">
        <v>2</v>
      </c>
      <c r="K29" s="72"/>
      <c r="L29" s="72"/>
      <c r="M29" s="72">
        <v>1</v>
      </c>
      <c r="N29" s="72"/>
      <c r="O29" s="72"/>
      <c r="P29" s="72"/>
      <c r="Q29" s="72"/>
      <c r="R29" s="72"/>
      <c r="S29" s="72"/>
      <c r="T29" s="72">
        <v>1</v>
      </c>
      <c r="U29" s="72">
        <v>1</v>
      </c>
      <c r="V29" s="72"/>
      <c r="W29" s="72"/>
      <c r="X29" s="72"/>
      <c r="Y29" s="72"/>
      <c r="Z29" s="72"/>
      <c r="AA29" s="72"/>
      <c r="AB29" s="72"/>
      <c r="AC29" s="72">
        <v>4</v>
      </c>
      <c r="AD29" s="72"/>
      <c r="AE29" s="72"/>
      <c r="AF29" s="72"/>
      <c r="AG29" s="72"/>
      <c r="AH29" s="72"/>
      <c r="AI29" s="72">
        <v>2</v>
      </c>
      <c r="AJ29" s="72">
        <v>4</v>
      </c>
      <c r="AK29" s="72">
        <v>2</v>
      </c>
      <c r="AL29" s="72"/>
      <c r="AM29" s="72">
        <v>1</v>
      </c>
      <c r="AN29" s="72"/>
      <c r="AO29" s="72">
        <v>1</v>
      </c>
      <c r="AP29" s="72"/>
      <c r="AQ29" s="72">
        <v>2</v>
      </c>
      <c r="AR29" s="72"/>
      <c r="AS29" s="72"/>
      <c r="AT29" s="72"/>
      <c r="AU29" s="72"/>
      <c r="AV29" s="72"/>
      <c r="AW29" s="72"/>
      <c r="AX29" s="72"/>
      <c r="AY29" s="72"/>
      <c r="AZ29" s="72"/>
      <c r="BA29" s="72"/>
      <c r="BB29" s="72"/>
      <c r="BC29" s="72"/>
      <c r="BD29" s="72"/>
      <c r="BE29" s="72">
        <v>1</v>
      </c>
      <c r="BF29" s="72">
        <v>1</v>
      </c>
      <c r="BG29" s="72"/>
    </row>
    <row r="30" spans="1:59" hidden="1">
      <c r="A30" s="931"/>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row>
    <row r="31" spans="1:59" hidden="1">
      <c r="A31" s="931">
        <v>5</v>
      </c>
      <c r="B31" s="72" t="s">
        <v>3140</v>
      </c>
      <c r="C31" s="72"/>
      <c r="D31" s="72"/>
      <c r="E31" s="72"/>
      <c r="F31" s="72"/>
      <c r="G31" s="72"/>
      <c r="H31" s="72"/>
      <c r="I31" s="72"/>
      <c r="J31" s="72">
        <v>2</v>
      </c>
      <c r="K31" s="72"/>
      <c r="L31" s="72"/>
      <c r="M31" s="72">
        <v>1</v>
      </c>
      <c r="N31" s="72"/>
      <c r="O31" s="72"/>
      <c r="P31" s="72"/>
      <c r="Q31" s="72"/>
      <c r="R31" s="72"/>
      <c r="S31" s="72"/>
      <c r="T31" s="72"/>
      <c r="U31" s="72"/>
      <c r="V31" s="72">
        <v>1</v>
      </c>
      <c r="W31" s="72"/>
      <c r="X31" s="72"/>
      <c r="Y31" s="72"/>
      <c r="Z31" s="72"/>
      <c r="AA31" s="72"/>
      <c r="AB31" s="72"/>
      <c r="AC31" s="72">
        <v>3</v>
      </c>
      <c r="AD31" s="72">
        <v>4</v>
      </c>
      <c r="AE31" s="72"/>
      <c r="AF31" s="72"/>
      <c r="AG31" s="72"/>
      <c r="AH31" s="72"/>
      <c r="AI31" s="72">
        <v>2</v>
      </c>
      <c r="AJ31" s="72">
        <v>2</v>
      </c>
      <c r="AK31" s="72">
        <v>2</v>
      </c>
      <c r="AL31" s="72"/>
      <c r="AM31" s="72">
        <v>3</v>
      </c>
      <c r="AN31" s="72"/>
      <c r="AO31" s="72">
        <v>3</v>
      </c>
      <c r="AP31" s="72"/>
      <c r="AQ31" s="72">
        <v>2</v>
      </c>
      <c r="AR31" s="72"/>
      <c r="AS31" s="72"/>
      <c r="AT31" s="72"/>
      <c r="AU31" s="72"/>
      <c r="AV31" s="72"/>
      <c r="AW31" s="72"/>
      <c r="AX31" s="72"/>
      <c r="AY31" s="72"/>
      <c r="AZ31" s="72"/>
      <c r="BA31" s="72"/>
      <c r="BB31" s="72"/>
      <c r="BC31" s="72"/>
      <c r="BD31" s="72"/>
      <c r="BE31" s="72">
        <v>1</v>
      </c>
      <c r="BF31" s="72">
        <v>1</v>
      </c>
      <c r="BG31" s="72"/>
    </row>
    <row r="32" spans="1:59" hidden="1">
      <c r="A32" s="931"/>
      <c r="B32" s="72" t="s">
        <v>1388</v>
      </c>
      <c r="C32" s="72"/>
      <c r="D32" s="72"/>
      <c r="E32" s="72"/>
      <c r="F32" s="72"/>
      <c r="G32" s="72"/>
      <c r="H32" s="72"/>
      <c r="I32" s="72"/>
      <c r="J32" s="72">
        <v>2</v>
      </c>
      <c r="K32" s="72"/>
      <c r="L32" s="72"/>
      <c r="M32" s="72">
        <v>1</v>
      </c>
      <c r="N32" s="72"/>
      <c r="O32" s="72"/>
      <c r="P32" s="72"/>
      <c r="Q32" s="72"/>
      <c r="R32" s="72"/>
      <c r="S32" s="72"/>
      <c r="T32" s="72"/>
      <c r="U32" s="72"/>
      <c r="V32" s="72"/>
      <c r="W32" s="72"/>
      <c r="X32" s="72"/>
      <c r="Y32" s="72"/>
      <c r="Z32" s="72"/>
      <c r="AA32" s="72"/>
      <c r="AB32" s="72"/>
      <c r="AC32" s="72">
        <v>3</v>
      </c>
      <c r="AD32" s="72">
        <v>7</v>
      </c>
      <c r="AE32" s="72"/>
      <c r="AF32" s="72"/>
      <c r="AG32" s="72"/>
      <c r="AH32" s="72"/>
      <c r="AI32" s="72">
        <v>2</v>
      </c>
      <c r="AJ32" s="72">
        <v>2</v>
      </c>
      <c r="AK32" s="72">
        <v>2</v>
      </c>
      <c r="AL32" s="72"/>
      <c r="AM32" s="72">
        <v>3</v>
      </c>
      <c r="AN32" s="72"/>
      <c r="AO32" s="72">
        <v>3</v>
      </c>
      <c r="AP32" s="72"/>
      <c r="AQ32" s="72">
        <v>2</v>
      </c>
      <c r="AR32" s="72"/>
      <c r="AS32" s="72"/>
      <c r="AT32" s="72"/>
      <c r="AU32" s="72"/>
      <c r="AV32" s="72"/>
      <c r="AW32" s="72"/>
      <c r="AX32" s="72"/>
      <c r="AY32" s="72"/>
      <c r="AZ32" s="72"/>
      <c r="BA32" s="72"/>
      <c r="BB32" s="72"/>
      <c r="BC32" s="72"/>
      <c r="BD32" s="72"/>
      <c r="BE32" s="72">
        <v>1</v>
      </c>
      <c r="BF32" s="72">
        <v>1</v>
      </c>
      <c r="BG32" s="72"/>
    </row>
    <row r="33" spans="1:59" hidden="1">
      <c r="A33" s="931"/>
      <c r="B33" s="72" t="s">
        <v>1389</v>
      </c>
      <c r="C33" s="72"/>
      <c r="D33" s="72"/>
      <c r="E33" s="72"/>
      <c r="F33" s="72"/>
      <c r="G33" s="72"/>
      <c r="H33" s="72"/>
      <c r="I33" s="72"/>
      <c r="J33" s="72">
        <v>2</v>
      </c>
      <c r="K33" s="72"/>
      <c r="L33" s="72"/>
      <c r="M33" s="72">
        <v>1</v>
      </c>
      <c r="N33" s="72"/>
      <c r="O33" s="72"/>
      <c r="P33" s="72"/>
      <c r="Q33" s="72"/>
      <c r="R33" s="72"/>
      <c r="S33" s="72"/>
      <c r="T33" s="72"/>
      <c r="U33" s="72"/>
      <c r="V33" s="72"/>
      <c r="W33" s="72"/>
      <c r="X33" s="72"/>
      <c r="Y33" s="72"/>
      <c r="Z33" s="72"/>
      <c r="AA33" s="72"/>
      <c r="AB33" s="72"/>
      <c r="AC33" s="72">
        <v>9</v>
      </c>
      <c r="AD33" s="72">
        <v>5</v>
      </c>
      <c r="AE33" s="72"/>
      <c r="AF33" s="72"/>
      <c r="AG33" s="72"/>
      <c r="AH33" s="72"/>
      <c r="AI33" s="72">
        <v>3</v>
      </c>
      <c r="AJ33" s="72">
        <v>6</v>
      </c>
      <c r="AK33" s="72">
        <v>2</v>
      </c>
      <c r="AL33" s="72"/>
      <c r="AM33" s="72">
        <v>3</v>
      </c>
      <c r="AN33" s="72"/>
      <c r="AO33" s="72">
        <v>3</v>
      </c>
      <c r="AP33" s="72">
        <v>4</v>
      </c>
      <c r="AQ33" s="72">
        <v>3</v>
      </c>
      <c r="AR33" s="72"/>
      <c r="AS33" s="72"/>
      <c r="AT33" s="72"/>
      <c r="AU33" s="72"/>
      <c r="AV33" s="72"/>
      <c r="AW33" s="72"/>
      <c r="AX33" s="72"/>
      <c r="AY33" s="72"/>
      <c r="AZ33" s="72"/>
      <c r="BA33" s="72"/>
      <c r="BB33" s="72"/>
      <c r="BC33" s="72"/>
      <c r="BD33" s="72"/>
      <c r="BE33" s="72">
        <v>1</v>
      </c>
      <c r="BF33" s="72">
        <v>1</v>
      </c>
      <c r="BG33" s="72"/>
    </row>
    <row r="34" spans="1:59" hidden="1">
      <c r="A34" s="931"/>
      <c r="B34" s="72" t="s">
        <v>1390</v>
      </c>
      <c r="C34" s="72"/>
      <c r="D34" s="72"/>
      <c r="E34" s="72"/>
      <c r="F34" s="72"/>
      <c r="G34" s="72"/>
      <c r="H34" s="72"/>
      <c r="I34" s="72"/>
      <c r="J34" s="72">
        <v>2</v>
      </c>
      <c r="K34" s="72"/>
      <c r="L34" s="72"/>
      <c r="M34" s="72">
        <v>1</v>
      </c>
      <c r="N34" s="72"/>
      <c r="O34" s="72"/>
      <c r="P34" s="72"/>
      <c r="Q34" s="72"/>
      <c r="R34" s="72"/>
      <c r="S34" s="72"/>
      <c r="T34" s="72"/>
      <c r="U34" s="72"/>
      <c r="V34" s="72"/>
      <c r="W34" s="72"/>
      <c r="X34" s="72"/>
      <c r="Y34" s="72"/>
      <c r="Z34" s="72"/>
      <c r="AA34" s="72"/>
      <c r="AB34" s="72"/>
      <c r="AC34" s="72">
        <v>9</v>
      </c>
      <c r="AD34" s="72">
        <v>7</v>
      </c>
      <c r="AE34" s="72"/>
      <c r="AF34" s="72"/>
      <c r="AG34" s="72"/>
      <c r="AH34" s="72"/>
      <c r="AI34" s="72">
        <v>3</v>
      </c>
      <c r="AJ34" s="72">
        <v>6</v>
      </c>
      <c r="AK34" s="72">
        <v>2</v>
      </c>
      <c r="AL34" s="72"/>
      <c r="AM34" s="72">
        <v>3</v>
      </c>
      <c r="AN34" s="72"/>
      <c r="AO34" s="72">
        <v>3</v>
      </c>
      <c r="AP34" s="72">
        <v>4</v>
      </c>
      <c r="AQ34" s="72">
        <v>3</v>
      </c>
      <c r="AR34" s="72"/>
      <c r="AS34" s="72"/>
      <c r="AT34" s="72"/>
      <c r="AU34" s="72"/>
      <c r="AV34" s="72"/>
      <c r="AW34" s="72"/>
      <c r="AX34" s="72"/>
      <c r="AY34" s="72"/>
      <c r="AZ34" s="72"/>
      <c r="BA34" s="72"/>
      <c r="BB34" s="72"/>
      <c r="BC34" s="72"/>
      <c r="BD34" s="72"/>
      <c r="BE34" s="72">
        <v>1</v>
      </c>
      <c r="BF34" s="72">
        <v>1</v>
      </c>
      <c r="BG34" s="72"/>
    </row>
    <row r="35" spans="1:59" hidden="1">
      <c r="A35" s="931"/>
      <c r="B35" s="72" t="s">
        <v>1391</v>
      </c>
      <c r="C35" s="72"/>
      <c r="D35" s="72"/>
      <c r="E35" s="72"/>
      <c r="F35" s="72"/>
      <c r="G35" s="72"/>
      <c r="H35" s="72"/>
      <c r="I35" s="72"/>
      <c r="J35" s="72">
        <v>2</v>
      </c>
      <c r="K35" s="72"/>
      <c r="L35" s="72"/>
      <c r="M35" s="72">
        <v>1</v>
      </c>
      <c r="N35" s="72"/>
      <c r="O35" s="72"/>
      <c r="P35" s="72"/>
      <c r="Q35" s="72"/>
      <c r="R35" s="72"/>
      <c r="S35" s="72"/>
      <c r="T35" s="72"/>
      <c r="U35" s="72"/>
      <c r="V35" s="72"/>
      <c r="W35" s="72"/>
      <c r="X35" s="72"/>
      <c r="Y35" s="72"/>
      <c r="Z35" s="72"/>
      <c r="AA35" s="72"/>
      <c r="AB35" s="72"/>
      <c r="AC35" s="72">
        <v>6</v>
      </c>
      <c r="AD35" s="72">
        <v>3</v>
      </c>
      <c r="AE35" s="72"/>
      <c r="AF35" s="72"/>
      <c r="AG35" s="72"/>
      <c r="AH35" s="72"/>
      <c r="AI35" s="72">
        <v>2</v>
      </c>
      <c r="AJ35" s="72">
        <v>4</v>
      </c>
      <c r="AK35" s="72">
        <v>2</v>
      </c>
      <c r="AL35" s="72"/>
      <c r="AM35" s="72">
        <v>3</v>
      </c>
      <c r="AN35" s="72"/>
      <c r="AO35" s="72">
        <v>3</v>
      </c>
      <c r="AP35" s="72"/>
      <c r="AQ35" s="72">
        <v>2</v>
      </c>
      <c r="AR35" s="72"/>
      <c r="AS35" s="72"/>
      <c r="AT35" s="72"/>
      <c r="AU35" s="72"/>
      <c r="AV35" s="72"/>
      <c r="AW35" s="72"/>
      <c r="AX35" s="72"/>
      <c r="AY35" s="72"/>
      <c r="AZ35" s="72"/>
      <c r="BA35" s="72"/>
      <c r="BB35" s="72"/>
      <c r="BC35" s="72"/>
      <c r="BD35" s="72"/>
      <c r="BE35" s="72">
        <v>1</v>
      </c>
      <c r="BF35" s="72">
        <v>1</v>
      </c>
      <c r="BG35" s="72"/>
    </row>
    <row r="36" spans="1:59" hidden="1">
      <c r="A36" s="931"/>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row>
    <row r="37" spans="1:59" hidden="1">
      <c r="A37" s="931">
        <v>6</v>
      </c>
      <c r="B37" s="72" t="s">
        <v>1392</v>
      </c>
      <c r="C37" s="72"/>
      <c r="D37" s="72"/>
      <c r="E37" s="72"/>
      <c r="F37" s="72"/>
      <c r="G37" s="72"/>
      <c r="H37" s="72"/>
      <c r="I37" s="72"/>
      <c r="J37" s="72"/>
      <c r="K37" s="72"/>
      <c r="L37" s="72"/>
      <c r="M37" s="72">
        <v>1</v>
      </c>
      <c r="N37" s="72"/>
      <c r="O37" s="72"/>
      <c r="P37" s="72"/>
      <c r="Q37" s="72"/>
      <c r="R37" s="72"/>
      <c r="S37" s="72"/>
      <c r="T37" s="72"/>
      <c r="U37" s="72"/>
      <c r="V37" s="72"/>
      <c r="W37" s="72"/>
      <c r="X37" s="72"/>
      <c r="Y37" s="72"/>
      <c r="Z37" s="72"/>
      <c r="AA37" s="72"/>
      <c r="AB37" s="72"/>
      <c r="AC37" s="72"/>
      <c r="AD37" s="72"/>
      <c r="AE37" s="72"/>
      <c r="AF37" s="72"/>
      <c r="AG37" s="72"/>
      <c r="AH37" s="72"/>
      <c r="AI37" s="72">
        <v>1</v>
      </c>
      <c r="AJ37" s="72"/>
      <c r="AK37" s="72"/>
      <c r="AL37" s="72"/>
      <c r="AM37" s="72"/>
      <c r="AN37" s="72"/>
      <c r="AO37" s="72"/>
      <c r="AP37" s="72"/>
      <c r="AQ37" s="72">
        <v>1</v>
      </c>
      <c r="AR37" s="72"/>
      <c r="AS37" s="72"/>
      <c r="AT37" s="72"/>
      <c r="AU37" s="72"/>
      <c r="AV37" s="72"/>
      <c r="AW37" s="72"/>
      <c r="AX37" s="72"/>
      <c r="AY37" s="72"/>
      <c r="AZ37" s="72"/>
      <c r="BA37" s="72"/>
      <c r="BB37" s="72"/>
      <c r="BC37" s="72"/>
      <c r="BD37" s="72"/>
      <c r="BE37" s="72"/>
      <c r="BF37" s="72"/>
      <c r="BG37" s="72"/>
    </row>
    <row r="38" spans="1:59" hidden="1">
      <c r="A38" s="931"/>
      <c r="B38" s="72" t="s">
        <v>1393</v>
      </c>
      <c r="C38" s="72"/>
      <c r="D38" s="72"/>
      <c r="E38" s="72"/>
      <c r="F38" s="72"/>
      <c r="G38" s="72"/>
      <c r="H38" s="72"/>
      <c r="I38" s="72"/>
      <c r="J38" s="72"/>
      <c r="K38" s="72"/>
      <c r="L38" s="72"/>
      <c r="M38" s="72">
        <v>1</v>
      </c>
      <c r="N38" s="72"/>
      <c r="O38" s="72"/>
      <c r="P38" s="72"/>
      <c r="Q38" s="72"/>
      <c r="R38" s="72"/>
      <c r="S38" s="72"/>
      <c r="T38" s="72"/>
      <c r="U38" s="72"/>
      <c r="V38" s="72"/>
      <c r="W38" s="72"/>
      <c r="X38" s="72"/>
      <c r="Y38" s="72"/>
      <c r="Z38" s="72"/>
      <c r="AA38" s="72"/>
      <c r="AB38" s="72"/>
      <c r="AC38" s="72"/>
      <c r="AD38" s="72"/>
      <c r="AE38" s="72"/>
      <c r="AF38" s="72"/>
      <c r="AG38" s="72"/>
      <c r="AH38" s="72"/>
      <c r="AI38" s="72">
        <v>1</v>
      </c>
      <c r="AJ38" s="72"/>
      <c r="AK38" s="72"/>
      <c r="AL38" s="72"/>
      <c r="AM38" s="72"/>
      <c r="AN38" s="72"/>
      <c r="AO38" s="72"/>
      <c r="AP38" s="72"/>
      <c r="AQ38" s="72">
        <v>1</v>
      </c>
      <c r="AR38" s="72"/>
      <c r="AS38" s="72"/>
      <c r="AT38" s="72"/>
      <c r="AU38" s="72"/>
      <c r="AV38" s="72"/>
      <c r="AW38" s="72"/>
      <c r="AX38" s="72"/>
      <c r="AY38" s="72"/>
      <c r="AZ38" s="72"/>
      <c r="BA38" s="72"/>
      <c r="BB38" s="72"/>
      <c r="BC38" s="72"/>
      <c r="BD38" s="72"/>
      <c r="BE38" s="72"/>
      <c r="BF38" s="72"/>
      <c r="BG38" s="72"/>
    </row>
    <row r="39" spans="1:59" hidden="1">
      <c r="A39" s="931"/>
      <c r="B39" s="72" t="s">
        <v>1394</v>
      </c>
      <c r="C39" s="72"/>
      <c r="D39" s="72"/>
      <c r="E39" s="72"/>
      <c r="F39" s="72"/>
      <c r="G39" s="72"/>
      <c r="H39" s="72"/>
      <c r="I39" s="72"/>
      <c r="J39" s="72"/>
      <c r="K39" s="72"/>
      <c r="L39" s="72"/>
      <c r="M39" s="72">
        <v>1</v>
      </c>
      <c r="N39" s="72"/>
      <c r="O39" s="72"/>
      <c r="P39" s="72"/>
      <c r="Q39" s="72"/>
      <c r="R39" s="72"/>
      <c r="S39" s="72"/>
      <c r="T39" s="72"/>
      <c r="U39" s="72"/>
      <c r="V39" s="72"/>
      <c r="W39" s="72"/>
      <c r="X39" s="72"/>
      <c r="Y39" s="72"/>
      <c r="Z39" s="72"/>
      <c r="AA39" s="72"/>
      <c r="AB39" s="72"/>
      <c r="AC39" s="72">
        <v>2</v>
      </c>
      <c r="AD39" s="72">
        <v>1</v>
      </c>
      <c r="AE39" s="72"/>
      <c r="AF39" s="72"/>
      <c r="AG39" s="72"/>
      <c r="AH39" s="72"/>
      <c r="AI39" s="72">
        <v>2</v>
      </c>
      <c r="AJ39" s="72">
        <v>4</v>
      </c>
      <c r="AK39" s="72"/>
      <c r="AL39" s="72"/>
      <c r="AM39" s="72"/>
      <c r="AN39" s="72"/>
      <c r="AO39" s="72"/>
      <c r="AP39" s="72">
        <v>2</v>
      </c>
      <c r="AQ39" s="72">
        <v>2</v>
      </c>
      <c r="AR39" s="72"/>
      <c r="AS39" s="72"/>
      <c r="AT39" s="72"/>
      <c r="AU39" s="72"/>
      <c r="AV39" s="72"/>
      <c r="AW39" s="72"/>
      <c r="AX39" s="72"/>
      <c r="AY39" s="72"/>
      <c r="AZ39" s="72"/>
      <c r="BA39" s="72"/>
      <c r="BB39" s="72"/>
      <c r="BC39" s="72"/>
      <c r="BD39" s="72"/>
      <c r="BE39" s="72"/>
      <c r="BF39" s="72">
        <v>1</v>
      </c>
      <c r="BG39" s="72"/>
    </row>
    <row r="40" spans="1:59" hidden="1">
      <c r="A40" s="931"/>
      <c r="B40" s="72" t="s">
        <v>1395</v>
      </c>
      <c r="C40" s="72"/>
      <c r="D40" s="72"/>
      <c r="E40" s="72"/>
      <c r="F40" s="72"/>
      <c r="G40" s="72"/>
      <c r="H40" s="72"/>
      <c r="I40" s="72"/>
      <c r="J40" s="72"/>
      <c r="K40" s="72"/>
      <c r="L40" s="72"/>
      <c r="M40" s="72">
        <v>1</v>
      </c>
      <c r="N40" s="72"/>
      <c r="O40" s="72"/>
      <c r="P40" s="72"/>
      <c r="Q40" s="72"/>
      <c r="R40" s="72"/>
      <c r="S40" s="72"/>
      <c r="T40" s="72"/>
      <c r="U40" s="72"/>
      <c r="V40" s="72"/>
      <c r="W40" s="72"/>
      <c r="X40" s="72"/>
      <c r="Y40" s="72"/>
      <c r="Z40" s="72"/>
      <c r="AA40" s="72"/>
      <c r="AB40" s="72"/>
      <c r="AC40" s="72">
        <v>2</v>
      </c>
      <c r="AD40" s="72">
        <v>1</v>
      </c>
      <c r="AE40" s="72"/>
      <c r="AF40" s="72"/>
      <c r="AG40" s="72"/>
      <c r="AH40" s="72"/>
      <c r="AI40" s="72">
        <v>2</v>
      </c>
      <c r="AJ40" s="72">
        <v>4</v>
      </c>
      <c r="AK40" s="72"/>
      <c r="AL40" s="72"/>
      <c r="AM40" s="72"/>
      <c r="AN40" s="72"/>
      <c r="AO40" s="72"/>
      <c r="AP40" s="72">
        <v>2</v>
      </c>
      <c r="AQ40" s="72">
        <v>2</v>
      </c>
      <c r="AR40" s="72"/>
      <c r="AS40" s="72"/>
      <c r="AT40" s="72"/>
      <c r="AU40" s="72"/>
      <c r="AV40" s="72"/>
      <c r="AW40" s="72"/>
      <c r="AX40" s="72"/>
      <c r="AY40" s="72"/>
      <c r="AZ40" s="72"/>
      <c r="BA40" s="72"/>
      <c r="BB40" s="72"/>
      <c r="BC40" s="72"/>
      <c r="BD40" s="72"/>
      <c r="BE40" s="72"/>
      <c r="BF40" s="72">
        <v>1</v>
      </c>
      <c r="BG40" s="72"/>
    </row>
    <row r="41" spans="1:59" hidden="1">
      <c r="A41" s="931"/>
      <c r="B41" s="72" t="s">
        <v>1396</v>
      </c>
      <c r="C41" s="72"/>
      <c r="D41" s="72"/>
      <c r="E41" s="72"/>
      <c r="F41" s="72"/>
      <c r="G41" s="72"/>
      <c r="H41" s="72"/>
      <c r="I41" s="72"/>
      <c r="J41" s="72"/>
      <c r="K41" s="72"/>
      <c r="L41" s="72"/>
      <c r="M41" s="72">
        <v>1</v>
      </c>
      <c r="N41" s="72"/>
      <c r="O41" s="72"/>
      <c r="P41" s="72"/>
      <c r="Q41" s="72"/>
      <c r="R41" s="72"/>
      <c r="S41" s="72"/>
      <c r="T41" s="72"/>
      <c r="U41" s="72"/>
      <c r="V41" s="72"/>
      <c r="W41" s="72"/>
      <c r="X41" s="72"/>
      <c r="Y41" s="72"/>
      <c r="Z41" s="72"/>
      <c r="AA41" s="72"/>
      <c r="AB41" s="72"/>
      <c r="AC41" s="72">
        <v>1</v>
      </c>
      <c r="AD41" s="72"/>
      <c r="AE41" s="72"/>
      <c r="AF41" s="72"/>
      <c r="AG41" s="72"/>
      <c r="AH41" s="72"/>
      <c r="AI41" s="72">
        <v>1</v>
      </c>
      <c r="AJ41" s="72">
        <v>2</v>
      </c>
      <c r="AK41" s="72"/>
      <c r="AL41" s="72"/>
      <c r="AM41" s="72"/>
      <c r="AN41" s="72"/>
      <c r="AO41" s="72"/>
      <c r="AP41" s="72"/>
      <c r="AQ41" s="72">
        <v>1</v>
      </c>
      <c r="AR41" s="72"/>
      <c r="AS41" s="72"/>
      <c r="AT41" s="72"/>
      <c r="AU41" s="72"/>
      <c r="AV41" s="72"/>
      <c r="AW41" s="72"/>
      <c r="AX41" s="72"/>
      <c r="AY41" s="72"/>
      <c r="AZ41" s="72"/>
      <c r="BA41" s="72"/>
      <c r="BB41" s="72"/>
      <c r="BC41" s="72"/>
      <c r="BD41" s="72"/>
      <c r="BE41" s="72"/>
      <c r="BF41" s="72">
        <v>1</v>
      </c>
      <c r="BG41" s="72"/>
    </row>
    <row r="42" spans="1:59" hidden="1">
      <c r="A42" s="931"/>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row>
    <row r="43" spans="1:59" hidden="1">
      <c r="A43" s="931">
        <v>7</v>
      </c>
      <c r="B43" s="72" t="s">
        <v>1397</v>
      </c>
      <c r="C43" s="72"/>
      <c r="D43" s="72"/>
      <c r="E43" s="72"/>
      <c r="F43" s="72"/>
      <c r="G43" s="72"/>
      <c r="H43" s="72"/>
      <c r="I43" s="72"/>
      <c r="J43" s="72"/>
      <c r="K43" s="72"/>
      <c r="L43" s="72"/>
      <c r="M43" s="72">
        <v>1</v>
      </c>
      <c r="N43" s="72"/>
      <c r="O43" s="72"/>
      <c r="P43" s="72"/>
      <c r="Q43" s="72"/>
      <c r="R43" s="72"/>
      <c r="S43" s="72"/>
      <c r="T43" s="72"/>
      <c r="U43" s="72"/>
      <c r="V43" s="72">
        <v>1</v>
      </c>
      <c r="W43" s="72"/>
      <c r="X43" s="72"/>
      <c r="Y43" s="72"/>
      <c r="Z43" s="72"/>
      <c r="AA43" s="72"/>
      <c r="AB43" s="72"/>
      <c r="AC43" s="72"/>
      <c r="AD43" s="72">
        <v>3</v>
      </c>
      <c r="AE43" s="72"/>
      <c r="AF43" s="72"/>
      <c r="AG43" s="72"/>
      <c r="AH43" s="72"/>
      <c r="AI43" s="72">
        <v>1</v>
      </c>
      <c r="AJ43" s="72"/>
      <c r="AK43" s="72"/>
      <c r="AL43" s="72"/>
      <c r="AM43" s="72"/>
      <c r="AN43" s="72"/>
      <c r="AO43" s="72"/>
      <c r="AP43" s="72"/>
      <c r="AQ43" s="72">
        <v>1</v>
      </c>
      <c r="AR43" s="72"/>
      <c r="AS43" s="72"/>
      <c r="AT43" s="72"/>
      <c r="AU43" s="72"/>
      <c r="AV43" s="72"/>
      <c r="AW43" s="72"/>
      <c r="AX43" s="72"/>
      <c r="AY43" s="72"/>
      <c r="AZ43" s="72"/>
      <c r="BA43" s="72"/>
      <c r="BB43" s="72"/>
      <c r="BC43" s="72"/>
      <c r="BD43" s="72"/>
      <c r="BE43" s="72"/>
      <c r="BF43" s="72"/>
      <c r="BG43" s="72"/>
    </row>
    <row r="44" spans="1:59" hidden="1">
      <c r="A44" s="931"/>
      <c r="B44" s="72" t="s">
        <v>1398</v>
      </c>
      <c r="C44" s="72"/>
      <c r="D44" s="72"/>
      <c r="E44" s="72"/>
      <c r="F44" s="72"/>
      <c r="G44" s="72"/>
      <c r="H44" s="72"/>
      <c r="I44" s="72"/>
      <c r="J44" s="72"/>
      <c r="K44" s="72"/>
      <c r="L44" s="72"/>
      <c r="M44" s="72">
        <v>1</v>
      </c>
      <c r="N44" s="72"/>
      <c r="O44" s="72"/>
      <c r="P44" s="72"/>
      <c r="Q44" s="72"/>
      <c r="R44" s="72"/>
      <c r="S44" s="72"/>
      <c r="T44" s="72"/>
      <c r="U44" s="72"/>
      <c r="V44" s="72"/>
      <c r="W44" s="72"/>
      <c r="X44" s="72"/>
      <c r="Y44" s="72"/>
      <c r="Z44" s="72"/>
      <c r="AA44" s="72"/>
      <c r="AB44" s="72"/>
      <c r="AC44" s="72"/>
      <c r="AD44" s="72">
        <v>6</v>
      </c>
      <c r="AE44" s="72"/>
      <c r="AF44" s="72"/>
      <c r="AG44" s="72"/>
      <c r="AH44" s="72"/>
      <c r="AI44" s="72">
        <v>1</v>
      </c>
      <c r="AJ44" s="72"/>
      <c r="AK44" s="72"/>
      <c r="AL44" s="72"/>
      <c r="AM44" s="72"/>
      <c r="AN44" s="72"/>
      <c r="AO44" s="72"/>
      <c r="AP44" s="72"/>
      <c r="AQ44" s="72">
        <v>1</v>
      </c>
      <c r="AR44" s="72"/>
      <c r="AS44" s="72"/>
      <c r="AT44" s="72"/>
      <c r="AU44" s="72"/>
      <c r="AV44" s="72"/>
      <c r="AW44" s="72"/>
      <c r="AX44" s="72"/>
      <c r="AY44" s="72"/>
      <c r="AZ44" s="72"/>
      <c r="BA44" s="72"/>
      <c r="BB44" s="72"/>
      <c r="BC44" s="72"/>
      <c r="BD44" s="72"/>
      <c r="BE44" s="72"/>
      <c r="BF44" s="72"/>
      <c r="BG44" s="72"/>
    </row>
    <row r="45" spans="1:59" hidden="1">
      <c r="A45" s="931"/>
      <c r="B45" s="72" t="s">
        <v>1399</v>
      </c>
      <c r="C45" s="72"/>
      <c r="D45" s="72"/>
      <c r="E45" s="72"/>
      <c r="F45" s="72"/>
      <c r="G45" s="72"/>
      <c r="H45" s="72"/>
      <c r="I45" s="72"/>
      <c r="J45" s="72"/>
      <c r="K45" s="72"/>
      <c r="L45" s="72"/>
      <c r="M45" s="72">
        <v>1</v>
      </c>
      <c r="N45" s="72"/>
      <c r="O45" s="72"/>
      <c r="P45" s="72"/>
      <c r="Q45" s="72"/>
      <c r="R45" s="72"/>
      <c r="S45" s="72"/>
      <c r="T45" s="72"/>
      <c r="U45" s="72"/>
      <c r="V45" s="72">
        <v>1</v>
      </c>
      <c r="W45" s="72"/>
      <c r="X45" s="72"/>
      <c r="Y45" s="72"/>
      <c r="Z45" s="72"/>
      <c r="AA45" s="72"/>
      <c r="AB45" s="72"/>
      <c r="AC45" s="72">
        <v>6</v>
      </c>
      <c r="AD45" s="72">
        <v>6</v>
      </c>
      <c r="AE45" s="72"/>
      <c r="AF45" s="72"/>
      <c r="AG45" s="72"/>
      <c r="AH45" s="72"/>
      <c r="AI45" s="72">
        <v>2</v>
      </c>
      <c r="AJ45" s="72">
        <v>4</v>
      </c>
      <c r="AK45" s="72"/>
      <c r="AL45" s="72"/>
      <c r="AM45" s="72"/>
      <c r="AN45" s="72"/>
      <c r="AO45" s="72"/>
      <c r="AP45" s="72">
        <v>4</v>
      </c>
      <c r="AQ45" s="72">
        <v>2</v>
      </c>
      <c r="AR45" s="72"/>
      <c r="AS45" s="72"/>
      <c r="AT45" s="72"/>
      <c r="AU45" s="72"/>
      <c r="AV45" s="72"/>
      <c r="AW45" s="72"/>
      <c r="AX45" s="72"/>
      <c r="AY45" s="72"/>
      <c r="AZ45" s="72"/>
      <c r="BA45" s="72"/>
      <c r="BB45" s="72"/>
      <c r="BC45" s="72"/>
      <c r="BD45" s="72"/>
      <c r="BE45" s="72"/>
      <c r="BF45" s="72">
        <v>1</v>
      </c>
      <c r="BG45" s="72"/>
    </row>
    <row r="46" spans="1:59" hidden="1">
      <c r="A46" s="931"/>
      <c r="B46" s="72" t="s">
        <v>1400</v>
      </c>
      <c r="C46" s="72"/>
      <c r="D46" s="72"/>
      <c r="E46" s="72"/>
      <c r="F46" s="72"/>
      <c r="G46" s="72"/>
      <c r="H46" s="72"/>
      <c r="I46" s="72"/>
      <c r="J46" s="72"/>
      <c r="K46" s="72"/>
      <c r="L46" s="72"/>
      <c r="M46" s="72">
        <v>1</v>
      </c>
      <c r="N46" s="72"/>
      <c r="O46" s="72"/>
      <c r="P46" s="72"/>
      <c r="Q46" s="72"/>
      <c r="R46" s="72"/>
      <c r="S46" s="72"/>
      <c r="T46" s="72"/>
      <c r="U46" s="72"/>
      <c r="V46" s="72">
        <v>1</v>
      </c>
      <c r="W46" s="72"/>
      <c r="X46" s="72"/>
      <c r="Y46" s="72"/>
      <c r="Z46" s="72"/>
      <c r="AA46" s="72"/>
      <c r="AB46" s="72"/>
      <c r="AC46" s="72">
        <v>6</v>
      </c>
      <c r="AD46" s="72">
        <v>7</v>
      </c>
      <c r="AE46" s="72"/>
      <c r="AF46" s="72"/>
      <c r="AG46" s="72"/>
      <c r="AH46" s="72"/>
      <c r="AI46" s="72">
        <v>2</v>
      </c>
      <c r="AJ46" s="72">
        <v>4</v>
      </c>
      <c r="AK46" s="72"/>
      <c r="AL46" s="72"/>
      <c r="AM46" s="72"/>
      <c r="AN46" s="72"/>
      <c r="AO46" s="72"/>
      <c r="AP46" s="72">
        <v>4</v>
      </c>
      <c r="AQ46" s="72">
        <v>2</v>
      </c>
      <c r="AR46" s="72"/>
      <c r="AS46" s="72"/>
      <c r="AT46" s="72"/>
      <c r="AU46" s="72"/>
      <c r="AV46" s="72"/>
      <c r="AW46" s="72"/>
      <c r="AX46" s="72"/>
      <c r="AY46" s="72"/>
      <c r="AZ46" s="72"/>
      <c r="BA46" s="72"/>
      <c r="BB46" s="72"/>
      <c r="BC46" s="72"/>
      <c r="BD46" s="72"/>
      <c r="BE46" s="72"/>
      <c r="BF46" s="72">
        <v>1</v>
      </c>
      <c r="BG46" s="72"/>
    </row>
    <row r="47" spans="1:59" hidden="1">
      <c r="A47" s="931"/>
      <c r="B47" s="72" t="s">
        <v>1401</v>
      </c>
      <c r="C47" s="72"/>
      <c r="D47" s="72"/>
      <c r="E47" s="72"/>
      <c r="F47" s="72"/>
      <c r="G47" s="72"/>
      <c r="H47" s="72"/>
      <c r="I47" s="72"/>
      <c r="J47" s="72"/>
      <c r="K47" s="72"/>
      <c r="L47" s="72"/>
      <c r="M47" s="72">
        <v>1</v>
      </c>
      <c r="N47" s="72"/>
      <c r="O47" s="72"/>
      <c r="P47" s="72"/>
      <c r="Q47" s="72"/>
      <c r="R47" s="72"/>
      <c r="S47" s="72"/>
      <c r="T47" s="72"/>
      <c r="U47" s="72"/>
      <c r="V47" s="72"/>
      <c r="W47" s="72"/>
      <c r="X47" s="72"/>
      <c r="Y47" s="72"/>
      <c r="Z47" s="72"/>
      <c r="AA47" s="72"/>
      <c r="AB47" s="72"/>
      <c r="AC47" s="72">
        <v>3</v>
      </c>
      <c r="AD47" s="72"/>
      <c r="AE47" s="72"/>
      <c r="AF47" s="72"/>
      <c r="AG47" s="72"/>
      <c r="AH47" s="72"/>
      <c r="AI47" s="72">
        <v>1</v>
      </c>
      <c r="AJ47" s="72">
        <v>2</v>
      </c>
      <c r="AK47" s="72"/>
      <c r="AL47" s="72"/>
      <c r="AM47" s="72"/>
      <c r="AN47" s="72"/>
      <c r="AO47" s="72"/>
      <c r="AP47" s="72"/>
      <c r="AQ47" s="72">
        <v>1</v>
      </c>
      <c r="AR47" s="72"/>
      <c r="AS47" s="72"/>
      <c r="AT47" s="72"/>
      <c r="AU47" s="72"/>
      <c r="AV47" s="72"/>
      <c r="AW47" s="72"/>
      <c r="AX47" s="72"/>
      <c r="AY47" s="72"/>
      <c r="AZ47" s="72"/>
      <c r="BA47" s="72"/>
      <c r="BB47" s="72"/>
      <c r="BC47" s="72"/>
      <c r="BD47" s="72"/>
      <c r="BE47" s="72"/>
      <c r="BF47" s="72">
        <v>1</v>
      </c>
      <c r="BG47" s="72"/>
    </row>
    <row r="48" spans="1:59" hidden="1">
      <c r="A48" s="931"/>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row>
    <row r="49" spans="1:59" hidden="1">
      <c r="A49" s="931"/>
      <c r="B49" s="72">
        <v>1</v>
      </c>
      <c r="C49" s="72">
        <f>+B49+1</f>
        <v>2</v>
      </c>
      <c r="D49" s="72"/>
      <c r="E49" s="72"/>
      <c r="F49" s="72" t="e">
        <f>+#REF!+1</f>
        <v>#REF!</v>
      </c>
      <c r="G49" s="72"/>
      <c r="H49" s="72" t="e">
        <f>+#REF!+1</f>
        <v>#REF!</v>
      </c>
      <c r="I49" s="72"/>
      <c r="J49" s="72" t="e">
        <f>+H49+1</f>
        <v>#REF!</v>
      </c>
      <c r="K49" s="72"/>
      <c r="L49" s="72" t="e">
        <f>+#REF!+1</f>
        <v>#REF!</v>
      </c>
      <c r="M49" s="72" t="e">
        <f>+L49+1</f>
        <v>#REF!</v>
      </c>
      <c r="N49" s="72" t="e">
        <f>+M49+1</f>
        <v>#REF!</v>
      </c>
      <c r="O49" s="72"/>
      <c r="P49" s="72"/>
      <c r="Q49" s="72" t="e">
        <f>+#REF!+1</f>
        <v>#REF!</v>
      </c>
      <c r="R49" s="72" t="e">
        <f>+Q49+1</f>
        <v>#REF!</v>
      </c>
      <c r="S49" s="72"/>
      <c r="T49" s="72" t="e">
        <f>+#REF!+1</f>
        <v>#REF!</v>
      </c>
      <c r="U49" s="72" t="e">
        <f>+#REF!+1</f>
        <v>#REF!</v>
      </c>
      <c r="V49" s="72" t="e">
        <f>+#REF!+1</f>
        <v>#REF!</v>
      </c>
      <c r="W49" s="72"/>
      <c r="X49" s="72"/>
      <c r="Y49" s="72"/>
      <c r="Z49" s="72"/>
      <c r="AA49" s="72"/>
      <c r="AB49" s="72" t="e">
        <f>+#REF!+1</f>
        <v>#REF!</v>
      </c>
      <c r="AC49" s="72" t="e">
        <f>+AB49+1</f>
        <v>#REF!</v>
      </c>
      <c r="AD49" s="72" t="e">
        <f>+AC49+1</f>
        <v>#REF!</v>
      </c>
      <c r="AE49" s="72" t="e">
        <f>+AD49+1</f>
        <v>#REF!</v>
      </c>
      <c r="AF49" s="72"/>
      <c r="AG49" s="72"/>
      <c r="AH49" s="72"/>
      <c r="AI49" s="72" t="e">
        <f>+AE49+1</f>
        <v>#REF!</v>
      </c>
      <c r="AJ49" s="72" t="e">
        <f>+AI49+1</f>
        <v>#REF!</v>
      </c>
      <c r="AK49" s="72" t="e">
        <f>+#REF!+1</f>
        <v>#REF!</v>
      </c>
      <c r="AL49" s="72" t="e">
        <f>+AK49+1</f>
        <v>#REF!</v>
      </c>
      <c r="AM49" s="72" t="e">
        <f>+AL49+1</f>
        <v>#REF!</v>
      </c>
      <c r="AN49" s="72" t="e">
        <f>+AM49+1</f>
        <v>#REF!</v>
      </c>
      <c r="AO49" s="72" t="e">
        <f>+#REF!+1</f>
        <v>#REF!</v>
      </c>
      <c r="AP49" s="72" t="e">
        <f>+#REF!+1</f>
        <v>#REF!</v>
      </c>
      <c r="AQ49" s="72" t="e">
        <f>+AP49+1</f>
        <v>#REF!</v>
      </c>
      <c r="AR49" s="72" t="e">
        <f>+AQ49+1</f>
        <v>#REF!</v>
      </c>
      <c r="AS49" s="72"/>
      <c r="AT49" s="72" t="e">
        <f>+#REF!+1</f>
        <v>#REF!</v>
      </c>
      <c r="AU49" s="72" t="e">
        <f>+AT49+1</f>
        <v>#REF!</v>
      </c>
      <c r="AV49" s="72"/>
      <c r="AW49" s="72" t="e">
        <f>+AU49+1</f>
        <v>#REF!</v>
      </c>
      <c r="AX49" s="72"/>
      <c r="AY49" s="72"/>
      <c r="AZ49" s="72"/>
      <c r="BA49" s="72" t="e">
        <f>+AW49+1</f>
        <v>#REF!</v>
      </c>
      <c r="BB49" s="72"/>
      <c r="BC49" s="72"/>
      <c r="BD49" s="72"/>
      <c r="BE49" s="72" t="e">
        <f>+#REF!+1</f>
        <v>#REF!</v>
      </c>
      <c r="BF49" s="72" t="e">
        <f>+BE49+1</f>
        <v>#REF!</v>
      </c>
      <c r="BG49" s="72"/>
    </row>
    <row r="50" spans="1:59">
      <c r="A50" s="1454" t="s">
        <v>2026</v>
      </c>
      <c r="B50" s="1455"/>
      <c r="C50" s="1455"/>
      <c r="D50" s="1455"/>
      <c r="E50" s="1455"/>
      <c r="F50" s="1456"/>
      <c r="G50" s="1456"/>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1370"/>
    </row>
    <row r="51" spans="1:59">
      <c r="A51" s="1368" t="s">
        <v>1978</v>
      </c>
      <c r="B51" s="1374"/>
      <c r="C51" s="931"/>
      <c r="D51" s="931"/>
      <c r="E51" s="931"/>
      <c r="F51" s="1369"/>
      <c r="G51" s="1460"/>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67"/>
      <c r="BA51" s="67"/>
      <c r="BB51" s="67"/>
      <c r="BC51" s="67"/>
      <c r="BD51" s="67"/>
      <c r="BE51" s="67"/>
      <c r="BF51" s="67"/>
      <c r="BG51" s="1370"/>
    </row>
    <row r="52" spans="1:59">
      <c r="A52" s="944" t="s">
        <v>1976</v>
      </c>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v>3</v>
      </c>
      <c r="AP52" s="72"/>
      <c r="AQ52" s="72"/>
      <c r="AR52" s="72"/>
      <c r="AS52" s="72"/>
      <c r="AT52" s="72"/>
      <c r="AU52" s="72"/>
      <c r="AV52" s="72"/>
      <c r="AW52" s="72"/>
      <c r="AX52" s="72"/>
      <c r="AY52" s="72"/>
      <c r="AZ52" s="72"/>
      <c r="BA52" s="72"/>
      <c r="BB52" s="72"/>
      <c r="BC52" s="72"/>
      <c r="BD52" s="72"/>
      <c r="BE52" s="72"/>
      <c r="BF52" s="72"/>
      <c r="BG52" s="72" t="s">
        <v>4563</v>
      </c>
    </row>
    <row r="53" spans="1:59">
      <c r="A53" s="1463" t="s">
        <v>1977</v>
      </c>
      <c r="B53" s="1464"/>
      <c r="C53" s="1464"/>
      <c r="D53" s="1464"/>
      <c r="E53" s="1464"/>
      <c r="F53" s="1464"/>
      <c r="G53" s="1464"/>
      <c r="H53" s="1464">
        <f>C53*3</f>
        <v>0</v>
      </c>
      <c r="I53" s="1464"/>
      <c r="J53" s="1464">
        <f>C53</f>
        <v>0</v>
      </c>
      <c r="K53" s="1464" t="s">
        <v>5819</v>
      </c>
      <c r="L53" s="1464"/>
      <c r="M53" s="1464"/>
      <c r="N53" s="1464"/>
      <c r="O53" s="1464"/>
      <c r="P53" s="1464"/>
      <c r="Q53" s="1464"/>
      <c r="R53" s="1464"/>
      <c r="S53" s="1464"/>
      <c r="T53" s="1464"/>
      <c r="U53" s="1464"/>
      <c r="V53" s="1464"/>
      <c r="W53" s="1464">
        <v>1</v>
      </c>
      <c r="X53" s="1464"/>
      <c r="Y53" s="1464"/>
      <c r="Z53" s="1464"/>
      <c r="AA53" s="1464"/>
      <c r="AB53" s="1464"/>
      <c r="AC53" s="1464">
        <v>3</v>
      </c>
      <c r="AD53" s="1464">
        <v>3</v>
      </c>
      <c r="AE53" s="1464">
        <f>AC53</f>
        <v>3</v>
      </c>
      <c r="AF53" s="1464">
        <v>1</v>
      </c>
      <c r="AG53" s="1464">
        <f t="shared" ref="AG53:AG97" si="0">AD53</f>
        <v>3</v>
      </c>
      <c r="AH53" s="1464"/>
      <c r="AI53" s="1464"/>
      <c r="AJ53" s="1464"/>
      <c r="AK53" s="1464"/>
      <c r="AL53" s="1464"/>
      <c r="AM53" s="1464"/>
      <c r="AN53" s="1464"/>
      <c r="AO53" s="1464"/>
      <c r="AP53" s="1464"/>
      <c r="AQ53" s="1464"/>
      <c r="AR53" s="1464"/>
      <c r="AS53" s="1464">
        <v>1</v>
      </c>
      <c r="AT53" s="1464"/>
      <c r="AU53" s="1464"/>
      <c r="AV53" s="1464"/>
      <c r="AW53" s="1464"/>
      <c r="AX53" s="1464"/>
      <c r="AY53" s="1464"/>
      <c r="AZ53" s="1464"/>
      <c r="BA53" s="1464"/>
      <c r="BB53" s="1464"/>
      <c r="BC53" s="1464"/>
      <c r="BD53" s="1464"/>
      <c r="BE53" s="1464"/>
      <c r="BF53" s="1464"/>
      <c r="BG53" s="72" t="s">
        <v>4563</v>
      </c>
    </row>
    <row r="54" spans="1:59">
      <c r="A54" s="1468" t="s">
        <v>1979</v>
      </c>
      <c r="B54" s="1464" t="s">
        <v>4560</v>
      </c>
      <c r="C54" s="1464">
        <v>54</v>
      </c>
      <c r="D54" s="1464"/>
      <c r="E54" s="1464"/>
      <c r="F54" s="1464"/>
      <c r="G54" s="1464">
        <f>(C54+1)*3</f>
        <v>165</v>
      </c>
      <c r="H54" s="1464">
        <f>C54+1</f>
        <v>55</v>
      </c>
      <c r="I54" s="1464"/>
      <c r="J54" s="1464"/>
      <c r="K54" s="1464"/>
      <c r="L54" s="1464">
        <v>2</v>
      </c>
      <c r="M54" s="1464"/>
      <c r="N54" s="1464"/>
      <c r="O54" s="1464"/>
      <c r="P54" s="1464">
        <v>2</v>
      </c>
      <c r="Q54" s="1464"/>
      <c r="R54" s="1464"/>
      <c r="S54" s="1464"/>
      <c r="T54" s="1464"/>
      <c r="U54" s="1464"/>
      <c r="V54" s="1464"/>
      <c r="W54" s="1464">
        <v>3</v>
      </c>
      <c r="X54" s="1464"/>
      <c r="Y54" s="1464"/>
      <c r="Z54" s="1464"/>
      <c r="AA54" s="1464">
        <v>2</v>
      </c>
      <c r="AB54" s="1464"/>
      <c r="AC54" s="1464">
        <v>18</v>
      </c>
      <c r="AD54" s="1464">
        <v>18</v>
      </c>
      <c r="AE54" s="1464">
        <v>6</v>
      </c>
      <c r="AF54" s="1464">
        <v>14</v>
      </c>
      <c r="AG54" s="1464">
        <f>AD54</f>
        <v>18</v>
      </c>
      <c r="AH54" s="1464"/>
      <c r="AI54" s="1464"/>
      <c r="AJ54" s="1464"/>
      <c r="AK54" s="1464"/>
      <c r="AL54" s="1464"/>
      <c r="AM54" s="1464"/>
      <c r="AN54" s="1464"/>
      <c r="AO54" s="1464"/>
      <c r="AP54" s="1464"/>
      <c r="AQ54" s="1464"/>
      <c r="AR54" s="1464"/>
      <c r="AS54" s="1464">
        <v>2</v>
      </c>
      <c r="AT54" s="1464"/>
      <c r="AU54" s="1464"/>
      <c r="AV54" s="1464"/>
      <c r="AW54" s="1464"/>
      <c r="AX54" s="1464"/>
      <c r="AY54" s="1464"/>
      <c r="AZ54" s="1464"/>
      <c r="BA54" s="1464"/>
      <c r="BB54" s="1464"/>
      <c r="BC54" s="1464"/>
      <c r="BD54" s="1464"/>
      <c r="BE54" s="1464"/>
      <c r="BF54" s="1464"/>
      <c r="BG54" s="1464"/>
    </row>
    <row r="55" spans="1:59">
      <c r="A55" s="1468" t="s">
        <v>1980</v>
      </c>
      <c r="B55" s="1464"/>
      <c r="C55" s="1464">
        <v>47</v>
      </c>
      <c r="D55" s="1464"/>
      <c r="E55" s="1464"/>
      <c r="F55" s="1464"/>
      <c r="G55" s="1464">
        <f>C55*3</f>
        <v>141</v>
      </c>
      <c r="H55" s="1464">
        <f>C55</f>
        <v>47</v>
      </c>
      <c r="I55" s="1464"/>
      <c r="J55" s="1464"/>
      <c r="K55" s="1464"/>
      <c r="L55" s="1464">
        <v>1</v>
      </c>
      <c r="M55" s="1464"/>
      <c r="N55" s="1464"/>
      <c r="O55" s="1464"/>
      <c r="P55" s="1464">
        <v>1</v>
      </c>
      <c r="Q55" s="1464"/>
      <c r="R55" s="1464"/>
      <c r="S55" s="1464"/>
      <c r="T55" s="1464"/>
      <c r="U55" s="1464"/>
      <c r="V55" s="1464">
        <v>3</v>
      </c>
      <c r="W55" s="1464"/>
      <c r="X55" s="1464"/>
      <c r="Y55" s="1464"/>
      <c r="Z55" s="1464"/>
      <c r="AA55" s="1464"/>
      <c r="AB55" s="1464"/>
      <c r="AC55" s="1464"/>
      <c r="AD55" s="1464">
        <v>9</v>
      </c>
      <c r="AE55" s="1464"/>
      <c r="AF55" s="1464"/>
      <c r="AG55" s="1464">
        <v>3</v>
      </c>
      <c r="AH55" s="1464"/>
      <c r="AI55" s="1464">
        <v>1</v>
      </c>
      <c r="AJ55" s="1464"/>
      <c r="AK55" s="1464"/>
      <c r="AL55" s="1464"/>
      <c r="AM55" s="1464">
        <v>4</v>
      </c>
      <c r="AN55" s="1464"/>
      <c r="AO55" s="1464"/>
      <c r="AP55" s="1464"/>
      <c r="AQ55" s="1464">
        <v>1</v>
      </c>
      <c r="AR55" s="1464"/>
      <c r="AS55" s="1464"/>
      <c r="AT55" s="1464"/>
      <c r="AU55" s="1464"/>
      <c r="AV55" s="1464"/>
      <c r="AW55" s="1464"/>
      <c r="AX55" s="1464"/>
      <c r="AY55" s="1464"/>
      <c r="AZ55" s="1464">
        <v>4</v>
      </c>
      <c r="BA55" s="1464">
        <v>4</v>
      </c>
      <c r="BB55" s="1464">
        <v>1</v>
      </c>
      <c r="BC55" s="1464"/>
      <c r="BD55" s="1464">
        <v>1</v>
      </c>
      <c r="BE55" s="1464"/>
      <c r="BF55" s="1464"/>
      <c r="BG55" s="1464"/>
    </row>
    <row r="56" spans="1:59">
      <c r="A56" s="1468" t="s">
        <v>1981</v>
      </c>
      <c r="B56" s="1464"/>
      <c r="C56" s="1464">
        <v>51</v>
      </c>
      <c r="D56" s="1464"/>
      <c r="E56" s="1464">
        <f>4*4</f>
        <v>16</v>
      </c>
      <c r="F56" s="1464"/>
      <c r="G56" s="1464">
        <f t="shared" ref="G56:G102" si="1">C56*3</f>
        <v>153</v>
      </c>
      <c r="H56" s="1464">
        <f t="shared" ref="H56:H102" si="2">C56</f>
        <v>51</v>
      </c>
      <c r="I56" s="1464"/>
      <c r="J56" s="1464"/>
      <c r="K56" s="1464"/>
      <c r="L56" s="1464">
        <v>1</v>
      </c>
      <c r="M56" s="1464"/>
      <c r="N56" s="1464"/>
      <c r="O56" s="1464"/>
      <c r="P56" s="1464">
        <v>1</v>
      </c>
      <c r="Q56" s="1464"/>
      <c r="R56" s="1464"/>
      <c r="S56" s="1464"/>
      <c r="T56" s="1464"/>
      <c r="U56" s="1464"/>
      <c r="V56" s="1464">
        <v>3</v>
      </c>
      <c r="W56" s="1464"/>
      <c r="X56" s="1464"/>
      <c r="Y56" s="1464"/>
      <c r="Z56" s="1464"/>
      <c r="AA56" s="1464"/>
      <c r="AB56" s="1464"/>
      <c r="AC56" s="1464"/>
      <c r="AD56" s="1464">
        <v>9</v>
      </c>
      <c r="AE56" s="1464"/>
      <c r="AF56" s="1464"/>
      <c r="AG56" s="1464">
        <v>3</v>
      </c>
      <c r="AH56" s="1464"/>
      <c r="AI56" s="1464">
        <v>1</v>
      </c>
      <c r="AJ56" s="1464"/>
      <c r="AK56" s="1464"/>
      <c r="AL56" s="1464"/>
      <c r="AM56" s="1464">
        <v>4</v>
      </c>
      <c r="AN56" s="1464"/>
      <c r="AO56" s="1464"/>
      <c r="AP56" s="1464"/>
      <c r="AQ56" s="1464">
        <v>1</v>
      </c>
      <c r="AR56" s="1464"/>
      <c r="AS56" s="1464"/>
      <c r="AT56" s="1464"/>
      <c r="AU56" s="1464"/>
      <c r="AV56" s="1464"/>
      <c r="AW56" s="1464"/>
      <c r="AX56" s="1464"/>
      <c r="AY56" s="1464"/>
      <c r="AZ56" s="1464">
        <v>4</v>
      </c>
      <c r="BA56" s="1464">
        <v>4</v>
      </c>
      <c r="BB56" s="1464">
        <v>1</v>
      </c>
      <c r="BC56" s="1464"/>
      <c r="BD56" s="1464">
        <v>1</v>
      </c>
      <c r="BE56" s="1464"/>
      <c r="BF56" s="1464"/>
      <c r="BG56" s="1464" t="s">
        <v>4564</v>
      </c>
    </row>
    <row r="57" spans="1:59">
      <c r="A57" s="1468" t="s">
        <v>1982</v>
      </c>
      <c r="B57" s="1464"/>
      <c r="C57" s="1464">
        <v>49</v>
      </c>
      <c r="D57" s="1464"/>
      <c r="E57" s="1464">
        <f>6*4</f>
        <v>24</v>
      </c>
      <c r="F57" s="1464"/>
      <c r="G57" s="1464">
        <f t="shared" si="1"/>
        <v>147</v>
      </c>
      <c r="H57" s="1464">
        <f t="shared" si="2"/>
        <v>49</v>
      </c>
      <c r="I57" s="1464"/>
      <c r="J57" s="1464"/>
      <c r="K57" s="1464"/>
      <c r="L57" s="1464">
        <v>1</v>
      </c>
      <c r="M57" s="1464"/>
      <c r="N57" s="1464"/>
      <c r="O57" s="1464"/>
      <c r="P57" s="1464">
        <v>1</v>
      </c>
      <c r="Q57" s="1464"/>
      <c r="R57" s="1464"/>
      <c r="S57" s="1464"/>
      <c r="T57" s="1464"/>
      <c r="U57" s="1464"/>
      <c r="V57" s="1464">
        <v>3</v>
      </c>
      <c r="W57" s="1464"/>
      <c r="X57" s="1464"/>
      <c r="Y57" s="1464"/>
      <c r="Z57" s="1464"/>
      <c r="AA57" s="1464"/>
      <c r="AB57" s="1464"/>
      <c r="AC57" s="1464"/>
      <c r="AD57" s="1464">
        <v>9</v>
      </c>
      <c r="AE57" s="1464"/>
      <c r="AF57" s="1464"/>
      <c r="AG57" s="1464">
        <v>3</v>
      </c>
      <c r="AH57" s="1464"/>
      <c r="AI57" s="1464">
        <v>1</v>
      </c>
      <c r="AJ57" s="1464"/>
      <c r="AK57" s="1464"/>
      <c r="AL57" s="1464"/>
      <c r="AM57" s="1464">
        <v>4</v>
      </c>
      <c r="AN57" s="1464"/>
      <c r="AO57" s="1464"/>
      <c r="AP57" s="1464"/>
      <c r="AQ57" s="1464">
        <v>1</v>
      </c>
      <c r="AR57" s="1464"/>
      <c r="AS57" s="1464"/>
      <c r="AT57" s="1464"/>
      <c r="AU57" s="1464"/>
      <c r="AV57" s="1464"/>
      <c r="AW57" s="1464"/>
      <c r="AX57" s="1464"/>
      <c r="AY57" s="1464"/>
      <c r="AZ57" s="1464">
        <v>4</v>
      </c>
      <c r="BA57" s="1464">
        <v>4</v>
      </c>
      <c r="BB57" s="1464">
        <v>1</v>
      </c>
      <c r="BC57" s="1464"/>
      <c r="BD57" s="1464">
        <v>1</v>
      </c>
      <c r="BE57" s="1464"/>
      <c r="BF57" s="1464"/>
      <c r="BG57" s="1464" t="s">
        <v>4564</v>
      </c>
    </row>
    <row r="58" spans="1:59">
      <c r="A58" s="1468" t="s">
        <v>1983</v>
      </c>
      <c r="B58" s="1464"/>
      <c r="C58" s="1464">
        <v>53</v>
      </c>
      <c r="D58" s="1464"/>
      <c r="E58" s="1464"/>
      <c r="F58" s="1464"/>
      <c r="G58" s="1464">
        <f t="shared" si="1"/>
        <v>159</v>
      </c>
      <c r="H58" s="1464">
        <f t="shared" si="2"/>
        <v>53</v>
      </c>
      <c r="I58" s="1464"/>
      <c r="J58" s="1464"/>
      <c r="K58" s="1464"/>
      <c r="L58" s="1464">
        <v>1</v>
      </c>
      <c r="M58" s="1464"/>
      <c r="N58" s="1464"/>
      <c r="O58" s="1464"/>
      <c r="P58" s="1464">
        <v>1</v>
      </c>
      <c r="Q58" s="1464"/>
      <c r="R58" s="1464"/>
      <c r="S58" s="1464"/>
      <c r="T58" s="1464"/>
      <c r="U58" s="1464"/>
      <c r="V58" s="1464">
        <v>3</v>
      </c>
      <c r="W58" s="1464"/>
      <c r="X58" s="1464"/>
      <c r="Y58" s="1464"/>
      <c r="Z58" s="1464"/>
      <c r="AA58" s="1464"/>
      <c r="AB58" s="1464"/>
      <c r="AC58" s="1464"/>
      <c r="AD58" s="1464">
        <v>9</v>
      </c>
      <c r="AE58" s="1464"/>
      <c r="AF58" s="1464"/>
      <c r="AG58" s="1464">
        <v>3</v>
      </c>
      <c r="AH58" s="1464"/>
      <c r="AI58" s="1464">
        <v>1</v>
      </c>
      <c r="AJ58" s="1464"/>
      <c r="AK58" s="1464"/>
      <c r="AL58" s="1464"/>
      <c r="AM58" s="1464">
        <v>4</v>
      </c>
      <c r="AN58" s="1464"/>
      <c r="AO58" s="1464"/>
      <c r="AP58" s="1464"/>
      <c r="AQ58" s="1464">
        <v>1</v>
      </c>
      <c r="AR58" s="1464"/>
      <c r="AS58" s="1464"/>
      <c r="AT58" s="1464"/>
      <c r="AU58" s="1464"/>
      <c r="AV58" s="1464"/>
      <c r="AW58" s="1464"/>
      <c r="AX58" s="1464"/>
      <c r="AY58" s="1464"/>
      <c r="AZ58" s="1464">
        <v>4</v>
      </c>
      <c r="BA58" s="1464">
        <v>4</v>
      </c>
      <c r="BB58" s="1464">
        <v>1</v>
      </c>
      <c r="BC58" s="1464"/>
      <c r="BD58" s="1464">
        <v>1</v>
      </c>
      <c r="BE58" s="1464"/>
      <c r="BF58" s="1464"/>
      <c r="BG58" s="1464"/>
    </row>
    <row r="59" spans="1:59">
      <c r="A59" s="1468" t="s">
        <v>1984</v>
      </c>
      <c r="B59" s="1464"/>
      <c r="C59" s="1464">
        <v>49</v>
      </c>
      <c r="D59" s="1464"/>
      <c r="E59" s="1464">
        <f>3*4</f>
        <v>12</v>
      </c>
      <c r="F59" s="1464"/>
      <c r="G59" s="1464">
        <f>C59*3</f>
        <v>147</v>
      </c>
      <c r="H59" s="1464">
        <f>C59</f>
        <v>49</v>
      </c>
      <c r="I59" s="1464"/>
      <c r="J59" s="1464"/>
      <c r="K59" s="1464"/>
      <c r="L59" s="1464">
        <v>1</v>
      </c>
      <c r="M59" s="1464"/>
      <c r="N59" s="1464"/>
      <c r="O59" s="1464"/>
      <c r="P59" s="1464">
        <v>1</v>
      </c>
      <c r="Q59" s="1464"/>
      <c r="R59" s="1464"/>
      <c r="S59" s="1464"/>
      <c r="T59" s="1464"/>
      <c r="U59" s="1464"/>
      <c r="V59" s="1464">
        <v>2</v>
      </c>
      <c r="W59" s="1464">
        <v>1</v>
      </c>
      <c r="X59" s="1464"/>
      <c r="Y59" s="1464"/>
      <c r="Z59" s="1464"/>
      <c r="AA59" s="1464"/>
      <c r="AB59" s="1464"/>
      <c r="AC59" s="1464">
        <v>6</v>
      </c>
      <c r="AD59" s="1464">
        <v>9</v>
      </c>
      <c r="AE59" s="1464">
        <v>6</v>
      </c>
      <c r="AF59" s="1464"/>
      <c r="AG59" s="1464">
        <v>9</v>
      </c>
      <c r="AH59" s="1464"/>
      <c r="AI59" s="1464">
        <v>1</v>
      </c>
      <c r="AJ59" s="1464"/>
      <c r="AK59" s="1464"/>
      <c r="AL59" s="1464"/>
      <c r="AM59" s="1464"/>
      <c r="AN59" s="1464"/>
      <c r="AO59" s="1464"/>
      <c r="AP59" s="1464"/>
      <c r="AQ59" s="1464">
        <v>1</v>
      </c>
      <c r="AR59" s="1464"/>
      <c r="AS59" s="1464">
        <v>2</v>
      </c>
      <c r="AT59" s="1464"/>
      <c r="AU59" s="1464"/>
      <c r="AV59" s="1464"/>
      <c r="AW59" s="1464"/>
      <c r="AX59" s="1464"/>
      <c r="AY59" s="1464"/>
      <c r="AZ59" s="1464"/>
      <c r="BA59" s="1464"/>
      <c r="BB59" s="1464"/>
      <c r="BC59" s="1464"/>
      <c r="BD59" s="1464"/>
      <c r="BE59" s="1464"/>
      <c r="BF59" s="1464"/>
      <c r="BG59" s="1464"/>
    </row>
    <row r="60" spans="1:59">
      <c r="A60" s="944" t="s">
        <v>1985</v>
      </c>
      <c r="B60" s="72"/>
      <c r="C60" s="72">
        <v>53</v>
      </c>
      <c r="D60" s="72"/>
      <c r="E60" s="72"/>
      <c r="F60" s="72"/>
      <c r="G60" s="72">
        <f t="shared" si="1"/>
        <v>159</v>
      </c>
      <c r="H60" s="72">
        <f t="shared" si="2"/>
        <v>53</v>
      </c>
      <c r="I60" s="72"/>
      <c r="J60" s="72"/>
      <c r="K60" s="72"/>
      <c r="L60" s="72"/>
      <c r="M60" s="72" t="s">
        <v>5819</v>
      </c>
      <c r="N60" s="72"/>
      <c r="O60" s="72"/>
      <c r="P60" s="72"/>
      <c r="Q60" s="72"/>
      <c r="R60" s="72"/>
      <c r="S60" s="72"/>
      <c r="T60" s="72"/>
      <c r="U60" s="72" t="s">
        <v>5819</v>
      </c>
      <c r="V60" s="72">
        <v>1</v>
      </c>
      <c r="W60" s="72"/>
      <c r="X60" s="72"/>
      <c r="Y60" s="72"/>
      <c r="Z60" s="72"/>
      <c r="AA60" s="72"/>
      <c r="AB60" s="72"/>
      <c r="AC60" s="72"/>
      <c r="AD60" s="72">
        <v>3</v>
      </c>
      <c r="AE60" s="72">
        <f t="shared" ref="AE60:AE79" si="3">AC60</f>
        <v>0</v>
      </c>
      <c r="AF60" s="72"/>
      <c r="AG60" s="72">
        <f t="shared" si="0"/>
        <v>3</v>
      </c>
      <c r="AH60" s="72"/>
      <c r="AI60" s="72">
        <v>1</v>
      </c>
      <c r="AJ60" s="72"/>
      <c r="AK60" s="72"/>
      <c r="AL60" s="72"/>
      <c r="AM60" s="72"/>
      <c r="AN60" s="72"/>
      <c r="AO60" s="72"/>
      <c r="AP60" s="72"/>
      <c r="AQ60" s="72">
        <v>1</v>
      </c>
      <c r="AR60" s="72"/>
      <c r="AS60" s="72"/>
      <c r="AT60" s="72"/>
      <c r="AU60" s="72"/>
      <c r="AV60" s="72"/>
      <c r="AW60" s="72"/>
      <c r="AX60" s="72"/>
      <c r="AY60" s="72"/>
      <c r="AZ60" s="72"/>
      <c r="BA60" s="72"/>
      <c r="BB60" s="72"/>
      <c r="BC60" s="72"/>
      <c r="BD60" s="72"/>
      <c r="BE60" s="72"/>
      <c r="BF60" s="72"/>
      <c r="BG60" s="72"/>
    </row>
    <row r="61" spans="1:59">
      <c r="A61" s="944" t="s">
        <v>1986</v>
      </c>
      <c r="B61" s="72"/>
      <c r="C61" s="72">
        <v>50</v>
      </c>
      <c r="D61" s="72"/>
      <c r="E61" s="72"/>
      <c r="F61" s="72"/>
      <c r="G61" s="72">
        <f t="shared" si="1"/>
        <v>150</v>
      </c>
      <c r="H61" s="72">
        <f t="shared" si="2"/>
        <v>50</v>
      </c>
      <c r="I61" s="72"/>
      <c r="J61" s="72"/>
      <c r="K61" s="72"/>
      <c r="L61" s="72"/>
      <c r="M61" s="72" t="s">
        <v>5819</v>
      </c>
      <c r="N61" s="72"/>
      <c r="O61" s="72"/>
      <c r="P61" s="72"/>
      <c r="Q61" s="72"/>
      <c r="R61" s="72"/>
      <c r="S61" s="72"/>
      <c r="T61" s="72"/>
      <c r="U61" s="72" t="s">
        <v>5819</v>
      </c>
      <c r="V61" s="72">
        <v>1</v>
      </c>
      <c r="W61" s="72"/>
      <c r="X61" s="72"/>
      <c r="Y61" s="72"/>
      <c r="Z61" s="72"/>
      <c r="AA61" s="72"/>
      <c r="AB61" s="72"/>
      <c r="AC61" s="72"/>
      <c r="AD61" s="72">
        <v>3</v>
      </c>
      <c r="AE61" s="72">
        <f t="shared" si="3"/>
        <v>0</v>
      </c>
      <c r="AF61" s="72"/>
      <c r="AG61" s="72">
        <f t="shared" si="0"/>
        <v>3</v>
      </c>
      <c r="AH61" s="72"/>
      <c r="AI61" s="72">
        <v>1</v>
      </c>
      <c r="AJ61" s="72"/>
      <c r="AK61" s="72"/>
      <c r="AL61" s="72"/>
      <c r="AM61" s="72"/>
      <c r="AN61" s="72"/>
      <c r="AO61" s="72"/>
      <c r="AP61" s="72"/>
      <c r="AQ61" s="72">
        <v>1</v>
      </c>
      <c r="AR61" s="72"/>
      <c r="AS61" s="72"/>
      <c r="AT61" s="72"/>
      <c r="AU61" s="72"/>
      <c r="AV61" s="72"/>
      <c r="AW61" s="72"/>
      <c r="AX61" s="72"/>
      <c r="AY61" s="72"/>
      <c r="AZ61" s="72"/>
      <c r="BA61" s="72"/>
      <c r="BB61" s="72"/>
      <c r="BC61" s="72"/>
      <c r="BD61" s="72"/>
      <c r="BE61" s="72"/>
      <c r="BF61" s="72"/>
      <c r="BG61" s="72"/>
    </row>
    <row r="62" spans="1:59">
      <c r="A62" s="944" t="s">
        <v>1987</v>
      </c>
      <c r="B62" s="72"/>
      <c r="C62" s="72">
        <v>47</v>
      </c>
      <c r="D62" s="72"/>
      <c r="E62" s="72"/>
      <c r="F62" s="72"/>
      <c r="G62" s="72">
        <f t="shared" si="1"/>
        <v>141</v>
      </c>
      <c r="H62" s="72">
        <f t="shared" si="2"/>
        <v>47</v>
      </c>
      <c r="I62" s="72"/>
      <c r="J62" s="72"/>
      <c r="K62" s="72"/>
      <c r="L62" s="72"/>
      <c r="M62" s="72" t="s">
        <v>5819</v>
      </c>
      <c r="N62" s="72"/>
      <c r="O62" s="72"/>
      <c r="P62" s="72"/>
      <c r="Q62" s="72"/>
      <c r="R62" s="72"/>
      <c r="S62" s="72"/>
      <c r="T62" s="72"/>
      <c r="U62" s="72" t="s">
        <v>5819</v>
      </c>
      <c r="V62" s="72">
        <v>1</v>
      </c>
      <c r="W62" s="72"/>
      <c r="X62" s="72"/>
      <c r="Y62" s="72"/>
      <c r="Z62" s="72"/>
      <c r="AA62" s="72"/>
      <c r="AB62" s="72"/>
      <c r="AC62" s="72"/>
      <c r="AD62" s="72">
        <v>3</v>
      </c>
      <c r="AE62" s="72">
        <f t="shared" si="3"/>
        <v>0</v>
      </c>
      <c r="AF62" s="72"/>
      <c r="AG62" s="72">
        <f t="shared" si="0"/>
        <v>3</v>
      </c>
      <c r="AH62" s="72"/>
      <c r="AI62" s="72">
        <v>1</v>
      </c>
      <c r="AJ62" s="72"/>
      <c r="AK62" s="72"/>
      <c r="AL62" s="72"/>
      <c r="AM62" s="72"/>
      <c r="AN62" s="72"/>
      <c r="AO62" s="72"/>
      <c r="AP62" s="72"/>
      <c r="AQ62" s="72">
        <v>1</v>
      </c>
      <c r="AR62" s="72"/>
      <c r="AS62" s="72"/>
      <c r="AT62" s="72"/>
      <c r="AU62" s="72"/>
      <c r="AV62" s="72"/>
      <c r="AW62" s="72"/>
      <c r="AX62" s="72"/>
      <c r="AY62" s="72"/>
      <c r="AZ62" s="72"/>
      <c r="BA62" s="72"/>
      <c r="BB62" s="72"/>
      <c r="BC62" s="72"/>
      <c r="BD62" s="72"/>
      <c r="BE62" s="72"/>
      <c r="BF62" s="72"/>
      <c r="BG62" s="72"/>
    </row>
    <row r="63" spans="1:59">
      <c r="A63" s="1468" t="s">
        <v>1988</v>
      </c>
      <c r="B63" s="1464"/>
      <c r="C63" s="1464">
        <v>38</v>
      </c>
      <c r="D63" s="1464"/>
      <c r="E63" s="1464">
        <f>3*4</f>
        <v>12</v>
      </c>
      <c r="F63" s="1464"/>
      <c r="G63" s="1464">
        <f t="shared" si="1"/>
        <v>114</v>
      </c>
      <c r="H63" s="1464">
        <f t="shared" si="2"/>
        <v>38</v>
      </c>
      <c r="I63" s="1464"/>
      <c r="J63" s="1464"/>
      <c r="K63" s="1464"/>
      <c r="L63" s="1464">
        <v>1</v>
      </c>
      <c r="M63" s="1464"/>
      <c r="N63" s="1464"/>
      <c r="O63" s="1464"/>
      <c r="P63" s="1464">
        <v>1</v>
      </c>
      <c r="Q63" s="1464"/>
      <c r="R63" s="1464"/>
      <c r="S63" s="1464"/>
      <c r="T63" s="1464"/>
      <c r="U63" s="1464"/>
      <c r="V63" s="1464">
        <v>3</v>
      </c>
      <c r="W63" s="1464"/>
      <c r="X63" s="1464"/>
      <c r="Y63" s="1464"/>
      <c r="Z63" s="1464"/>
      <c r="AA63" s="1464"/>
      <c r="AB63" s="1464"/>
      <c r="AC63" s="1464"/>
      <c r="AD63" s="1464">
        <v>9</v>
      </c>
      <c r="AE63" s="1464"/>
      <c r="AF63" s="1464"/>
      <c r="AG63" s="1464">
        <v>3</v>
      </c>
      <c r="AH63" s="1464"/>
      <c r="AI63" s="1464">
        <v>1</v>
      </c>
      <c r="AJ63" s="1464"/>
      <c r="AK63" s="1464"/>
      <c r="AL63" s="1464"/>
      <c r="AM63" s="1464"/>
      <c r="AN63" s="1464"/>
      <c r="AO63" s="1464"/>
      <c r="AP63" s="1464"/>
      <c r="AQ63" s="1464">
        <v>1</v>
      </c>
      <c r="AR63" s="1464"/>
      <c r="AS63" s="1464"/>
      <c r="AT63" s="1464"/>
      <c r="AU63" s="1464"/>
      <c r="AV63" s="1464"/>
      <c r="AW63" s="1464"/>
      <c r="AX63" s="1464"/>
      <c r="AY63" s="1464">
        <v>3</v>
      </c>
      <c r="AZ63" s="1464">
        <v>1</v>
      </c>
      <c r="BA63" s="1464">
        <v>3</v>
      </c>
      <c r="BB63" s="1464">
        <v>1</v>
      </c>
      <c r="BC63" s="1464">
        <v>1</v>
      </c>
      <c r="BD63" s="1464"/>
      <c r="BE63" s="1464"/>
      <c r="BF63" s="1464"/>
      <c r="BG63" s="1464" t="s">
        <v>4566</v>
      </c>
    </row>
    <row r="64" spans="1:59">
      <c r="A64" s="1468" t="s">
        <v>1989</v>
      </c>
      <c r="B64" s="1464" t="s">
        <v>4549</v>
      </c>
      <c r="C64" s="1464">
        <v>26</v>
      </c>
      <c r="D64" s="1464"/>
      <c r="E64" s="1464"/>
      <c r="F64" s="1464"/>
      <c r="G64" s="1464">
        <f t="shared" si="1"/>
        <v>78</v>
      </c>
      <c r="H64" s="1464">
        <f t="shared" si="2"/>
        <v>26</v>
      </c>
      <c r="I64" s="1464"/>
      <c r="J64" s="1464"/>
      <c r="K64" s="1464"/>
      <c r="L64" s="1464">
        <v>2</v>
      </c>
      <c r="M64" s="1464"/>
      <c r="N64" s="1464"/>
      <c r="O64" s="1464"/>
      <c r="P64" s="1464">
        <v>2</v>
      </c>
      <c r="Q64" s="1464"/>
      <c r="R64" s="1464"/>
      <c r="S64" s="1464"/>
      <c r="T64" s="1464"/>
      <c r="U64" s="1464"/>
      <c r="V64" s="1464"/>
      <c r="W64" s="1464">
        <v>3</v>
      </c>
      <c r="X64" s="1464"/>
      <c r="Y64" s="1464"/>
      <c r="Z64" s="1464"/>
      <c r="AA64" s="1464">
        <v>2</v>
      </c>
      <c r="AB64" s="1464"/>
      <c r="AC64" s="1464">
        <v>18</v>
      </c>
      <c r="AD64" s="1464">
        <v>18</v>
      </c>
      <c r="AE64" s="1464">
        <v>6</v>
      </c>
      <c r="AF64" s="1464">
        <v>14</v>
      </c>
      <c r="AG64" s="1464">
        <f>AD64</f>
        <v>18</v>
      </c>
      <c r="AH64" s="1464"/>
      <c r="AI64" s="1464"/>
      <c r="AJ64" s="1464"/>
      <c r="AK64" s="1464"/>
      <c r="AL64" s="1464"/>
      <c r="AM64" s="1464"/>
      <c r="AN64" s="1464"/>
      <c r="AO64" s="1464"/>
      <c r="AP64" s="1464">
        <v>9</v>
      </c>
      <c r="AQ64" s="1464"/>
      <c r="AR64" s="1464"/>
      <c r="AS64" s="1464">
        <v>2</v>
      </c>
      <c r="AT64" s="1464"/>
      <c r="AU64" s="1464"/>
      <c r="AV64" s="1464"/>
      <c r="AW64" s="1464"/>
      <c r="AX64" s="1464"/>
      <c r="AY64" s="1464"/>
      <c r="AZ64" s="1464"/>
      <c r="BA64" s="1464"/>
      <c r="BB64" s="1464"/>
      <c r="BC64" s="1464"/>
      <c r="BD64" s="1464"/>
      <c r="BE64" s="1464"/>
      <c r="BF64" s="1464"/>
      <c r="BG64" s="1464"/>
    </row>
    <row r="65" spans="1:59">
      <c r="A65" s="1466" t="s">
        <v>1990</v>
      </c>
      <c r="B65" s="71"/>
      <c r="C65" s="71">
        <v>53</v>
      </c>
      <c r="D65" s="71"/>
      <c r="E65" s="71"/>
      <c r="F65" s="71"/>
      <c r="G65" s="71">
        <f>(C65+1)*3</f>
        <v>162</v>
      </c>
      <c r="H65" s="71">
        <f>C65+1</f>
        <v>54</v>
      </c>
      <c r="I65" s="71"/>
      <c r="J65" s="71"/>
      <c r="K65" s="71" t="s">
        <v>5819</v>
      </c>
      <c r="L65" s="71"/>
      <c r="M65" s="71"/>
      <c r="N65" s="71"/>
      <c r="O65" s="71"/>
      <c r="P65" s="71"/>
      <c r="Q65" s="71"/>
      <c r="R65" s="71"/>
      <c r="S65" s="71"/>
      <c r="T65" s="71"/>
      <c r="U65" s="71"/>
      <c r="V65" s="71"/>
      <c r="W65" s="71"/>
      <c r="X65" s="71">
        <v>1</v>
      </c>
      <c r="Y65" s="71"/>
      <c r="Z65" s="71">
        <v>2</v>
      </c>
      <c r="AA65" s="71"/>
      <c r="AB65" s="71"/>
      <c r="AC65" s="71">
        <v>6</v>
      </c>
      <c r="AD65" s="71">
        <v>3</v>
      </c>
      <c r="AE65" s="71"/>
      <c r="AF65" s="71">
        <v>8</v>
      </c>
      <c r="AG65" s="71">
        <f t="shared" si="0"/>
        <v>3</v>
      </c>
      <c r="AH65" s="71"/>
      <c r="AI65" s="71"/>
      <c r="AJ65" s="71"/>
      <c r="AK65" s="71"/>
      <c r="AL65" s="71"/>
      <c r="AM65" s="71"/>
      <c r="AN65" s="71"/>
      <c r="AO65" s="71"/>
      <c r="AP65" s="71">
        <v>8</v>
      </c>
      <c r="AQ65" s="71"/>
      <c r="AR65" s="71"/>
      <c r="AS65" s="71">
        <v>2</v>
      </c>
      <c r="AT65" s="71"/>
      <c r="AU65" s="71"/>
      <c r="AV65" s="71"/>
      <c r="AW65" s="71"/>
      <c r="AX65" s="71"/>
      <c r="AY65" s="71"/>
      <c r="AZ65" s="71"/>
      <c r="BA65" s="71"/>
      <c r="BB65" s="71"/>
      <c r="BC65" s="71"/>
      <c r="BD65" s="71"/>
      <c r="BE65" s="71"/>
      <c r="BF65" s="71"/>
      <c r="BG65" s="71"/>
    </row>
    <row r="66" spans="1:59">
      <c r="A66" s="1466" t="s">
        <v>1991</v>
      </c>
      <c r="B66" s="71"/>
      <c r="C66" s="71">
        <v>128</v>
      </c>
      <c r="D66" s="71"/>
      <c r="E66" s="71"/>
      <c r="F66" s="71"/>
      <c r="G66" s="71"/>
      <c r="H66" s="71">
        <f>(C66+1)*4</f>
        <v>516</v>
      </c>
      <c r="I66" s="71"/>
      <c r="J66" s="71"/>
      <c r="K66" s="71" t="s">
        <v>5819</v>
      </c>
      <c r="L66" s="71"/>
      <c r="M66" s="71"/>
      <c r="N66" s="71"/>
      <c r="O66" s="71"/>
      <c r="P66" s="71"/>
      <c r="Q66" s="71"/>
      <c r="R66" s="71"/>
      <c r="S66" s="71"/>
      <c r="T66" s="71"/>
      <c r="U66" s="71"/>
      <c r="V66" s="71"/>
      <c r="W66" s="71"/>
      <c r="X66" s="71">
        <v>1</v>
      </c>
      <c r="Y66" s="71"/>
      <c r="Z66" s="71">
        <v>2</v>
      </c>
      <c r="AA66" s="71"/>
      <c r="AB66" s="71"/>
      <c r="AC66" s="71">
        <v>6</v>
      </c>
      <c r="AD66" s="71">
        <v>3</v>
      </c>
      <c r="AE66" s="71"/>
      <c r="AF66" s="71">
        <v>8</v>
      </c>
      <c r="AG66" s="71">
        <f t="shared" si="0"/>
        <v>3</v>
      </c>
      <c r="AH66" s="71"/>
      <c r="AI66" s="71"/>
      <c r="AJ66" s="71"/>
      <c r="AK66" s="71"/>
      <c r="AL66" s="71"/>
      <c r="AM66" s="71"/>
      <c r="AN66" s="71"/>
      <c r="AO66" s="71"/>
      <c r="AP66" s="71">
        <v>8</v>
      </c>
      <c r="AQ66" s="71"/>
      <c r="AR66" s="71"/>
      <c r="AS66" s="71">
        <v>2</v>
      </c>
      <c r="AT66" s="71"/>
      <c r="AU66" s="71"/>
      <c r="AV66" s="71"/>
      <c r="AW66" s="71"/>
      <c r="AX66" s="71"/>
      <c r="AY66" s="71"/>
      <c r="AZ66" s="71"/>
      <c r="BA66" s="71"/>
      <c r="BB66" s="71"/>
      <c r="BC66" s="71"/>
      <c r="BD66" s="71"/>
      <c r="BE66" s="71"/>
      <c r="BF66" s="71"/>
      <c r="BG66" s="71"/>
    </row>
    <row r="67" spans="1:59">
      <c r="A67" s="1468" t="s">
        <v>1992</v>
      </c>
      <c r="B67" s="1464" t="s">
        <v>4549</v>
      </c>
      <c r="C67" s="1464">
        <v>57</v>
      </c>
      <c r="D67" s="1464"/>
      <c r="E67" s="1464"/>
      <c r="F67" s="1464"/>
      <c r="G67" s="1464">
        <f>(C67+1)*3</f>
        <v>174</v>
      </c>
      <c r="H67" s="1464">
        <f>C67+1</f>
        <v>58</v>
      </c>
      <c r="I67" s="1464"/>
      <c r="J67" s="1464"/>
      <c r="K67" s="1464"/>
      <c r="L67" s="1464">
        <v>2</v>
      </c>
      <c r="M67" s="1464"/>
      <c r="N67" s="1464"/>
      <c r="O67" s="1464"/>
      <c r="P67" s="1464">
        <v>2</v>
      </c>
      <c r="Q67" s="1464"/>
      <c r="R67" s="1464"/>
      <c r="S67" s="1464"/>
      <c r="T67" s="1464"/>
      <c r="U67" s="1464"/>
      <c r="V67" s="1464"/>
      <c r="W67" s="1464">
        <v>3</v>
      </c>
      <c r="X67" s="1464"/>
      <c r="Y67" s="1464"/>
      <c r="Z67" s="1464"/>
      <c r="AA67" s="1464">
        <v>2</v>
      </c>
      <c r="AB67" s="1464"/>
      <c r="AC67" s="1464">
        <v>18</v>
      </c>
      <c r="AD67" s="1464">
        <v>18</v>
      </c>
      <c r="AE67" s="1464">
        <v>6</v>
      </c>
      <c r="AF67" s="1464">
        <v>14</v>
      </c>
      <c r="AG67" s="1464">
        <f>AD67</f>
        <v>18</v>
      </c>
      <c r="AH67" s="1464"/>
      <c r="AI67" s="1464"/>
      <c r="AJ67" s="1464"/>
      <c r="AK67" s="1464"/>
      <c r="AL67" s="1464"/>
      <c r="AM67" s="1464"/>
      <c r="AN67" s="1464"/>
      <c r="AO67" s="1464"/>
      <c r="AP67" s="1464">
        <v>9</v>
      </c>
      <c r="AQ67" s="1464"/>
      <c r="AR67" s="1464"/>
      <c r="AS67" s="1464">
        <v>2</v>
      </c>
      <c r="AT67" s="1464"/>
      <c r="AU67" s="1464"/>
      <c r="AV67" s="1464"/>
      <c r="AW67" s="1464"/>
      <c r="AX67" s="1464"/>
      <c r="AY67" s="1464"/>
      <c r="AZ67" s="1464"/>
      <c r="BA67" s="1464"/>
      <c r="BB67" s="1464"/>
      <c r="BC67" s="1464"/>
      <c r="BD67" s="1464"/>
      <c r="BE67" s="1464"/>
      <c r="BF67" s="1464"/>
      <c r="BG67" s="1464"/>
    </row>
    <row r="68" spans="1:59">
      <c r="A68" s="944" t="s">
        <v>2023</v>
      </c>
      <c r="B68" s="72"/>
      <c r="C68" s="72">
        <v>35</v>
      </c>
      <c r="D68" s="72"/>
      <c r="E68" s="72"/>
      <c r="F68" s="72">
        <v>9</v>
      </c>
      <c r="G68" s="72">
        <f t="shared" si="1"/>
        <v>105</v>
      </c>
      <c r="H68" s="72">
        <f t="shared" si="2"/>
        <v>35</v>
      </c>
      <c r="I68" s="72"/>
      <c r="J68" s="72"/>
      <c r="K68" s="72"/>
      <c r="L68" s="72" t="s">
        <v>5819</v>
      </c>
      <c r="M68" s="72"/>
      <c r="N68" s="72"/>
      <c r="O68" s="72"/>
      <c r="P68" s="72"/>
      <c r="Q68" s="72"/>
      <c r="R68" s="72"/>
      <c r="S68" s="72"/>
      <c r="T68" s="72"/>
      <c r="U68" s="72"/>
      <c r="V68" s="72">
        <v>1</v>
      </c>
      <c r="W68" s="72">
        <v>1</v>
      </c>
      <c r="X68" s="72"/>
      <c r="Y68" s="72"/>
      <c r="Z68" s="72"/>
      <c r="AA68" s="72"/>
      <c r="AB68" s="72"/>
      <c r="AC68" s="72"/>
      <c r="AD68" s="72">
        <v>3</v>
      </c>
      <c r="AE68" s="72">
        <f t="shared" si="3"/>
        <v>0</v>
      </c>
      <c r="AF68" s="72"/>
      <c r="AG68" s="72">
        <f t="shared" si="0"/>
        <v>3</v>
      </c>
      <c r="AH68" s="72"/>
      <c r="AI68" s="72">
        <v>1</v>
      </c>
      <c r="AJ68" s="72"/>
      <c r="AK68" s="72"/>
      <c r="AL68" s="72"/>
      <c r="AM68" s="72"/>
      <c r="AN68" s="72"/>
      <c r="AO68" s="72"/>
      <c r="AP68" s="72"/>
      <c r="AQ68" s="72">
        <v>1</v>
      </c>
      <c r="AR68" s="72"/>
      <c r="AS68" s="72"/>
      <c r="AT68" s="72"/>
      <c r="AU68" s="72"/>
      <c r="AV68" s="72"/>
      <c r="AW68" s="72"/>
      <c r="AX68" s="72"/>
      <c r="AY68" s="72">
        <v>3</v>
      </c>
      <c r="AZ68" s="72"/>
      <c r="BA68" s="72"/>
      <c r="BB68" s="72"/>
      <c r="BC68" s="72"/>
      <c r="BD68" s="72"/>
      <c r="BE68" s="72"/>
      <c r="BF68" s="72"/>
      <c r="BG68" s="72" t="s">
        <v>4567</v>
      </c>
    </row>
    <row r="69" spans="1:59">
      <c r="A69" s="1468" t="s">
        <v>1993</v>
      </c>
      <c r="B69" s="1464"/>
      <c r="C69" s="1464">
        <v>17</v>
      </c>
      <c r="D69" s="1464"/>
      <c r="E69" s="1464">
        <f>3*4</f>
        <v>12</v>
      </c>
      <c r="F69" s="1464"/>
      <c r="G69" s="1464">
        <f>C69*3</f>
        <v>51</v>
      </c>
      <c r="H69" s="1464">
        <f>C69</f>
        <v>17</v>
      </c>
      <c r="I69" s="1464"/>
      <c r="J69" s="1464"/>
      <c r="K69" s="1464"/>
      <c r="L69" s="1464">
        <v>1</v>
      </c>
      <c r="M69" s="1464"/>
      <c r="N69" s="1464"/>
      <c r="O69" s="1464"/>
      <c r="P69" s="1464">
        <v>1</v>
      </c>
      <c r="Q69" s="1464"/>
      <c r="R69" s="1464"/>
      <c r="S69" s="1464"/>
      <c r="T69" s="1464"/>
      <c r="U69" s="1464"/>
      <c r="V69" s="1464">
        <v>3</v>
      </c>
      <c r="W69" s="1464"/>
      <c r="X69" s="1464"/>
      <c r="Y69" s="1464"/>
      <c r="Z69" s="1464"/>
      <c r="AA69" s="1464"/>
      <c r="AB69" s="1464"/>
      <c r="AC69" s="1464"/>
      <c r="AD69" s="1464">
        <v>9</v>
      </c>
      <c r="AE69" s="1464"/>
      <c r="AF69" s="1464"/>
      <c r="AG69" s="1464">
        <v>3</v>
      </c>
      <c r="AH69" s="1464"/>
      <c r="AI69" s="1464">
        <v>1</v>
      </c>
      <c r="AJ69" s="1464"/>
      <c r="AK69" s="1464"/>
      <c r="AL69" s="1464"/>
      <c r="AM69" s="1464"/>
      <c r="AN69" s="1464"/>
      <c r="AO69" s="1464"/>
      <c r="AP69" s="1464"/>
      <c r="AQ69" s="1464">
        <v>1</v>
      </c>
      <c r="AR69" s="1464"/>
      <c r="AS69" s="1464"/>
      <c r="AT69" s="1464"/>
      <c r="AU69" s="1464"/>
      <c r="AV69" s="1464"/>
      <c r="AW69" s="1464"/>
      <c r="AX69" s="1464"/>
      <c r="AY69" s="1464"/>
      <c r="AZ69" s="1464">
        <v>4</v>
      </c>
      <c r="BA69" s="1464">
        <v>4</v>
      </c>
      <c r="BB69" s="1464">
        <v>1</v>
      </c>
      <c r="BC69" s="1464"/>
      <c r="BD69" s="1464">
        <v>1</v>
      </c>
      <c r="BE69" s="1464"/>
      <c r="BF69" s="1464"/>
      <c r="BG69" s="1464" t="s">
        <v>4639</v>
      </c>
    </row>
    <row r="70" spans="1:59">
      <c r="A70" s="944" t="s">
        <v>1994</v>
      </c>
      <c r="B70" s="72"/>
      <c r="C70" s="72">
        <v>59</v>
      </c>
      <c r="D70" s="72"/>
      <c r="E70" s="72"/>
      <c r="F70" s="72"/>
      <c r="G70" s="72">
        <f t="shared" si="1"/>
        <v>177</v>
      </c>
      <c r="H70" s="72">
        <f t="shared" si="2"/>
        <v>59</v>
      </c>
      <c r="I70" s="72"/>
      <c r="J70" s="72"/>
      <c r="K70" s="72"/>
      <c r="L70" s="72"/>
      <c r="M70" s="72" t="s">
        <v>5819</v>
      </c>
      <c r="N70" s="72"/>
      <c r="O70" s="72"/>
      <c r="P70" s="72"/>
      <c r="Q70" s="72"/>
      <c r="R70" s="72"/>
      <c r="S70" s="72"/>
      <c r="T70" s="72"/>
      <c r="U70" s="72" t="s">
        <v>5819</v>
      </c>
      <c r="V70" s="72">
        <v>1</v>
      </c>
      <c r="W70" s="72"/>
      <c r="X70" s="72"/>
      <c r="Y70" s="72"/>
      <c r="Z70" s="72"/>
      <c r="AA70" s="72"/>
      <c r="AB70" s="72"/>
      <c r="AC70" s="72"/>
      <c r="AD70" s="72">
        <v>3</v>
      </c>
      <c r="AE70" s="72">
        <f t="shared" si="3"/>
        <v>0</v>
      </c>
      <c r="AF70" s="72"/>
      <c r="AG70" s="72">
        <f t="shared" si="0"/>
        <v>3</v>
      </c>
      <c r="AH70" s="72"/>
      <c r="AI70" s="72">
        <v>1</v>
      </c>
      <c r="AJ70" s="72"/>
      <c r="AK70" s="72"/>
      <c r="AL70" s="72"/>
      <c r="AM70" s="72"/>
      <c r="AN70" s="72"/>
      <c r="AO70" s="72"/>
      <c r="AP70" s="72"/>
      <c r="AQ70" s="72">
        <v>1</v>
      </c>
      <c r="AR70" s="72"/>
      <c r="AS70" s="72"/>
      <c r="AT70" s="72"/>
      <c r="AU70" s="72"/>
      <c r="AV70" s="72"/>
      <c r="AW70" s="72"/>
      <c r="AX70" s="72"/>
      <c r="AY70" s="72"/>
      <c r="AZ70" s="72"/>
      <c r="BA70" s="72"/>
      <c r="BB70" s="72"/>
      <c r="BC70" s="72"/>
      <c r="BD70" s="72"/>
      <c r="BE70" s="72"/>
      <c r="BF70" s="72"/>
      <c r="BG70" s="72"/>
    </row>
    <row r="71" spans="1:59">
      <c r="A71" s="944" t="s">
        <v>1995</v>
      </c>
      <c r="B71" s="72"/>
      <c r="C71" s="72">
        <v>48</v>
      </c>
      <c r="D71" s="72"/>
      <c r="E71" s="72"/>
      <c r="F71" s="72"/>
      <c r="G71" s="72">
        <f t="shared" si="1"/>
        <v>144</v>
      </c>
      <c r="H71" s="72">
        <f t="shared" si="2"/>
        <v>48</v>
      </c>
      <c r="I71" s="72"/>
      <c r="J71" s="72"/>
      <c r="K71" s="72"/>
      <c r="L71" s="72"/>
      <c r="M71" s="72" t="s">
        <v>5819</v>
      </c>
      <c r="N71" s="72"/>
      <c r="O71" s="72"/>
      <c r="P71" s="72"/>
      <c r="Q71" s="72"/>
      <c r="R71" s="72"/>
      <c r="S71" s="72"/>
      <c r="T71" s="72" t="s">
        <v>5819</v>
      </c>
      <c r="U71" s="72"/>
      <c r="V71" s="72"/>
      <c r="W71" s="72">
        <v>1</v>
      </c>
      <c r="X71" s="72"/>
      <c r="Y71" s="72"/>
      <c r="Z71" s="72"/>
      <c r="AA71" s="72"/>
      <c r="AB71" s="72"/>
      <c r="AC71" s="72"/>
      <c r="AD71" s="72">
        <v>6</v>
      </c>
      <c r="AE71" s="72">
        <f>AC71</f>
        <v>0</v>
      </c>
      <c r="AF71" s="72"/>
      <c r="AG71" s="72">
        <f t="shared" si="0"/>
        <v>6</v>
      </c>
      <c r="AH71" s="72"/>
      <c r="AI71" s="72">
        <v>1</v>
      </c>
      <c r="AJ71" s="72"/>
      <c r="AK71" s="72"/>
      <c r="AL71" s="72"/>
      <c r="AM71" s="72"/>
      <c r="AN71" s="72"/>
      <c r="AO71" s="72"/>
      <c r="AP71" s="72"/>
      <c r="AQ71" s="72">
        <v>1</v>
      </c>
      <c r="AR71" s="72"/>
      <c r="AS71" s="72"/>
      <c r="AT71" s="72"/>
      <c r="AU71" s="72"/>
      <c r="AV71" s="72"/>
      <c r="AW71" s="72"/>
      <c r="AX71" s="72"/>
      <c r="AY71" s="72"/>
      <c r="AZ71" s="72"/>
      <c r="BA71" s="72"/>
      <c r="BB71" s="72"/>
      <c r="BC71" s="72"/>
      <c r="BD71" s="72"/>
      <c r="BE71" s="72"/>
      <c r="BF71" s="72"/>
      <c r="BG71" s="72"/>
    </row>
    <row r="72" spans="1:59">
      <c r="A72" s="1467" t="s">
        <v>4562</v>
      </c>
      <c r="B72" s="1464"/>
      <c r="C72" s="1464"/>
      <c r="D72" s="1464"/>
      <c r="E72" s="1464"/>
      <c r="F72" s="1464"/>
      <c r="G72" s="1464">
        <f t="shared" si="1"/>
        <v>0</v>
      </c>
      <c r="H72" s="1464">
        <f>C72</f>
        <v>0</v>
      </c>
      <c r="I72" s="1464"/>
      <c r="J72" s="1464"/>
      <c r="K72" s="1464"/>
      <c r="L72" s="1464">
        <v>1</v>
      </c>
      <c r="M72" s="1464"/>
      <c r="N72" s="1464"/>
      <c r="O72" s="1464"/>
      <c r="P72" s="1464">
        <v>1</v>
      </c>
      <c r="Q72" s="1464"/>
      <c r="R72" s="1464"/>
      <c r="S72" s="1464"/>
      <c r="T72" s="1464"/>
      <c r="U72" s="1464"/>
      <c r="V72" s="1464">
        <v>3</v>
      </c>
      <c r="W72" s="1464"/>
      <c r="X72" s="1464"/>
      <c r="Y72" s="1464"/>
      <c r="Z72" s="1464"/>
      <c r="AA72" s="1464"/>
      <c r="AB72" s="1464"/>
      <c r="AC72" s="1464"/>
      <c r="AD72" s="1464">
        <v>9</v>
      </c>
      <c r="AE72" s="1464"/>
      <c r="AF72" s="1464"/>
      <c r="AG72" s="1464">
        <v>3</v>
      </c>
      <c r="AH72" s="1464"/>
      <c r="AI72" s="1464">
        <v>1</v>
      </c>
      <c r="AJ72" s="1464"/>
      <c r="AK72" s="1464"/>
      <c r="AL72" s="1464"/>
      <c r="AM72" s="1464"/>
      <c r="AN72" s="1464"/>
      <c r="AO72" s="1464"/>
      <c r="AP72" s="1464"/>
      <c r="AQ72" s="1464">
        <v>1</v>
      </c>
      <c r="AR72" s="1464"/>
      <c r="AS72" s="1464"/>
      <c r="AT72" s="1464"/>
      <c r="AU72" s="1464"/>
      <c r="AV72" s="1464"/>
      <c r="AW72" s="1464"/>
      <c r="AX72" s="1464"/>
      <c r="AY72" s="1464"/>
      <c r="AZ72" s="1464"/>
      <c r="BA72" s="1464"/>
      <c r="BB72" s="1464"/>
      <c r="BC72" s="1464"/>
      <c r="BD72" s="1464"/>
      <c r="BE72" s="1464"/>
      <c r="BF72" s="1464"/>
      <c r="BG72" s="1464"/>
    </row>
    <row r="73" spans="1:59">
      <c r="A73" s="944" t="s">
        <v>1996</v>
      </c>
      <c r="B73" s="72"/>
      <c r="C73" s="72">
        <v>65</v>
      </c>
      <c r="D73" s="72"/>
      <c r="E73" s="72"/>
      <c r="F73" s="72"/>
      <c r="G73" s="72">
        <f t="shared" si="1"/>
        <v>195</v>
      </c>
      <c r="H73" s="72">
        <f t="shared" si="2"/>
        <v>65</v>
      </c>
      <c r="I73" s="72"/>
      <c r="J73" s="72"/>
      <c r="K73" s="72"/>
      <c r="L73" s="72"/>
      <c r="M73" s="72" t="s">
        <v>5819</v>
      </c>
      <c r="N73" s="72"/>
      <c r="O73" s="72"/>
      <c r="P73" s="72"/>
      <c r="Q73" s="72"/>
      <c r="R73" s="72"/>
      <c r="S73" s="72"/>
      <c r="T73" s="72" t="s">
        <v>5819</v>
      </c>
      <c r="U73" s="72"/>
      <c r="V73" s="72"/>
      <c r="W73" s="72">
        <v>1</v>
      </c>
      <c r="X73" s="72"/>
      <c r="Y73" s="72"/>
      <c r="Z73" s="72"/>
      <c r="AA73" s="72"/>
      <c r="AB73" s="72"/>
      <c r="AC73" s="72"/>
      <c r="AD73" s="72">
        <v>6</v>
      </c>
      <c r="AE73" s="72">
        <f t="shared" si="3"/>
        <v>0</v>
      </c>
      <c r="AF73" s="72"/>
      <c r="AG73" s="72">
        <f t="shared" si="0"/>
        <v>6</v>
      </c>
      <c r="AH73" s="72"/>
      <c r="AI73" s="72">
        <v>1</v>
      </c>
      <c r="AJ73" s="72"/>
      <c r="AK73" s="72"/>
      <c r="AL73" s="72"/>
      <c r="AM73" s="72"/>
      <c r="AN73" s="72"/>
      <c r="AO73" s="72"/>
      <c r="AP73" s="72"/>
      <c r="AQ73" s="72">
        <v>1</v>
      </c>
      <c r="AR73" s="72"/>
      <c r="AS73" s="72"/>
      <c r="AT73" s="72"/>
      <c r="AU73" s="72"/>
      <c r="AV73" s="72"/>
      <c r="AW73" s="72"/>
      <c r="AX73" s="72"/>
      <c r="AY73" s="72"/>
      <c r="AZ73" s="72"/>
      <c r="BA73" s="72"/>
      <c r="BB73" s="72"/>
      <c r="BC73" s="72"/>
      <c r="BD73" s="72"/>
      <c r="BE73" s="72"/>
      <c r="BF73" s="72"/>
      <c r="BG73" s="72"/>
    </row>
    <row r="74" spans="1:59">
      <c r="A74" s="944" t="s">
        <v>1997</v>
      </c>
      <c r="B74" s="72"/>
      <c r="C74" s="72">
        <v>55</v>
      </c>
      <c r="D74" s="72"/>
      <c r="E74" s="72"/>
      <c r="F74" s="72"/>
      <c r="G74" s="72">
        <f t="shared" si="1"/>
        <v>165</v>
      </c>
      <c r="H74" s="72">
        <f t="shared" si="2"/>
        <v>55</v>
      </c>
      <c r="I74" s="72"/>
      <c r="J74" s="72"/>
      <c r="K74" s="72"/>
      <c r="L74" s="72"/>
      <c r="M74" s="72" t="s">
        <v>5819</v>
      </c>
      <c r="N74" s="72"/>
      <c r="O74" s="72"/>
      <c r="P74" s="72"/>
      <c r="Q74" s="72"/>
      <c r="R74" s="72"/>
      <c r="S74" s="72"/>
      <c r="T74" s="72" t="s">
        <v>5819</v>
      </c>
      <c r="U74" s="72"/>
      <c r="V74" s="72"/>
      <c r="W74" s="72">
        <v>1</v>
      </c>
      <c r="X74" s="72"/>
      <c r="Y74" s="72"/>
      <c r="Z74" s="72"/>
      <c r="AA74" s="72"/>
      <c r="AB74" s="72"/>
      <c r="AC74" s="72"/>
      <c r="AD74" s="72">
        <v>6</v>
      </c>
      <c r="AE74" s="72">
        <f t="shared" si="3"/>
        <v>0</v>
      </c>
      <c r="AF74" s="72"/>
      <c r="AG74" s="72">
        <f t="shared" si="0"/>
        <v>6</v>
      </c>
      <c r="AH74" s="72"/>
      <c r="AI74" s="72">
        <v>1</v>
      </c>
      <c r="AJ74" s="72"/>
      <c r="AK74" s="72"/>
      <c r="AL74" s="72"/>
      <c r="AM74" s="72"/>
      <c r="AN74" s="72"/>
      <c r="AO74" s="72"/>
      <c r="AP74" s="72"/>
      <c r="AQ74" s="72">
        <v>1</v>
      </c>
      <c r="AR74" s="72"/>
      <c r="AS74" s="72"/>
      <c r="AT74" s="72"/>
      <c r="AU74" s="72"/>
      <c r="AV74" s="72"/>
      <c r="AW74" s="72"/>
      <c r="AX74" s="72"/>
      <c r="AY74" s="72"/>
      <c r="AZ74" s="72"/>
      <c r="BA74" s="72"/>
      <c r="BB74" s="72"/>
      <c r="BC74" s="72"/>
      <c r="BD74" s="72"/>
      <c r="BE74" s="72"/>
      <c r="BF74" s="72"/>
      <c r="BG74" s="72"/>
    </row>
    <row r="75" spans="1:59">
      <c r="A75" s="944" t="s">
        <v>1998</v>
      </c>
      <c r="B75" s="72"/>
      <c r="C75" s="72">
        <v>57</v>
      </c>
      <c r="D75" s="72"/>
      <c r="E75" s="72"/>
      <c r="F75" s="72"/>
      <c r="G75" s="72">
        <f>C75*3</f>
        <v>171</v>
      </c>
      <c r="H75" s="72">
        <f>C75</f>
        <v>57</v>
      </c>
      <c r="I75" s="72"/>
      <c r="J75" s="72"/>
      <c r="K75" s="72"/>
      <c r="L75" s="72"/>
      <c r="M75" s="72" t="s">
        <v>5819</v>
      </c>
      <c r="N75" s="72"/>
      <c r="O75" s="72"/>
      <c r="P75" s="72"/>
      <c r="Q75" s="72"/>
      <c r="R75" s="72"/>
      <c r="S75" s="72"/>
      <c r="T75" s="72"/>
      <c r="U75" s="72" t="s">
        <v>5819</v>
      </c>
      <c r="V75" s="72">
        <v>1</v>
      </c>
      <c r="W75" s="72"/>
      <c r="X75" s="72"/>
      <c r="Y75" s="72"/>
      <c r="Z75" s="72"/>
      <c r="AA75" s="72"/>
      <c r="AB75" s="72"/>
      <c r="AC75" s="72"/>
      <c r="AD75" s="72">
        <v>3</v>
      </c>
      <c r="AE75" s="72">
        <f t="shared" si="3"/>
        <v>0</v>
      </c>
      <c r="AF75" s="72"/>
      <c r="AG75" s="72">
        <f t="shared" si="0"/>
        <v>3</v>
      </c>
      <c r="AH75" s="72"/>
      <c r="AI75" s="72">
        <v>1</v>
      </c>
      <c r="AJ75" s="72"/>
      <c r="AK75" s="72"/>
      <c r="AL75" s="72"/>
      <c r="AM75" s="72"/>
      <c r="AN75" s="72"/>
      <c r="AO75" s="72"/>
      <c r="AP75" s="72"/>
      <c r="AQ75" s="72">
        <v>1</v>
      </c>
      <c r="AR75" s="72"/>
      <c r="AS75" s="72"/>
      <c r="AT75" s="72"/>
      <c r="AU75" s="72"/>
      <c r="AV75" s="72"/>
      <c r="AW75" s="72"/>
      <c r="AX75" s="72"/>
      <c r="AY75" s="72"/>
      <c r="AZ75" s="72"/>
      <c r="BA75" s="72"/>
      <c r="BB75" s="72"/>
      <c r="BC75" s="72"/>
      <c r="BD75" s="72"/>
      <c r="BE75" s="72"/>
      <c r="BF75" s="72"/>
      <c r="BG75" s="72"/>
    </row>
    <row r="76" spans="1:59">
      <c r="A76" s="944" t="s">
        <v>1999</v>
      </c>
      <c r="B76" s="72"/>
      <c r="C76" s="72">
        <v>43</v>
      </c>
      <c r="D76" s="72"/>
      <c r="E76" s="72"/>
      <c r="F76" s="72"/>
      <c r="G76" s="72">
        <f t="shared" si="1"/>
        <v>129</v>
      </c>
      <c r="H76" s="72">
        <f t="shared" si="2"/>
        <v>43</v>
      </c>
      <c r="I76" s="72"/>
      <c r="J76" s="72"/>
      <c r="K76" s="72"/>
      <c r="L76" s="72"/>
      <c r="M76" s="72" t="s">
        <v>5819</v>
      </c>
      <c r="N76" s="72"/>
      <c r="O76" s="72"/>
      <c r="P76" s="72"/>
      <c r="Q76" s="72"/>
      <c r="R76" s="72"/>
      <c r="S76" s="72"/>
      <c r="T76" s="72"/>
      <c r="U76" s="72" t="s">
        <v>5819</v>
      </c>
      <c r="V76" s="72">
        <v>1</v>
      </c>
      <c r="W76" s="72"/>
      <c r="X76" s="72"/>
      <c r="Y76" s="72"/>
      <c r="Z76" s="72"/>
      <c r="AA76" s="72"/>
      <c r="AB76" s="72"/>
      <c r="AC76" s="72"/>
      <c r="AD76" s="72">
        <v>3</v>
      </c>
      <c r="AE76" s="72">
        <f t="shared" si="3"/>
        <v>0</v>
      </c>
      <c r="AF76" s="72"/>
      <c r="AG76" s="72">
        <f t="shared" si="0"/>
        <v>3</v>
      </c>
      <c r="AH76" s="72"/>
      <c r="AI76" s="72">
        <v>1</v>
      </c>
      <c r="AJ76" s="72"/>
      <c r="AK76" s="72"/>
      <c r="AL76" s="72"/>
      <c r="AM76" s="72"/>
      <c r="AN76" s="72"/>
      <c r="AO76" s="72"/>
      <c r="AP76" s="72"/>
      <c r="AQ76" s="72">
        <v>1</v>
      </c>
      <c r="AR76" s="72"/>
      <c r="AS76" s="72"/>
      <c r="AT76" s="72"/>
      <c r="AU76" s="72"/>
      <c r="AV76" s="72"/>
      <c r="AW76" s="72"/>
      <c r="AX76" s="72"/>
      <c r="AY76" s="72"/>
      <c r="AZ76" s="72"/>
      <c r="BA76" s="72"/>
      <c r="BB76" s="72"/>
      <c r="BC76" s="72"/>
      <c r="BD76" s="72"/>
      <c r="BE76" s="72"/>
      <c r="BF76" s="72"/>
      <c r="BG76" s="72"/>
    </row>
    <row r="77" spans="1:59">
      <c r="A77" s="944" t="s">
        <v>2000</v>
      </c>
      <c r="B77" s="72"/>
      <c r="C77" s="72">
        <v>53</v>
      </c>
      <c r="D77" s="72"/>
      <c r="E77" s="72"/>
      <c r="F77" s="72"/>
      <c r="G77" s="72">
        <f t="shared" si="1"/>
        <v>159</v>
      </c>
      <c r="H77" s="72">
        <f t="shared" si="2"/>
        <v>53</v>
      </c>
      <c r="I77" s="72"/>
      <c r="J77" s="72"/>
      <c r="K77" s="72"/>
      <c r="L77" s="72"/>
      <c r="M77" s="72" t="s">
        <v>5819</v>
      </c>
      <c r="N77" s="72"/>
      <c r="O77" s="72"/>
      <c r="P77" s="72"/>
      <c r="Q77" s="72"/>
      <c r="R77" s="72"/>
      <c r="S77" s="72"/>
      <c r="T77" s="72"/>
      <c r="U77" s="72" t="s">
        <v>5819</v>
      </c>
      <c r="V77" s="72">
        <v>1</v>
      </c>
      <c r="W77" s="72"/>
      <c r="X77" s="72"/>
      <c r="Y77" s="72"/>
      <c r="Z77" s="72"/>
      <c r="AA77" s="72"/>
      <c r="AB77" s="72"/>
      <c r="AC77" s="72"/>
      <c r="AD77" s="72">
        <v>3</v>
      </c>
      <c r="AE77" s="72">
        <f t="shared" si="3"/>
        <v>0</v>
      </c>
      <c r="AF77" s="72"/>
      <c r="AG77" s="72">
        <f t="shared" si="0"/>
        <v>3</v>
      </c>
      <c r="AH77" s="72"/>
      <c r="AI77" s="72">
        <v>1</v>
      </c>
      <c r="AJ77" s="72"/>
      <c r="AK77" s="72"/>
      <c r="AL77" s="72"/>
      <c r="AM77" s="72"/>
      <c r="AN77" s="72"/>
      <c r="AO77" s="72"/>
      <c r="AP77" s="72"/>
      <c r="AQ77" s="72">
        <v>1</v>
      </c>
      <c r="AR77" s="72"/>
      <c r="AS77" s="72"/>
      <c r="AT77" s="72"/>
      <c r="AU77" s="72"/>
      <c r="AV77" s="72"/>
      <c r="AW77" s="72"/>
      <c r="AX77" s="72"/>
      <c r="AY77" s="72"/>
      <c r="AZ77" s="72"/>
      <c r="BA77" s="72"/>
      <c r="BB77" s="72"/>
      <c r="BC77" s="72"/>
      <c r="BD77" s="72"/>
      <c r="BE77" s="72"/>
      <c r="BF77" s="72"/>
      <c r="BG77" s="72"/>
    </row>
    <row r="78" spans="1:59">
      <c r="A78" s="1467" t="s">
        <v>4561</v>
      </c>
      <c r="B78" s="1464" t="s">
        <v>4560</v>
      </c>
      <c r="C78" s="1464"/>
      <c r="D78" s="1464"/>
      <c r="E78" s="1464"/>
      <c r="F78" s="1464"/>
      <c r="G78" s="1464">
        <f t="shared" si="1"/>
        <v>0</v>
      </c>
      <c r="H78" s="1464">
        <f>C78</f>
        <v>0</v>
      </c>
      <c r="I78" s="1464"/>
      <c r="J78" s="1464"/>
      <c r="K78" s="1464"/>
      <c r="L78" s="1464">
        <v>2</v>
      </c>
      <c r="M78" s="1464"/>
      <c r="N78" s="1464"/>
      <c r="O78" s="1464">
        <v>1</v>
      </c>
      <c r="P78" s="1464"/>
      <c r="Q78" s="1464"/>
      <c r="R78" s="1464"/>
      <c r="S78" s="1464"/>
      <c r="T78" s="1464"/>
      <c r="U78" s="1464"/>
      <c r="V78" s="1464"/>
      <c r="W78" s="1464">
        <v>3</v>
      </c>
      <c r="X78" s="1464"/>
      <c r="Y78" s="1464"/>
      <c r="Z78" s="1464"/>
      <c r="AA78" s="1464"/>
      <c r="AB78" s="1464"/>
      <c r="AC78" s="1464">
        <v>18</v>
      </c>
      <c r="AD78" s="1464">
        <v>18</v>
      </c>
      <c r="AE78" s="1464">
        <v>6</v>
      </c>
      <c r="AF78" s="1464">
        <v>14</v>
      </c>
      <c r="AG78" s="1464">
        <v>6</v>
      </c>
      <c r="AH78" s="1464"/>
      <c r="AI78" s="1464"/>
      <c r="AJ78" s="1464"/>
      <c r="AK78" s="1464"/>
      <c r="AL78" s="1464"/>
      <c r="AM78" s="1464"/>
      <c r="AN78" s="1464"/>
      <c r="AO78" s="1464"/>
      <c r="AP78" s="1464">
        <v>9</v>
      </c>
      <c r="AQ78" s="1464"/>
      <c r="AR78" s="1464"/>
      <c r="AS78" s="1464">
        <v>2</v>
      </c>
      <c r="AT78" s="1464"/>
      <c r="AU78" s="1464"/>
      <c r="AV78" s="1464"/>
      <c r="AW78" s="1464"/>
      <c r="AX78" s="1464"/>
      <c r="AY78" s="1464"/>
      <c r="AZ78" s="1464"/>
      <c r="BA78" s="1464"/>
      <c r="BB78" s="1464"/>
      <c r="BC78" s="1464"/>
      <c r="BD78" s="1464"/>
      <c r="BE78" s="1464"/>
      <c r="BF78" s="1464"/>
      <c r="BG78" s="1464"/>
    </row>
    <row r="79" spans="1:59">
      <c r="A79" s="944" t="s">
        <v>2001</v>
      </c>
      <c r="B79" s="72"/>
      <c r="C79" s="72">
        <v>66</v>
      </c>
      <c r="D79" s="72"/>
      <c r="E79" s="72"/>
      <c r="F79" s="72"/>
      <c r="G79" s="72">
        <f>(C79+1)*3</f>
        <v>201</v>
      </c>
      <c r="H79" s="72">
        <f>C79+1</f>
        <v>67</v>
      </c>
      <c r="I79" s="72"/>
      <c r="J79" s="72"/>
      <c r="K79" s="72"/>
      <c r="L79" s="72"/>
      <c r="M79" s="72" t="s">
        <v>5819</v>
      </c>
      <c r="N79" s="72"/>
      <c r="O79" s="72"/>
      <c r="P79" s="72"/>
      <c r="Q79" s="72"/>
      <c r="R79" s="72"/>
      <c r="S79" s="72"/>
      <c r="T79" s="72"/>
      <c r="U79" s="72" t="s">
        <v>5819</v>
      </c>
      <c r="V79" s="72">
        <v>1</v>
      </c>
      <c r="W79" s="72"/>
      <c r="X79" s="72"/>
      <c r="Y79" s="72"/>
      <c r="Z79" s="72"/>
      <c r="AA79" s="72"/>
      <c r="AB79" s="72"/>
      <c r="AC79" s="72"/>
      <c r="AD79" s="72">
        <v>3</v>
      </c>
      <c r="AE79" s="72">
        <f t="shared" si="3"/>
        <v>0</v>
      </c>
      <c r="AF79" s="72"/>
      <c r="AG79" s="72">
        <f t="shared" si="0"/>
        <v>3</v>
      </c>
      <c r="AH79" s="72"/>
      <c r="AI79" s="72">
        <v>1</v>
      </c>
      <c r="AJ79" s="72"/>
      <c r="AK79" s="72"/>
      <c r="AL79" s="72"/>
      <c r="AM79" s="72"/>
      <c r="AN79" s="72"/>
      <c r="AO79" s="72"/>
      <c r="AP79" s="72"/>
      <c r="AQ79" s="72">
        <v>1</v>
      </c>
      <c r="AR79" s="72"/>
      <c r="AS79" s="72"/>
      <c r="AT79" s="72"/>
      <c r="AU79" s="72"/>
      <c r="AV79" s="72"/>
      <c r="AW79" s="72"/>
      <c r="AX79" s="72"/>
      <c r="AY79" s="72"/>
      <c r="AZ79" s="72"/>
      <c r="BA79" s="72"/>
      <c r="BB79" s="72"/>
      <c r="BC79" s="72"/>
      <c r="BD79" s="72"/>
      <c r="BE79" s="72"/>
      <c r="BF79" s="72"/>
      <c r="BG79" s="72"/>
    </row>
    <row r="80" spans="1:59">
      <c r="A80" s="944" t="s">
        <v>2002</v>
      </c>
      <c r="B80" s="72"/>
      <c r="C80" s="72">
        <v>55</v>
      </c>
      <c r="D80" s="72"/>
      <c r="E80" s="72"/>
      <c r="F80" s="72"/>
      <c r="G80" s="72">
        <f t="shared" si="1"/>
        <v>165</v>
      </c>
      <c r="H80" s="72">
        <f t="shared" si="2"/>
        <v>55</v>
      </c>
      <c r="I80" s="72"/>
      <c r="J80" s="72"/>
      <c r="K80" s="72"/>
      <c r="L80" s="72"/>
      <c r="M80" s="72" t="s">
        <v>5819</v>
      </c>
      <c r="N80" s="72"/>
      <c r="O80" s="72"/>
      <c r="P80" s="72"/>
      <c r="Q80" s="72"/>
      <c r="R80" s="72"/>
      <c r="S80" s="72"/>
      <c r="T80" s="72"/>
      <c r="U80" s="72" t="s">
        <v>5819</v>
      </c>
      <c r="V80" s="72">
        <v>1</v>
      </c>
      <c r="W80" s="72"/>
      <c r="X80" s="72"/>
      <c r="Y80" s="72"/>
      <c r="Z80" s="72"/>
      <c r="AA80" s="72"/>
      <c r="AB80" s="72"/>
      <c r="AC80" s="72"/>
      <c r="AD80" s="72">
        <v>3</v>
      </c>
      <c r="AE80" s="72"/>
      <c r="AF80" s="72"/>
      <c r="AG80" s="72">
        <f t="shared" si="0"/>
        <v>3</v>
      </c>
      <c r="AH80" s="72"/>
      <c r="AI80" s="72">
        <v>1</v>
      </c>
      <c r="AJ80" s="72"/>
      <c r="AK80" s="72"/>
      <c r="AL80" s="72"/>
      <c r="AM80" s="72"/>
      <c r="AN80" s="72"/>
      <c r="AO80" s="72"/>
      <c r="AP80" s="72"/>
      <c r="AQ80" s="72">
        <v>1</v>
      </c>
      <c r="AR80" s="72"/>
      <c r="AS80" s="72"/>
      <c r="AT80" s="72"/>
      <c r="AU80" s="72"/>
      <c r="AV80" s="72"/>
      <c r="AW80" s="72"/>
      <c r="AX80" s="72"/>
      <c r="AY80" s="72"/>
      <c r="AZ80" s="72"/>
      <c r="BA80" s="72"/>
      <c r="BB80" s="72"/>
      <c r="BC80" s="72"/>
      <c r="BD80" s="72"/>
      <c r="BE80" s="72"/>
      <c r="BF80" s="72"/>
      <c r="BG80" s="72"/>
    </row>
    <row r="81" spans="1:59">
      <c r="A81" s="944" t="s">
        <v>2003</v>
      </c>
      <c r="B81" s="72"/>
      <c r="C81" s="72">
        <v>49</v>
      </c>
      <c r="D81" s="72"/>
      <c r="E81" s="72"/>
      <c r="F81" s="72"/>
      <c r="G81" s="72">
        <f t="shared" si="1"/>
        <v>147</v>
      </c>
      <c r="H81" s="72">
        <f t="shared" si="2"/>
        <v>49</v>
      </c>
      <c r="I81" s="72"/>
      <c r="J81" s="72"/>
      <c r="K81" s="72"/>
      <c r="L81" s="72"/>
      <c r="M81" s="72" t="s">
        <v>5819</v>
      </c>
      <c r="N81" s="72"/>
      <c r="O81" s="72"/>
      <c r="P81" s="72"/>
      <c r="Q81" s="72"/>
      <c r="R81" s="72"/>
      <c r="S81" s="72"/>
      <c r="T81" s="72"/>
      <c r="U81" s="72" t="s">
        <v>5819</v>
      </c>
      <c r="V81" s="72">
        <v>1</v>
      </c>
      <c r="W81" s="72"/>
      <c r="X81" s="72"/>
      <c r="Y81" s="72"/>
      <c r="Z81" s="72"/>
      <c r="AA81" s="72"/>
      <c r="AB81" s="72"/>
      <c r="AC81" s="72"/>
      <c r="AD81" s="72">
        <v>3</v>
      </c>
      <c r="AE81" s="72"/>
      <c r="AF81" s="72"/>
      <c r="AG81" s="72">
        <f t="shared" si="0"/>
        <v>3</v>
      </c>
      <c r="AH81" s="72"/>
      <c r="AI81" s="72">
        <v>1</v>
      </c>
      <c r="AJ81" s="72"/>
      <c r="AK81" s="72"/>
      <c r="AL81" s="72"/>
      <c r="AM81" s="72"/>
      <c r="AN81" s="72"/>
      <c r="AO81" s="72"/>
      <c r="AP81" s="72"/>
      <c r="AQ81" s="72">
        <v>1</v>
      </c>
      <c r="AR81" s="72"/>
      <c r="AS81" s="72"/>
      <c r="AT81" s="72"/>
      <c r="AU81" s="72"/>
      <c r="AV81" s="72"/>
      <c r="AW81" s="72"/>
      <c r="AX81" s="72"/>
      <c r="AY81" s="72"/>
      <c r="AZ81" s="72"/>
      <c r="BA81" s="72"/>
      <c r="BB81" s="72"/>
      <c r="BC81" s="72"/>
      <c r="BD81" s="72"/>
      <c r="BE81" s="72"/>
      <c r="BF81" s="72"/>
      <c r="BG81" s="72"/>
    </row>
    <row r="82" spans="1:59">
      <c r="A82" s="944" t="s">
        <v>2004</v>
      </c>
      <c r="B82" s="72"/>
      <c r="C82" s="72">
        <v>56</v>
      </c>
      <c r="D82" s="72"/>
      <c r="E82" s="72"/>
      <c r="F82" s="72"/>
      <c r="G82" s="72">
        <f t="shared" si="1"/>
        <v>168</v>
      </c>
      <c r="H82" s="72">
        <f t="shared" si="2"/>
        <v>56</v>
      </c>
      <c r="I82" s="72"/>
      <c r="J82" s="72"/>
      <c r="K82" s="72"/>
      <c r="L82" s="72"/>
      <c r="M82" s="72" t="s">
        <v>5819</v>
      </c>
      <c r="N82" s="72"/>
      <c r="O82" s="72"/>
      <c r="P82" s="72"/>
      <c r="Q82" s="72"/>
      <c r="R82" s="72"/>
      <c r="S82" s="72"/>
      <c r="T82" s="72"/>
      <c r="U82" s="72" t="s">
        <v>5819</v>
      </c>
      <c r="V82" s="72">
        <v>1</v>
      </c>
      <c r="W82" s="72"/>
      <c r="X82" s="72"/>
      <c r="Y82" s="72"/>
      <c r="Z82" s="72"/>
      <c r="AA82" s="72"/>
      <c r="AB82" s="72"/>
      <c r="AC82" s="72"/>
      <c r="AD82" s="72">
        <v>3</v>
      </c>
      <c r="AE82" s="72"/>
      <c r="AF82" s="72"/>
      <c r="AG82" s="72">
        <f t="shared" si="0"/>
        <v>3</v>
      </c>
      <c r="AH82" s="72"/>
      <c r="AI82" s="72">
        <v>1</v>
      </c>
      <c r="AJ82" s="72"/>
      <c r="AK82" s="72"/>
      <c r="AL82" s="72"/>
      <c r="AM82" s="72"/>
      <c r="AN82" s="72"/>
      <c r="AO82" s="72"/>
      <c r="AP82" s="72"/>
      <c r="AQ82" s="72">
        <v>1</v>
      </c>
      <c r="AR82" s="72"/>
      <c r="AS82" s="72"/>
      <c r="AT82" s="72"/>
      <c r="AU82" s="72"/>
      <c r="AV82" s="72"/>
      <c r="AW82" s="72"/>
      <c r="AX82" s="72"/>
      <c r="AY82" s="72"/>
      <c r="AZ82" s="72"/>
      <c r="BA82" s="72"/>
      <c r="BB82" s="72"/>
      <c r="BC82" s="72"/>
      <c r="BD82" s="72"/>
      <c r="BE82" s="72"/>
      <c r="BF82" s="72"/>
      <c r="BG82" s="72" t="s">
        <v>4568</v>
      </c>
    </row>
    <row r="83" spans="1:59">
      <c r="A83" s="944" t="s">
        <v>2005</v>
      </c>
      <c r="B83" s="72"/>
      <c r="C83" s="72">
        <v>58</v>
      </c>
      <c r="D83" s="72"/>
      <c r="E83" s="72"/>
      <c r="F83" s="72"/>
      <c r="G83" s="72">
        <f>C83*3</f>
        <v>174</v>
      </c>
      <c r="H83" s="72">
        <f t="shared" si="2"/>
        <v>58</v>
      </c>
      <c r="I83" s="72"/>
      <c r="J83" s="72"/>
      <c r="K83" s="72"/>
      <c r="L83" s="72"/>
      <c r="M83" s="72" t="s">
        <v>5819</v>
      </c>
      <c r="N83" s="72"/>
      <c r="O83" s="72"/>
      <c r="P83" s="72"/>
      <c r="Q83" s="72"/>
      <c r="R83" s="72"/>
      <c r="S83" s="72"/>
      <c r="T83" s="72"/>
      <c r="U83" s="72" t="s">
        <v>5819</v>
      </c>
      <c r="V83" s="72">
        <v>1</v>
      </c>
      <c r="W83" s="72"/>
      <c r="X83" s="72"/>
      <c r="Y83" s="72"/>
      <c r="Z83" s="72"/>
      <c r="AA83" s="72"/>
      <c r="AB83" s="72"/>
      <c r="AC83" s="72"/>
      <c r="AD83" s="72">
        <v>3</v>
      </c>
      <c r="AE83" s="72"/>
      <c r="AF83" s="72"/>
      <c r="AG83" s="72">
        <f t="shared" si="0"/>
        <v>3</v>
      </c>
      <c r="AH83" s="72"/>
      <c r="AI83" s="72">
        <v>1</v>
      </c>
      <c r="AJ83" s="72"/>
      <c r="AK83" s="72"/>
      <c r="AL83" s="72"/>
      <c r="AM83" s="72"/>
      <c r="AN83" s="72"/>
      <c r="AO83" s="72"/>
      <c r="AP83" s="72"/>
      <c r="AQ83" s="72">
        <v>1</v>
      </c>
      <c r="AR83" s="72"/>
      <c r="AS83" s="72"/>
      <c r="AT83" s="72"/>
      <c r="AU83" s="72"/>
      <c r="AV83" s="72"/>
      <c r="AW83" s="72"/>
      <c r="AX83" s="72"/>
      <c r="AY83" s="72"/>
      <c r="AZ83" s="72"/>
      <c r="BA83" s="72"/>
      <c r="BB83" s="72"/>
      <c r="BC83" s="72"/>
      <c r="BD83" s="72"/>
      <c r="BE83" s="72"/>
      <c r="BF83" s="72"/>
      <c r="BG83" s="72"/>
    </row>
    <row r="84" spans="1:59">
      <c r="A84" s="944" t="s">
        <v>2006</v>
      </c>
      <c r="B84" s="72"/>
      <c r="C84" s="72">
        <v>57</v>
      </c>
      <c r="D84" s="72"/>
      <c r="E84" s="72"/>
      <c r="F84" s="72"/>
      <c r="G84" s="72">
        <f t="shared" si="1"/>
        <v>171</v>
      </c>
      <c r="H84" s="72">
        <f t="shared" si="2"/>
        <v>57</v>
      </c>
      <c r="I84" s="72"/>
      <c r="J84" s="72"/>
      <c r="K84" s="72"/>
      <c r="L84" s="72"/>
      <c r="M84" s="72" t="s">
        <v>5819</v>
      </c>
      <c r="N84" s="72"/>
      <c r="O84" s="72"/>
      <c r="P84" s="72"/>
      <c r="Q84" s="72"/>
      <c r="R84" s="72"/>
      <c r="S84" s="72"/>
      <c r="T84" s="72" t="s">
        <v>5819</v>
      </c>
      <c r="U84" s="72"/>
      <c r="V84" s="72"/>
      <c r="W84" s="72">
        <v>1</v>
      </c>
      <c r="X84" s="72"/>
      <c r="Y84" s="72"/>
      <c r="Z84" s="72"/>
      <c r="AA84" s="72"/>
      <c r="AB84" s="72"/>
      <c r="AC84" s="72"/>
      <c r="AD84" s="72">
        <v>6</v>
      </c>
      <c r="AE84" s="72"/>
      <c r="AF84" s="72"/>
      <c r="AG84" s="72">
        <f t="shared" si="0"/>
        <v>6</v>
      </c>
      <c r="AH84" s="72"/>
      <c r="AI84" s="72">
        <v>1</v>
      </c>
      <c r="AJ84" s="72"/>
      <c r="AK84" s="72"/>
      <c r="AL84" s="72"/>
      <c r="AM84" s="72"/>
      <c r="AN84" s="72"/>
      <c r="AO84" s="72"/>
      <c r="AP84" s="72"/>
      <c r="AQ84" s="72"/>
      <c r="AR84" s="72"/>
      <c r="AS84" s="72">
        <v>2</v>
      </c>
      <c r="AT84" s="72"/>
      <c r="AU84" s="72"/>
      <c r="AV84" s="72"/>
      <c r="AW84" s="72"/>
      <c r="AX84" s="72"/>
      <c r="AY84" s="72"/>
      <c r="AZ84" s="72"/>
      <c r="BA84" s="72"/>
      <c r="BB84" s="72"/>
      <c r="BC84" s="72"/>
      <c r="BD84" s="72"/>
      <c r="BE84" s="72"/>
      <c r="BF84" s="72"/>
      <c r="BG84" s="72" t="s">
        <v>4569</v>
      </c>
    </row>
    <row r="85" spans="1:59">
      <c r="A85" s="944" t="s">
        <v>2007</v>
      </c>
      <c r="B85" s="72" t="s">
        <v>3132</v>
      </c>
      <c r="C85" s="72">
        <v>57</v>
      </c>
      <c r="D85" s="72"/>
      <c r="E85" s="72"/>
      <c r="F85" s="72"/>
      <c r="G85" s="72">
        <f>(C85+1)*3</f>
        <v>174</v>
      </c>
      <c r="H85" s="72">
        <f>C85+1</f>
        <v>58</v>
      </c>
      <c r="I85" s="72"/>
      <c r="J85" s="72"/>
      <c r="K85" s="72"/>
      <c r="L85" s="72"/>
      <c r="M85" s="72" t="s">
        <v>5819</v>
      </c>
      <c r="N85" s="72"/>
      <c r="O85" s="72"/>
      <c r="P85" s="72"/>
      <c r="Q85" s="72"/>
      <c r="R85" s="72"/>
      <c r="S85" s="72"/>
      <c r="T85" s="72" t="s">
        <v>5819</v>
      </c>
      <c r="U85" s="72"/>
      <c r="V85" s="72"/>
      <c r="W85" s="72">
        <v>1</v>
      </c>
      <c r="X85" s="72"/>
      <c r="Y85" s="72"/>
      <c r="Z85" s="72"/>
      <c r="AA85" s="72"/>
      <c r="AB85" s="72"/>
      <c r="AC85" s="72">
        <v>6</v>
      </c>
      <c r="AD85" s="72">
        <v>6</v>
      </c>
      <c r="AE85" s="72">
        <f>AC85</f>
        <v>6</v>
      </c>
      <c r="AF85" s="72">
        <v>2</v>
      </c>
      <c r="AG85" s="72">
        <f t="shared" si="0"/>
        <v>6</v>
      </c>
      <c r="AH85" s="72"/>
      <c r="AI85" s="72"/>
      <c r="AJ85" s="72"/>
      <c r="AK85" s="72"/>
      <c r="AL85" s="72"/>
      <c r="AM85" s="72"/>
      <c r="AN85" s="72"/>
      <c r="AO85" s="72"/>
      <c r="AP85" s="72"/>
      <c r="AQ85" s="72">
        <v>1</v>
      </c>
      <c r="AR85" s="72"/>
      <c r="AS85" s="72"/>
      <c r="AT85" s="72"/>
      <c r="AU85" s="72"/>
      <c r="AV85" s="72"/>
      <c r="AW85" s="72"/>
      <c r="AX85" s="72"/>
      <c r="AY85" s="72"/>
      <c r="AZ85" s="72"/>
      <c r="BA85" s="72"/>
      <c r="BB85" s="72"/>
      <c r="BC85" s="72"/>
      <c r="BD85" s="72"/>
      <c r="BE85" s="72"/>
      <c r="BF85" s="72"/>
      <c r="BG85" s="72" t="s">
        <v>4570</v>
      </c>
    </row>
    <row r="86" spans="1:59">
      <c r="A86" s="944" t="s">
        <v>2008</v>
      </c>
      <c r="B86" s="72"/>
      <c r="C86" s="72">
        <v>50</v>
      </c>
      <c r="D86" s="72"/>
      <c r="E86" s="72"/>
      <c r="F86" s="72"/>
      <c r="G86" s="72">
        <f t="shared" si="1"/>
        <v>150</v>
      </c>
      <c r="H86" s="72">
        <f t="shared" si="2"/>
        <v>50</v>
      </c>
      <c r="I86" s="72"/>
      <c r="J86" s="72"/>
      <c r="K86" s="72"/>
      <c r="L86" s="72"/>
      <c r="M86" s="72" t="s">
        <v>5819</v>
      </c>
      <c r="N86" s="72"/>
      <c r="O86" s="72"/>
      <c r="P86" s="72"/>
      <c r="Q86" s="72"/>
      <c r="R86" s="72"/>
      <c r="S86" s="72"/>
      <c r="T86" s="72" t="s">
        <v>5819</v>
      </c>
      <c r="U86" s="72"/>
      <c r="V86" s="72"/>
      <c r="W86" s="72">
        <v>1</v>
      </c>
      <c r="X86" s="72"/>
      <c r="Y86" s="72"/>
      <c r="Z86" s="72"/>
      <c r="AA86" s="72"/>
      <c r="AB86" s="72"/>
      <c r="AC86" s="72"/>
      <c r="AD86" s="72">
        <v>6</v>
      </c>
      <c r="AE86" s="72"/>
      <c r="AF86" s="72"/>
      <c r="AG86" s="72">
        <f>AD86</f>
        <v>6</v>
      </c>
      <c r="AH86" s="72"/>
      <c r="AI86" s="72">
        <v>1</v>
      </c>
      <c r="AJ86" s="72"/>
      <c r="AK86" s="72"/>
      <c r="AL86" s="72"/>
      <c r="AM86" s="72"/>
      <c r="AN86" s="72"/>
      <c r="AO86" s="72"/>
      <c r="AP86" s="72"/>
      <c r="AQ86" s="72">
        <v>1</v>
      </c>
      <c r="AR86" s="72"/>
      <c r="AS86" s="72"/>
      <c r="AT86" s="72"/>
      <c r="AU86" s="72"/>
      <c r="AV86" s="72"/>
      <c r="AW86" s="72"/>
      <c r="AX86" s="72"/>
      <c r="AY86" s="72"/>
      <c r="AZ86" s="72"/>
      <c r="BA86" s="72"/>
      <c r="BB86" s="72"/>
      <c r="BC86" s="72"/>
      <c r="BD86" s="72"/>
      <c r="BE86" s="72"/>
      <c r="BF86" s="72"/>
      <c r="BG86" s="72" t="s">
        <v>4569</v>
      </c>
    </row>
    <row r="87" spans="1:59">
      <c r="A87" s="944" t="s">
        <v>2009</v>
      </c>
      <c r="B87" s="72"/>
      <c r="C87" s="72">
        <v>54</v>
      </c>
      <c r="D87" s="72"/>
      <c r="E87" s="72"/>
      <c r="F87" s="72"/>
      <c r="G87" s="72">
        <f t="shared" si="1"/>
        <v>162</v>
      </c>
      <c r="H87" s="72">
        <f t="shared" si="2"/>
        <v>54</v>
      </c>
      <c r="I87" s="72"/>
      <c r="J87" s="72"/>
      <c r="K87" s="72"/>
      <c r="L87" s="72"/>
      <c r="M87" s="72" t="s">
        <v>5819</v>
      </c>
      <c r="N87" s="72"/>
      <c r="O87" s="72"/>
      <c r="P87" s="72"/>
      <c r="Q87" s="72"/>
      <c r="R87" s="72"/>
      <c r="S87" s="72"/>
      <c r="T87" s="72" t="s">
        <v>5819</v>
      </c>
      <c r="U87" s="72"/>
      <c r="V87" s="72"/>
      <c r="W87" s="72">
        <v>1</v>
      </c>
      <c r="X87" s="72"/>
      <c r="Y87" s="72"/>
      <c r="Z87" s="72"/>
      <c r="AA87" s="72"/>
      <c r="AB87" s="72"/>
      <c r="AC87" s="72"/>
      <c r="AD87" s="72">
        <v>6</v>
      </c>
      <c r="AE87" s="72"/>
      <c r="AF87" s="72"/>
      <c r="AG87" s="72">
        <f t="shared" si="0"/>
        <v>6</v>
      </c>
      <c r="AH87" s="72"/>
      <c r="AI87" s="72">
        <v>1</v>
      </c>
      <c r="AJ87" s="72"/>
      <c r="AK87" s="72"/>
      <c r="AL87" s="72"/>
      <c r="AM87" s="72"/>
      <c r="AN87" s="72"/>
      <c r="AO87" s="72"/>
      <c r="AP87" s="72"/>
      <c r="AQ87" s="72">
        <v>1</v>
      </c>
      <c r="AR87" s="72"/>
      <c r="AS87" s="72"/>
      <c r="AT87" s="72"/>
      <c r="AU87" s="72"/>
      <c r="AV87" s="72"/>
      <c r="AW87" s="72"/>
      <c r="AX87" s="72"/>
      <c r="AY87" s="72"/>
      <c r="AZ87" s="72"/>
      <c r="BA87" s="72"/>
      <c r="BB87" s="72"/>
      <c r="BC87" s="72"/>
      <c r="BD87" s="72"/>
      <c r="BE87" s="72"/>
      <c r="BF87" s="72"/>
      <c r="BG87" s="72" t="s">
        <v>4569</v>
      </c>
    </row>
    <row r="88" spans="1:59">
      <c r="A88" s="944" t="s">
        <v>2010</v>
      </c>
      <c r="B88" s="72"/>
      <c r="C88" s="72">
        <v>53</v>
      </c>
      <c r="D88" s="72"/>
      <c r="E88" s="72"/>
      <c r="F88" s="72"/>
      <c r="G88" s="72">
        <f t="shared" si="1"/>
        <v>159</v>
      </c>
      <c r="H88" s="72">
        <f t="shared" si="2"/>
        <v>53</v>
      </c>
      <c r="I88" s="72"/>
      <c r="J88" s="72"/>
      <c r="K88" s="72"/>
      <c r="L88" s="72"/>
      <c r="M88" s="72" t="s">
        <v>5819</v>
      </c>
      <c r="N88" s="72"/>
      <c r="O88" s="72"/>
      <c r="P88" s="72"/>
      <c r="Q88" s="72"/>
      <c r="R88" s="72"/>
      <c r="S88" s="72"/>
      <c r="T88" s="72"/>
      <c r="U88" s="72" t="s">
        <v>5819</v>
      </c>
      <c r="V88" s="72">
        <v>1</v>
      </c>
      <c r="W88" s="72"/>
      <c r="X88" s="72"/>
      <c r="Y88" s="72"/>
      <c r="Z88" s="72"/>
      <c r="AA88" s="72"/>
      <c r="AB88" s="72"/>
      <c r="AC88" s="72"/>
      <c r="AD88" s="72">
        <v>3</v>
      </c>
      <c r="AE88" s="72"/>
      <c r="AF88" s="72"/>
      <c r="AG88" s="72">
        <f t="shared" si="0"/>
        <v>3</v>
      </c>
      <c r="AH88" s="72"/>
      <c r="AI88" s="72">
        <v>1</v>
      </c>
      <c r="AJ88" s="72"/>
      <c r="AK88" s="72"/>
      <c r="AL88" s="72"/>
      <c r="AM88" s="72"/>
      <c r="AN88" s="72"/>
      <c r="AO88" s="72"/>
      <c r="AP88" s="72"/>
      <c r="AQ88" s="72">
        <v>1</v>
      </c>
      <c r="AR88" s="72"/>
      <c r="AS88" s="72"/>
      <c r="AT88" s="72"/>
      <c r="AU88" s="72"/>
      <c r="AV88" s="72"/>
      <c r="AW88" s="72"/>
      <c r="AX88" s="72"/>
      <c r="AY88" s="72"/>
      <c r="AZ88" s="72"/>
      <c r="BA88" s="72"/>
      <c r="BB88" s="72"/>
      <c r="BC88" s="72"/>
      <c r="BD88" s="72"/>
      <c r="BE88" s="72"/>
      <c r="BF88" s="72"/>
      <c r="BG88" s="72"/>
    </row>
    <row r="89" spans="1:59">
      <c r="A89" s="1468" t="s">
        <v>2011</v>
      </c>
      <c r="B89" s="1464"/>
      <c r="C89" s="1464">
        <v>53</v>
      </c>
      <c r="D89" s="1464"/>
      <c r="E89" s="1464">
        <f>3*4</f>
        <v>12</v>
      </c>
      <c r="F89" s="1464"/>
      <c r="G89" s="1464">
        <f t="shared" si="1"/>
        <v>159</v>
      </c>
      <c r="H89" s="1464">
        <f t="shared" si="2"/>
        <v>53</v>
      </c>
      <c r="I89" s="1464"/>
      <c r="J89" s="1464"/>
      <c r="K89" s="1464"/>
      <c r="L89" s="1464">
        <v>1</v>
      </c>
      <c r="M89" s="1464"/>
      <c r="N89" s="1464"/>
      <c r="O89" s="1464"/>
      <c r="P89" s="1464">
        <v>1</v>
      </c>
      <c r="Q89" s="1464"/>
      <c r="R89" s="1464"/>
      <c r="S89" s="1464"/>
      <c r="T89" s="1464"/>
      <c r="U89" s="1464"/>
      <c r="V89" s="1464">
        <v>3</v>
      </c>
      <c r="W89" s="1464"/>
      <c r="X89" s="1464"/>
      <c r="Y89" s="1464"/>
      <c r="Z89" s="1464"/>
      <c r="AA89" s="1464"/>
      <c r="AB89" s="1464"/>
      <c r="AC89" s="1464"/>
      <c r="AD89" s="1464">
        <v>9</v>
      </c>
      <c r="AE89" s="1464"/>
      <c r="AF89" s="1464"/>
      <c r="AG89" s="1464">
        <v>3</v>
      </c>
      <c r="AH89" s="1464"/>
      <c r="AI89" s="1464">
        <v>1</v>
      </c>
      <c r="AJ89" s="1464"/>
      <c r="AK89" s="1464"/>
      <c r="AL89" s="1464"/>
      <c r="AM89" s="1464"/>
      <c r="AN89" s="1464"/>
      <c r="AO89" s="1464"/>
      <c r="AP89" s="1464"/>
      <c r="AQ89" s="1464">
        <v>1</v>
      </c>
      <c r="AR89" s="1464"/>
      <c r="AS89" s="1464"/>
      <c r="AT89" s="1464"/>
      <c r="AU89" s="1464"/>
      <c r="AV89" s="1464"/>
      <c r="AW89" s="1464"/>
      <c r="AX89" s="1464"/>
      <c r="AY89" s="1464"/>
      <c r="AZ89" s="1464">
        <v>3</v>
      </c>
      <c r="BA89" s="1464">
        <v>3</v>
      </c>
      <c r="BB89" s="1464"/>
      <c r="BC89" s="1464"/>
      <c r="BD89" s="1464">
        <v>1</v>
      </c>
      <c r="BE89" s="1464"/>
      <c r="BF89" s="1464"/>
      <c r="BG89" s="72" t="s">
        <v>4639</v>
      </c>
    </row>
    <row r="90" spans="1:59">
      <c r="A90" s="944" t="s">
        <v>2012</v>
      </c>
      <c r="B90" s="72"/>
      <c r="C90" s="72">
        <v>53</v>
      </c>
      <c r="D90" s="72"/>
      <c r="E90" s="72"/>
      <c r="F90" s="72"/>
      <c r="G90" s="72">
        <f t="shared" si="1"/>
        <v>159</v>
      </c>
      <c r="H90" s="72">
        <f t="shared" si="2"/>
        <v>53</v>
      </c>
      <c r="I90" s="72"/>
      <c r="J90" s="72"/>
      <c r="K90" s="72"/>
      <c r="L90" s="72"/>
      <c r="M90" s="72" t="s">
        <v>5819</v>
      </c>
      <c r="N90" s="72"/>
      <c r="O90" s="72"/>
      <c r="P90" s="72"/>
      <c r="Q90" s="72"/>
      <c r="R90" s="72"/>
      <c r="S90" s="72"/>
      <c r="T90" s="72"/>
      <c r="U90" s="72" t="s">
        <v>5819</v>
      </c>
      <c r="V90" s="72">
        <v>1</v>
      </c>
      <c r="W90" s="72"/>
      <c r="X90" s="72"/>
      <c r="Y90" s="72"/>
      <c r="Z90" s="72"/>
      <c r="AA90" s="72"/>
      <c r="AB90" s="72"/>
      <c r="AC90" s="72"/>
      <c r="AD90" s="72">
        <v>3</v>
      </c>
      <c r="AE90" s="72"/>
      <c r="AF90" s="72"/>
      <c r="AG90" s="72">
        <f t="shared" si="0"/>
        <v>3</v>
      </c>
      <c r="AH90" s="72"/>
      <c r="AI90" s="72">
        <v>1</v>
      </c>
      <c r="AJ90" s="72"/>
      <c r="AK90" s="72"/>
      <c r="AL90" s="72"/>
      <c r="AM90" s="72"/>
      <c r="AN90" s="72"/>
      <c r="AO90" s="72"/>
      <c r="AP90" s="72"/>
      <c r="AQ90" s="72">
        <v>1</v>
      </c>
      <c r="AR90" s="72"/>
      <c r="AS90" s="72"/>
      <c r="AT90" s="72"/>
      <c r="AU90" s="72"/>
      <c r="AV90" s="72"/>
      <c r="AW90" s="72"/>
      <c r="AX90" s="72"/>
      <c r="AY90" s="72"/>
      <c r="AZ90" s="72"/>
      <c r="BA90" s="72"/>
      <c r="BB90" s="72"/>
      <c r="BC90" s="72"/>
      <c r="BD90" s="72"/>
      <c r="BE90" s="72"/>
      <c r="BF90" s="72"/>
      <c r="BG90" s="72"/>
    </row>
    <row r="91" spans="1:59">
      <c r="A91" s="944" t="s">
        <v>2013</v>
      </c>
      <c r="B91" s="72"/>
      <c r="C91" s="72">
        <v>56</v>
      </c>
      <c r="D91" s="72"/>
      <c r="E91" s="72"/>
      <c r="F91" s="72"/>
      <c r="G91" s="72">
        <f t="shared" si="1"/>
        <v>168</v>
      </c>
      <c r="H91" s="72">
        <f t="shared" si="2"/>
        <v>56</v>
      </c>
      <c r="I91" s="72"/>
      <c r="J91" s="72"/>
      <c r="K91" s="72"/>
      <c r="L91" s="72"/>
      <c r="M91" s="72" t="s">
        <v>5819</v>
      </c>
      <c r="N91" s="72"/>
      <c r="O91" s="72"/>
      <c r="P91" s="72"/>
      <c r="Q91" s="72"/>
      <c r="R91" s="72"/>
      <c r="S91" s="72"/>
      <c r="T91" s="72"/>
      <c r="U91" s="72" t="s">
        <v>5819</v>
      </c>
      <c r="V91" s="72">
        <v>1</v>
      </c>
      <c r="W91" s="72"/>
      <c r="X91" s="72"/>
      <c r="Y91" s="72"/>
      <c r="Z91" s="72"/>
      <c r="AA91" s="72"/>
      <c r="AB91" s="72"/>
      <c r="AC91" s="72"/>
      <c r="AD91" s="72">
        <v>3</v>
      </c>
      <c r="AE91" s="72"/>
      <c r="AF91" s="72"/>
      <c r="AG91" s="72">
        <f t="shared" si="0"/>
        <v>3</v>
      </c>
      <c r="AH91" s="72"/>
      <c r="AI91" s="72">
        <v>1</v>
      </c>
      <c r="AJ91" s="72"/>
      <c r="AK91" s="72"/>
      <c r="AL91" s="72"/>
      <c r="AM91" s="72"/>
      <c r="AN91" s="72"/>
      <c r="AO91" s="72"/>
      <c r="AP91" s="72"/>
      <c r="AQ91" s="72">
        <v>1</v>
      </c>
      <c r="AR91" s="72"/>
      <c r="AS91" s="72"/>
      <c r="AT91" s="72"/>
      <c r="AU91" s="72"/>
      <c r="AV91" s="72"/>
      <c r="AW91" s="72"/>
      <c r="AX91" s="72"/>
      <c r="AY91" s="72"/>
      <c r="AZ91" s="72"/>
      <c r="BA91" s="72"/>
      <c r="BB91" s="72"/>
      <c r="BC91" s="72"/>
      <c r="BD91" s="72"/>
      <c r="BE91" s="72"/>
      <c r="BF91" s="72"/>
      <c r="BG91" s="72"/>
    </row>
    <row r="92" spans="1:59">
      <c r="A92" s="944" t="s">
        <v>2014</v>
      </c>
      <c r="B92" s="72"/>
      <c r="C92" s="72">
        <v>50</v>
      </c>
      <c r="D92" s="72"/>
      <c r="E92" s="72"/>
      <c r="F92" s="72"/>
      <c r="G92" s="72">
        <f t="shared" si="1"/>
        <v>150</v>
      </c>
      <c r="H92" s="72">
        <f t="shared" si="2"/>
        <v>50</v>
      </c>
      <c r="I92" s="72"/>
      <c r="J92" s="72"/>
      <c r="K92" s="72"/>
      <c r="L92" s="72"/>
      <c r="M92" s="72" t="s">
        <v>5819</v>
      </c>
      <c r="N92" s="72"/>
      <c r="O92" s="72"/>
      <c r="P92" s="72"/>
      <c r="Q92" s="72"/>
      <c r="R92" s="72"/>
      <c r="S92" s="72"/>
      <c r="T92" s="72"/>
      <c r="U92" s="72" t="s">
        <v>5819</v>
      </c>
      <c r="V92" s="72">
        <v>1</v>
      </c>
      <c r="W92" s="72"/>
      <c r="X92" s="72"/>
      <c r="Y92" s="72"/>
      <c r="Z92" s="72"/>
      <c r="AA92" s="72"/>
      <c r="AB92" s="72"/>
      <c r="AC92" s="72"/>
      <c r="AD92" s="72">
        <v>3</v>
      </c>
      <c r="AE92" s="72"/>
      <c r="AF92" s="72"/>
      <c r="AG92" s="72">
        <f t="shared" si="0"/>
        <v>3</v>
      </c>
      <c r="AH92" s="72"/>
      <c r="AI92" s="72">
        <v>1</v>
      </c>
      <c r="AJ92" s="72"/>
      <c r="AK92" s="72"/>
      <c r="AL92" s="72"/>
      <c r="AM92" s="72"/>
      <c r="AN92" s="72"/>
      <c r="AO92" s="72"/>
      <c r="AP92" s="72"/>
      <c r="AQ92" s="72">
        <v>1</v>
      </c>
      <c r="AR92" s="72"/>
      <c r="AS92" s="72"/>
      <c r="AT92" s="72"/>
      <c r="AU92" s="72"/>
      <c r="AV92" s="72"/>
      <c r="AW92" s="72"/>
      <c r="AX92" s="72"/>
      <c r="AY92" s="72"/>
      <c r="AZ92" s="72"/>
      <c r="BA92" s="72"/>
      <c r="BB92" s="72"/>
      <c r="BC92" s="72"/>
      <c r="BD92" s="72"/>
      <c r="BE92" s="72"/>
      <c r="BF92" s="72"/>
      <c r="BG92" s="72"/>
    </row>
    <row r="93" spans="1:59">
      <c r="A93" s="944" t="s">
        <v>2015</v>
      </c>
      <c r="B93" s="72"/>
      <c r="C93" s="72">
        <v>51</v>
      </c>
      <c r="D93" s="72"/>
      <c r="E93" s="72"/>
      <c r="F93" s="72"/>
      <c r="G93" s="72">
        <f t="shared" si="1"/>
        <v>153</v>
      </c>
      <c r="H93" s="72">
        <f t="shared" si="2"/>
        <v>51</v>
      </c>
      <c r="I93" s="72"/>
      <c r="J93" s="72"/>
      <c r="K93" s="72"/>
      <c r="L93" s="72"/>
      <c r="M93" s="72" t="s">
        <v>5819</v>
      </c>
      <c r="N93" s="72"/>
      <c r="O93" s="72"/>
      <c r="P93" s="72"/>
      <c r="Q93" s="72"/>
      <c r="R93" s="72"/>
      <c r="S93" s="72"/>
      <c r="T93" s="72"/>
      <c r="U93" s="72" t="s">
        <v>5819</v>
      </c>
      <c r="V93" s="72">
        <v>1</v>
      </c>
      <c r="W93" s="72"/>
      <c r="X93" s="72"/>
      <c r="Y93" s="72"/>
      <c r="Z93" s="72"/>
      <c r="AA93" s="72"/>
      <c r="AB93" s="72"/>
      <c r="AC93" s="72"/>
      <c r="AD93" s="72">
        <v>3</v>
      </c>
      <c r="AE93" s="72"/>
      <c r="AF93" s="72"/>
      <c r="AG93" s="72">
        <f t="shared" si="0"/>
        <v>3</v>
      </c>
      <c r="AH93" s="72"/>
      <c r="AI93" s="72">
        <v>1</v>
      </c>
      <c r="AJ93" s="72"/>
      <c r="AK93" s="72"/>
      <c r="AL93" s="72"/>
      <c r="AM93" s="72"/>
      <c r="AN93" s="72"/>
      <c r="AO93" s="72"/>
      <c r="AP93" s="72"/>
      <c r="AQ93" s="72">
        <v>1</v>
      </c>
      <c r="AR93" s="72"/>
      <c r="AS93" s="72"/>
      <c r="AT93" s="72"/>
      <c r="AU93" s="72"/>
      <c r="AV93" s="72"/>
      <c r="AW93" s="72"/>
      <c r="AX93" s="72"/>
      <c r="AY93" s="72"/>
      <c r="AZ93" s="72"/>
      <c r="BA93" s="72"/>
      <c r="BB93" s="72"/>
      <c r="BC93" s="72"/>
      <c r="BD93" s="72"/>
      <c r="BE93" s="72"/>
      <c r="BF93" s="72"/>
      <c r="BG93" s="72"/>
    </row>
    <row r="94" spans="1:59">
      <c r="A94" s="1467" t="s">
        <v>4558</v>
      </c>
      <c r="B94" s="1464" t="s">
        <v>4560</v>
      </c>
      <c r="C94" s="1464"/>
      <c r="D94" s="1464"/>
      <c r="E94" s="1464"/>
      <c r="F94" s="1464"/>
      <c r="G94" s="1464">
        <f t="shared" si="1"/>
        <v>0</v>
      </c>
      <c r="H94" s="1464">
        <f>C94</f>
        <v>0</v>
      </c>
      <c r="I94" s="1464"/>
      <c r="J94" s="1464"/>
      <c r="K94" s="1464"/>
      <c r="L94" s="1464">
        <v>2</v>
      </c>
      <c r="M94" s="1464"/>
      <c r="N94" s="1464"/>
      <c r="O94" s="1464">
        <v>1</v>
      </c>
      <c r="P94" s="1464"/>
      <c r="Q94" s="1464"/>
      <c r="R94" s="1464"/>
      <c r="S94" s="1464"/>
      <c r="T94" s="1464"/>
      <c r="U94" s="1464"/>
      <c r="V94" s="1464"/>
      <c r="W94" s="1464">
        <v>3</v>
      </c>
      <c r="X94" s="1464"/>
      <c r="Y94" s="1464"/>
      <c r="Z94" s="1464"/>
      <c r="AA94" s="1464"/>
      <c r="AB94" s="1464"/>
      <c r="AC94" s="1464">
        <v>18</v>
      </c>
      <c r="AD94" s="1464">
        <v>18</v>
      </c>
      <c r="AE94" s="1464">
        <v>6</v>
      </c>
      <c r="AF94" s="1464">
        <v>14</v>
      </c>
      <c r="AG94" s="1464">
        <v>6</v>
      </c>
      <c r="AH94" s="1464"/>
      <c r="AI94" s="1464"/>
      <c r="AJ94" s="1464"/>
      <c r="AK94" s="1464"/>
      <c r="AL94" s="1464"/>
      <c r="AM94" s="1464"/>
      <c r="AN94" s="1464"/>
      <c r="AO94" s="1464"/>
      <c r="AP94" s="1464">
        <v>9</v>
      </c>
      <c r="AQ94" s="1464"/>
      <c r="AR94" s="1464"/>
      <c r="AS94" s="1464">
        <v>2</v>
      </c>
      <c r="AT94" s="1464"/>
      <c r="AU94" s="1464"/>
      <c r="AV94" s="1464"/>
      <c r="AW94" s="1464"/>
      <c r="AX94" s="1464"/>
      <c r="AY94" s="1464"/>
      <c r="AZ94" s="1464"/>
      <c r="BA94" s="1464"/>
      <c r="BB94" s="1464"/>
      <c r="BC94" s="1464"/>
      <c r="BD94" s="1464"/>
      <c r="BE94" s="1464"/>
      <c r="BF94" s="1464"/>
      <c r="BG94" s="1464"/>
    </row>
    <row r="95" spans="1:59">
      <c r="A95" s="944" t="s">
        <v>2016</v>
      </c>
      <c r="B95" s="72"/>
      <c r="C95" s="72">
        <v>71</v>
      </c>
      <c r="D95" s="72"/>
      <c r="E95" s="72"/>
      <c r="F95" s="72"/>
      <c r="G95" s="72">
        <f>(C95+2)*3</f>
        <v>219</v>
      </c>
      <c r="H95" s="72">
        <f t="shared" si="2"/>
        <v>71</v>
      </c>
      <c r="I95" s="72"/>
      <c r="J95" s="72"/>
      <c r="K95" s="72"/>
      <c r="L95" s="72"/>
      <c r="M95" s="72" t="s">
        <v>5819</v>
      </c>
      <c r="N95" s="72"/>
      <c r="O95" s="72"/>
      <c r="P95" s="72"/>
      <c r="Q95" s="72"/>
      <c r="R95" s="72"/>
      <c r="S95" s="72"/>
      <c r="T95" s="72"/>
      <c r="U95" s="72" t="s">
        <v>5819</v>
      </c>
      <c r="V95" s="72">
        <v>1</v>
      </c>
      <c r="W95" s="72"/>
      <c r="X95" s="72"/>
      <c r="Y95" s="72"/>
      <c r="Z95" s="72"/>
      <c r="AA95" s="72"/>
      <c r="AB95" s="72"/>
      <c r="AC95" s="72"/>
      <c r="AD95" s="72">
        <v>3</v>
      </c>
      <c r="AE95" s="72"/>
      <c r="AF95" s="72"/>
      <c r="AG95" s="72">
        <f t="shared" si="0"/>
        <v>3</v>
      </c>
      <c r="AH95" s="72"/>
      <c r="AI95" s="72">
        <v>1</v>
      </c>
      <c r="AJ95" s="72"/>
      <c r="AK95" s="72"/>
      <c r="AL95" s="72"/>
      <c r="AM95" s="72"/>
      <c r="AN95" s="72"/>
      <c r="AO95" s="72"/>
      <c r="AP95" s="72"/>
      <c r="AQ95" s="72">
        <v>1</v>
      </c>
      <c r="AR95" s="72"/>
      <c r="AS95" s="72"/>
      <c r="AT95" s="72"/>
      <c r="AU95" s="72"/>
      <c r="AV95" s="72"/>
      <c r="AW95" s="72"/>
      <c r="AX95" s="72"/>
      <c r="AY95" s="72"/>
      <c r="AZ95" s="72"/>
      <c r="BA95" s="72"/>
      <c r="BB95" s="72"/>
      <c r="BC95" s="72"/>
      <c r="BD95" s="72"/>
      <c r="BE95" s="72"/>
      <c r="BF95" s="72"/>
      <c r="BG95" s="72"/>
    </row>
    <row r="96" spans="1:59">
      <c r="A96" s="944" t="s">
        <v>2017</v>
      </c>
      <c r="B96" s="72"/>
      <c r="C96" s="72">
        <v>63</v>
      </c>
      <c r="D96" s="72"/>
      <c r="E96" s="72"/>
      <c r="F96" s="72"/>
      <c r="G96" s="72">
        <f t="shared" si="1"/>
        <v>189</v>
      </c>
      <c r="H96" s="72">
        <f t="shared" si="2"/>
        <v>63</v>
      </c>
      <c r="I96" s="72"/>
      <c r="J96" s="72"/>
      <c r="K96" s="72"/>
      <c r="L96" s="72"/>
      <c r="M96" s="72" t="s">
        <v>5819</v>
      </c>
      <c r="N96" s="72"/>
      <c r="O96" s="72"/>
      <c r="P96" s="72"/>
      <c r="Q96" s="72"/>
      <c r="R96" s="72"/>
      <c r="S96" s="72"/>
      <c r="T96" s="72"/>
      <c r="U96" s="72" t="s">
        <v>5819</v>
      </c>
      <c r="V96" s="72">
        <v>1</v>
      </c>
      <c r="W96" s="72"/>
      <c r="X96" s="72"/>
      <c r="Y96" s="72"/>
      <c r="Z96" s="72"/>
      <c r="AA96" s="72"/>
      <c r="AB96" s="72"/>
      <c r="AC96" s="72"/>
      <c r="AD96" s="72">
        <v>3</v>
      </c>
      <c r="AE96" s="72"/>
      <c r="AF96" s="72"/>
      <c r="AG96" s="72">
        <f t="shared" si="0"/>
        <v>3</v>
      </c>
      <c r="AH96" s="72"/>
      <c r="AI96" s="72">
        <v>1</v>
      </c>
      <c r="AJ96" s="72"/>
      <c r="AK96" s="72"/>
      <c r="AL96" s="72"/>
      <c r="AM96" s="72"/>
      <c r="AN96" s="72"/>
      <c r="AO96" s="72"/>
      <c r="AP96" s="72"/>
      <c r="AQ96" s="72">
        <v>1</v>
      </c>
      <c r="AR96" s="72"/>
      <c r="AS96" s="72"/>
      <c r="AT96" s="72"/>
      <c r="AU96" s="72"/>
      <c r="AV96" s="72"/>
      <c r="AW96" s="72"/>
      <c r="AX96" s="72"/>
      <c r="AY96" s="72"/>
      <c r="AZ96" s="72"/>
      <c r="BA96" s="72"/>
      <c r="BB96" s="72"/>
      <c r="BC96" s="72"/>
      <c r="BD96" s="72"/>
      <c r="BE96" s="72"/>
      <c r="BF96" s="72"/>
      <c r="BG96" s="72"/>
    </row>
    <row r="97" spans="1:59">
      <c r="A97" s="944" t="s">
        <v>2018</v>
      </c>
      <c r="B97" s="72"/>
      <c r="C97" s="72">
        <v>50</v>
      </c>
      <c r="D97" s="72"/>
      <c r="E97" s="72"/>
      <c r="F97" s="72"/>
      <c r="G97" s="72">
        <f t="shared" si="1"/>
        <v>150</v>
      </c>
      <c r="H97" s="72">
        <f t="shared" si="2"/>
        <v>50</v>
      </c>
      <c r="I97" s="72"/>
      <c r="J97" s="72"/>
      <c r="K97" s="72"/>
      <c r="L97" s="72"/>
      <c r="M97" s="72" t="s">
        <v>5819</v>
      </c>
      <c r="N97" s="72"/>
      <c r="O97" s="72"/>
      <c r="P97" s="72"/>
      <c r="Q97" s="72"/>
      <c r="R97" s="72"/>
      <c r="S97" s="72"/>
      <c r="T97" s="72"/>
      <c r="U97" s="72" t="s">
        <v>5819</v>
      </c>
      <c r="V97" s="72">
        <v>1</v>
      </c>
      <c r="W97" s="72"/>
      <c r="X97" s="72"/>
      <c r="Y97" s="72"/>
      <c r="Z97" s="72"/>
      <c r="AA97" s="72"/>
      <c r="AB97" s="72"/>
      <c r="AC97" s="72"/>
      <c r="AD97" s="72">
        <v>3</v>
      </c>
      <c r="AE97" s="72"/>
      <c r="AF97" s="72"/>
      <c r="AG97" s="72">
        <f t="shared" si="0"/>
        <v>3</v>
      </c>
      <c r="AH97" s="72"/>
      <c r="AI97" s="72">
        <v>1</v>
      </c>
      <c r="AJ97" s="72"/>
      <c r="AK97" s="72"/>
      <c r="AL97" s="72"/>
      <c r="AM97" s="72"/>
      <c r="AN97" s="72"/>
      <c r="AO97" s="72"/>
      <c r="AP97" s="72"/>
      <c r="AQ97" s="72">
        <v>1</v>
      </c>
      <c r="AR97" s="72"/>
      <c r="AS97" s="72"/>
      <c r="AT97" s="72"/>
      <c r="AU97" s="72"/>
      <c r="AV97" s="72"/>
      <c r="AW97" s="72"/>
      <c r="AX97" s="72"/>
      <c r="AY97" s="72"/>
      <c r="AZ97" s="72"/>
      <c r="BA97" s="72"/>
      <c r="BB97" s="72"/>
      <c r="BC97" s="72"/>
      <c r="BD97" s="72"/>
      <c r="BE97" s="72"/>
      <c r="BF97" s="72"/>
      <c r="BG97" s="72"/>
    </row>
    <row r="98" spans="1:59">
      <c r="A98" s="1468" t="s">
        <v>2019</v>
      </c>
      <c r="B98" s="1464"/>
      <c r="C98" s="1464">
        <v>46</v>
      </c>
      <c r="D98" s="1464"/>
      <c r="E98" s="1464"/>
      <c r="F98" s="1464"/>
      <c r="G98" s="1464">
        <f>C98*3</f>
        <v>138</v>
      </c>
      <c r="H98" s="1464">
        <f>C98</f>
        <v>46</v>
      </c>
      <c r="I98" s="1464"/>
      <c r="J98" s="1464"/>
      <c r="K98" s="1464"/>
      <c r="L98" s="1464">
        <v>1</v>
      </c>
      <c r="M98" s="1464"/>
      <c r="N98" s="1464"/>
      <c r="O98" s="1464"/>
      <c r="P98" s="1464">
        <v>1</v>
      </c>
      <c r="Q98" s="1464"/>
      <c r="R98" s="1464"/>
      <c r="S98" s="1464"/>
      <c r="T98" s="1464"/>
      <c r="U98" s="1464"/>
      <c r="V98" s="1464">
        <v>3</v>
      </c>
      <c r="W98" s="1464"/>
      <c r="X98" s="1464"/>
      <c r="Y98" s="1464"/>
      <c r="Z98" s="1464"/>
      <c r="AA98" s="1464"/>
      <c r="AB98" s="1464"/>
      <c r="AC98" s="1464"/>
      <c r="AD98" s="1464">
        <v>9</v>
      </c>
      <c r="AE98" s="1464"/>
      <c r="AF98" s="1464"/>
      <c r="AG98" s="1464">
        <v>3</v>
      </c>
      <c r="AH98" s="1464"/>
      <c r="AI98" s="1464">
        <v>1</v>
      </c>
      <c r="AJ98" s="1464"/>
      <c r="AK98" s="1464"/>
      <c r="AL98" s="1464"/>
      <c r="AM98" s="1464"/>
      <c r="AN98" s="1464"/>
      <c r="AO98" s="1464"/>
      <c r="AP98" s="1464"/>
      <c r="AQ98" s="1464">
        <v>1</v>
      </c>
      <c r="AR98" s="1464"/>
      <c r="AS98" s="1464"/>
      <c r="AT98" s="1464"/>
      <c r="AU98" s="1464"/>
      <c r="AV98" s="1464"/>
      <c r="AW98" s="1464"/>
      <c r="AX98" s="1464"/>
      <c r="AY98" s="1464"/>
      <c r="AZ98" s="1464">
        <v>3</v>
      </c>
      <c r="BA98" s="1464">
        <v>3</v>
      </c>
      <c r="BB98" s="1464"/>
      <c r="BC98" s="1464"/>
      <c r="BD98" s="1464">
        <v>1</v>
      </c>
      <c r="BE98" s="1464"/>
      <c r="BF98" s="1464"/>
      <c r="BG98" s="72"/>
    </row>
    <row r="99" spans="1:59">
      <c r="A99" s="944" t="s">
        <v>2020</v>
      </c>
      <c r="B99" s="72"/>
      <c r="C99" s="72">
        <v>57</v>
      </c>
      <c r="D99" s="72"/>
      <c r="E99" s="72"/>
      <c r="F99" s="72"/>
      <c r="G99" s="72">
        <f t="shared" si="1"/>
        <v>171</v>
      </c>
      <c r="H99" s="72">
        <f t="shared" si="2"/>
        <v>57</v>
      </c>
      <c r="I99" s="72"/>
      <c r="J99" s="72"/>
      <c r="K99" s="72" t="s">
        <v>5819</v>
      </c>
      <c r="L99" s="72"/>
      <c r="M99" s="72"/>
      <c r="N99" s="72"/>
      <c r="O99" s="72"/>
      <c r="P99" s="72"/>
      <c r="Q99" s="72"/>
      <c r="R99" s="72"/>
      <c r="S99" s="72"/>
      <c r="T99" s="72"/>
      <c r="U99" s="72"/>
      <c r="V99" s="72"/>
      <c r="W99" s="72">
        <v>1</v>
      </c>
      <c r="X99" s="72"/>
      <c r="Y99" s="72"/>
      <c r="Z99" s="72"/>
      <c r="AA99" s="72"/>
      <c r="AB99" s="72"/>
      <c r="AC99" s="72"/>
      <c r="AD99" s="72">
        <v>6</v>
      </c>
      <c r="AE99" s="72"/>
      <c r="AF99" s="72"/>
      <c r="AG99" s="72">
        <f>AD99</f>
        <v>6</v>
      </c>
      <c r="AH99" s="72"/>
      <c r="AI99" s="72">
        <v>1</v>
      </c>
      <c r="AJ99" s="72"/>
      <c r="AK99" s="72"/>
      <c r="AL99" s="72"/>
      <c r="AM99" s="72"/>
      <c r="AN99" s="72"/>
      <c r="AO99" s="72"/>
      <c r="AP99" s="72"/>
      <c r="AQ99" s="72">
        <v>1</v>
      </c>
      <c r="AR99" s="72"/>
      <c r="AS99" s="72"/>
      <c r="AT99" s="72"/>
      <c r="AU99" s="72"/>
      <c r="AV99" s="72"/>
      <c r="AW99" s="72"/>
      <c r="AX99" s="72"/>
      <c r="AY99" s="72"/>
      <c r="AZ99" s="72"/>
      <c r="BA99" s="72"/>
      <c r="BB99" s="72"/>
      <c r="BC99" s="72"/>
      <c r="BD99" s="72"/>
      <c r="BE99" s="72"/>
      <c r="BF99" s="72"/>
      <c r="BG99" s="72"/>
    </row>
    <row r="100" spans="1:59">
      <c r="A100" s="1468" t="s">
        <v>2021</v>
      </c>
      <c r="B100" s="1464"/>
      <c r="C100" s="1464">
        <v>43</v>
      </c>
      <c r="D100" s="1464"/>
      <c r="E100" s="1464"/>
      <c r="F100" s="1464"/>
      <c r="G100" s="1464">
        <f t="shared" si="1"/>
        <v>129</v>
      </c>
      <c r="H100" s="1464">
        <f t="shared" si="2"/>
        <v>43</v>
      </c>
      <c r="I100" s="1464"/>
      <c r="J100" s="1464"/>
      <c r="K100" s="1464"/>
      <c r="L100" s="1464">
        <v>1</v>
      </c>
      <c r="M100" s="1464"/>
      <c r="N100" s="1464"/>
      <c r="O100" s="1464"/>
      <c r="P100" s="1464">
        <v>1</v>
      </c>
      <c r="Q100" s="1464"/>
      <c r="R100" s="1464"/>
      <c r="S100" s="1464"/>
      <c r="T100" s="1464"/>
      <c r="U100" s="1464"/>
      <c r="V100" s="1464">
        <v>3</v>
      </c>
      <c r="W100" s="1464"/>
      <c r="X100" s="1464"/>
      <c r="Y100" s="1464"/>
      <c r="Z100" s="1464"/>
      <c r="AA100" s="1464"/>
      <c r="AB100" s="1464"/>
      <c r="AC100" s="1464"/>
      <c r="AD100" s="1464">
        <v>9</v>
      </c>
      <c r="AE100" s="1464"/>
      <c r="AF100" s="1464"/>
      <c r="AG100" s="1464">
        <v>3</v>
      </c>
      <c r="AH100" s="1464"/>
      <c r="AI100" s="1464">
        <v>1</v>
      </c>
      <c r="AJ100" s="1464"/>
      <c r="AK100" s="1464"/>
      <c r="AL100" s="1464"/>
      <c r="AM100" s="1464"/>
      <c r="AN100" s="1464"/>
      <c r="AO100" s="1464"/>
      <c r="AP100" s="1464"/>
      <c r="AQ100" s="1464">
        <v>1</v>
      </c>
      <c r="AR100" s="1464"/>
      <c r="AS100" s="1464"/>
      <c r="AT100" s="1464"/>
      <c r="AU100" s="1464"/>
      <c r="AV100" s="1464"/>
      <c r="AW100" s="1464"/>
      <c r="AX100" s="1464"/>
      <c r="AY100" s="1464"/>
      <c r="AZ100" s="1464">
        <v>3</v>
      </c>
      <c r="BA100" s="1464">
        <v>3</v>
      </c>
      <c r="BB100" s="1464"/>
      <c r="BC100" s="1464"/>
      <c r="BD100" s="1464">
        <v>1</v>
      </c>
      <c r="BE100" s="1464"/>
      <c r="BF100" s="1464"/>
      <c r="BG100" s="72"/>
    </row>
    <row r="101" spans="1:59">
      <c r="A101" s="1467" t="s">
        <v>2022</v>
      </c>
      <c r="B101" s="1464"/>
      <c r="C101" s="1464">
        <v>43</v>
      </c>
      <c r="D101" s="1464"/>
      <c r="E101" s="1464"/>
      <c r="F101" s="1464"/>
      <c r="G101" s="1464">
        <f>C101*3</f>
        <v>129</v>
      </c>
      <c r="H101" s="1464">
        <f>C101</f>
        <v>43</v>
      </c>
      <c r="I101" s="1464"/>
      <c r="J101" s="1464"/>
      <c r="K101" s="1464"/>
      <c r="L101" s="1464">
        <v>1</v>
      </c>
      <c r="M101" s="1464"/>
      <c r="N101" s="1464"/>
      <c r="O101" s="1464"/>
      <c r="P101" s="1464">
        <v>1</v>
      </c>
      <c r="Q101" s="1464"/>
      <c r="R101" s="1464"/>
      <c r="S101" s="1464"/>
      <c r="T101" s="1464"/>
      <c r="U101" s="1464"/>
      <c r="V101" s="1464">
        <v>3</v>
      </c>
      <c r="W101" s="1464"/>
      <c r="X101" s="1464"/>
      <c r="Y101" s="1464"/>
      <c r="Z101" s="1464"/>
      <c r="AA101" s="1464"/>
      <c r="AB101" s="1464"/>
      <c r="AC101" s="1464"/>
      <c r="AD101" s="1464">
        <v>9</v>
      </c>
      <c r="AE101" s="1464"/>
      <c r="AF101" s="1464"/>
      <c r="AG101" s="1464">
        <v>3</v>
      </c>
      <c r="AH101" s="1464"/>
      <c r="AI101" s="1464">
        <v>1</v>
      </c>
      <c r="AJ101" s="1464"/>
      <c r="AK101" s="1464"/>
      <c r="AL101" s="1464"/>
      <c r="AM101" s="1464"/>
      <c r="AN101" s="1464"/>
      <c r="AO101" s="1464"/>
      <c r="AP101" s="1464"/>
      <c r="AQ101" s="1464">
        <v>1</v>
      </c>
      <c r="AR101" s="1464"/>
      <c r="AS101" s="1464"/>
      <c r="AT101" s="1464"/>
      <c r="AU101" s="1464"/>
      <c r="AV101" s="1464"/>
      <c r="AW101" s="1464"/>
      <c r="AX101" s="1464"/>
      <c r="AY101" s="1464"/>
      <c r="AZ101" s="1464"/>
      <c r="BA101" s="1464"/>
      <c r="BB101" s="1464"/>
      <c r="BC101" s="1464"/>
      <c r="BD101" s="1464"/>
      <c r="BE101" s="1464"/>
      <c r="BF101" s="1464"/>
      <c r="BG101" s="1464"/>
    </row>
    <row r="102" spans="1:59">
      <c r="A102" s="1466" t="s">
        <v>2025</v>
      </c>
      <c r="B102" s="71"/>
      <c r="C102" s="71">
        <v>43</v>
      </c>
      <c r="D102" s="71"/>
      <c r="E102" s="71"/>
      <c r="F102" s="71">
        <f>4*6</f>
        <v>24</v>
      </c>
      <c r="G102" s="71">
        <f t="shared" si="1"/>
        <v>129</v>
      </c>
      <c r="H102" s="71">
        <f t="shared" si="2"/>
        <v>43</v>
      </c>
      <c r="I102" s="71"/>
      <c r="J102" s="71"/>
      <c r="K102" s="71" t="s">
        <v>5819</v>
      </c>
      <c r="L102" s="71"/>
      <c r="M102" s="71"/>
      <c r="N102" s="71"/>
      <c r="O102" s="71"/>
      <c r="P102" s="71"/>
      <c r="Q102" s="71"/>
      <c r="R102" s="71"/>
      <c r="S102" s="71"/>
      <c r="T102" s="71"/>
      <c r="U102" s="71"/>
      <c r="V102" s="71"/>
      <c r="W102" s="71">
        <v>1</v>
      </c>
      <c r="X102" s="71"/>
      <c r="Y102" s="71"/>
      <c r="Z102" s="71"/>
      <c r="AA102" s="71"/>
      <c r="AB102" s="71"/>
      <c r="AC102" s="71">
        <v>9</v>
      </c>
      <c r="AD102" s="71">
        <v>6</v>
      </c>
      <c r="AE102" s="71">
        <v>3</v>
      </c>
      <c r="AF102" s="71">
        <v>7</v>
      </c>
      <c r="AG102" s="71">
        <f>AD102</f>
        <v>6</v>
      </c>
      <c r="AH102" s="71"/>
      <c r="AI102" s="71"/>
      <c r="AJ102" s="71"/>
      <c r="AK102" s="71"/>
      <c r="AL102" s="71"/>
      <c r="AM102" s="71"/>
      <c r="AN102" s="71"/>
      <c r="AO102" s="71"/>
      <c r="AP102" s="71">
        <v>9</v>
      </c>
      <c r="AQ102" s="71">
        <v>1</v>
      </c>
      <c r="AR102" s="71"/>
      <c r="AS102" s="71"/>
      <c r="AT102" s="71"/>
      <c r="AU102" s="71"/>
      <c r="AV102" s="71"/>
      <c r="AW102" s="71"/>
      <c r="AX102" s="71"/>
      <c r="AY102" s="71"/>
      <c r="AZ102" s="71"/>
      <c r="BA102" s="71"/>
      <c r="BB102" s="71"/>
      <c r="BC102" s="71"/>
      <c r="BD102" s="71"/>
      <c r="BE102" s="71"/>
      <c r="BF102" s="71"/>
      <c r="BG102" s="71"/>
    </row>
    <row r="103" spans="1:59">
      <c r="A103" s="1466" t="s">
        <v>2043</v>
      </c>
      <c r="B103" s="71"/>
      <c r="C103" s="71">
        <v>4</v>
      </c>
      <c r="D103" s="71"/>
      <c r="E103" s="71"/>
      <c r="F103" s="71">
        <f>4*3</f>
        <v>12</v>
      </c>
      <c r="G103" s="71">
        <f>(C103+3)*3</f>
        <v>21</v>
      </c>
      <c r="H103" s="71">
        <f>C103</f>
        <v>4</v>
      </c>
      <c r="I103" s="71"/>
      <c r="J103" s="71"/>
      <c r="K103" s="71" t="s">
        <v>5819</v>
      </c>
      <c r="L103" s="71"/>
      <c r="M103" s="71"/>
      <c r="N103" s="71"/>
      <c r="O103" s="71"/>
      <c r="P103" s="71"/>
      <c r="Q103" s="71"/>
      <c r="R103" s="71"/>
      <c r="S103" s="71"/>
      <c r="T103" s="71"/>
      <c r="U103" s="71"/>
      <c r="V103" s="71"/>
      <c r="W103" s="71">
        <v>1</v>
      </c>
      <c r="X103" s="71"/>
      <c r="Y103" s="71"/>
      <c r="Z103" s="71"/>
      <c r="AA103" s="71"/>
      <c r="AB103" s="71"/>
      <c r="AC103" s="71">
        <v>6</v>
      </c>
      <c r="AD103" s="71">
        <v>6</v>
      </c>
      <c r="AE103" s="71"/>
      <c r="AF103" s="71">
        <v>7</v>
      </c>
      <c r="AG103" s="71">
        <f>AD103</f>
        <v>6</v>
      </c>
      <c r="AH103" s="71"/>
      <c r="AI103" s="71"/>
      <c r="AJ103" s="71"/>
      <c r="AK103" s="71"/>
      <c r="AL103" s="71"/>
      <c r="AM103" s="71"/>
      <c r="AN103" s="71"/>
      <c r="AO103" s="71">
        <v>3</v>
      </c>
      <c r="AP103" s="71"/>
      <c r="AQ103" s="71">
        <v>1</v>
      </c>
      <c r="AR103" s="71"/>
      <c r="AS103" s="71"/>
      <c r="AT103" s="71"/>
      <c r="AU103" s="71"/>
      <c r="AV103" s="71"/>
      <c r="AW103" s="71"/>
      <c r="AX103" s="71">
        <v>3</v>
      </c>
      <c r="AY103" s="71"/>
      <c r="AZ103" s="71"/>
      <c r="BA103" s="71"/>
      <c r="BB103" s="71"/>
      <c r="BC103" s="71"/>
      <c r="BD103" s="71"/>
      <c r="BE103" s="71"/>
      <c r="BF103" s="71"/>
      <c r="BG103" s="71"/>
    </row>
    <row r="104" spans="1:59" s="1372" customFormat="1" ht="20.100000000000001" customHeight="1">
      <c r="A104" s="1394" t="s">
        <v>5816</v>
      </c>
      <c r="B104" s="1395"/>
      <c r="C104" s="1396">
        <f>SUM(C52:C103)</f>
        <v>2425</v>
      </c>
      <c r="D104" s="1396"/>
      <c r="E104" s="1396">
        <f t="shared" ref="E104:AJ104" si="4">SUM(E52:E103)</f>
        <v>88</v>
      </c>
      <c r="F104" s="1396">
        <f t="shared" si="4"/>
        <v>45</v>
      </c>
      <c r="G104" s="1396">
        <f t="shared" si="4"/>
        <v>6921</v>
      </c>
      <c r="H104" s="1396">
        <f t="shared" si="4"/>
        <v>2818</v>
      </c>
      <c r="I104" s="1396">
        <f t="shared" si="4"/>
        <v>0</v>
      </c>
      <c r="J104" s="1396">
        <f t="shared" si="4"/>
        <v>0</v>
      </c>
      <c r="K104" s="1396">
        <f t="shared" si="4"/>
        <v>0</v>
      </c>
      <c r="L104" s="1396">
        <f t="shared" si="4"/>
        <v>22</v>
      </c>
      <c r="M104" s="1396">
        <f t="shared" si="4"/>
        <v>0</v>
      </c>
      <c r="N104" s="1396">
        <f t="shared" si="4"/>
        <v>0</v>
      </c>
      <c r="O104" s="1396">
        <f t="shared" si="4"/>
        <v>2</v>
      </c>
      <c r="P104" s="1396">
        <f t="shared" si="4"/>
        <v>18</v>
      </c>
      <c r="Q104" s="1396">
        <f t="shared" si="4"/>
        <v>0</v>
      </c>
      <c r="R104" s="1396">
        <f t="shared" si="4"/>
        <v>0</v>
      </c>
      <c r="S104" s="1396">
        <f t="shared" si="4"/>
        <v>0</v>
      </c>
      <c r="T104" s="1396">
        <f t="shared" si="4"/>
        <v>0</v>
      </c>
      <c r="U104" s="1396">
        <f t="shared" si="4"/>
        <v>0</v>
      </c>
      <c r="V104" s="1396">
        <f t="shared" si="4"/>
        <v>56</v>
      </c>
      <c r="W104" s="1396">
        <f t="shared" si="4"/>
        <v>28</v>
      </c>
      <c r="X104" s="1396">
        <f t="shared" si="4"/>
        <v>2</v>
      </c>
      <c r="Y104" s="1396">
        <f t="shared" si="4"/>
        <v>0</v>
      </c>
      <c r="Z104" s="1396">
        <f t="shared" si="4"/>
        <v>4</v>
      </c>
      <c r="AA104" s="1396">
        <f t="shared" si="4"/>
        <v>6</v>
      </c>
      <c r="AB104" s="1396">
        <f t="shared" si="4"/>
        <v>0</v>
      </c>
      <c r="AC104" s="1396">
        <f t="shared" si="4"/>
        <v>132</v>
      </c>
      <c r="AD104" s="1396">
        <f t="shared" si="4"/>
        <v>330</v>
      </c>
      <c r="AE104" s="1396">
        <f t="shared" si="4"/>
        <v>48</v>
      </c>
      <c r="AF104" s="1396">
        <f t="shared" si="4"/>
        <v>103</v>
      </c>
      <c r="AG104" s="1396">
        <f t="shared" si="4"/>
        <v>240</v>
      </c>
      <c r="AH104" s="1396">
        <f t="shared" si="4"/>
        <v>0</v>
      </c>
      <c r="AI104" s="1396">
        <f t="shared" si="4"/>
        <v>40</v>
      </c>
      <c r="AJ104" s="1396">
        <f t="shared" si="4"/>
        <v>0</v>
      </c>
      <c r="AK104" s="1396">
        <f t="shared" ref="AK104:BG104" si="5">SUM(AK52:AK103)</f>
        <v>0</v>
      </c>
      <c r="AL104" s="1396">
        <f t="shared" si="5"/>
        <v>0</v>
      </c>
      <c r="AM104" s="1396">
        <f t="shared" si="5"/>
        <v>16</v>
      </c>
      <c r="AN104" s="1396">
        <f t="shared" si="5"/>
        <v>0</v>
      </c>
      <c r="AO104" s="1396">
        <f t="shared" si="5"/>
        <v>6</v>
      </c>
      <c r="AP104" s="1396">
        <f t="shared" si="5"/>
        <v>61</v>
      </c>
      <c r="AQ104" s="1396">
        <f t="shared" si="5"/>
        <v>42</v>
      </c>
      <c r="AR104" s="1396">
        <f t="shared" si="5"/>
        <v>0</v>
      </c>
      <c r="AS104" s="1396">
        <f t="shared" si="5"/>
        <v>19</v>
      </c>
      <c r="AT104" s="1396">
        <f t="shared" si="5"/>
        <v>0</v>
      </c>
      <c r="AU104" s="1396">
        <f t="shared" si="5"/>
        <v>0</v>
      </c>
      <c r="AV104" s="1396">
        <f t="shared" si="5"/>
        <v>0</v>
      </c>
      <c r="AW104" s="1396">
        <f t="shared" si="5"/>
        <v>0</v>
      </c>
      <c r="AX104" s="1396">
        <f t="shared" si="5"/>
        <v>3</v>
      </c>
      <c r="AY104" s="1396">
        <f t="shared" si="5"/>
        <v>6</v>
      </c>
      <c r="AZ104" s="1396">
        <f t="shared" si="5"/>
        <v>30</v>
      </c>
      <c r="BA104" s="1396">
        <f t="shared" si="5"/>
        <v>32</v>
      </c>
      <c r="BB104" s="1396">
        <f t="shared" si="5"/>
        <v>6</v>
      </c>
      <c r="BC104" s="1396">
        <f t="shared" si="5"/>
        <v>1</v>
      </c>
      <c r="BD104" s="1396">
        <f t="shared" si="5"/>
        <v>8</v>
      </c>
      <c r="BE104" s="1396">
        <f t="shared" si="5"/>
        <v>0</v>
      </c>
      <c r="BF104" s="1396">
        <f t="shared" si="5"/>
        <v>0</v>
      </c>
      <c r="BG104" s="1396">
        <f t="shared" si="5"/>
        <v>0</v>
      </c>
    </row>
    <row r="105" spans="1:59">
      <c r="A105" s="1454" t="s">
        <v>5715</v>
      </c>
      <c r="B105" s="1454"/>
      <c r="C105" s="1454"/>
      <c r="D105" s="1454"/>
      <c r="E105" s="1454"/>
      <c r="F105" s="1454"/>
      <c r="G105" s="1454"/>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1370"/>
    </row>
    <row r="106" spans="1:59">
      <c r="A106" s="1368" t="s">
        <v>1978</v>
      </c>
      <c r="B106" s="1368" t="s">
        <v>1978</v>
      </c>
      <c r="C106" s="1368" t="s">
        <v>1978</v>
      </c>
      <c r="D106" s="1368"/>
      <c r="E106" s="1368" t="s">
        <v>1978</v>
      </c>
      <c r="F106" s="1368" t="s">
        <v>1978</v>
      </c>
      <c r="G106" s="1462"/>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1370"/>
    </row>
    <row r="107" spans="1:59">
      <c r="A107" s="944" t="s">
        <v>1977</v>
      </c>
      <c r="B107" s="72"/>
      <c r="C107" s="70"/>
      <c r="D107" s="70"/>
      <c r="E107" s="72"/>
      <c r="F107" s="72">
        <v>18</v>
      </c>
      <c r="G107" s="72">
        <f>3*3</f>
        <v>9</v>
      </c>
      <c r="H107" s="72"/>
      <c r="I107" s="72"/>
      <c r="J107" s="72"/>
      <c r="K107" s="72" t="s">
        <v>5819</v>
      </c>
      <c r="L107" s="72"/>
      <c r="M107" s="72"/>
      <c r="N107" s="72"/>
      <c r="O107" s="72"/>
      <c r="P107" s="72"/>
      <c r="Q107" s="72" t="s">
        <v>5819</v>
      </c>
      <c r="R107" s="72"/>
      <c r="S107" s="72"/>
      <c r="T107" s="72"/>
      <c r="U107" s="72"/>
      <c r="V107" s="72"/>
      <c r="W107" s="72">
        <v>2</v>
      </c>
      <c r="X107" s="72"/>
      <c r="Y107" s="72"/>
      <c r="Z107" s="72"/>
      <c r="AA107" s="72"/>
      <c r="AB107" s="72"/>
      <c r="AC107" s="72">
        <v>3</v>
      </c>
      <c r="AD107" s="72">
        <v>3</v>
      </c>
      <c r="AE107" s="72">
        <f>AC107</f>
        <v>3</v>
      </c>
      <c r="AF107" s="72">
        <v>1</v>
      </c>
      <c r="AG107" s="72">
        <f>AD107</f>
        <v>3</v>
      </c>
      <c r="AH107" s="72"/>
      <c r="AI107" s="72"/>
      <c r="AJ107" s="72"/>
      <c r="AK107" s="72"/>
      <c r="AL107" s="72"/>
      <c r="AM107" s="72"/>
      <c r="AN107" s="72"/>
      <c r="AO107" s="72"/>
      <c r="AP107" s="72"/>
      <c r="AQ107" s="72"/>
      <c r="AR107" s="72"/>
      <c r="AS107" s="72">
        <v>1</v>
      </c>
      <c r="AT107" s="72"/>
      <c r="AU107" s="72"/>
      <c r="AV107" s="72"/>
      <c r="AW107" s="72"/>
      <c r="AX107" s="72">
        <v>3</v>
      </c>
      <c r="AY107" s="72"/>
      <c r="AZ107" s="72"/>
      <c r="BA107" s="72"/>
      <c r="BB107" s="72"/>
      <c r="BC107" s="72"/>
      <c r="BD107" s="72"/>
      <c r="BE107" s="72"/>
      <c r="BF107" s="72"/>
      <c r="BG107" s="72"/>
    </row>
    <row r="108" spans="1:59">
      <c r="A108" s="944" t="s">
        <v>600</v>
      </c>
      <c r="B108" s="72"/>
      <c r="C108" s="72">
        <v>30</v>
      </c>
      <c r="D108" s="72"/>
      <c r="E108" s="72"/>
      <c r="F108" s="72">
        <f>5*3</f>
        <v>15</v>
      </c>
      <c r="G108" s="72">
        <f>(C108+3)*3</f>
        <v>99</v>
      </c>
      <c r="H108" s="72">
        <f t="shared" ref="H108:H131" si="6">C108</f>
        <v>30</v>
      </c>
      <c r="I108" s="72"/>
      <c r="J108" s="72"/>
      <c r="K108" s="72"/>
      <c r="L108" s="72"/>
      <c r="M108" s="72" t="s">
        <v>5819</v>
      </c>
      <c r="N108" s="72"/>
      <c r="O108" s="72"/>
      <c r="P108" s="72"/>
      <c r="Q108" s="72"/>
      <c r="R108" s="72"/>
      <c r="S108" s="72" t="s">
        <v>5819</v>
      </c>
      <c r="T108" s="72"/>
      <c r="U108" s="72"/>
      <c r="V108" s="72"/>
      <c r="W108" s="72">
        <v>1</v>
      </c>
      <c r="X108" s="72"/>
      <c r="Y108" s="72"/>
      <c r="Z108" s="72"/>
      <c r="AA108" s="72"/>
      <c r="AB108" s="72"/>
      <c r="AC108" s="72">
        <v>6</v>
      </c>
      <c r="AD108" s="72">
        <v>6</v>
      </c>
      <c r="AE108" s="72">
        <f t="shared" ref="AE108:AE132" si="7">AC108</f>
        <v>6</v>
      </c>
      <c r="AF108" s="72">
        <v>2</v>
      </c>
      <c r="AG108" s="72">
        <f t="shared" ref="AG108:AG132" si="8">AD108</f>
        <v>6</v>
      </c>
      <c r="AH108" s="72"/>
      <c r="AI108" s="72"/>
      <c r="AJ108" s="72"/>
      <c r="AK108" s="72"/>
      <c r="AL108" s="72"/>
      <c r="AM108" s="72"/>
      <c r="AN108" s="72"/>
      <c r="AO108" s="72"/>
      <c r="AP108" s="72"/>
      <c r="AQ108" s="72"/>
      <c r="AR108" s="72"/>
      <c r="AS108" s="72"/>
      <c r="AT108" s="72">
        <v>2</v>
      </c>
      <c r="AU108" s="72"/>
      <c r="AV108" s="72"/>
      <c r="AW108" s="72"/>
      <c r="AX108" s="72"/>
      <c r="AY108" s="72"/>
      <c r="AZ108" s="72">
        <v>1</v>
      </c>
      <c r="BA108" s="72">
        <v>3</v>
      </c>
      <c r="BB108" s="72">
        <v>1</v>
      </c>
      <c r="BC108" s="72">
        <v>1</v>
      </c>
      <c r="BD108" s="72"/>
      <c r="BE108" s="72"/>
      <c r="BF108" s="72"/>
      <c r="BG108" s="72"/>
    </row>
    <row r="109" spans="1:59">
      <c r="A109" s="1468" t="s">
        <v>601</v>
      </c>
      <c r="B109" s="1464"/>
      <c r="C109" s="1464">
        <v>45</v>
      </c>
      <c r="D109" s="1464"/>
      <c r="E109" s="1464"/>
      <c r="F109" s="1464"/>
      <c r="G109" s="1464">
        <f>C109*3</f>
        <v>135</v>
      </c>
      <c r="H109" s="1464">
        <f>C109</f>
        <v>45</v>
      </c>
      <c r="I109" s="1464"/>
      <c r="J109" s="1464"/>
      <c r="K109" s="1464"/>
      <c r="L109" s="1464"/>
      <c r="M109" s="1464">
        <v>2</v>
      </c>
      <c r="N109" s="1464"/>
      <c r="O109" s="1464"/>
      <c r="P109" s="1464"/>
      <c r="Q109" s="1464">
        <v>1</v>
      </c>
      <c r="R109" s="1464"/>
      <c r="S109" s="1464"/>
      <c r="T109" s="1464"/>
      <c r="U109" s="1464"/>
      <c r="V109" s="1464"/>
      <c r="W109" s="1464">
        <v>2</v>
      </c>
      <c r="X109" s="1464"/>
      <c r="Y109" s="1464"/>
      <c r="Z109" s="1464"/>
      <c r="AA109" s="1464"/>
      <c r="AB109" s="1464"/>
      <c r="AC109" s="1464">
        <v>12</v>
      </c>
      <c r="AD109" s="1464">
        <v>12</v>
      </c>
      <c r="AE109" s="1464">
        <v>6</v>
      </c>
      <c r="AF109" s="1464">
        <v>8</v>
      </c>
      <c r="AG109" s="1464">
        <v>6</v>
      </c>
      <c r="AH109" s="1464"/>
      <c r="AI109" s="1464"/>
      <c r="AJ109" s="1464"/>
      <c r="AK109" s="1464"/>
      <c r="AL109" s="1464"/>
      <c r="AM109" s="1464"/>
      <c r="AN109" s="1464"/>
      <c r="AO109" s="1464"/>
      <c r="AP109" s="1464">
        <v>3</v>
      </c>
      <c r="AQ109" s="1464"/>
      <c r="AR109" s="1464"/>
      <c r="AS109" s="1464"/>
      <c r="AT109" s="1464">
        <v>2</v>
      </c>
      <c r="AU109" s="1464">
        <v>1</v>
      </c>
      <c r="AV109" s="1464">
        <v>1</v>
      </c>
      <c r="AW109" s="1464">
        <v>1</v>
      </c>
      <c r="AX109" s="1464"/>
      <c r="AY109" s="1464"/>
      <c r="AZ109" s="1464"/>
      <c r="BA109" s="1464"/>
      <c r="BB109" s="1464"/>
      <c r="BC109" s="1464"/>
      <c r="BD109" s="1464"/>
      <c r="BE109" s="1464"/>
      <c r="BF109" s="1464"/>
      <c r="BG109" s="1464"/>
    </row>
    <row r="110" spans="1:59">
      <c r="A110" s="1468" t="s">
        <v>4574</v>
      </c>
      <c r="B110" s="1464"/>
      <c r="C110" s="1464">
        <v>37</v>
      </c>
      <c r="D110" s="1464"/>
      <c r="E110" s="1464"/>
      <c r="F110" s="1464"/>
      <c r="G110" s="1464">
        <f>C110*3</f>
        <v>111</v>
      </c>
      <c r="H110" s="1464">
        <f>C110</f>
        <v>37</v>
      </c>
      <c r="I110" s="1464"/>
      <c r="J110" s="1464"/>
      <c r="K110" s="1464"/>
      <c r="L110" s="1464"/>
      <c r="M110" s="1464">
        <v>1</v>
      </c>
      <c r="N110" s="1464"/>
      <c r="O110" s="1464"/>
      <c r="P110" s="1464"/>
      <c r="Q110" s="1464"/>
      <c r="R110" s="1464">
        <v>1</v>
      </c>
      <c r="S110" s="1464"/>
      <c r="T110" s="1464"/>
      <c r="U110" s="1464"/>
      <c r="V110" s="1464">
        <v>2</v>
      </c>
      <c r="W110" s="1464"/>
      <c r="X110" s="1464"/>
      <c r="Y110" s="1464"/>
      <c r="Z110" s="1464"/>
      <c r="AA110" s="1464"/>
      <c r="AB110" s="1464"/>
      <c r="AC110" s="1464"/>
      <c r="AD110" s="1464">
        <v>6</v>
      </c>
      <c r="AE110" s="1464">
        <f>AC110</f>
        <v>0</v>
      </c>
      <c r="AF110" s="1464"/>
      <c r="AG110" s="1464">
        <v>3</v>
      </c>
      <c r="AH110" s="1464"/>
      <c r="AI110" s="1464">
        <v>1</v>
      </c>
      <c r="AJ110" s="1464"/>
      <c r="AK110" s="1464"/>
      <c r="AL110" s="1464"/>
      <c r="AM110" s="1464"/>
      <c r="AN110" s="1464"/>
      <c r="AO110" s="1464"/>
      <c r="AP110" s="1464"/>
      <c r="AQ110" s="1464">
        <v>1</v>
      </c>
      <c r="AR110" s="1464"/>
      <c r="AS110" s="1464"/>
      <c r="AT110" s="1464"/>
      <c r="AU110" s="1464"/>
      <c r="AV110" s="1464"/>
      <c r="AW110" s="1464"/>
      <c r="AX110" s="1464"/>
      <c r="AY110" s="1464"/>
      <c r="AZ110" s="1464"/>
      <c r="BA110" s="1464"/>
      <c r="BB110" s="1464"/>
      <c r="BC110" s="1464"/>
      <c r="BD110" s="1464"/>
      <c r="BE110" s="1464"/>
      <c r="BF110" s="1464"/>
      <c r="BG110" s="1464"/>
    </row>
    <row r="111" spans="1:59">
      <c r="A111" s="944" t="s">
        <v>602</v>
      </c>
      <c r="B111" s="72"/>
      <c r="C111" s="72">
        <v>38</v>
      </c>
      <c r="D111" s="72"/>
      <c r="E111" s="72"/>
      <c r="F111" s="72"/>
      <c r="G111" s="72">
        <f t="shared" ref="G111:G131" si="9">C111*3</f>
        <v>114</v>
      </c>
      <c r="H111" s="72">
        <f t="shared" si="6"/>
        <v>38</v>
      </c>
      <c r="I111" s="72"/>
      <c r="J111" s="72"/>
      <c r="K111" s="72"/>
      <c r="L111" s="72"/>
      <c r="M111" s="72" t="s">
        <v>5819</v>
      </c>
      <c r="N111" s="72"/>
      <c r="O111" s="72"/>
      <c r="P111" s="72"/>
      <c r="Q111" s="72"/>
      <c r="R111" s="72"/>
      <c r="S111" s="72" t="s">
        <v>5819</v>
      </c>
      <c r="T111" s="72"/>
      <c r="U111" s="72"/>
      <c r="V111" s="72">
        <v>1</v>
      </c>
      <c r="W111" s="72"/>
      <c r="X111" s="72"/>
      <c r="Y111" s="72"/>
      <c r="Z111" s="72"/>
      <c r="AA111" s="72"/>
      <c r="AB111" s="72"/>
      <c r="AC111" s="72"/>
      <c r="AD111" s="72">
        <v>3</v>
      </c>
      <c r="AE111" s="72">
        <f t="shared" si="7"/>
        <v>0</v>
      </c>
      <c r="AF111" s="72"/>
      <c r="AG111" s="72">
        <f t="shared" si="8"/>
        <v>3</v>
      </c>
      <c r="AH111" s="72"/>
      <c r="AI111" s="72">
        <v>1</v>
      </c>
      <c r="AJ111" s="72"/>
      <c r="AK111" s="72"/>
      <c r="AL111" s="72"/>
      <c r="AM111" s="72"/>
      <c r="AN111" s="72"/>
      <c r="AO111" s="72"/>
      <c r="AP111" s="72"/>
      <c r="AQ111" s="72">
        <v>1</v>
      </c>
      <c r="AR111" s="72"/>
      <c r="AS111" s="72"/>
      <c r="AT111" s="72"/>
      <c r="AU111" s="72"/>
      <c r="AV111" s="72"/>
      <c r="AW111" s="72"/>
      <c r="AX111" s="72"/>
      <c r="AY111" s="72"/>
      <c r="AZ111" s="72"/>
      <c r="BA111" s="72"/>
      <c r="BB111" s="72"/>
      <c r="BC111" s="72"/>
      <c r="BD111" s="72"/>
      <c r="BE111" s="72"/>
      <c r="BF111" s="72"/>
      <c r="BG111" s="72"/>
    </row>
    <row r="112" spans="1:59">
      <c r="A112" s="944" t="s">
        <v>603</v>
      </c>
      <c r="B112" s="72"/>
      <c r="C112" s="72">
        <v>60</v>
      </c>
      <c r="D112" s="72"/>
      <c r="E112" s="72"/>
      <c r="F112" s="72"/>
      <c r="G112" s="72">
        <f t="shared" si="9"/>
        <v>180</v>
      </c>
      <c r="H112" s="72">
        <f t="shared" si="6"/>
        <v>60</v>
      </c>
      <c r="I112" s="72"/>
      <c r="J112" s="72"/>
      <c r="K112" s="72"/>
      <c r="L112" s="72"/>
      <c r="M112" s="72" t="s">
        <v>5819</v>
      </c>
      <c r="N112" s="72"/>
      <c r="O112" s="72"/>
      <c r="P112" s="72"/>
      <c r="Q112" s="72"/>
      <c r="R112" s="72"/>
      <c r="S112" s="72" t="s">
        <v>5819</v>
      </c>
      <c r="T112" s="72"/>
      <c r="U112" s="72"/>
      <c r="V112" s="72">
        <v>1</v>
      </c>
      <c r="W112" s="72"/>
      <c r="X112" s="72"/>
      <c r="Y112" s="72"/>
      <c r="Z112" s="72"/>
      <c r="AA112" s="72"/>
      <c r="AB112" s="72"/>
      <c r="AC112" s="72"/>
      <c r="AD112" s="72">
        <v>3</v>
      </c>
      <c r="AE112" s="72">
        <f t="shared" si="7"/>
        <v>0</v>
      </c>
      <c r="AF112" s="72"/>
      <c r="AG112" s="72">
        <f t="shared" si="8"/>
        <v>3</v>
      </c>
      <c r="AH112" s="72"/>
      <c r="AI112" s="72">
        <v>1</v>
      </c>
      <c r="AJ112" s="72"/>
      <c r="AK112" s="72"/>
      <c r="AL112" s="72"/>
      <c r="AM112" s="72"/>
      <c r="AN112" s="72"/>
      <c r="AO112" s="72"/>
      <c r="AP112" s="72"/>
      <c r="AQ112" s="72">
        <v>1</v>
      </c>
      <c r="AR112" s="72"/>
      <c r="AS112" s="72"/>
      <c r="AT112" s="72"/>
      <c r="AU112" s="72"/>
      <c r="AV112" s="72"/>
      <c r="AW112" s="72"/>
      <c r="AX112" s="72"/>
      <c r="AY112" s="72"/>
      <c r="AZ112" s="72"/>
      <c r="BA112" s="72"/>
      <c r="BB112" s="72"/>
      <c r="BC112" s="72"/>
      <c r="BD112" s="72"/>
      <c r="BE112" s="72"/>
      <c r="BF112" s="72"/>
      <c r="BG112" s="72"/>
    </row>
    <row r="113" spans="1:59">
      <c r="A113" s="944" t="s">
        <v>620</v>
      </c>
      <c r="B113" s="72"/>
      <c r="C113" s="72">
        <v>32</v>
      </c>
      <c r="D113" s="72"/>
      <c r="E113" s="72"/>
      <c r="F113" s="72"/>
      <c r="G113" s="72">
        <f t="shared" si="9"/>
        <v>96</v>
      </c>
      <c r="H113" s="72">
        <f t="shared" si="6"/>
        <v>32</v>
      </c>
      <c r="I113" s="72"/>
      <c r="J113" s="72"/>
      <c r="K113" s="72"/>
      <c r="L113" s="72"/>
      <c r="M113" s="72" t="s">
        <v>5819</v>
      </c>
      <c r="N113" s="72"/>
      <c r="O113" s="72"/>
      <c r="P113" s="72"/>
      <c r="Q113" s="72"/>
      <c r="R113" s="72" t="s">
        <v>5819</v>
      </c>
      <c r="S113" s="72"/>
      <c r="T113" s="72">
        <v>1</v>
      </c>
      <c r="U113" s="72"/>
      <c r="V113" s="72">
        <v>1</v>
      </c>
      <c r="W113" s="72"/>
      <c r="X113" s="72"/>
      <c r="Y113" s="72"/>
      <c r="Z113" s="72"/>
      <c r="AA113" s="72"/>
      <c r="AB113" s="72"/>
      <c r="AC113" s="72"/>
      <c r="AD113" s="72">
        <v>3</v>
      </c>
      <c r="AE113" s="72">
        <f t="shared" si="7"/>
        <v>0</v>
      </c>
      <c r="AF113" s="72"/>
      <c r="AG113" s="72">
        <f t="shared" si="8"/>
        <v>3</v>
      </c>
      <c r="AH113" s="72"/>
      <c r="AI113" s="72">
        <v>1</v>
      </c>
      <c r="AJ113" s="72"/>
      <c r="AK113" s="72"/>
      <c r="AL113" s="72"/>
      <c r="AM113" s="72"/>
      <c r="AN113" s="72"/>
      <c r="AO113" s="72"/>
      <c r="AP113" s="72"/>
      <c r="AQ113" s="72">
        <v>1</v>
      </c>
      <c r="AR113" s="72"/>
      <c r="AS113" s="72"/>
      <c r="AT113" s="72"/>
      <c r="AU113" s="72"/>
      <c r="AV113" s="72"/>
      <c r="AW113" s="72"/>
      <c r="AX113" s="72"/>
      <c r="AY113" s="72"/>
      <c r="AZ113" s="72"/>
      <c r="BA113" s="72"/>
      <c r="BB113" s="72"/>
      <c r="BC113" s="72"/>
      <c r="BD113" s="72"/>
      <c r="BE113" s="72"/>
      <c r="BF113" s="72"/>
      <c r="BG113" s="72"/>
    </row>
    <row r="114" spans="1:59">
      <c r="A114" s="1468" t="s">
        <v>604</v>
      </c>
      <c r="B114" s="1464"/>
      <c r="C114" s="1464">
        <v>43</v>
      </c>
      <c r="D114" s="1464"/>
      <c r="E114" s="1464"/>
      <c r="F114" s="1464"/>
      <c r="G114" s="1464">
        <f t="shared" si="9"/>
        <v>129</v>
      </c>
      <c r="H114" s="1464">
        <f t="shared" si="6"/>
        <v>43</v>
      </c>
      <c r="I114" s="1464"/>
      <c r="J114" s="1464"/>
      <c r="K114" s="1464"/>
      <c r="L114" s="1464"/>
      <c r="M114" s="1464">
        <v>1</v>
      </c>
      <c r="N114" s="1464"/>
      <c r="O114" s="1464"/>
      <c r="P114" s="1464"/>
      <c r="Q114" s="1464"/>
      <c r="R114" s="1464">
        <v>1</v>
      </c>
      <c r="S114" s="1464"/>
      <c r="T114" s="1464"/>
      <c r="U114" s="1464"/>
      <c r="V114" s="1464">
        <v>2</v>
      </c>
      <c r="W114" s="1464"/>
      <c r="X114" s="1464"/>
      <c r="Y114" s="1464"/>
      <c r="Z114" s="1464"/>
      <c r="AA114" s="1464"/>
      <c r="AB114" s="1464"/>
      <c r="AC114" s="1464"/>
      <c r="AD114" s="1464">
        <v>6</v>
      </c>
      <c r="AE114" s="1464">
        <f t="shared" si="7"/>
        <v>0</v>
      </c>
      <c r="AF114" s="1464"/>
      <c r="AG114" s="1464">
        <v>3</v>
      </c>
      <c r="AH114" s="1464"/>
      <c r="AI114" s="1464">
        <v>1</v>
      </c>
      <c r="AJ114" s="1464"/>
      <c r="AK114" s="1464"/>
      <c r="AL114" s="1464"/>
      <c r="AM114" s="1464"/>
      <c r="AN114" s="1464"/>
      <c r="AO114" s="1464"/>
      <c r="AP114" s="1464"/>
      <c r="AQ114" s="1464">
        <v>1</v>
      </c>
      <c r="AR114" s="1464"/>
      <c r="AS114" s="1464"/>
      <c r="AT114" s="1464"/>
      <c r="AU114" s="1464"/>
      <c r="AV114" s="1464"/>
      <c r="AW114" s="1464"/>
      <c r="AX114" s="1464"/>
      <c r="AY114" s="1464"/>
      <c r="AZ114" s="1464"/>
      <c r="BA114" s="1464"/>
      <c r="BB114" s="1464"/>
      <c r="BC114" s="1464"/>
      <c r="BD114" s="1464"/>
      <c r="BE114" s="1464"/>
      <c r="BF114" s="1464"/>
      <c r="BG114" s="1464"/>
    </row>
    <row r="115" spans="1:59">
      <c r="A115" s="944" t="s">
        <v>605</v>
      </c>
      <c r="B115" s="72"/>
      <c r="C115" s="72">
        <v>45</v>
      </c>
      <c r="D115" s="72"/>
      <c r="E115" s="72"/>
      <c r="F115" s="72"/>
      <c r="G115" s="72">
        <f t="shared" si="9"/>
        <v>135</v>
      </c>
      <c r="H115" s="72">
        <f t="shared" si="6"/>
        <v>45</v>
      </c>
      <c r="I115" s="72"/>
      <c r="J115" s="72"/>
      <c r="K115" s="72"/>
      <c r="L115" s="72"/>
      <c r="M115" s="72" t="s">
        <v>5819</v>
      </c>
      <c r="N115" s="72"/>
      <c r="O115" s="72"/>
      <c r="P115" s="72"/>
      <c r="Q115" s="72"/>
      <c r="R115" s="72"/>
      <c r="S115" s="72" t="s">
        <v>5819</v>
      </c>
      <c r="T115" s="72"/>
      <c r="U115" s="72"/>
      <c r="V115" s="72">
        <v>1</v>
      </c>
      <c r="W115" s="72"/>
      <c r="X115" s="72"/>
      <c r="Y115" s="72"/>
      <c r="Z115" s="72"/>
      <c r="AA115" s="72"/>
      <c r="AB115" s="72"/>
      <c r="AC115" s="72"/>
      <c r="AD115" s="72">
        <v>3</v>
      </c>
      <c r="AE115" s="72">
        <f t="shared" si="7"/>
        <v>0</v>
      </c>
      <c r="AF115" s="72"/>
      <c r="AG115" s="72">
        <f t="shared" si="8"/>
        <v>3</v>
      </c>
      <c r="AH115" s="72"/>
      <c r="AI115" s="72">
        <v>1</v>
      </c>
      <c r="AJ115" s="72"/>
      <c r="AK115" s="72"/>
      <c r="AL115" s="72"/>
      <c r="AM115" s="72"/>
      <c r="AN115" s="72"/>
      <c r="AO115" s="72"/>
      <c r="AP115" s="72"/>
      <c r="AQ115" s="72">
        <v>1</v>
      </c>
      <c r="AR115" s="72"/>
      <c r="AS115" s="72"/>
      <c r="AT115" s="72"/>
      <c r="AU115" s="72"/>
      <c r="AV115" s="72"/>
      <c r="AW115" s="72"/>
      <c r="AX115" s="72"/>
      <c r="AY115" s="72"/>
      <c r="AZ115" s="72"/>
      <c r="BA115" s="72"/>
      <c r="BB115" s="72"/>
      <c r="BC115" s="72"/>
      <c r="BD115" s="72"/>
      <c r="BE115" s="72"/>
      <c r="BF115" s="72"/>
      <c r="BG115" s="72"/>
    </row>
    <row r="116" spans="1:59">
      <c r="A116" s="944" t="s">
        <v>606</v>
      </c>
      <c r="B116" s="72"/>
      <c r="C116" s="72">
        <v>60</v>
      </c>
      <c r="D116" s="72"/>
      <c r="E116" s="72"/>
      <c r="F116" s="72"/>
      <c r="G116" s="72">
        <f t="shared" si="9"/>
        <v>180</v>
      </c>
      <c r="H116" s="72">
        <f t="shared" si="6"/>
        <v>60</v>
      </c>
      <c r="I116" s="72"/>
      <c r="J116" s="72"/>
      <c r="K116" s="72"/>
      <c r="L116" s="72"/>
      <c r="M116" s="72" t="s">
        <v>5819</v>
      </c>
      <c r="N116" s="72"/>
      <c r="O116" s="72"/>
      <c r="P116" s="72"/>
      <c r="Q116" s="72"/>
      <c r="R116" s="72"/>
      <c r="S116" s="72" t="s">
        <v>5819</v>
      </c>
      <c r="T116" s="72"/>
      <c r="U116" s="72"/>
      <c r="V116" s="72">
        <v>1</v>
      </c>
      <c r="W116" s="72"/>
      <c r="X116" s="72"/>
      <c r="Y116" s="72"/>
      <c r="Z116" s="72"/>
      <c r="AA116" s="72"/>
      <c r="AB116" s="72"/>
      <c r="AC116" s="72"/>
      <c r="AD116" s="72">
        <v>3</v>
      </c>
      <c r="AE116" s="72">
        <f t="shared" si="7"/>
        <v>0</v>
      </c>
      <c r="AF116" s="72"/>
      <c r="AG116" s="72">
        <f t="shared" si="8"/>
        <v>3</v>
      </c>
      <c r="AH116" s="72"/>
      <c r="AI116" s="72">
        <v>1</v>
      </c>
      <c r="AJ116" s="72"/>
      <c r="AK116" s="72"/>
      <c r="AL116" s="72"/>
      <c r="AM116" s="72"/>
      <c r="AN116" s="72"/>
      <c r="AO116" s="72"/>
      <c r="AP116" s="72"/>
      <c r="AQ116" s="72">
        <v>1</v>
      </c>
      <c r="AR116" s="72"/>
      <c r="AS116" s="72"/>
      <c r="AT116" s="72"/>
      <c r="AU116" s="72"/>
      <c r="AV116" s="72"/>
      <c r="AW116" s="72"/>
      <c r="AX116" s="72"/>
      <c r="AY116" s="72"/>
      <c r="AZ116" s="72"/>
      <c r="BA116" s="72"/>
      <c r="BB116" s="72"/>
      <c r="BC116" s="72"/>
      <c r="BD116" s="72"/>
      <c r="BE116" s="72"/>
      <c r="BF116" s="72"/>
      <c r="BG116" s="72"/>
    </row>
    <row r="117" spans="1:59">
      <c r="A117" s="944" t="s">
        <v>607</v>
      </c>
      <c r="B117" s="72"/>
      <c r="C117" s="72">
        <v>59</v>
      </c>
      <c r="D117" s="72"/>
      <c r="E117" s="72"/>
      <c r="F117" s="72"/>
      <c r="G117" s="72">
        <f t="shared" si="9"/>
        <v>177</v>
      </c>
      <c r="H117" s="72">
        <f t="shared" si="6"/>
        <v>59</v>
      </c>
      <c r="I117" s="72"/>
      <c r="J117" s="72"/>
      <c r="K117" s="72"/>
      <c r="L117" s="72"/>
      <c r="M117" s="72" t="s">
        <v>5819</v>
      </c>
      <c r="N117" s="72"/>
      <c r="O117" s="72"/>
      <c r="P117" s="72"/>
      <c r="Q117" s="72"/>
      <c r="R117" s="72"/>
      <c r="S117" s="72" t="s">
        <v>5819</v>
      </c>
      <c r="T117" s="72"/>
      <c r="U117" s="72"/>
      <c r="V117" s="72">
        <v>1</v>
      </c>
      <c r="W117" s="72"/>
      <c r="X117" s="72"/>
      <c r="Y117" s="72"/>
      <c r="Z117" s="72"/>
      <c r="AA117" s="72"/>
      <c r="AB117" s="72"/>
      <c r="AC117" s="72"/>
      <c r="AD117" s="72">
        <v>3</v>
      </c>
      <c r="AE117" s="72">
        <f t="shared" si="7"/>
        <v>0</v>
      </c>
      <c r="AF117" s="72"/>
      <c r="AG117" s="72">
        <f t="shared" si="8"/>
        <v>3</v>
      </c>
      <c r="AH117" s="72"/>
      <c r="AI117" s="72">
        <v>1</v>
      </c>
      <c r="AJ117" s="72"/>
      <c r="AK117" s="72"/>
      <c r="AL117" s="72"/>
      <c r="AM117" s="72"/>
      <c r="AN117" s="72"/>
      <c r="AO117" s="72"/>
      <c r="AP117" s="72"/>
      <c r="AQ117" s="72">
        <v>1</v>
      </c>
      <c r="AR117" s="72"/>
      <c r="AS117" s="72"/>
      <c r="AT117" s="72"/>
      <c r="AU117" s="72"/>
      <c r="AV117" s="72"/>
      <c r="AW117" s="72"/>
      <c r="AX117" s="72"/>
      <c r="AY117" s="72"/>
      <c r="AZ117" s="72"/>
      <c r="BA117" s="72"/>
      <c r="BB117" s="72"/>
      <c r="BC117" s="72"/>
      <c r="BD117" s="72"/>
      <c r="BE117" s="72"/>
      <c r="BF117" s="72"/>
      <c r="BG117" s="72"/>
    </row>
    <row r="118" spans="1:59">
      <c r="A118" s="944" t="s">
        <v>621</v>
      </c>
      <c r="B118" s="72"/>
      <c r="C118" s="72">
        <v>34</v>
      </c>
      <c r="D118" s="72"/>
      <c r="E118" s="72">
        <f>5*3</f>
        <v>15</v>
      </c>
      <c r="F118" s="72"/>
      <c r="G118" s="72">
        <f t="shared" si="9"/>
        <v>102</v>
      </c>
      <c r="H118" s="72">
        <f t="shared" si="6"/>
        <v>34</v>
      </c>
      <c r="I118" s="72"/>
      <c r="J118" s="72"/>
      <c r="K118" s="72"/>
      <c r="L118" s="72"/>
      <c r="M118" s="72" t="s">
        <v>5819</v>
      </c>
      <c r="N118" s="72"/>
      <c r="O118" s="72"/>
      <c r="P118" s="72"/>
      <c r="Q118" s="72" t="s">
        <v>5819</v>
      </c>
      <c r="R118" s="72"/>
      <c r="S118" s="72"/>
      <c r="T118" s="72"/>
      <c r="U118" s="72"/>
      <c r="V118" s="72">
        <v>1</v>
      </c>
      <c r="W118" s="72"/>
      <c r="X118" s="72"/>
      <c r="Y118" s="72"/>
      <c r="Z118" s="72"/>
      <c r="AA118" s="72"/>
      <c r="AB118" s="72"/>
      <c r="AC118" s="72"/>
      <c r="AD118" s="72">
        <v>3</v>
      </c>
      <c r="AE118" s="72">
        <f t="shared" si="7"/>
        <v>0</v>
      </c>
      <c r="AF118" s="72"/>
      <c r="AG118" s="72">
        <f t="shared" si="8"/>
        <v>3</v>
      </c>
      <c r="AH118" s="72"/>
      <c r="AI118" s="72">
        <v>1</v>
      </c>
      <c r="AJ118" s="72"/>
      <c r="AK118" s="72"/>
      <c r="AL118" s="72"/>
      <c r="AM118" s="72"/>
      <c r="AN118" s="72"/>
      <c r="AO118" s="72"/>
      <c r="AP118" s="72"/>
      <c r="AQ118" s="72"/>
      <c r="AR118" s="72">
        <v>1</v>
      </c>
      <c r="AS118" s="72"/>
      <c r="AT118" s="72"/>
      <c r="AU118" s="72"/>
      <c r="AV118" s="72"/>
      <c r="AW118" s="72"/>
      <c r="AX118" s="72"/>
      <c r="AY118" s="72">
        <v>3</v>
      </c>
      <c r="AZ118" s="72">
        <v>1</v>
      </c>
      <c r="BA118" s="72">
        <v>3</v>
      </c>
      <c r="BB118" s="72">
        <v>1</v>
      </c>
      <c r="BC118" s="72">
        <v>1</v>
      </c>
      <c r="BD118" s="72"/>
      <c r="BE118" s="72"/>
      <c r="BF118" s="72"/>
      <c r="BG118" s="72"/>
    </row>
    <row r="119" spans="1:59">
      <c r="A119" s="944" t="s">
        <v>608</v>
      </c>
      <c r="B119" s="72"/>
      <c r="C119" s="72">
        <v>26</v>
      </c>
      <c r="D119" s="72"/>
      <c r="E119" s="72"/>
      <c r="F119" s="72"/>
      <c r="G119" s="72">
        <f>(C119+1)*3</f>
        <v>81</v>
      </c>
      <c r="H119" s="72">
        <f>C119+1</f>
        <v>27</v>
      </c>
      <c r="I119" s="72"/>
      <c r="J119" s="72"/>
      <c r="K119" s="72"/>
      <c r="L119" s="72"/>
      <c r="M119" s="72" t="s">
        <v>5819</v>
      </c>
      <c r="N119" s="72"/>
      <c r="O119" s="72"/>
      <c r="P119" s="72"/>
      <c r="Q119" s="72" t="s">
        <v>5819</v>
      </c>
      <c r="R119" s="72"/>
      <c r="S119" s="72"/>
      <c r="T119" s="72"/>
      <c r="U119" s="72"/>
      <c r="V119" s="72"/>
      <c r="W119" s="72">
        <v>1</v>
      </c>
      <c r="X119" s="72"/>
      <c r="Y119" s="72"/>
      <c r="Z119" s="72"/>
      <c r="AA119" s="72"/>
      <c r="AB119" s="72"/>
      <c r="AC119" s="72">
        <v>6</v>
      </c>
      <c r="AD119" s="72">
        <v>6</v>
      </c>
      <c r="AE119" s="72">
        <f t="shared" si="7"/>
        <v>6</v>
      </c>
      <c r="AF119" s="72">
        <v>2</v>
      </c>
      <c r="AG119" s="72">
        <f t="shared" si="8"/>
        <v>6</v>
      </c>
      <c r="AH119" s="72"/>
      <c r="AI119" s="72"/>
      <c r="AJ119" s="72"/>
      <c r="AK119" s="72"/>
      <c r="AL119" s="72"/>
      <c r="AM119" s="72"/>
      <c r="AN119" s="72"/>
      <c r="AO119" s="72"/>
      <c r="AP119" s="72"/>
      <c r="AQ119" s="72"/>
      <c r="AR119" s="72"/>
      <c r="AS119" s="72"/>
      <c r="AT119" s="72">
        <v>2</v>
      </c>
      <c r="AU119" s="72"/>
      <c r="AV119" s="72"/>
      <c r="AW119" s="72"/>
      <c r="AX119" s="72"/>
      <c r="AY119" s="72"/>
      <c r="AZ119" s="72"/>
      <c r="BA119" s="72"/>
      <c r="BB119" s="72"/>
      <c r="BC119" s="72"/>
      <c r="BD119" s="72"/>
      <c r="BE119" s="72"/>
      <c r="BF119" s="72"/>
      <c r="BG119" s="72"/>
    </row>
    <row r="120" spans="1:59">
      <c r="A120" s="944" t="s">
        <v>609</v>
      </c>
      <c r="B120" s="72"/>
      <c r="C120" s="72">
        <v>59</v>
      </c>
      <c r="D120" s="72"/>
      <c r="E120" s="72"/>
      <c r="F120" s="72"/>
      <c r="G120" s="72">
        <f t="shared" si="9"/>
        <v>177</v>
      </c>
      <c r="H120" s="72">
        <f t="shared" si="6"/>
        <v>59</v>
      </c>
      <c r="I120" s="72"/>
      <c r="J120" s="72"/>
      <c r="K120" s="72"/>
      <c r="L120" s="72"/>
      <c r="M120" s="72" t="s">
        <v>5819</v>
      </c>
      <c r="N120" s="72"/>
      <c r="O120" s="72"/>
      <c r="P120" s="72"/>
      <c r="Q120" s="72"/>
      <c r="R120" s="72"/>
      <c r="S120" s="72" t="s">
        <v>5819</v>
      </c>
      <c r="T120" s="72"/>
      <c r="U120" s="72"/>
      <c r="V120" s="72">
        <v>1</v>
      </c>
      <c r="W120" s="72"/>
      <c r="X120" s="72"/>
      <c r="Y120" s="72"/>
      <c r="Z120" s="72"/>
      <c r="AA120" s="72"/>
      <c r="AB120" s="72"/>
      <c r="AC120" s="72"/>
      <c r="AD120" s="72">
        <v>3</v>
      </c>
      <c r="AE120" s="72">
        <f t="shared" si="7"/>
        <v>0</v>
      </c>
      <c r="AF120" s="72"/>
      <c r="AG120" s="72">
        <f t="shared" si="8"/>
        <v>3</v>
      </c>
      <c r="AH120" s="72"/>
      <c r="AI120" s="72">
        <v>1</v>
      </c>
      <c r="AJ120" s="72"/>
      <c r="AK120" s="72"/>
      <c r="AL120" s="72"/>
      <c r="AM120" s="72"/>
      <c r="AN120" s="72"/>
      <c r="AO120" s="72"/>
      <c r="AP120" s="72"/>
      <c r="AQ120" s="72">
        <v>1</v>
      </c>
      <c r="AR120" s="72"/>
      <c r="AS120" s="72"/>
      <c r="AT120" s="72"/>
      <c r="AU120" s="72"/>
      <c r="AV120" s="72"/>
      <c r="AW120" s="72"/>
      <c r="AX120" s="72"/>
      <c r="AY120" s="72"/>
      <c r="AZ120" s="72"/>
      <c r="BA120" s="72"/>
      <c r="BB120" s="72"/>
      <c r="BC120" s="72"/>
      <c r="BD120" s="72"/>
      <c r="BE120" s="72"/>
      <c r="BF120" s="72"/>
      <c r="BG120" s="72"/>
    </row>
    <row r="121" spans="1:59">
      <c r="A121" s="944" t="s">
        <v>610</v>
      </c>
      <c r="B121" s="72"/>
      <c r="C121" s="72">
        <v>61</v>
      </c>
      <c r="D121" s="72"/>
      <c r="E121" s="72"/>
      <c r="F121" s="72"/>
      <c r="G121" s="72">
        <f t="shared" si="9"/>
        <v>183</v>
      </c>
      <c r="H121" s="72">
        <f t="shared" si="6"/>
        <v>61</v>
      </c>
      <c r="I121" s="72"/>
      <c r="J121" s="72"/>
      <c r="K121" s="72"/>
      <c r="L121" s="72"/>
      <c r="M121" s="72" t="s">
        <v>5819</v>
      </c>
      <c r="N121" s="72"/>
      <c r="O121" s="72"/>
      <c r="P121" s="72"/>
      <c r="Q121" s="72"/>
      <c r="R121" s="72"/>
      <c r="S121" s="72" t="s">
        <v>5819</v>
      </c>
      <c r="T121" s="72"/>
      <c r="U121" s="72"/>
      <c r="V121" s="72">
        <v>1</v>
      </c>
      <c r="W121" s="72"/>
      <c r="X121" s="72"/>
      <c r="Y121" s="72"/>
      <c r="Z121" s="72"/>
      <c r="AA121" s="72"/>
      <c r="AB121" s="72"/>
      <c r="AC121" s="72"/>
      <c r="AD121" s="72">
        <v>3</v>
      </c>
      <c r="AE121" s="72">
        <f t="shared" si="7"/>
        <v>0</v>
      </c>
      <c r="AF121" s="72"/>
      <c r="AG121" s="72">
        <f t="shared" si="8"/>
        <v>3</v>
      </c>
      <c r="AH121" s="72"/>
      <c r="AI121" s="72">
        <v>1</v>
      </c>
      <c r="AJ121" s="72"/>
      <c r="AK121" s="72"/>
      <c r="AL121" s="72"/>
      <c r="AM121" s="72"/>
      <c r="AN121" s="72"/>
      <c r="AO121" s="72"/>
      <c r="AP121" s="72"/>
      <c r="AQ121" s="72">
        <v>1</v>
      </c>
      <c r="AR121" s="72"/>
      <c r="AS121" s="72"/>
      <c r="AT121" s="72"/>
      <c r="AU121" s="72"/>
      <c r="AV121" s="72"/>
      <c r="AW121" s="72"/>
      <c r="AX121" s="72"/>
      <c r="AY121" s="72"/>
      <c r="AZ121" s="72"/>
      <c r="BA121" s="72"/>
      <c r="BB121" s="72"/>
      <c r="BC121" s="72"/>
      <c r="BD121" s="72"/>
      <c r="BE121" s="72"/>
      <c r="BF121" s="72"/>
      <c r="BG121" s="72"/>
    </row>
    <row r="122" spans="1:59">
      <c r="A122" s="944" t="s">
        <v>611</v>
      </c>
      <c r="B122" s="72"/>
      <c r="C122" s="72">
        <v>60</v>
      </c>
      <c r="D122" s="72"/>
      <c r="E122" s="72"/>
      <c r="F122" s="72">
        <f>5*3</f>
        <v>15</v>
      </c>
      <c r="G122" s="72">
        <f t="shared" si="9"/>
        <v>180</v>
      </c>
      <c r="H122" s="72">
        <f t="shared" si="6"/>
        <v>60</v>
      </c>
      <c r="I122" s="72"/>
      <c r="J122" s="72"/>
      <c r="K122" s="72"/>
      <c r="L122" s="72"/>
      <c r="M122" s="72" t="s">
        <v>5819</v>
      </c>
      <c r="N122" s="72"/>
      <c r="O122" s="72"/>
      <c r="P122" s="72"/>
      <c r="Q122" s="72"/>
      <c r="R122" s="72"/>
      <c r="S122" s="72" t="s">
        <v>5819</v>
      </c>
      <c r="T122" s="72"/>
      <c r="U122" s="72"/>
      <c r="V122" s="72">
        <v>1</v>
      </c>
      <c r="W122" s="72"/>
      <c r="X122" s="72"/>
      <c r="Y122" s="72"/>
      <c r="Z122" s="72"/>
      <c r="AA122" s="72"/>
      <c r="AB122" s="72"/>
      <c r="AC122" s="72"/>
      <c r="AD122" s="72">
        <v>3</v>
      </c>
      <c r="AE122" s="72">
        <f t="shared" si="7"/>
        <v>0</v>
      </c>
      <c r="AF122" s="72"/>
      <c r="AG122" s="72">
        <f t="shared" si="8"/>
        <v>3</v>
      </c>
      <c r="AH122" s="72"/>
      <c r="AI122" s="72">
        <v>1</v>
      </c>
      <c r="AJ122" s="72"/>
      <c r="AK122" s="72"/>
      <c r="AL122" s="72"/>
      <c r="AM122" s="72"/>
      <c r="AN122" s="72"/>
      <c r="AO122" s="72"/>
      <c r="AP122" s="72"/>
      <c r="AQ122" s="72">
        <v>1</v>
      </c>
      <c r="AR122" s="72"/>
      <c r="AS122" s="72"/>
      <c r="AT122" s="72"/>
      <c r="AU122" s="72"/>
      <c r="AV122" s="72"/>
      <c r="AW122" s="72"/>
      <c r="AX122" s="72"/>
      <c r="AY122" s="72"/>
      <c r="AZ122" s="72"/>
      <c r="BA122" s="72"/>
      <c r="BB122" s="72"/>
      <c r="BC122" s="72"/>
      <c r="BD122" s="72"/>
      <c r="BE122" s="72"/>
      <c r="BF122" s="72"/>
      <c r="BG122" s="72"/>
    </row>
    <row r="123" spans="1:59">
      <c r="A123" s="944" t="s">
        <v>612</v>
      </c>
      <c r="B123" s="72"/>
      <c r="C123" s="72">
        <v>60</v>
      </c>
      <c r="D123" s="72"/>
      <c r="E123" s="72"/>
      <c r="F123" s="72"/>
      <c r="G123" s="72">
        <f t="shared" si="9"/>
        <v>180</v>
      </c>
      <c r="H123" s="72">
        <f t="shared" si="6"/>
        <v>60</v>
      </c>
      <c r="I123" s="72"/>
      <c r="J123" s="72"/>
      <c r="K123" s="72"/>
      <c r="L123" s="72"/>
      <c r="M123" s="72" t="s">
        <v>5819</v>
      </c>
      <c r="N123" s="72"/>
      <c r="O123" s="72"/>
      <c r="P123" s="72"/>
      <c r="Q123" s="72"/>
      <c r="R123" s="72"/>
      <c r="S123" s="72" t="s">
        <v>5819</v>
      </c>
      <c r="T123" s="72"/>
      <c r="U123" s="72"/>
      <c r="V123" s="72">
        <v>1</v>
      </c>
      <c r="W123" s="72"/>
      <c r="X123" s="72"/>
      <c r="Y123" s="72"/>
      <c r="Z123" s="72"/>
      <c r="AA123" s="72"/>
      <c r="AB123" s="72"/>
      <c r="AC123" s="72"/>
      <c r="AD123" s="72">
        <v>3</v>
      </c>
      <c r="AE123" s="72">
        <f t="shared" si="7"/>
        <v>0</v>
      </c>
      <c r="AF123" s="72"/>
      <c r="AG123" s="72">
        <f t="shared" si="8"/>
        <v>3</v>
      </c>
      <c r="AH123" s="72"/>
      <c r="AI123" s="72">
        <v>1</v>
      </c>
      <c r="AJ123" s="72"/>
      <c r="AK123" s="72"/>
      <c r="AL123" s="72"/>
      <c r="AM123" s="72"/>
      <c r="AN123" s="72"/>
      <c r="AO123" s="72"/>
      <c r="AP123" s="72"/>
      <c r="AQ123" s="72">
        <v>1</v>
      </c>
      <c r="AR123" s="72"/>
      <c r="AS123" s="72"/>
      <c r="AT123" s="72"/>
      <c r="AU123" s="72"/>
      <c r="AV123" s="72"/>
      <c r="AW123" s="72"/>
      <c r="AX123" s="72"/>
      <c r="AY123" s="72"/>
      <c r="AZ123" s="72"/>
      <c r="BA123" s="72"/>
      <c r="BB123" s="72"/>
      <c r="BC123" s="72"/>
      <c r="BD123" s="72"/>
      <c r="BE123" s="72"/>
      <c r="BF123" s="72"/>
      <c r="BG123" s="72"/>
    </row>
    <row r="124" spans="1:59">
      <c r="A124" s="944" t="s">
        <v>613</v>
      </c>
      <c r="B124" s="72"/>
      <c r="C124" s="72">
        <v>60</v>
      </c>
      <c r="D124" s="72"/>
      <c r="E124" s="72"/>
      <c r="F124" s="72"/>
      <c r="G124" s="72">
        <f t="shared" si="9"/>
        <v>180</v>
      </c>
      <c r="H124" s="72">
        <f t="shared" si="6"/>
        <v>60</v>
      </c>
      <c r="I124" s="72"/>
      <c r="J124" s="72"/>
      <c r="K124" s="72"/>
      <c r="L124" s="72"/>
      <c r="M124" s="72" t="s">
        <v>5819</v>
      </c>
      <c r="N124" s="72"/>
      <c r="O124" s="72"/>
      <c r="P124" s="72"/>
      <c r="Q124" s="72"/>
      <c r="R124" s="72"/>
      <c r="S124" s="72" t="s">
        <v>5819</v>
      </c>
      <c r="T124" s="72"/>
      <c r="U124" s="72"/>
      <c r="V124" s="72">
        <v>1</v>
      </c>
      <c r="W124" s="72"/>
      <c r="X124" s="72"/>
      <c r="Y124" s="72"/>
      <c r="Z124" s="72"/>
      <c r="AA124" s="72"/>
      <c r="AB124" s="72"/>
      <c r="AC124" s="72"/>
      <c r="AD124" s="72">
        <v>3</v>
      </c>
      <c r="AE124" s="72">
        <f t="shared" si="7"/>
        <v>0</v>
      </c>
      <c r="AF124" s="72"/>
      <c r="AG124" s="72">
        <f t="shared" si="8"/>
        <v>3</v>
      </c>
      <c r="AH124" s="72"/>
      <c r="AI124" s="72">
        <v>1</v>
      </c>
      <c r="AJ124" s="72"/>
      <c r="AK124" s="72"/>
      <c r="AL124" s="72"/>
      <c r="AM124" s="72"/>
      <c r="AN124" s="72"/>
      <c r="AO124" s="72"/>
      <c r="AP124" s="72"/>
      <c r="AQ124" s="72">
        <v>1</v>
      </c>
      <c r="AR124" s="72"/>
      <c r="AS124" s="72"/>
      <c r="AT124" s="72"/>
      <c r="AU124" s="72"/>
      <c r="AV124" s="72"/>
      <c r="AW124" s="72"/>
      <c r="AX124" s="72"/>
      <c r="AY124" s="72"/>
      <c r="AZ124" s="72"/>
      <c r="BA124" s="72"/>
      <c r="BB124" s="72"/>
      <c r="BC124" s="72"/>
      <c r="BD124" s="72"/>
      <c r="BE124" s="72"/>
      <c r="BF124" s="72"/>
      <c r="BG124" s="72"/>
    </row>
    <row r="125" spans="1:59">
      <c r="A125" s="944" t="s">
        <v>614</v>
      </c>
      <c r="B125" s="72"/>
      <c r="C125" s="72">
        <v>60</v>
      </c>
      <c r="D125" s="72"/>
      <c r="E125" s="72"/>
      <c r="F125" s="72"/>
      <c r="G125" s="72">
        <f t="shared" si="9"/>
        <v>180</v>
      </c>
      <c r="H125" s="72">
        <f t="shared" si="6"/>
        <v>60</v>
      </c>
      <c r="I125" s="72"/>
      <c r="J125" s="72"/>
      <c r="K125" s="72"/>
      <c r="L125" s="72"/>
      <c r="M125" s="72" t="s">
        <v>5819</v>
      </c>
      <c r="N125" s="72"/>
      <c r="O125" s="72"/>
      <c r="P125" s="72"/>
      <c r="Q125" s="72"/>
      <c r="R125" s="72"/>
      <c r="S125" s="72" t="s">
        <v>5819</v>
      </c>
      <c r="T125" s="72"/>
      <c r="U125" s="72"/>
      <c r="V125" s="72">
        <v>1</v>
      </c>
      <c r="W125" s="72"/>
      <c r="X125" s="72"/>
      <c r="Y125" s="72"/>
      <c r="Z125" s="72"/>
      <c r="AA125" s="72"/>
      <c r="AB125" s="72"/>
      <c r="AC125" s="72"/>
      <c r="AD125" s="72">
        <v>3</v>
      </c>
      <c r="AE125" s="72">
        <f t="shared" si="7"/>
        <v>0</v>
      </c>
      <c r="AF125" s="72"/>
      <c r="AG125" s="72">
        <f t="shared" si="8"/>
        <v>3</v>
      </c>
      <c r="AH125" s="72"/>
      <c r="AI125" s="72">
        <v>1</v>
      </c>
      <c r="AJ125" s="72"/>
      <c r="AK125" s="72"/>
      <c r="AL125" s="72"/>
      <c r="AM125" s="72"/>
      <c r="AN125" s="72"/>
      <c r="AO125" s="72"/>
      <c r="AP125" s="72"/>
      <c r="AQ125" s="72">
        <v>1</v>
      </c>
      <c r="AR125" s="72"/>
      <c r="AS125" s="72"/>
      <c r="AT125" s="72"/>
      <c r="AU125" s="72"/>
      <c r="AV125" s="72"/>
      <c r="AW125" s="72"/>
      <c r="AX125" s="72"/>
      <c r="AY125" s="72"/>
      <c r="AZ125" s="72"/>
      <c r="BA125" s="72"/>
      <c r="BB125" s="72"/>
      <c r="BC125" s="72"/>
      <c r="BD125" s="72"/>
      <c r="BE125" s="72"/>
      <c r="BF125" s="72"/>
      <c r="BG125" s="72"/>
    </row>
    <row r="126" spans="1:59">
      <c r="A126" s="944" t="s">
        <v>615</v>
      </c>
      <c r="B126" s="72"/>
      <c r="C126" s="72">
        <v>59</v>
      </c>
      <c r="D126" s="72"/>
      <c r="E126" s="72"/>
      <c r="F126" s="72"/>
      <c r="G126" s="72">
        <f t="shared" si="9"/>
        <v>177</v>
      </c>
      <c r="H126" s="72">
        <f t="shared" si="6"/>
        <v>59</v>
      </c>
      <c r="I126" s="72"/>
      <c r="J126" s="72"/>
      <c r="K126" s="72"/>
      <c r="L126" s="72"/>
      <c r="M126" s="72" t="s">
        <v>5819</v>
      </c>
      <c r="N126" s="72"/>
      <c r="O126" s="72"/>
      <c r="P126" s="72"/>
      <c r="Q126" s="72"/>
      <c r="R126" s="72"/>
      <c r="S126" s="72" t="s">
        <v>5819</v>
      </c>
      <c r="T126" s="72"/>
      <c r="U126" s="72"/>
      <c r="V126" s="72">
        <v>1</v>
      </c>
      <c r="W126" s="72"/>
      <c r="X126" s="72"/>
      <c r="Y126" s="72"/>
      <c r="Z126" s="72"/>
      <c r="AA126" s="72"/>
      <c r="AB126" s="72"/>
      <c r="AC126" s="72"/>
      <c r="AD126" s="72">
        <v>3</v>
      </c>
      <c r="AE126" s="72">
        <f t="shared" si="7"/>
        <v>0</v>
      </c>
      <c r="AF126" s="72"/>
      <c r="AG126" s="72">
        <f t="shared" si="8"/>
        <v>3</v>
      </c>
      <c r="AH126" s="72"/>
      <c r="AI126" s="72">
        <v>1</v>
      </c>
      <c r="AJ126" s="72"/>
      <c r="AK126" s="72"/>
      <c r="AL126" s="72"/>
      <c r="AM126" s="72"/>
      <c r="AN126" s="72"/>
      <c r="AO126" s="72"/>
      <c r="AP126" s="72"/>
      <c r="AQ126" s="72">
        <v>1</v>
      </c>
      <c r="AR126" s="72"/>
      <c r="AS126" s="72"/>
      <c r="AT126" s="72"/>
      <c r="AU126" s="72"/>
      <c r="AV126" s="72"/>
      <c r="AW126" s="72"/>
      <c r="AX126" s="72"/>
      <c r="AY126" s="72"/>
      <c r="AZ126" s="72"/>
      <c r="BA126" s="72"/>
      <c r="BB126" s="72"/>
      <c r="BC126" s="72"/>
      <c r="BD126" s="72"/>
      <c r="BE126" s="72"/>
      <c r="BF126" s="72"/>
      <c r="BG126" s="72"/>
    </row>
    <row r="127" spans="1:59">
      <c r="A127" s="1468" t="s">
        <v>4575</v>
      </c>
      <c r="B127" s="1464"/>
      <c r="C127" s="1464">
        <v>30</v>
      </c>
      <c r="D127" s="1464"/>
      <c r="E127" s="1464"/>
      <c r="F127" s="1464"/>
      <c r="G127" s="1464">
        <f>C127*3</f>
        <v>90</v>
      </c>
      <c r="H127" s="1464">
        <f>C127</f>
        <v>30</v>
      </c>
      <c r="I127" s="1464"/>
      <c r="J127" s="1464"/>
      <c r="K127" s="1464"/>
      <c r="L127" s="1464"/>
      <c r="M127" s="1464">
        <v>2</v>
      </c>
      <c r="N127" s="1464"/>
      <c r="O127" s="1464"/>
      <c r="P127" s="1464"/>
      <c r="Q127" s="1464">
        <v>1</v>
      </c>
      <c r="R127" s="1464"/>
      <c r="S127" s="1464"/>
      <c r="T127" s="1464"/>
      <c r="U127" s="1464"/>
      <c r="V127" s="1464"/>
      <c r="W127" s="1464">
        <v>2</v>
      </c>
      <c r="X127" s="1464"/>
      <c r="Y127" s="1464"/>
      <c r="Z127" s="1464"/>
      <c r="AA127" s="1464"/>
      <c r="AB127" s="1464"/>
      <c r="AC127" s="1464">
        <v>12</v>
      </c>
      <c r="AD127" s="1464">
        <v>12</v>
      </c>
      <c r="AE127" s="1464">
        <v>6</v>
      </c>
      <c r="AF127" s="1464">
        <v>8</v>
      </c>
      <c r="AG127" s="1464">
        <v>6</v>
      </c>
      <c r="AH127" s="1464"/>
      <c r="AI127" s="1464"/>
      <c r="AJ127" s="1464"/>
      <c r="AK127" s="1464"/>
      <c r="AL127" s="1464"/>
      <c r="AM127" s="1464"/>
      <c r="AN127" s="1464"/>
      <c r="AO127" s="1464"/>
      <c r="AP127" s="1464">
        <v>3</v>
      </c>
      <c r="AQ127" s="1464"/>
      <c r="AR127" s="1464"/>
      <c r="AS127" s="1464"/>
      <c r="AT127" s="1464">
        <v>2</v>
      </c>
      <c r="AU127" s="1464">
        <v>1</v>
      </c>
      <c r="AV127" s="1464">
        <v>1</v>
      </c>
      <c r="AW127" s="1464">
        <v>1</v>
      </c>
      <c r="AX127" s="1464"/>
      <c r="AY127" s="1464"/>
      <c r="AZ127" s="1464"/>
      <c r="BA127" s="1464"/>
      <c r="BB127" s="1464"/>
      <c r="BC127" s="1464"/>
      <c r="BD127" s="1464"/>
      <c r="BE127" s="1464"/>
      <c r="BF127" s="1464"/>
      <c r="BG127" s="1464"/>
    </row>
    <row r="128" spans="1:59">
      <c r="A128" s="944" t="s">
        <v>616</v>
      </c>
      <c r="B128" s="72"/>
      <c r="C128" s="72">
        <v>39</v>
      </c>
      <c r="D128" s="72"/>
      <c r="E128" s="72"/>
      <c r="F128" s="72"/>
      <c r="G128" s="72">
        <f t="shared" si="9"/>
        <v>117</v>
      </c>
      <c r="H128" s="72">
        <f t="shared" si="6"/>
        <v>39</v>
      </c>
      <c r="I128" s="72"/>
      <c r="J128" s="72"/>
      <c r="K128" s="72"/>
      <c r="L128" s="72"/>
      <c r="M128" s="72" t="s">
        <v>5819</v>
      </c>
      <c r="N128" s="72"/>
      <c r="O128" s="72"/>
      <c r="P128" s="72"/>
      <c r="Q128" s="72"/>
      <c r="R128" s="72"/>
      <c r="S128" s="72" t="s">
        <v>5819</v>
      </c>
      <c r="T128" s="72"/>
      <c r="U128" s="72"/>
      <c r="V128" s="72">
        <v>1</v>
      </c>
      <c r="W128" s="72"/>
      <c r="X128" s="72"/>
      <c r="Y128" s="72"/>
      <c r="Z128" s="72"/>
      <c r="AA128" s="72"/>
      <c r="AB128" s="72"/>
      <c r="AC128" s="72"/>
      <c r="AD128" s="72">
        <v>3</v>
      </c>
      <c r="AE128" s="72">
        <f t="shared" si="7"/>
        <v>0</v>
      </c>
      <c r="AF128" s="72"/>
      <c r="AG128" s="72">
        <f t="shared" si="8"/>
        <v>3</v>
      </c>
      <c r="AH128" s="72"/>
      <c r="AI128" s="72">
        <v>1</v>
      </c>
      <c r="AJ128" s="72"/>
      <c r="AK128" s="72"/>
      <c r="AL128" s="72"/>
      <c r="AM128" s="72"/>
      <c r="AN128" s="72"/>
      <c r="AO128" s="72"/>
      <c r="AP128" s="72"/>
      <c r="AQ128" s="72">
        <v>1</v>
      </c>
      <c r="AR128" s="72"/>
      <c r="AS128" s="72"/>
      <c r="AT128" s="72"/>
      <c r="AU128" s="72"/>
      <c r="AV128" s="72"/>
      <c r="AW128" s="72"/>
      <c r="AX128" s="72"/>
      <c r="AY128" s="72"/>
      <c r="AZ128" s="72"/>
      <c r="BA128" s="72"/>
      <c r="BB128" s="72"/>
      <c r="BC128" s="72"/>
      <c r="BD128" s="72"/>
      <c r="BE128" s="72"/>
      <c r="BF128" s="72"/>
      <c r="BG128" s="72"/>
    </row>
    <row r="129" spans="1:59">
      <c r="A129" s="944" t="s">
        <v>617</v>
      </c>
      <c r="B129" s="72"/>
      <c r="C129" s="72">
        <v>50</v>
      </c>
      <c r="D129" s="72"/>
      <c r="E129" s="72"/>
      <c r="F129" s="72"/>
      <c r="G129" s="72">
        <f t="shared" si="9"/>
        <v>150</v>
      </c>
      <c r="H129" s="72">
        <f t="shared" si="6"/>
        <v>50</v>
      </c>
      <c r="I129" s="72"/>
      <c r="J129" s="72"/>
      <c r="K129" s="72"/>
      <c r="L129" s="72"/>
      <c r="M129" s="72" t="s">
        <v>5819</v>
      </c>
      <c r="N129" s="72"/>
      <c r="O129" s="72"/>
      <c r="P129" s="72"/>
      <c r="Q129" s="72"/>
      <c r="R129" s="72"/>
      <c r="S129" s="72" t="s">
        <v>5819</v>
      </c>
      <c r="T129" s="72"/>
      <c r="U129" s="72"/>
      <c r="V129" s="72">
        <v>1</v>
      </c>
      <c r="W129" s="72"/>
      <c r="X129" s="72"/>
      <c r="Y129" s="72"/>
      <c r="Z129" s="72"/>
      <c r="AA129" s="72"/>
      <c r="AB129" s="72"/>
      <c r="AC129" s="72"/>
      <c r="AD129" s="72">
        <v>3</v>
      </c>
      <c r="AE129" s="72">
        <f t="shared" si="7"/>
        <v>0</v>
      </c>
      <c r="AF129" s="72"/>
      <c r="AG129" s="72">
        <f t="shared" si="8"/>
        <v>3</v>
      </c>
      <c r="AH129" s="72"/>
      <c r="AI129" s="72">
        <v>1</v>
      </c>
      <c r="AJ129" s="72"/>
      <c r="AK129" s="72"/>
      <c r="AL129" s="72"/>
      <c r="AM129" s="72"/>
      <c r="AN129" s="72"/>
      <c r="AO129" s="72"/>
      <c r="AP129" s="72"/>
      <c r="AQ129" s="72">
        <v>1</v>
      </c>
      <c r="AR129" s="72"/>
      <c r="AS129" s="72"/>
      <c r="AT129" s="72"/>
      <c r="AU129" s="72"/>
      <c r="AV129" s="72"/>
      <c r="AW129" s="72"/>
      <c r="AX129" s="72"/>
      <c r="AY129" s="72"/>
      <c r="AZ129" s="72"/>
      <c r="BA129" s="72"/>
      <c r="BB129" s="72"/>
      <c r="BC129" s="72"/>
      <c r="BD129" s="72"/>
      <c r="BE129" s="72"/>
      <c r="BF129" s="72"/>
      <c r="BG129" s="72"/>
    </row>
    <row r="130" spans="1:59">
      <c r="A130" s="944" t="s">
        <v>618</v>
      </c>
      <c r="B130" s="72"/>
      <c r="C130" s="72">
        <v>59</v>
      </c>
      <c r="D130" s="72">
        <v>4</v>
      </c>
      <c r="E130" s="72"/>
      <c r="F130" s="72"/>
      <c r="G130" s="72">
        <f t="shared" si="9"/>
        <v>177</v>
      </c>
      <c r="H130" s="72">
        <f t="shared" si="6"/>
        <v>59</v>
      </c>
      <c r="I130" s="72"/>
      <c r="J130" s="72"/>
      <c r="K130" s="72"/>
      <c r="L130" s="72"/>
      <c r="M130" s="72" t="s">
        <v>5819</v>
      </c>
      <c r="N130" s="72"/>
      <c r="O130" s="72"/>
      <c r="P130" s="72"/>
      <c r="Q130" s="72"/>
      <c r="R130" s="72"/>
      <c r="S130" s="72" t="s">
        <v>5819</v>
      </c>
      <c r="T130" s="72"/>
      <c r="U130" s="72"/>
      <c r="V130" s="72">
        <v>1</v>
      </c>
      <c r="W130" s="72"/>
      <c r="X130" s="72"/>
      <c r="Y130" s="72"/>
      <c r="Z130" s="72"/>
      <c r="AA130" s="72"/>
      <c r="AB130" s="72"/>
      <c r="AC130" s="72"/>
      <c r="AD130" s="72">
        <v>3</v>
      </c>
      <c r="AE130" s="72">
        <f t="shared" si="7"/>
        <v>0</v>
      </c>
      <c r="AF130" s="72"/>
      <c r="AG130" s="72">
        <f t="shared" si="8"/>
        <v>3</v>
      </c>
      <c r="AH130" s="72"/>
      <c r="AI130" s="72">
        <v>1</v>
      </c>
      <c r="AJ130" s="72"/>
      <c r="AK130" s="72"/>
      <c r="AL130" s="72"/>
      <c r="AM130" s="72"/>
      <c r="AN130" s="72"/>
      <c r="AO130" s="72"/>
      <c r="AP130" s="72"/>
      <c r="AQ130" s="72">
        <v>1</v>
      </c>
      <c r="AR130" s="72"/>
      <c r="AS130" s="72"/>
      <c r="AT130" s="72"/>
      <c r="AU130" s="72"/>
      <c r="AV130" s="72"/>
      <c r="AW130" s="72"/>
      <c r="AX130" s="72"/>
      <c r="AY130" s="72"/>
      <c r="AZ130" s="72">
        <v>1</v>
      </c>
      <c r="BA130" s="72">
        <v>1</v>
      </c>
      <c r="BB130" s="72"/>
      <c r="BC130" s="72"/>
      <c r="BD130" s="72"/>
      <c r="BE130" s="72"/>
      <c r="BF130" s="72"/>
      <c r="BG130" s="72"/>
    </row>
    <row r="131" spans="1:59">
      <c r="A131" s="1468" t="s">
        <v>4572</v>
      </c>
      <c r="B131" s="1464"/>
      <c r="C131" s="1464">
        <v>40</v>
      </c>
      <c r="D131" s="1464"/>
      <c r="E131" s="1464"/>
      <c r="F131" s="1464"/>
      <c r="G131" s="1464">
        <f t="shared" si="9"/>
        <v>120</v>
      </c>
      <c r="H131" s="1464">
        <f t="shared" si="6"/>
        <v>40</v>
      </c>
      <c r="I131" s="1464"/>
      <c r="J131" s="1464"/>
      <c r="K131" s="1464"/>
      <c r="L131" s="1464"/>
      <c r="M131" s="1464">
        <v>2</v>
      </c>
      <c r="N131" s="1464"/>
      <c r="O131" s="1464"/>
      <c r="P131" s="1464"/>
      <c r="Q131" s="1464">
        <v>1</v>
      </c>
      <c r="R131" s="1464"/>
      <c r="S131" s="1464"/>
      <c r="T131" s="1464"/>
      <c r="U131" s="1464"/>
      <c r="V131" s="1464"/>
      <c r="W131" s="1464">
        <v>2</v>
      </c>
      <c r="X131" s="1464"/>
      <c r="Y131" s="1464"/>
      <c r="Z131" s="1464"/>
      <c r="AA131" s="1464"/>
      <c r="AB131" s="1464"/>
      <c r="AC131" s="1464">
        <v>12</v>
      </c>
      <c r="AD131" s="1464">
        <v>12</v>
      </c>
      <c r="AE131" s="1464">
        <v>6</v>
      </c>
      <c r="AF131" s="1464">
        <v>8</v>
      </c>
      <c r="AG131" s="1464">
        <v>6</v>
      </c>
      <c r="AH131" s="1464"/>
      <c r="AI131" s="1464"/>
      <c r="AJ131" s="1464"/>
      <c r="AK131" s="1464"/>
      <c r="AL131" s="1464"/>
      <c r="AM131" s="1464"/>
      <c r="AN131" s="1464"/>
      <c r="AO131" s="1464"/>
      <c r="AP131" s="1464">
        <v>3</v>
      </c>
      <c r="AQ131" s="1464"/>
      <c r="AR131" s="1464"/>
      <c r="AS131" s="1464"/>
      <c r="AT131" s="1464">
        <v>2</v>
      </c>
      <c r="AU131" s="1464">
        <v>1</v>
      </c>
      <c r="AV131" s="1464">
        <v>1</v>
      </c>
      <c r="AW131" s="1464">
        <v>1</v>
      </c>
      <c r="AX131" s="1464"/>
      <c r="AY131" s="1464"/>
      <c r="AZ131" s="1464"/>
      <c r="BA131" s="1464"/>
      <c r="BB131" s="1464"/>
      <c r="BC131" s="1464"/>
      <c r="BD131" s="1464"/>
      <c r="BE131" s="1464"/>
      <c r="BF131" s="1464"/>
      <c r="BG131" s="1464"/>
    </row>
    <row r="132" spans="1:59">
      <c r="A132" s="944" t="s">
        <v>619</v>
      </c>
      <c r="B132" s="72"/>
      <c r="C132" s="72">
        <v>33</v>
      </c>
      <c r="D132" s="72"/>
      <c r="E132" s="72"/>
      <c r="F132" s="72"/>
      <c r="G132" s="72">
        <f>(C132+1)*3</f>
        <v>102</v>
      </c>
      <c r="H132" s="72">
        <f>C132+1</f>
        <v>34</v>
      </c>
      <c r="I132" s="72"/>
      <c r="J132" s="72"/>
      <c r="K132" s="72"/>
      <c r="L132" s="72"/>
      <c r="M132" s="72" t="s">
        <v>5819</v>
      </c>
      <c r="N132" s="72"/>
      <c r="O132" s="72"/>
      <c r="P132" s="72"/>
      <c r="Q132" s="72" t="s">
        <v>5819</v>
      </c>
      <c r="R132" s="72"/>
      <c r="S132" s="72"/>
      <c r="T132" s="72"/>
      <c r="U132" s="72"/>
      <c r="V132" s="72"/>
      <c r="W132" s="72">
        <v>1</v>
      </c>
      <c r="X132" s="72"/>
      <c r="Y132" s="72"/>
      <c r="Z132" s="72"/>
      <c r="AA132" s="72"/>
      <c r="AB132" s="72"/>
      <c r="AC132" s="72">
        <v>3</v>
      </c>
      <c r="AD132" s="72"/>
      <c r="AE132" s="72">
        <f t="shared" si="7"/>
        <v>3</v>
      </c>
      <c r="AF132" s="72">
        <v>1</v>
      </c>
      <c r="AG132" s="72">
        <f t="shared" si="8"/>
        <v>0</v>
      </c>
      <c r="AH132" s="72"/>
      <c r="AI132" s="72"/>
      <c r="AJ132" s="72"/>
      <c r="AK132" s="72"/>
      <c r="AL132" s="72"/>
      <c r="AM132" s="72"/>
      <c r="AN132" s="72"/>
      <c r="AO132" s="72"/>
      <c r="AP132" s="72"/>
      <c r="AQ132" s="72"/>
      <c r="AR132" s="72"/>
      <c r="AS132" s="72"/>
      <c r="AT132" s="72">
        <v>1</v>
      </c>
      <c r="AU132" s="72"/>
      <c r="AV132" s="72"/>
      <c r="AW132" s="72"/>
      <c r="AX132" s="72"/>
      <c r="AY132" s="72"/>
      <c r="AZ132" s="72"/>
      <c r="BA132" s="72"/>
      <c r="BB132" s="72"/>
      <c r="BC132" s="72"/>
      <c r="BD132" s="72"/>
      <c r="BE132" s="72"/>
      <c r="BF132" s="72"/>
      <c r="BG132" s="72"/>
    </row>
    <row r="133" spans="1:59" s="1372" customFormat="1" ht="20.100000000000001" customHeight="1">
      <c r="A133" s="1394" t="s">
        <v>5817</v>
      </c>
      <c r="B133" s="1395"/>
      <c r="C133" s="1396">
        <f>SUM(C107:C132)</f>
        <v>1179</v>
      </c>
      <c r="D133" s="1396">
        <f t="shared" ref="D133:AJ133" si="10">SUM(D107:D132)</f>
        <v>4</v>
      </c>
      <c r="E133" s="1396">
        <f t="shared" si="10"/>
        <v>15</v>
      </c>
      <c r="F133" s="1396">
        <f t="shared" si="10"/>
        <v>48</v>
      </c>
      <c r="G133" s="1396">
        <f t="shared" si="10"/>
        <v>3561</v>
      </c>
      <c r="H133" s="1396">
        <f t="shared" si="10"/>
        <v>1181</v>
      </c>
      <c r="I133" s="1396">
        <f t="shared" si="10"/>
        <v>0</v>
      </c>
      <c r="J133" s="1396">
        <f t="shared" si="10"/>
        <v>0</v>
      </c>
      <c r="K133" s="1396">
        <f t="shared" si="10"/>
        <v>0</v>
      </c>
      <c r="L133" s="1396">
        <f t="shared" si="10"/>
        <v>0</v>
      </c>
      <c r="M133" s="1396">
        <f t="shared" si="10"/>
        <v>8</v>
      </c>
      <c r="N133" s="1396">
        <f t="shared" si="10"/>
        <v>0</v>
      </c>
      <c r="O133" s="1396">
        <f t="shared" si="10"/>
        <v>0</v>
      </c>
      <c r="P133" s="1396">
        <f t="shared" si="10"/>
        <v>0</v>
      </c>
      <c r="Q133" s="1396">
        <f t="shared" si="10"/>
        <v>3</v>
      </c>
      <c r="R133" s="1396">
        <f t="shared" si="10"/>
        <v>2</v>
      </c>
      <c r="S133" s="1396">
        <f t="shared" si="10"/>
        <v>0</v>
      </c>
      <c r="T133" s="1396">
        <f t="shared" si="10"/>
        <v>1</v>
      </c>
      <c r="U133" s="1396">
        <f t="shared" si="10"/>
        <v>0</v>
      </c>
      <c r="V133" s="1396">
        <f t="shared" si="10"/>
        <v>21</v>
      </c>
      <c r="W133" s="1396">
        <f t="shared" si="10"/>
        <v>11</v>
      </c>
      <c r="X133" s="1396">
        <f t="shared" si="10"/>
        <v>0</v>
      </c>
      <c r="Y133" s="1396">
        <f t="shared" si="10"/>
        <v>0</v>
      </c>
      <c r="Z133" s="1396">
        <f t="shared" si="10"/>
        <v>0</v>
      </c>
      <c r="AA133" s="1396">
        <f t="shared" si="10"/>
        <v>0</v>
      </c>
      <c r="AB133" s="1396">
        <f t="shared" si="10"/>
        <v>0</v>
      </c>
      <c r="AC133" s="1396">
        <f t="shared" si="10"/>
        <v>54</v>
      </c>
      <c r="AD133" s="1396">
        <f t="shared" si="10"/>
        <v>114</v>
      </c>
      <c r="AE133" s="1396">
        <f t="shared" si="10"/>
        <v>36</v>
      </c>
      <c r="AF133" s="1396">
        <f t="shared" si="10"/>
        <v>30</v>
      </c>
      <c r="AG133" s="1396">
        <f t="shared" si="10"/>
        <v>90</v>
      </c>
      <c r="AH133" s="1396">
        <f t="shared" si="10"/>
        <v>0</v>
      </c>
      <c r="AI133" s="1396">
        <f t="shared" si="10"/>
        <v>19</v>
      </c>
      <c r="AJ133" s="1396">
        <f t="shared" si="10"/>
        <v>0</v>
      </c>
      <c r="AK133" s="1396">
        <f t="shared" ref="AK133:BG133" si="11">SUM(AK107:AK132)</f>
        <v>0</v>
      </c>
      <c r="AL133" s="1396">
        <f t="shared" si="11"/>
        <v>0</v>
      </c>
      <c r="AM133" s="1396">
        <f t="shared" si="11"/>
        <v>0</v>
      </c>
      <c r="AN133" s="1396">
        <f t="shared" si="11"/>
        <v>0</v>
      </c>
      <c r="AO133" s="1396">
        <f t="shared" si="11"/>
        <v>0</v>
      </c>
      <c r="AP133" s="1396">
        <f t="shared" si="11"/>
        <v>9</v>
      </c>
      <c r="AQ133" s="1396">
        <f t="shared" si="11"/>
        <v>18</v>
      </c>
      <c r="AR133" s="1396">
        <f t="shared" si="11"/>
        <v>1</v>
      </c>
      <c r="AS133" s="1396">
        <f t="shared" si="11"/>
        <v>1</v>
      </c>
      <c r="AT133" s="1396">
        <f t="shared" si="11"/>
        <v>11</v>
      </c>
      <c r="AU133" s="1396">
        <f t="shared" si="11"/>
        <v>3</v>
      </c>
      <c r="AV133" s="1396">
        <f t="shared" si="11"/>
        <v>3</v>
      </c>
      <c r="AW133" s="1396">
        <f t="shared" si="11"/>
        <v>3</v>
      </c>
      <c r="AX133" s="1396">
        <f t="shared" si="11"/>
        <v>3</v>
      </c>
      <c r="AY133" s="1396">
        <f t="shared" si="11"/>
        <v>3</v>
      </c>
      <c r="AZ133" s="1396">
        <f t="shared" si="11"/>
        <v>3</v>
      </c>
      <c r="BA133" s="1396">
        <f t="shared" si="11"/>
        <v>7</v>
      </c>
      <c r="BB133" s="1396">
        <f t="shared" si="11"/>
        <v>2</v>
      </c>
      <c r="BC133" s="1396">
        <f t="shared" si="11"/>
        <v>2</v>
      </c>
      <c r="BD133" s="1396">
        <f t="shared" si="11"/>
        <v>0</v>
      </c>
      <c r="BE133" s="1396">
        <f t="shared" si="11"/>
        <v>0</v>
      </c>
      <c r="BF133" s="1396">
        <f t="shared" si="11"/>
        <v>0</v>
      </c>
      <c r="BG133" s="1396">
        <f t="shared" si="11"/>
        <v>0</v>
      </c>
    </row>
    <row r="134" spans="1:59" ht="3" customHeight="1">
      <c r="A134" s="2081" t="s">
        <v>1208</v>
      </c>
      <c r="B134" s="2082"/>
      <c r="C134" s="945"/>
      <c r="D134" s="945"/>
      <c r="E134" s="945"/>
      <c r="F134" s="946"/>
      <c r="G134" s="946"/>
      <c r="H134" s="946"/>
      <c r="I134" s="946"/>
      <c r="J134" s="946"/>
      <c r="K134" s="946"/>
      <c r="L134" s="945"/>
      <c r="M134" s="947"/>
      <c r="N134" s="947"/>
      <c r="O134" s="947"/>
      <c r="P134" s="947"/>
      <c r="Q134" s="947"/>
      <c r="R134" s="947"/>
      <c r="S134" s="947"/>
      <c r="T134" s="948"/>
      <c r="U134" s="948"/>
      <c r="V134" s="948"/>
      <c r="W134" s="948"/>
      <c r="X134" s="948"/>
      <c r="Y134" s="948"/>
      <c r="Z134" s="948"/>
      <c r="AA134" s="948"/>
      <c r="AB134" s="948"/>
      <c r="AC134" s="948"/>
      <c r="AD134" s="948"/>
      <c r="AE134" s="948"/>
      <c r="AF134" s="948"/>
      <c r="AG134" s="948"/>
      <c r="AH134" s="948"/>
      <c r="AI134" s="948"/>
      <c r="AJ134" s="948"/>
      <c r="AK134" s="948"/>
      <c r="AL134" s="948"/>
      <c r="AM134" s="948"/>
      <c r="AN134" s="948"/>
      <c r="AO134" s="948"/>
      <c r="AP134" s="948"/>
      <c r="AQ134" s="948"/>
      <c r="AR134" s="948"/>
      <c r="AS134" s="948"/>
      <c r="AT134" s="948"/>
      <c r="AU134" s="948"/>
      <c r="AV134" s="948"/>
      <c r="AW134" s="948"/>
      <c r="AX134" s="948"/>
      <c r="AY134" s="948"/>
      <c r="AZ134" s="948"/>
      <c r="BA134" s="948"/>
      <c r="BB134" s="948"/>
      <c r="BC134" s="948"/>
      <c r="BD134" s="948"/>
      <c r="BE134" s="948"/>
      <c r="BF134" s="948"/>
      <c r="BG134" s="949"/>
    </row>
    <row r="135" spans="1:59" s="631" customFormat="1" ht="30" customHeight="1">
      <c r="A135" s="2083"/>
      <c r="B135" s="2084"/>
      <c r="C135" s="1397">
        <f t="shared" ref="C135:BG135" si="12">C104+C133</f>
        <v>3604</v>
      </c>
      <c r="D135" s="1397">
        <f t="shared" si="12"/>
        <v>4</v>
      </c>
      <c r="E135" s="1397">
        <f t="shared" si="12"/>
        <v>103</v>
      </c>
      <c r="F135" s="1397">
        <f t="shared" si="12"/>
        <v>93</v>
      </c>
      <c r="G135" s="1397">
        <f t="shared" si="12"/>
        <v>10482</v>
      </c>
      <c r="H135" s="1397">
        <f t="shared" si="12"/>
        <v>3999</v>
      </c>
      <c r="I135" s="1397">
        <f t="shared" si="12"/>
        <v>0</v>
      </c>
      <c r="J135" s="1397">
        <f t="shared" si="12"/>
        <v>0</v>
      </c>
      <c r="K135" s="1397">
        <f t="shared" si="12"/>
        <v>0</v>
      </c>
      <c r="L135" s="1397">
        <f t="shared" si="12"/>
        <v>22</v>
      </c>
      <c r="M135" s="1397">
        <f t="shared" si="12"/>
        <v>8</v>
      </c>
      <c r="N135" s="1397">
        <f t="shared" si="12"/>
        <v>0</v>
      </c>
      <c r="O135" s="1397">
        <f t="shared" si="12"/>
        <v>2</v>
      </c>
      <c r="P135" s="1397">
        <f t="shared" si="12"/>
        <v>18</v>
      </c>
      <c r="Q135" s="1397">
        <f t="shared" si="12"/>
        <v>3</v>
      </c>
      <c r="R135" s="1397">
        <f t="shared" si="12"/>
        <v>2</v>
      </c>
      <c r="S135" s="1397">
        <f t="shared" si="12"/>
        <v>0</v>
      </c>
      <c r="T135" s="1397">
        <f t="shared" si="12"/>
        <v>1</v>
      </c>
      <c r="U135" s="1397">
        <f t="shared" si="12"/>
        <v>0</v>
      </c>
      <c r="V135" s="1397">
        <f t="shared" si="12"/>
        <v>77</v>
      </c>
      <c r="W135" s="1397">
        <f t="shared" si="12"/>
        <v>39</v>
      </c>
      <c r="X135" s="1397">
        <f t="shared" si="12"/>
        <v>2</v>
      </c>
      <c r="Y135" s="1397">
        <f t="shared" si="12"/>
        <v>0</v>
      </c>
      <c r="Z135" s="1397">
        <f t="shared" si="12"/>
        <v>4</v>
      </c>
      <c r="AA135" s="1397">
        <f t="shared" si="12"/>
        <v>6</v>
      </c>
      <c r="AB135" s="1397">
        <f t="shared" si="12"/>
        <v>0</v>
      </c>
      <c r="AC135" s="1397">
        <f t="shared" si="12"/>
        <v>186</v>
      </c>
      <c r="AD135" s="1397">
        <f t="shared" si="12"/>
        <v>444</v>
      </c>
      <c r="AE135" s="1397">
        <f t="shared" si="12"/>
        <v>84</v>
      </c>
      <c r="AF135" s="1397">
        <f t="shared" si="12"/>
        <v>133</v>
      </c>
      <c r="AG135" s="1397">
        <f t="shared" si="12"/>
        <v>330</v>
      </c>
      <c r="AH135" s="1397">
        <f t="shared" si="12"/>
        <v>0</v>
      </c>
      <c r="AI135" s="1397">
        <f t="shared" si="12"/>
        <v>59</v>
      </c>
      <c r="AJ135" s="1397">
        <f t="shared" si="12"/>
        <v>0</v>
      </c>
      <c r="AK135" s="1397">
        <f t="shared" si="12"/>
        <v>0</v>
      </c>
      <c r="AL135" s="1397">
        <f t="shared" si="12"/>
        <v>0</v>
      </c>
      <c r="AM135" s="1397">
        <f t="shared" si="12"/>
        <v>16</v>
      </c>
      <c r="AN135" s="1397">
        <f t="shared" si="12"/>
        <v>0</v>
      </c>
      <c r="AO135" s="1397">
        <f t="shared" si="12"/>
        <v>6</v>
      </c>
      <c r="AP135" s="1397">
        <f t="shared" si="12"/>
        <v>70</v>
      </c>
      <c r="AQ135" s="1397">
        <f t="shared" si="12"/>
        <v>60</v>
      </c>
      <c r="AR135" s="1397">
        <f t="shared" si="12"/>
        <v>1</v>
      </c>
      <c r="AS135" s="1397">
        <f t="shared" si="12"/>
        <v>20</v>
      </c>
      <c r="AT135" s="1397">
        <f t="shared" si="12"/>
        <v>11</v>
      </c>
      <c r="AU135" s="1397">
        <f t="shared" si="12"/>
        <v>3</v>
      </c>
      <c r="AV135" s="1397">
        <f t="shared" si="12"/>
        <v>3</v>
      </c>
      <c r="AW135" s="1397">
        <f t="shared" si="12"/>
        <v>3</v>
      </c>
      <c r="AX135" s="1397">
        <f t="shared" si="12"/>
        <v>6</v>
      </c>
      <c r="AY135" s="1397">
        <f t="shared" si="12"/>
        <v>9</v>
      </c>
      <c r="AZ135" s="1397">
        <f t="shared" si="12"/>
        <v>33</v>
      </c>
      <c r="BA135" s="1397">
        <f t="shared" si="12"/>
        <v>39</v>
      </c>
      <c r="BB135" s="1397">
        <f t="shared" si="12"/>
        <v>8</v>
      </c>
      <c r="BC135" s="1397">
        <f t="shared" si="12"/>
        <v>3</v>
      </c>
      <c r="BD135" s="1397">
        <f t="shared" si="12"/>
        <v>8</v>
      </c>
      <c r="BE135" s="1397">
        <f t="shared" si="12"/>
        <v>0</v>
      </c>
      <c r="BF135" s="1397">
        <f t="shared" si="12"/>
        <v>0</v>
      </c>
      <c r="BG135" s="1397">
        <f t="shared" si="12"/>
        <v>0</v>
      </c>
    </row>
    <row r="136" spans="1:59" ht="10.5" customHeight="1">
      <c r="A136" s="40"/>
      <c r="B136" s="52"/>
      <c r="C136" s="40"/>
      <c r="D136" s="40"/>
      <c r="E136" s="40"/>
      <c r="F136" s="40"/>
      <c r="G136" s="40"/>
      <c r="H136" s="40"/>
      <c r="I136" s="40"/>
      <c r="J136" s="40"/>
      <c r="K136" s="40"/>
      <c r="L136" s="40"/>
      <c r="M136" s="40"/>
      <c r="N136" s="40"/>
      <c r="O136" s="40"/>
      <c r="P136" s="40"/>
    </row>
    <row r="137" spans="1:59">
      <c r="A137" s="2075" t="s">
        <v>3844</v>
      </c>
      <c r="B137" s="2075"/>
      <c r="C137" s="2075"/>
      <c r="D137" s="1366"/>
      <c r="E137" s="1366"/>
      <c r="F137" s="40"/>
      <c r="G137" s="40"/>
      <c r="H137" s="40"/>
      <c r="I137" s="40"/>
      <c r="J137" s="40"/>
      <c r="K137" s="40"/>
      <c r="L137" s="40"/>
      <c r="M137" s="40"/>
      <c r="N137" s="40"/>
      <c r="O137" s="40"/>
      <c r="P137" s="40"/>
    </row>
    <row r="138" spans="1:59">
      <c r="A138" s="2073" t="s">
        <v>3845</v>
      </c>
      <c r="B138" s="2073"/>
      <c r="C138" s="2073"/>
      <c r="D138" s="52"/>
      <c r="E138" s="52"/>
    </row>
    <row r="139" spans="1:59">
      <c r="A139" s="40"/>
      <c r="B139" s="52"/>
      <c r="C139" s="40"/>
      <c r="D139" s="40"/>
      <c r="E139" s="40"/>
      <c r="F139" s="41"/>
      <c r="G139" s="41"/>
      <c r="H139" s="41"/>
      <c r="I139" s="41"/>
      <c r="J139" s="1371">
        <f>E135</f>
        <v>103</v>
      </c>
      <c r="K139" s="43" t="s">
        <v>4645</v>
      </c>
      <c r="Q139" s="40"/>
      <c r="R139" s="40"/>
      <c r="S139" s="40"/>
    </row>
    <row r="140" spans="1:59">
      <c r="A140" s="40"/>
      <c r="B140" s="52"/>
      <c r="C140" s="40"/>
      <c r="D140" s="40"/>
      <c r="E140" s="40"/>
      <c r="F140" s="41"/>
      <c r="G140" s="41"/>
      <c r="H140" s="41"/>
      <c r="I140" s="41"/>
      <c r="J140" s="1371">
        <f>F135</f>
        <v>93</v>
      </c>
      <c r="K140" s="43" t="s">
        <v>2040</v>
      </c>
      <c r="Q140" s="40"/>
      <c r="R140" s="40"/>
      <c r="S140" s="40"/>
    </row>
    <row r="141" spans="1:59">
      <c r="A141" s="40"/>
      <c r="B141" s="52"/>
      <c r="C141" s="40"/>
      <c r="D141" s="40"/>
      <c r="E141" s="40"/>
      <c r="F141" s="41"/>
      <c r="G141" s="41"/>
      <c r="H141" s="41" t="str">
        <f>+ROUND(G135,0)&amp;"m x 1,02 ="</f>
        <v>10482m x 1,02 =</v>
      </c>
      <c r="I141" s="41"/>
      <c r="J141" s="1371">
        <f>+ROUND(G135*1.02,0)</f>
        <v>10692</v>
      </c>
      <c r="K141" s="43" t="s">
        <v>2044</v>
      </c>
      <c r="Q141" s="40"/>
      <c r="R141" s="40"/>
      <c r="S141" s="40"/>
    </row>
    <row r="142" spans="1:59">
      <c r="A142" s="40"/>
      <c r="B142" s="52"/>
      <c r="C142" s="40"/>
      <c r="D142" s="40"/>
      <c r="E142" s="40"/>
      <c r="F142" s="41"/>
      <c r="G142" s="41"/>
      <c r="H142" s="41" t="str">
        <f>+ROUND(H135,0)&amp;"m x 1,02 ="</f>
        <v>3999m x 1,02 =</v>
      </c>
      <c r="I142" s="41"/>
      <c r="J142" s="1371">
        <f>+ROUND(+H135*1.02,0)</f>
        <v>4079</v>
      </c>
      <c r="K142" s="43" t="s">
        <v>4550</v>
      </c>
      <c r="Q142" s="40"/>
      <c r="R142" s="40"/>
      <c r="S142" s="40"/>
    </row>
    <row r="143" spans="1:59">
      <c r="A143" s="2073" t="s">
        <v>3846</v>
      </c>
      <c r="B143" s="2073"/>
      <c r="C143" s="2073"/>
      <c r="D143" s="52"/>
      <c r="E143" s="52"/>
      <c r="F143" s="40"/>
      <c r="G143" s="40"/>
      <c r="H143" s="40"/>
      <c r="I143" s="40"/>
      <c r="J143" s="41"/>
      <c r="K143" s="40"/>
      <c r="Q143" s="40"/>
      <c r="R143" s="40"/>
      <c r="S143" s="40"/>
    </row>
    <row r="144" spans="1:59">
      <c r="F144" s="41"/>
      <c r="G144" s="41"/>
      <c r="H144" s="41" t="str">
        <f>J142&amp;" m x 0,705 kg/m ="</f>
        <v>4079 m x 0,705 kg/m =</v>
      </c>
      <c r="I144" s="41"/>
      <c r="J144" s="1371">
        <f>+ROUND((J142*0.705),0)</f>
        <v>2876</v>
      </c>
      <c r="K144" s="43" t="s">
        <v>4551</v>
      </c>
    </row>
    <row r="145" spans="6:13">
      <c r="F145" s="41"/>
      <c r="G145" s="41"/>
      <c r="H145" s="41"/>
      <c r="I145" s="41"/>
      <c r="J145" s="41"/>
      <c r="K145" s="41"/>
      <c r="L145" s="41"/>
      <c r="M145" s="44"/>
    </row>
  </sheetData>
  <mergeCells count="44">
    <mergeCell ref="AJ3:AJ4"/>
    <mergeCell ref="AQ3:AQ4"/>
    <mergeCell ref="AL3:AL4"/>
    <mergeCell ref="AM3:AM4"/>
    <mergeCell ref="AN3:AN4"/>
    <mergeCell ref="AO3:AO4"/>
    <mergeCell ref="AP3:AP4"/>
    <mergeCell ref="BB3:BB4"/>
    <mergeCell ref="AG3:AG4"/>
    <mergeCell ref="A143:C143"/>
    <mergeCell ref="C3:C4"/>
    <mergeCell ref="A3:A4"/>
    <mergeCell ref="E3:J3"/>
    <mergeCell ref="AC3:AC4"/>
    <mergeCell ref="AH3:AH4"/>
    <mergeCell ref="B3:B4"/>
    <mergeCell ref="AB3:AB4"/>
    <mergeCell ref="A134:B135"/>
    <mergeCell ref="A137:C137"/>
    <mergeCell ref="AD3:AD4"/>
    <mergeCell ref="A138:C138"/>
    <mergeCell ref="AI3:AI4"/>
    <mergeCell ref="AE3:AE4"/>
    <mergeCell ref="AW3:AW4"/>
    <mergeCell ref="AZ3:AZ4"/>
    <mergeCell ref="AV3:AV4"/>
    <mergeCell ref="AS3:AS4"/>
    <mergeCell ref="AT3:AT4"/>
    <mergeCell ref="BF3:BF4"/>
    <mergeCell ref="AX3:AX4"/>
    <mergeCell ref="AU3:AU4"/>
    <mergeCell ref="BA3:BA4"/>
    <mergeCell ref="A1:BG1"/>
    <mergeCell ref="K3:N3"/>
    <mergeCell ref="Q3:S3"/>
    <mergeCell ref="T3:W3"/>
    <mergeCell ref="BG3:BG4"/>
    <mergeCell ref="AY3:AY4"/>
    <mergeCell ref="AR3:AR4"/>
    <mergeCell ref="BC3:BC4"/>
    <mergeCell ref="AK3:AK4"/>
    <mergeCell ref="BE3:BE4"/>
    <mergeCell ref="AF3:AF4"/>
    <mergeCell ref="BD3:BD4"/>
  </mergeCells>
  <phoneticPr fontId="75" type="noConversion"/>
  <printOptions horizontalCentered="1"/>
  <pageMargins left="0.19685039370078741" right="0.19685039370078741" top="0.70866141732283472" bottom="0.39370078740157483" header="0.19685039370078741" footer="0.19685039370078741"/>
  <pageSetup paperSize="8" firstPageNumber="32" orientation="landscape" blackAndWhite="1" useFirstPageNumber="1"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tabColor indexed="42"/>
  </sheetPr>
  <dimension ref="A1:BA103"/>
  <sheetViews>
    <sheetView showZeros="0" workbookViewId="0">
      <pane xSplit="2" ySplit="49" topLeftCell="C50" activePane="bottomRight" state="frozen"/>
      <selection activeCell="C10" sqref="C10:D10"/>
      <selection pane="topRight" activeCell="C10" sqref="C10:D10"/>
      <selection pane="bottomLeft" activeCell="C10" sqref="C10:D10"/>
      <selection pane="bottomRight" activeCell="C10" sqref="C10:D10"/>
    </sheetView>
  </sheetViews>
  <sheetFormatPr defaultColWidth="9.33203125" defaultRowHeight="12.75"/>
  <cols>
    <col min="1" max="1" width="15.83203125" style="38" customWidth="1"/>
    <col min="2" max="2" width="8.6640625" style="53" customWidth="1"/>
    <col min="3" max="3" width="17" style="38" bestFit="1" customWidth="1"/>
    <col min="4" max="6" width="4" style="38" customWidth="1"/>
    <col min="7" max="7" width="6.6640625" style="38" customWidth="1"/>
    <col min="8" max="37" width="4" style="38" customWidth="1"/>
    <col min="38" max="38" width="3.6640625" style="38" bestFit="1" customWidth="1"/>
    <col min="39" max="51" width="4" style="38" customWidth="1"/>
    <col min="52" max="52" width="14.83203125" style="38" customWidth="1"/>
    <col min="53" max="53" width="8.83203125" style="38" customWidth="1"/>
    <col min="54" max="16384" width="9.33203125" style="38"/>
  </cols>
  <sheetData>
    <row r="1" spans="1:53" ht="18.75">
      <c r="A1" s="2085" t="s">
        <v>3006</v>
      </c>
      <c r="B1" s="2085"/>
      <c r="C1" s="2085"/>
      <c r="D1" s="2085"/>
      <c r="E1" s="2085"/>
      <c r="F1" s="2085"/>
      <c r="G1" s="2085"/>
      <c r="H1" s="2085"/>
      <c r="I1" s="2085"/>
      <c r="J1" s="2085"/>
      <c r="K1" s="2085"/>
      <c r="L1" s="2085"/>
      <c r="M1" s="2085"/>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c r="AL1" s="2085"/>
      <c r="AM1" s="2085"/>
      <c r="AN1" s="2085"/>
      <c r="AO1" s="2085"/>
      <c r="AP1" s="2085"/>
      <c r="AQ1" s="2085"/>
      <c r="AR1" s="2085"/>
      <c r="AS1" s="2085"/>
      <c r="AT1" s="2085"/>
      <c r="AU1" s="2085"/>
      <c r="AV1" s="2085"/>
      <c r="AW1" s="2085"/>
      <c r="AX1" s="2085"/>
      <c r="AY1" s="2085"/>
      <c r="AZ1" s="2085"/>
      <c r="BA1" s="37"/>
    </row>
    <row r="2" spans="1:53" ht="15" customHeight="1"/>
    <row r="3" spans="1:53" ht="14.25" customHeight="1">
      <c r="A3" s="2071" t="s">
        <v>2541</v>
      </c>
      <c r="B3" s="2071" t="s">
        <v>2542</v>
      </c>
      <c r="C3" s="2071" t="s">
        <v>2543</v>
      </c>
      <c r="D3" s="1476"/>
      <c r="E3" s="2078" t="s">
        <v>1373</v>
      </c>
      <c r="F3" s="2079"/>
      <c r="G3" s="1461"/>
      <c r="H3" s="2078" t="s">
        <v>5201</v>
      </c>
      <c r="I3" s="2079"/>
      <c r="J3" s="2079"/>
      <c r="K3" s="2080"/>
      <c r="L3" s="1461"/>
      <c r="M3" s="1461"/>
      <c r="N3" s="2078" t="s">
        <v>2546</v>
      </c>
      <c r="O3" s="2079"/>
      <c r="P3" s="2080"/>
      <c r="Q3" s="1461"/>
      <c r="R3" s="2087" t="s">
        <v>3847</v>
      </c>
      <c r="S3" s="2086"/>
      <c r="T3" s="2086"/>
      <c r="U3" s="2086"/>
      <c r="V3" s="1459"/>
      <c r="W3" s="2086" t="s">
        <v>2547</v>
      </c>
      <c r="X3" s="2090"/>
      <c r="Y3" s="2068" t="s">
        <v>3027</v>
      </c>
      <c r="Z3" s="2068" t="s">
        <v>2548</v>
      </c>
      <c r="AA3" s="2068" t="s">
        <v>455</v>
      </c>
      <c r="AB3" s="2068" t="s">
        <v>5202</v>
      </c>
      <c r="AC3" s="2068" t="s">
        <v>5919</v>
      </c>
      <c r="AD3" s="2076" t="s">
        <v>5203</v>
      </c>
      <c r="AE3" s="2076" t="s">
        <v>5203</v>
      </c>
      <c r="AF3" s="2068" t="s">
        <v>4348</v>
      </c>
      <c r="AG3" s="2068" t="s">
        <v>5206</v>
      </c>
      <c r="AH3" s="2068" t="s">
        <v>5127</v>
      </c>
      <c r="AI3" s="2068" t="s">
        <v>5519</v>
      </c>
      <c r="AJ3" s="2068" t="s">
        <v>1885</v>
      </c>
      <c r="AK3" s="2068" t="s">
        <v>1898</v>
      </c>
      <c r="AL3" s="2068" t="s">
        <v>5205</v>
      </c>
      <c r="AM3" s="2068" t="s">
        <v>2739</v>
      </c>
      <c r="AN3" s="2068" t="s">
        <v>1887</v>
      </c>
      <c r="AO3" s="2068" t="s">
        <v>1888</v>
      </c>
      <c r="AP3" s="2068" t="s">
        <v>5198</v>
      </c>
      <c r="AQ3" s="2068" t="s">
        <v>4759</v>
      </c>
      <c r="AR3" s="2068" t="s">
        <v>1889</v>
      </c>
      <c r="AS3" s="2068" t="s">
        <v>5207</v>
      </c>
      <c r="AT3" s="2068" t="s">
        <v>1890</v>
      </c>
      <c r="AU3" s="2088" t="s">
        <v>6015</v>
      </c>
      <c r="AV3" s="2068" t="s">
        <v>893</v>
      </c>
      <c r="AW3" s="2076" t="s">
        <v>4650</v>
      </c>
      <c r="AX3" s="2068" t="s">
        <v>1891</v>
      </c>
      <c r="AY3" s="2071" t="s">
        <v>5920</v>
      </c>
      <c r="AZ3" s="2063" t="s">
        <v>6403</v>
      </c>
    </row>
    <row r="4" spans="1:53" ht="159.94999999999999" customHeight="1">
      <c r="A4" s="2071"/>
      <c r="B4" s="2071"/>
      <c r="C4" s="2071"/>
      <c r="D4" s="51" t="s">
        <v>4536</v>
      </c>
      <c r="E4" s="51" t="s">
        <v>5200</v>
      </c>
      <c r="F4" s="51" t="s">
        <v>4537</v>
      </c>
      <c r="G4" s="51" t="s">
        <v>5199</v>
      </c>
      <c r="H4" s="51" t="s">
        <v>3055</v>
      </c>
      <c r="I4" s="51" t="s">
        <v>5507</v>
      </c>
      <c r="J4" s="51" t="s">
        <v>3959</v>
      </c>
      <c r="K4" s="51" t="s">
        <v>3891</v>
      </c>
      <c r="L4" s="51" t="s">
        <v>4559</v>
      </c>
      <c r="M4" s="51" t="s">
        <v>4576</v>
      </c>
      <c r="N4" s="51" t="s">
        <v>2374</v>
      </c>
      <c r="O4" s="51" t="s">
        <v>2375</v>
      </c>
      <c r="P4" s="51" t="s">
        <v>280</v>
      </c>
      <c r="Q4" s="59" t="s">
        <v>5926</v>
      </c>
      <c r="R4" s="59" t="s">
        <v>5931</v>
      </c>
      <c r="S4" s="59" t="s">
        <v>4544</v>
      </c>
      <c r="T4" s="59" t="s">
        <v>3848</v>
      </c>
      <c r="U4" s="59" t="s">
        <v>3477</v>
      </c>
      <c r="V4" s="59" t="s">
        <v>4556</v>
      </c>
      <c r="W4" s="59" t="s">
        <v>4545</v>
      </c>
      <c r="X4" s="59" t="s">
        <v>5918</v>
      </c>
      <c r="Y4" s="2068"/>
      <c r="Z4" s="2068"/>
      <c r="AA4" s="2068"/>
      <c r="AB4" s="2068"/>
      <c r="AC4" s="2068"/>
      <c r="AD4" s="2077"/>
      <c r="AE4" s="2077"/>
      <c r="AF4" s="2068"/>
      <c r="AG4" s="2068"/>
      <c r="AH4" s="2068"/>
      <c r="AI4" s="2068"/>
      <c r="AJ4" s="2068"/>
      <c r="AK4" s="2068"/>
      <c r="AL4" s="2068"/>
      <c r="AM4" s="2068"/>
      <c r="AN4" s="2068"/>
      <c r="AO4" s="2068"/>
      <c r="AP4" s="2068"/>
      <c r="AQ4" s="2068"/>
      <c r="AR4" s="2068"/>
      <c r="AS4" s="2068"/>
      <c r="AT4" s="2068"/>
      <c r="AU4" s="2089"/>
      <c r="AV4" s="2068"/>
      <c r="AW4" s="2077"/>
      <c r="AX4" s="2068"/>
      <c r="AY4" s="2072"/>
      <c r="AZ4" s="2063"/>
    </row>
    <row r="5" spans="1:53" hidden="1">
      <c r="A5" s="932"/>
      <c r="B5" s="933"/>
      <c r="C5" s="934"/>
      <c r="D5" s="1373"/>
      <c r="E5" s="1373"/>
      <c r="F5" s="1373"/>
      <c r="G5" s="935"/>
      <c r="H5" s="935"/>
      <c r="I5" s="935"/>
      <c r="J5" s="936"/>
      <c r="K5" s="936"/>
      <c r="L5" s="936"/>
      <c r="M5" s="936"/>
      <c r="N5" s="936"/>
      <c r="O5" s="936"/>
      <c r="P5" s="936"/>
      <c r="Q5" s="936"/>
      <c r="R5" s="939"/>
      <c r="S5" s="939"/>
      <c r="T5" s="939"/>
      <c r="U5" s="939"/>
      <c r="V5" s="1465"/>
      <c r="W5" s="1465"/>
      <c r="X5" s="1465"/>
      <c r="Y5" s="938"/>
      <c r="Z5" s="939"/>
      <c r="AA5" s="939"/>
      <c r="AB5" s="938"/>
      <c r="AC5" s="938"/>
      <c r="AD5" s="938"/>
      <c r="AE5" s="938"/>
      <c r="AF5" s="939"/>
      <c r="AG5" s="938"/>
      <c r="AH5" s="938"/>
      <c r="AI5" s="938"/>
      <c r="AJ5" s="938"/>
      <c r="AK5" s="938"/>
      <c r="AL5" s="938"/>
      <c r="AM5" s="938"/>
      <c r="AN5" s="938"/>
      <c r="AO5" s="938"/>
      <c r="AP5" s="938"/>
      <c r="AQ5" s="938"/>
      <c r="AR5" s="938"/>
      <c r="AS5" s="938"/>
      <c r="AT5" s="938"/>
      <c r="AU5" s="938"/>
      <c r="AV5" s="938"/>
      <c r="AW5" s="938"/>
      <c r="AX5" s="938"/>
      <c r="AY5" s="938"/>
      <c r="AZ5" s="938"/>
    </row>
    <row r="6" spans="1:53" hidden="1">
      <c r="A6" s="931"/>
      <c r="B6" s="7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row>
    <row r="7" spans="1:53" hidden="1">
      <c r="A7" s="931">
        <v>1</v>
      </c>
      <c r="B7" s="72" t="s">
        <v>3120</v>
      </c>
      <c r="C7" s="72"/>
      <c r="D7" s="72"/>
      <c r="E7" s="72"/>
      <c r="F7" s="72"/>
      <c r="G7" s="76"/>
      <c r="H7" s="76"/>
      <c r="I7" s="72"/>
      <c r="J7" s="72">
        <v>1</v>
      </c>
      <c r="K7" s="72"/>
      <c r="L7" s="72"/>
      <c r="M7" s="72"/>
      <c r="N7" s="72"/>
      <c r="O7" s="72"/>
      <c r="P7" s="72"/>
      <c r="Q7" s="72"/>
      <c r="R7" s="72"/>
      <c r="S7" s="72"/>
      <c r="T7" s="72"/>
      <c r="U7" s="72"/>
      <c r="V7" s="72"/>
      <c r="W7" s="72"/>
      <c r="X7" s="72"/>
      <c r="Y7" s="72"/>
      <c r="Z7" s="72"/>
      <c r="AA7" s="72"/>
      <c r="AB7" s="72"/>
      <c r="AC7" s="72"/>
      <c r="AD7" s="72"/>
      <c r="AE7" s="72"/>
      <c r="AF7" s="72">
        <v>1</v>
      </c>
      <c r="AG7" s="72"/>
      <c r="AH7" s="72"/>
      <c r="AI7" s="72"/>
      <c r="AJ7" s="72"/>
      <c r="AK7" s="72"/>
      <c r="AL7" s="72"/>
      <c r="AM7" s="72"/>
      <c r="AN7" s="72">
        <v>1</v>
      </c>
      <c r="AO7" s="72"/>
      <c r="AP7" s="72"/>
      <c r="AQ7" s="72"/>
      <c r="AR7" s="72"/>
      <c r="AS7" s="72"/>
      <c r="AT7" s="72"/>
      <c r="AU7" s="72"/>
      <c r="AV7" s="72"/>
      <c r="AW7" s="72"/>
      <c r="AX7" s="72"/>
      <c r="AY7" s="72"/>
      <c r="AZ7" s="72"/>
    </row>
    <row r="8" spans="1:53" hidden="1">
      <c r="A8" s="931"/>
      <c r="B8" s="72" t="s">
        <v>3121</v>
      </c>
      <c r="C8" s="72"/>
      <c r="D8" s="72"/>
      <c r="E8" s="72"/>
      <c r="F8" s="72"/>
      <c r="G8" s="76"/>
      <c r="H8" s="76"/>
      <c r="I8" s="72"/>
      <c r="J8" s="72">
        <v>1</v>
      </c>
      <c r="K8" s="72"/>
      <c r="L8" s="72"/>
      <c r="M8" s="72"/>
      <c r="N8" s="72"/>
      <c r="O8" s="72"/>
      <c r="P8" s="72"/>
      <c r="Q8" s="72"/>
      <c r="R8" s="72"/>
      <c r="S8" s="72"/>
      <c r="T8" s="72"/>
      <c r="U8" s="72"/>
      <c r="V8" s="72"/>
      <c r="W8" s="72"/>
      <c r="X8" s="72"/>
      <c r="Y8" s="72"/>
      <c r="Z8" s="72"/>
      <c r="AA8" s="72"/>
      <c r="AB8" s="72"/>
      <c r="AC8" s="72"/>
      <c r="AD8" s="72"/>
      <c r="AE8" s="72"/>
      <c r="AF8" s="72">
        <v>1</v>
      </c>
      <c r="AG8" s="72"/>
      <c r="AH8" s="72"/>
      <c r="AI8" s="72"/>
      <c r="AJ8" s="72"/>
      <c r="AK8" s="72"/>
      <c r="AL8" s="72"/>
      <c r="AM8" s="72"/>
      <c r="AN8" s="72">
        <v>1</v>
      </c>
      <c r="AO8" s="72"/>
      <c r="AP8" s="72"/>
      <c r="AQ8" s="72"/>
      <c r="AR8" s="72"/>
      <c r="AS8" s="72"/>
      <c r="AT8" s="72"/>
      <c r="AU8" s="72"/>
      <c r="AV8" s="72"/>
      <c r="AW8" s="72"/>
      <c r="AX8" s="72"/>
      <c r="AY8" s="72"/>
      <c r="AZ8" s="72"/>
    </row>
    <row r="9" spans="1:53" hidden="1">
      <c r="A9" s="931"/>
      <c r="B9" s="72" t="s">
        <v>3122</v>
      </c>
      <c r="C9" s="72"/>
      <c r="D9" s="72"/>
      <c r="E9" s="72"/>
      <c r="F9" s="72"/>
      <c r="G9" s="76"/>
      <c r="H9" s="76"/>
      <c r="I9" s="72"/>
      <c r="J9" s="72">
        <v>1</v>
      </c>
      <c r="K9" s="72"/>
      <c r="L9" s="72"/>
      <c r="M9" s="72"/>
      <c r="N9" s="72"/>
      <c r="O9" s="72"/>
      <c r="P9" s="72"/>
      <c r="Q9" s="72"/>
      <c r="R9" s="72"/>
      <c r="S9" s="72"/>
      <c r="T9" s="72"/>
      <c r="U9" s="72"/>
      <c r="V9" s="72"/>
      <c r="W9" s="72"/>
      <c r="X9" s="72"/>
      <c r="Y9" s="72"/>
      <c r="Z9" s="72">
        <v>2</v>
      </c>
      <c r="AA9" s="72"/>
      <c r="AB9" s="72"/>
      <c r="AC9" s="72"/>
      <c r="AD9" s="72"/>
      <c r="AE9" s="72"/>
      <c r="AF9" s="72">
        <v>2</v>
      </c>
      <c r="AG9" s="72">
        <v>4</v>
      </c>
      <c r="AH9" s="72"/>
      <c r="AI9" s="72"/>
      <c r="AJ9" s="72"/>
      <c r="AK9" s="72"/>
      <c r="AL9" s="72"/>
      <c r="AM9" s="72">
        <v>2</v>
      </c>
      <c r="AN9" s="72">
        <v>2</v>
      </c>
      <c r="AO9" s="72"/>
      <c r="AP9" s="72"/>
      <c r="AQ9" s="72"/>
      <c r="AR9" s="72"/>
      <c r="AS9" s="72"/>
      <c r="AT9" s="72"/>
      <c r="AU9" s="72"/>
      <c r="AV9" s="72"/>
      <c r="AW9" s="72"/>
      <c r="AX9" s="72"/>
      <c r="AY9" s="72">
        <v>1</v>
      </c>
      <c r="AZ9" s="72"/>
    </row>
    <row r="10" spans="1:53" hidden="1">
      <c r="A10" s="931"/>
      <c r="B10" s="72" t="s">
        <v>3123</v>
      </c>
      <c r="C10" s="72"/>
      <c r="D10" s="72"/>
      <c r="E10" s="72"/>
      <c r="F10" s="72"/>
      <c r="G10" s="76"/>
      <c r="H10" s="76"/>
      <c r="I10" s="72"/>
      <c r="J10" s="72">
        <v>1</v>
      </c>
      <c r="K10" s="72"/>
      <c r="L10" s="72"/>
      <c r="M10" s="72"/>
      <c r="N10" s="72"/>
      <c r="O10" s="72"/>
      <c r="P10" s="72"/>
      <c r="Q10" s="72"/>
      <c r="R10" s="72"/>
      <c r="S10" s="72"/>
      <c r="T10" s="72"/>
      <c r="U10" s="72"/>
      <c r="V10" s="72"/>
      <c r="W10" s="72"/>
      <c r="X10" s="72"/>
      <c r="Y10" s="72"/>
      <c r="Z10" s="72">
        <v>2</v>
      </c>
      <c r="AA10" s="72"/>
      <c r="AB10" s="72"/>
      <c r="AC10" s="72"/>
      <c r="AD10" s="72"/>
      <c r="AE10" s="72"/>
      <c r="AF10" s="72">
        <v>2</v>
      </c>
      <c r="AG10" s="72">
        <v>4</v>
      </c>
      <c r="AH10" s="72"/>
      <c r="AI10" s="72"/>
      <c r="AJ10" s="72"/>
      <c r="AK10" s="72"/>
      <c r="AL10" s="72"/>
      <c r="AM10" s="72">
        <v>2</v>
      </c>
      <c r="AN10" s="72">
        <v>2</v>
      </c>
      <c r="AO10" s="72"/>
      <c r="AP10" s="72"/>
      <c r="AQ10" s="72"/>
      <c r="AR10" s="72"/>
      <c r="AS10" s="72"/>
      <c r="AT10" s="72"/>
      <c r="AU10" s="72"/>
      <c r="AV10" s="72"/>
      <c r="AW10" s="72"/>
      <c r="AX10" s="72"/>
      <c r="AY10" s="72">
        <v>1</v>
      </c>
      <c r="AZ10" s="72"/>
    </row>
    <row r="11" spans="1:53" hidden="1">
      <c r="A11" s="931"/>
      <c r="B11" s="72" t="s">
        <v>3124</v>
      </c>
      <c r="C11" s="72"/>
      <c r="D11" s="72"/>
      <c r="E11" s="72"/>
      <c r="F11" s="72"/>
      <c r="G11" s="76"/>
      <c r="H11" s="76"/>
      <c r="I11" s="72"/>
      <c r="J11" s="72">
        <v>1</v>
      </c>
      <c r="K11" s="72"/>
      <c r="L11" s="72"/>
      <c r="M11" s="72"/>
      <c r="N11" s="72"/>
      <c r="O11" s="72"/>
      <c r="P11" s="72"/>
      <c r="Q11" s="72"/>
      <c r="R11" s="72"/>
      <c r="S11" s="72"/>
      <c r="T11" s="72"/>
      <c r="U11" s="72"/>
      <c r="V11" s="72"/>
      <c r="W11" s="72"/>
      <c r="X11" s="72"/>
      <c r="Y11" s="72"/>
      <c r="Z11" s="72">
        <v>1</v>
      </c>
      <c r="AA11" s="72"/>
      <c r="AB11" s="72"/>
      <c r="AC11" s="72"/>
      <c r="AD11" s="72"/>
      <c r="AE11" s="72"/>
      <c r="AF11" s="72">
        <v>1</v>
      </c>
      <c r="AG11" s="72">
        <v>2</v>
      </c>
      <c r="AH11" s="72"/>
      <c r="AI11" s="72"/>
      <c r="AJ11" s="72"/>
      <c r="AK11" s="72"/>
      <c r="AL11" s="72"/>
      <c r="AM11" s="72"/>
      <c r="AN11" s="72">
        <v>1</v>
      </c>
      <c r="AO11" s="72"/>
      <c r="AP11" s="72"/>
      <c r="AQ11" s="72"/>
      <c r="AR11" s="72"/>
      <c r="AS11" s="72"/>
      <c r="AT11" s="72"/>
      <c r="AU11" s="72"/>
      <c r="AV11" s="72"/>
      <c r="AW11" s="72"/>
      <c r="AX11" s="72"/>
      <c r="AY11" s="72">
        <v>1</v>
      </c>
      <c r="AZ11" s="72"/>
    </row>
    <row r="12" spans="1:53" hidden="1">
      <c r="A12" s="931"/>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row>
    <row r="13" spans="1:53" hidden="1">
      <c r="A13" s="931">
        <v>2</v>
      </c>
      <c r="B13" s="72" t="s">
        <v>3125</v>
      </c>
      <c r="C13" s="72"/>
      <c r="D13" s="72"/>
      <c r="E13" s="72"/>
      <c r="F13" s="72"/>
      <c r="G13" s="72"/>
      <c r="H13" s="72"/>
      <c r="I13" s="72"/>
      <c r="J13" s="72">
        <v>1</v>
      </c>
      <c r="K13" s="72"/>
      <c r="L13" s="72"/>
      <c r="M13" s="72"/>
      <c r="N13" s="72"/>
      <c r="O13" s="72"/>
      <c r="P13" s="72"/>
      <c r="Q13" s="72"/>
      <c r="R13" s="72">
        <v>1</v>
      </c>
      <c r="S13" s="72">
        <v>1</v>
      </c>
      <c r="T13" s="72"/>
      <c r="U13" s="72"/>
      <c r="V13" s="72"/>
      <c r="W13" s="72"/>
      <c r="X13" s="72"/>
      <c r="Y13" s="72"/>
      <c r="Z13" s="72">
        <v>1</v>
      </c>
      <c r="AA13" s="72"/>
      <c r="AB13" s="72"/>
      <c r="AC13" s="72"/>
      <c r="AD13" s="72"/>
      <c r="AE13" s="72"/>
      <c r="AF13" s="72">
        <v>2</v>
      </c>
      <c r="AG13" s="72">
        <v>2</v>
      </c>
      <c r="AH13" s="72"/>
      <c r="AI13" s="72">
        <v>2</v>
      </c>
      <c r="AJ13" s="72"/>
      <c r="AK13" s="72">
        <v>1</v>
      </c>
      <c r="AL13" s="72">
        <v>1</v>
      </c>
      <c r="AM13" s="72"/>
      <c r="AN13" s="72">
        <v>2</v>
      </c>
      <c r="AO13" s="72"/>
      <c r="AP13" s="72"/>
      <c r="AQ13" s="72"/>
      <c r="AR13" s="72"/>
      <c r="AS13" s="72"/>
      <c r="AT13" s="72"/>
      <c r="AU13" s="72"/>
      <c r="AV13" s="72"/>
      <c r="AW13" s="72"/>
      <c r="AX13" s="72">
        <v>1</v>
      </c>
      <c r="AY13" s="72">
        <v>1</v>
      </c>
      <c r="AZ13" s="72"/>
    </row>
    <row r="14" spans="1:53" hidden="1">
      <c r="A14" s="931"/>
      <c r="B14" s="72" t="s">
        <v>3126</v>
      </c>
      <c r="C14" s="72"/>
      <c r="D14" s="72"/>
      <c r="E14" s="72"/>
      <c r="F14" s="72"/>
      <c r="G14" s="72"/>
      <c r="H14" s="72"/>
      <c r="I14" s="72"/>
      <c r="J14" s="72">
        <v>1</v>
      </c>
      <c r="K14" s="72"/>
      <c r="L14" s="72"/>
      <c r="M14" s="72"/>
      <c r="N14" s="72"/>
      <c r="O14" s="72"/>
      <c r="P14" s="72"/>
      <c r="Q14" s="72"/>
      <c r="R14" s="72">
        <v>1</v>
      </c>
      <c r="S14" s="72">
        <v>1</v>
      </c>
      <c r="T14" s="72"/>
      <c r="U14" s="72"/>
      <c r="V14" s="72"/>
      <c r="W14" s="72"/>
      <c r="X14" s="72"/>
      <c r="Y14" s="72"/>
      <c r="Z14" s="72">
        <v>1</v>
      </c>
      <c r="AA14" s="72"/>
      <c r="AB14" s="72"/>
      <c r="AC14" s="72"/>
      <c r="AD14" s="72"/>
      <c r="AE14" s="72"/>
      <c r="AF14" s="72">
        <v>2</v>
      </c>
      <c r="AG14" s="72">
        <v>2</v>
      </c>
      <c r="AH14" s="72"/>
      <c r="AI14" s="72">
        <v>2</v>
      </c>
      <c r="AJ14" s="72"/>
      <c r="AK14" s="72">
        <v>1</v>
      </c>
      <c r="AL14" s="72">
        <v>1</v>
      </c>
      <c r="AM14" s="72"/>
      <c r="AN14" s="72">
        <v>2</v>
      </c>
      <c r="AO14" s="72"/>
      <c r="AP14" s="72"/>
      <c r="AQ14" s="72"/>
      <c r="AR14" s="72"/>
      <c r="AS14" s="72"/>
      <c r="AT14" s="72"/>
      <c r="AU14" s="72"/>
      <c r="AV14" s="72"/>
      <c r="AW14" s="72"/>
      <c r="AX14" s="72">
        <v>1</v>
      </c>
      <c r="AY14" s="72">
        <v>1</v>
      </c>
      <c r="AZ14" s="72"/>
    </row>
    <row r="15" spans="1:53" hidden="1">
      <c r="A15" s="931"/>
      <c r="B15" s="72" t="s">
        <v>3127</v>
      </c>
      <c r="C15" s="72"/>
      <c r="D15" s="72"/>
      <c r="E15" s="72"/>
      <c r="F15" s="72"/>
      <c r="G15" s="72"/>
      <c r="H15" s="72"/>
      <c r="I15" s="72"/>
      <c r="J15" s="72">
        <v>1</v>
      </c>
      <c r="K15" s="72"/>
      <c r="L15" s="72"/>
      <c r="M15" s="72"/>
      <c r="N15" s="72"/>
      <c r="O15" s="72"/>
      <c r="P15" s="72"/>
      <c r="Q15" s="72"/>
      <c r="R15" s="72">
        <v>1</v>
      </c>
      <c r="S15" s="72">
        <v>1</v>
      </c>
      <c r="T15" s="72"/>
      <c r="U15" s="72"/>
      <c r="V15" s="72"/>
      <c r="W15" s="72"/>
      <c r="X15" s="72"/>
      <c r="Y15" s="72"/>
      <c r="Z15" s="72">
        <v>3</v>
      </c>
      <c r="AA15" s="72"/>
      <c r="AB15" s="72"/>
      <c r="AC15" s="72"/>
      <c r="AD15" s="72"/>
      <c r="AE15" s="72"/>
      <c r="AF15" s="72">
        <v>3</v>
      </c>
      <c r="AG15" s="72">
        <v>6</v>
      </c>
      <c r="AH15" s="72"/>
      <c r="AI15" s="72">
        <v>2</v>
      </c>
      <c r="AJ15" s="72"/>
      <c r="AK15" s="72">
        <v>1</v>
      </c>
      <c r="AL15" s="72">
        <v>1</v>
      </c>
      <c r="AM15" s="72">
        <v>2</v>
      </c>
      <c r="AN15" s="72">
        <v>3</v>
      </c>
      <c r="AO15" s="72"/>
      <c r="AP15" s="72"/>
      <c r="AQ15" s="72"/>
      <c r="AR15" s="72"/>
      <c r="AS15" s="72"/>
      <c r="AT15" s="72"/>
      <c r="AU15" s="72"/>
      <c r="AV15" s="72"/>
      <c r="AW15" s="72"/>
      <c r="AX15" s="72">
        <v>1</v>
      </c>
      <c r="AY15" s="72">
        <v>1</v>
      </c>
      <c r="AZ15" s="72"/>
    </row>
    <row r="16" spans="1:53" hidden="1">
      <c r="A16" s="931"/>
      <c r="B16" s="72" t="s">
        <v>3128</v>
      </c>
      <c r="C16" s="72"/>
      <c r="D16" s="72"/>
      <c r="E16" s="72"/>
      <c r="F16" s="72"/>
      <c r="G16" s="72"/>
      <c r="H16" s="72"/>
      <c r="I16" s="72"/>
      <c r="J16" s="72">
        <v>1</v>
      </c>
      <c r="K16" s="72"/>
      <c r="L16" s="72"/>
      <c r="M16" s="72"/>
      <c r="N16" s="72"/>
      <c r="O16" s="72"/>
      <c r="P16" s="72"/>
      <c r="Q16" s="72"/>
      <c r="R16" s="72">
        <v>1</v>
      </c>
      <c r="S16" s="72">
        <v>1</v>
      </c>
      <c r="T16" s="72"/>
      <c r="U16" s="72"/>
      <c r="V16" s="72"/>
      <c r="W16" s="72"/>
      <c r="X16" s="72"/>
      <c r="Y16" s="72"/>
      <c r="Z16" s="72">
        <v>3</v>
      </c>
      <c r="AA16" s="72"/>
      <c r="AB16" s="72"/>
      <c r="AC16" s="72"/>
      <c r="AD16" s="72"/>
      <c r="AE16" s="72"/>
      <c r="AF16" s="72">
        <v>3</v>
      </c>
      <c r="AG16" s="72">
        <v>6</v>
      </c>
      <c r="AH16" s="72"/>
      <c r="AI16" s="72">
        <v>2</v>
      </c>
      <c r="AJ16" s="72"/>
      <c r="AK16" s="72">
        <v>1</v>
      </c>
      <c r="AL16" s="72">
        <v>1</v>
      </c>
      <c r="AM16" s="72">
        <v>2</v>
      </c>
      <c r="AN16" s="72">
        <v>3</v>
      </c>
      <c r="AO16" s="72"/>
      <c r="AP16" s="72"/>
      <c r="AQ16" s="72"/>
      <c r="AR16" s="72"/>
      <c r="AS16" s="72"/>
      <c r="AT16" s="72"/>
      <c r="AU16" s="72"/>
      <c r="AV16" s="72"/>
      <c r="AW16" s="72"/>
      <c r="AX16" s="72">
        <v>1</v>
      </c>
      <c r="AY16" s="72">
        <v>1</v>
      </c>
      <c r="AZ16" s="72"/>
    </row>
    <row r="17" spans="1:52" hidden="1">
      <c r="A17" s="931"/>
      <c r="B17" s="72" t="s">
        <v>3129</v>
      </c>
      <c r="C17" s="72"/>
      <c r="D17" s="72"/>
      <c r="E17" s="72"/>
      <c r="F17" s="72"/>
      <c r="G17" s="72"/>
      <c r="H17" s="72"/>
      <c r="I17" s="72"/>
      <c r="J17" s="72">
        <v>1</v>
      </c>
      <c r="K17" s="72"/>
      <c r="L17" s="72"/>
      <c r="M17" s="72"/>
      <c r="N17" s="72"/>
      <c r="O17" s="72"/>
      <c r="P17" s="72"/>
      <c r="Q17" s="72"/>
      <c r="R17" s="72">
        <v>1</v>
      </c>
      <c r="S17" s="72">
        <v>1</v>
      </c>
      <c r="T17" s="72"/>
      <c r="U17" s="72"/>
      <c r="V17" s="72"/>
      <c r="W17" s="72"/>
      <c r="X17" s="72"/>
      <c r="Y17" s="72"/>
      <c r="Z17" s="72">
        <v>2</v>
      </c>
      <c r="AA17" s="72"/>
      <c r="AB17" s="72"/>
      <c r="AC17" s="72"/>
      <c r="AD17" s="72"/>
      <c r="AE17" s="72"/>
      <c r="AF17" s="72">
        <v>2</v>
      </c>
      <c r="AG17" s="72">
        <v>4</v>
      </c>
      <c r="AH17" s="72"/>
      <c r="AI17" s="72">
        <v>2</v>
      </c>
      <c r="AJ17" s="72"/>
      <c r="AK17" s="72">
        <v>1</v>
      </c>
      <c r="AL17" s="72">
        <v>1</v>
      </c>
      <c r="AM17" s="72"/>
      <c r="AN17" s="72">
        <v>2</v>
      </c>
      <c r="AO17" s="72"/>
      <c r="AP17" s="72"/>
      <c r="AQ17" s="72"/>
      <c r="AR17" s="72"/>
      <c r="AS17" s="72"/>
      <c r="AT17" s="72"/>
      <c r="AU17" s="72"/>
      <c r="AV17" s="72"/>
      <c r="AW17" s="72"/>
      <c r="AX17" s="72">
        <v>1</v>
      </c>
      <c r="AY17" s="72">
        <v>1</v>
      </c>
      <c r="AZ17" s="72"/>
    </row>
    <row r="18" spans="1:52" hidden="1">
      <c r="A18" s="931"/>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row>
    <row r="19" spans="1:52" hidden="1">
      <c r="A19" s="931">
        <v>3</v>
      </c>
      <c r="B19" s="72" t="s">
        <v>3130</v>
      </c>
      <c r="C19" s="72"/>
      <c r="D19" s="72"/>
      <c r="E19" s="72"/>
      <c r="F19" s="72"/>
      <c r="G19" s="72"/>
      <c r="H19" s="72"/>
      <c r="I19" s="72"/>
      <c r="J19" s="72">
        <v>1</v>
      </c>
      <c r="K19" s="72"/>
      <c r="L19" s="72"/>
      <c r="M19" s="72"/>
      <c r="N19" s="72"/>
      <c r="O19" s="72"/>
      <c r="P19" s="72"/>
      <c r="Q19" s="72"/>
      <c r="R19" s="72"/>
      <c r="S19" s="72"/>
      <c r="T19" s="72">
        <v>1</v>
      </c>
      <c r="U19" s="72"/>
      <c r="V19" s="72"/>
      <c r="W19" s="72"/>
      <c r="X19" s="72"/>
      <c r="Y19" s="72"/>
      <c r="Z19" s="72"/>
      <c r="AA19" s="72">
        <v>3</v>
      </c>
      <c r="AB19" s="72"/>
      <c r="AC19" s="72"/>
      <c r="AD19" s="72"/>
      <c r="AE19" s="72"/>
      <c r="AF19" s="72">
        <v>1</v>
      </c>
      <c r="AG19" s="72"/>
      <c r="AH19" s="72"/>
      <c r="AI19" s="72"/>
      <c r="AJ19" s="72"/>
      <c r="AK19" s="72"/>
      <c r="AL19" s="72"/>
      <c r="AM19" s="72"/>
      <c r="AN19" s="72">
        <v>1</v>
      </c>
      <c r="AO19" s="72"/>
      <c r="AP19" s="72"/>
      <c r="AQ19" s="72"/>
      <c r="AR19" s="72"/>
      <c r="AS19" s="72"/>
      <c r="AT19" s="72"/>
      <c r="AU19" s="72"/>
      <c r="AV19" s="72"/>
      <c r="AW19" s="72"/>
      <c r="AX19" s="72"/>
      <c r="AY19" s="72"/>
      <c r="AZ19" s="72"/>
    </row>
    <row r="20" spans="1:52" hidden="1">
      <c r="A20" s="931"/>
      <c r="B20" s="72" t="s">
        <v>3131</v>
      </c>
      <c r="C20" s="72"/>
      <c r="D20" s="72"/>
      <c r="E20" s="72"/>
      <c r="F20" s="72"/>
      <c r="G20" s="72"/>
      <c r="H20" s="72"/>
      <c r="I20" s="72"/>
      <c r="J20" s="72">
        <v>1</v>
      </c>
      <c r="K20" s="72"/>
      <c r="L20" s="72"/>
      <c r="M20" s="72"/>
      <c r="N20" s="72"/>
      <c r="O20" s="72"/>
      <c r="P20" s="72"/>
      <c r="Q20" s="72"/>
      <c r="R20" s="72"/>
      <c r="S20" s="72"/>
      <c r="T20" s="72"/>
      <c r="U20" s="72"/>
      <c r="V20" s="72"/>
      <c r="W20" s="72"/>
      <c r="X20" s="72"/>
      <c r="Y20" s="72"/>
      <c r="Z20" s="72"/>
      <c r="AA20" s="72">
        <v>6</v>
      </c>
      <c r="AB20" s="72"/>
      <c r="AC20" s="72"/>
      <c r="AD20" s="72"/>
      <c r="AE20" s="72"/>
      <c r="AF20" s="72">
        <v>1</v>
      </c>
      <c r="AG20" s="72"/>
      <c r="AH20" s="72"/>
      <c r="AI20" s="72"/>
      <c r="AJ20" s="72"/>
      <c r="AK20" s="72"/>
      <c r="AL20" s="72"/>
      <c r="AM20" s="72"/>
      <c r="AN20" s="72">
        <v>1</v>
      </c>
      <c r="AO20" s="72"/>
      <c r="AP20" s="72"/>
      <c r="AQ20" s="72"/>
      <c r="AR20" s="72"/>
      <c r="AS20" s="72"/>
      <c r="AT20" s="72"/>
      <c r="AU20" s="72"/>
      <c r="AV20" s="72"/>
      <c r="AW20" s="72"/>
      <c r="AX20" s="72"/>
      <c r="AY20" s="72"/>
      <c r="AZ20" s="72"/>
    </row>
    <row r="21" spans="1:52" hidden="1">
      <c r="A21" s="931"/>
      <c r="B21" s="72" t="s">
        <v>3132</v>
      </c>
      <c r="C21" s="72"/>
      <c r="D21" s="72"/>
      <c r="E21" s="72"/>
      <c r="F21" s="72"/>
      <c r="G21" s="72"/>
      <c r="H21" s="72"/>
      <c r="I21" s="72"/>
      <c r="J21" s="72">
        <v>1</v>
      </c>
      <c r="K21" s="72"/>
      <c r="L21" s="72"/>
      <c r="M21" s="72"/>
      <c r="N21" s="72"/>
      <c r="O21" s="72"/>
      <c r="P21" s="72"/>
      <c r="Q21" s="72"/>
      <c r="R21" s="72"/>
      <c r="S21" s="72"/>
      <c r="T21" s="72"/>
      <c r="U21" s="72"/>
      <c r="V21" s="72"/>
      <c r="W21" s="72"/>
      <c r="X21" s="72"/>
      <c r="Y21" s="72"/>
      <c r="Z21" s="72">
        <v>6</v>
      </c>
      <c r="AA21" s="72">
        <v>1</v>
      </c>
      <c r="AB21" s="72"/>
      <c r="AC21" s="72"/>
      <c r="AD21" s="72"/>
      <c r="AE21" s="72"/>
      <c r="AF21" s="72">
        <v>2</v>
      </c>
      <c r="AG21" s="72">
        <v>4</v>
      </c>
      <c r="AH21" s="72"/>
      <c r="AI21" s="72"/>
      <c r="AJ21" s="72"/>
      <c r="AK21" s="72"/>
      <c r="AL21" s="72"/>
      <c r="AM21" s="72">
        <v>4</v>
      </c>
      <c r="AN21" s="72">
        <v>2</v>
      </c>
      <c r="AO21" s="72"/>
      <c r="AP21" s="72"/>
      <c r="AQ21" s="72"/>
      <c r="AR21" s="72"/>
      <c r="AS21" s="72"/>
      <c r="AT21" s="72"/>
      <c r="AU21" s="72"/>
      <c r="AV21" s="72"/>
      <c r="AW21" s="72"/>
      <c r="AX21" s="72"/>
      <c r="AY21" s="72">
        <v>1</v>
      </c>
      <c r="AZ21" s="72"/>
    </row>
    <row r="22" spans="1:52" hidden="1">
      <c r="A22" s="931"/>
      <c r="B22" s="72" t="s">
        <v>3133</v>
      </c>
      <c r="C22" s="72"/>
      <c r="D22" s="72"/>
      <c r="E22" s="72"/>
      <c r="F22" s="72"/>
      <c r="G22" s="72"/>
      <c r="H22" s="72"/>
      <c r="I22" s="72"/>
      <c r="J22" s="72">
        <v>1</v>
      </c>
      <c r="K22" s="72"/>
      <c r="L22" s="72"/>
      <c r="M22" s="72"/>
      <c r="N22" s="72"/>
      <c r="O22" s="72"/>
      <c r="P22" s="72"/>
      <c r="Q22" s="72"/>
      <c r="R22" s="72"/>
      <c r="S22" s="72"/>
      <c r="T22" s="72"/>
      <c r="U22" s="72"/>
      <c r="V22" s="72"/>
      <c r="W22" s="72"/>
      <c r="X22" s="72"/>
      <c r="Y22" s="72"/>
      <c r="Z22" s="72">
        <v>6</v>
      </c>
      <c r="AA22" s="72">
        <v>4</v>
      </c>
      <c r="AB22" s="72"/>
      <c r="AC22" s="72"/>
      <c r="AD22" s="72"/>
      <c r="AE22" s="72"/>
      <c r="AF22" s="72">
        <v>2</v>
      </c>
      <c r="AG22" s="72">
        <v>4</v>
      </c>
      <c r="AH22" s="72"/>
      <c r="AI22" s="72"/>
      <c r="AJ22" s="72"/>
      <c r="AK22" s="72"/>
      <c r="AL22" s="72"/>
      <c r="AM22" s="72">
        <v>4</v>
      </c>
      <c r="AN22" s="72">
        <v>2</v>
      </c>
      <c r="AO22" s="72"/>
      <c r="AP22" s="72"/>
      <c r="AQ22" s="72"/>
      <c r="AR22" s="72"/>
      <c r="AS22" s="72"/>
      <c r="AT22" s="72"/>
      <c r="AU22" s="72"/>
      <c r="AV22" s="72"/>
      <c r="AW22" s="72"/>
      <c r="AX22" s="72"/>
      <c r="AY22" s="72">
        <v>1</v>
      </c>
      <c r="AZ22" s="72"/>
    </row>
    <row r="23" spans="1:52" hidden="1">
      <c r="A23" s="931"/>
      <c r="B23" s="72" t="s">
        <v>3134</v>
      </c>
      <c r="C23" s="72"/>
      <c r="D23" s="72"/>
      <c r="E23" s="72"/>
      <c r="F23" s="72"/>
      <c r="G23" s="72"/>
      <c r="H23" s="72"/>
      <c r="I23" s="72"/>
      <c r="J23" s="72">
        <v>1</v>
      </c>
      <c r="K23" s="72"/>
      <c r="L23" s="72"/>
      <c r="M23" s="72"/>
      <c r="N23" s="72"/>
      <c r="O23" s="72"/>
      <c r="P23" s="72"/>
      <c r="Q23" s="72"/>
      <c r="R23" s="72"/>
      <c r="S23" s="72"/>
      <c r="T23" s="72"/>
      <c r="U23" s="72"/>
      <c r="V23" s="72"/>
      <c r="W23" s="72"/>
      <c r="X23" s="72"/>
      <c r="Y23" s="72"/>
      <c r="Z23" s="72">
        <v>3</v>
      </c>
      <c r="AA23" s="72"/>
      <c r="AB23" s="72"/>
      <c r="AC23" s="72"/>
      <c r="AD23" s="72"/>
      <c r="AE23" s="72"/>
      <c r="AF23" s="72">
        <v>1</v>
      </c>
      <c r="AG23" s="72">
        <v>2</v>
      </c>
      <c r="AH23" s="72"/>
      <c r="AI23" s="72"/>
      <c r="AJ23" s="72"/>
      <c r="AK23" s="72"/>
      <c r="AL23" s="72"/>
      <c r="AM23" s="72"/>
      <c r="AN23" s="72">
        <v>1</v>
      </c>
      <c r="AO23" s="72"/>
      <c r="AP23" s="72"/>
      <c r="AQ23" s="72"/>
      <c r="AR23" s="72"/>
      <c r="AS23" s="72"/>
      <c r="AT23" s="72"/>
      <c r="AU23" s="72"/>
      <c r="AV23" s="72"/>
      <c r="AW23" s="72"/>
      <c r="AX23" s="72"/>
      <c r="AY23" s="72">
        <v>1</v>
      </c>
      <c r="AZ23" s="72"/>
    </row>
    <row r="24" spans="1:52" hidden="1">
      <c r="A24" s="931"/>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row>
    <row r="25" spans="1:52" hidden="1">
      <c r="A25" s="931">
        <v>4</v>
      </c>
      <c r="B25" s="72" t="s">
        <v>3135</v>
      </c>
      <c r="C25" s="72"/>
      <c r="D25" s="72"/>
      <c r="E25" s="72"/>
      <c r="F25" s="72"/>
      <c r="G25" s="72"/>
      <c r="H25" s="72"/>
      <c r="I25" s="72"/>
      <c r="J25" s="72">
        <v>1</v>
      </c>
      <c r="K25" s="72"/>
      <c r="L25" s="72"/>
      <c r="M25" s="72"/>
      <c r="N25" s="72"/>
      <c r="O25" s="72"/>
      <c r="P25" s="72"/>
      <c r="Q25" s="72"/>
      <c r="R25" s="72">
        <v>1</v>
      </c>
      <c r="S25" s="72">
        <v>1</v>
      </c>
      <c r="T25" s="72">
        <v>1</v>
      </c>
      <c r="U25" s="72"/>
      <c r="V25" s="72"/>
      <c r="W25" s="72"/>
      <c r="X25" s="72"/>
      <c r="Y25" s="72"/>
      <c r="Z25" s="72">
        <v>1</v>
      </c>
      <c r="AA25" s="72">
        <v>3</v>
      </c>
      <c r="AB25" s="72"/>
      <c r="AC25" s="72"/>
      <c r="AD25" s="72"/>
      <c r="AE25" s="72"/>
      <c r="AF25" s="72">
        <v>2</v>
      </c>
      <c r="AG25" s="72">
        <v>2</v>
      </c>
      <c r="AH25" s="72">
        <v>2</v>
      </c>
      <c r="AI25" s="72"/>
      <c r="AJ25" s="72">
        <v>1</v>
      </c>
      <c r="AK25" s="72"/>
      <c r="AL25" s="72">
        <v>1</v>
      </c>
      <c r="AM25" s="72"/>
      <c r="AN25" s="72">
        <v>2</v>
      </c>
      <c r="AO25" s="72"/>
      <c r="AP25" s="72"/>
      <c r="AQ25" s="72"/>
      <c r="AR25" s="72"/>
      <c r="AS25" s="72"/>
      <c r="AT25" s="72"/>
      <c r="AU25" s="72"/>
      <c r="AV25" s="72"/>
      <c r="AW25" s="72"/>
      <c r="AX25" s="72">
        <v>1</v>
      </c>
      <c r="AY25" s="72">
        <v>1</v>
      </c>
      <c r="AZ25" s="72"/>
    </row>
    <row r="26" spans="1:52" hidden="1">
      <c r="A26" s="931"/>
      <c r="B26" s="72" t="s">
        <v>3136</v>
      </c>
      <c r="C26" s="72"/>
      <c r="D26" s="72"/>
      <c r="E26" s="72"/>
      <c r="F26" s="72"/>
      <c r="G26" s="72"/>
      <c r="H26" s="72"/>
      <c r="I26" s="72"/>
      <c r="J26" s="72">
        <v>1</v>
      </c>
      <c r="K26" s="72"/>
      <c r="L26" s="72"/>
      <c r="M26" s="72"/>
      <c r="N26" s="72"/>
      <c r="O26" s="72"/>
      <c r="P26" s="72"/>
      <c r="Q26" s="72"/>
      <c r="R26" s="72">
        <v>1</v>
      </c>
      <c r="S26" s="72">
        <v>1</v>
      </c>
      <c r="T26" s="72"/>
      <c r="U26" s="72"/>
      <c r="V26" s="72"/>
      <c r="W26" s="72"/>
      <c r="X26" s="72"/>
      <c r="Y26" s="72"/>
      <c r="Z26" s="72">
        <v>1</v>
      </c>
      <c r="AA26" s="72">
        <v>6</v>
      </c>
      <c r="AB26" s="72"/>
      <c r="AC26" s="72"/>
      <c r="AD26" s="72"/>
      <c r="AE26" s="72"/>
      <c r="AF26" s="72">
        <v>2</v>
      </c>
      <c r="AG26" s="72">
        <v>2</v>
      </c>
      <c r="AH26" s="72">
        <v>2</v>
      </c>
      <c r="AI26" s="72"/>
      <c r="AJ26" s="72">
        <v>1</v>
      </c>
      <c r="AK26" s="72"/>
      <c r="AL26" s="72">
        <v>1</v>
      </c>
      <c r="AM26" s="72"/>
      <c r="AN26" s="72">
        <v>2</v>
      </c>
      <c r="AO26" s="72"/>
      <c r="AP26" s="72"/>
      <c r="AQ26" s="72"/>
      <c r="AR26" s="72"/>
      <c r="AS26" s="72"/>
      <c r="AT26" s="72"/>
      <c r="AU26" s="72"/>
      <c r="AV26" s="72"/>
      <c r="AW26" s="72"/>
      <c r="AX26" s="72">
        <v>1</v>
      </c>
      <c r="AY26" s="72">
        <v>1</v>
      </c>
      <c r="AZ26" s="72"/>
    </row>
    <row r="27" spans="1:52" hidden="1">
      <c r="A27" s="931"/>
      <c r="B27" s="72" t="s">
        <v>3137</v>
      </c>
      <c r="C27" s="72"/>
      <c r="D27" s="72"/>
      <c r="E27" s="72"/>
      <c r="F27" s="72"/>
      <c r="G27" s="72"/>
      <c r="H27" s="72"/>
      <c r="I27" s="72"/>
      <c r="J27" s="72">
        <v>1</v>
      </c>
      <c r="K27" s="72"/>
      <c r="L27" s="72"/>
      <c r="M27" s="72"/>
      <c r="N27" s="72"/>
      <c r="O27" s="72"/>
      <c r="P27" s="72"/>
      <c r="Q27" s="72"/>
      <c r="R27" s="72">
        <v>1</v>
      </c>
      <c r="S27" s="72">
        <v>1</v>
      </c>
      <c r="T27" s="72"/>
      <c r="U27" s="72"/>
      <c r="V27" s="72"/>
      <c r="W27" s="72"/>
      <c r="X27" s="72"/>
      <c r="Y27" s="72"/>
      <c r="Z27" s="72">
        <v>7</v>
      </c>
      <c r="AA27" s="72">
        <v>1</v>
      </c>
      <c r="AB27" s="72"/>
      <c r="AC27" s="72"/>
      <c r="AD27" s="72"/>
      <c r="AE27" s="72"/>
      <c r="AF27" s="72">
        <v>3</v>
      </c>
      <c r="AG27" s="72">
        <v>6</v>
      </c>
      <c r="AH27" s="72">
        <v>2</v>
      </c>
      <c r="AI27" s="72"/>
      <c r="AJ27" s="72">
        <v>1</v>
      </c>
      <c r="AK27" s="72"/>
      <c r="AL27" s="72">
        <v>1</v>
      </c>
      <c r="AM27" s="72">
        <v>4</v>
      </c>
      <c r="AN27" s="72">
        <v>3</v>
      </c>
      <c r="AO27" s="72"/>
      <c r="AP27" s="72"/>
      <c r="AQ27" s="72"/>
      <c r="AR27" s="72"/>
      <c r="AS27" s="72"/>
      <c r="AT27" s="72"/>
      <c r="AU27" s="72"/>
      <c r="AV27" s="72"/>
      <c r="AW27" s="72"/>
      <c r="AX27" s="72">
        <v>1</v>
      </c>
      <c r="AY27" s="72">
        <v>1</v>
      </c>
      <c r="AZ27" s="72"/>
    </row>
    <row r="28" spans="1:52" hidden="1">
      <c r="A28" s="931"/>
      <c r="B28" s="72" t="s">
        <v>3138</v>
      </c>
      <c r="C28" s="72"/>
      <c r="D28" s="72"/>
      <c r="E28" s="72"/>
      <c r="F28" s="72"/>
      <c r="G28" s="72"/>
      <c r="H28" s="72"/>
      <c r="I28" s="72"/>
      <c r="J28" s="72">
        <v>1</v>
      </c>
      <c r="K28" s="72"/>
      <c r="L28" s="72"/>
      <c r="M28" s="72"/>
      <c r="N28" s="72"/>
      <c r="O28" s="72"/>
      <c r="P28" s="72"/>
      <c r="Q28" s="72"/>
      <c r="R28" s="72"/>
      <c r="S28" s="72"/>
      <c r="T28" s="72"/>
      <c r="U28" s="72"/>
      <c r="V28" s="72"/>
      <c r="W28" s="72"/>
      <c r="X28" s="72"/>
      <c r="Y28" s="72"/>
      <c r="Z28" s="72">
        <v>7</v>
      </c>
      <c r="AA28" s="72">
        <v>4</v>
      </c>
      <c r="AB28" s="72"/>
      <c r="AC28" s="72"/>
      <c r="AD28" s="72"/>
      <c r="AE28" s="72"/>
      <c r="AF28" s="72">
        <v>3</v>
      </c>
      <c r="AG28" s="72">
        <v>6</v>
      </c>
      <c r="AH28" s="72">
        <v>2</v>
      </c>
      <c r="AI28" s="72"/>
      <c r="AJ28" s="72">
        <v>1</v>
      </c>
      <c r="AK28" s="72"/>
      <c r="AL28" s="72">
        <v>1</v>
      </c>
      <c r="AM28" s="72">
        <v>4</v>
      </c>
      <c r="AN28" s="72">
        <v>3</v>
      </c>
      <c r="AO28" s="72"/>
      <c r="AP28" s="72"/>
      <c r="AQ28" s="72"/>
      <c r="AR28" s="72"/>
      <c r="AS28" s="72"/>
      <c r="AT28" s="72"/>
      <c r="AU28" s="72"/>
      <c r="AV28" s="72"/>
      <c r="AW28" s="72"/>
      <c r="AX28" s="72">
        <v>1</v>
      </c>
      <c r="AY28" s="72">
        <v>1</v>
      </c>
      <c r="AZ28" s="72"/>
    </row>
    <row r="29" spans="1:52" hidden="1">
      <c r="A29" s="931"/>
      <c r="B29" s="72" t="s">
        <v>3139</v>
      </c>
      <c r="C29" s="72"/>
      <c r="D29" s="72"/>
      <c r="E29" s="72"/>
      <c r="F29" s="72"/>
      <c r="G29" s="72"/>
      <c r="H29" s="72"/>
      <c r="I29" s="72"/>
      <c r="J29" s="72">
        <v>1</v>
      </c>
      <c r="K29" s="72"/>
      <c r="L29" s="72"/>
      <c r="M29" s="72"/>
      <c r="N29" s="72"/>
      <c r="O29" s="72"/>
      <c r="P29" s="72"/>
      <c r="Q29" s="72"/>
      <c r="R29" s="72">
        <v>1</v>
      </c>
      <c r="S29" s="72">
        <v>1</v>
      </c>
      <c r="T29" s="72"/>
      <c r="U29" s="72"/>
      <c r="V29" s="72"/>
      <c r="W29" s="72"/>
      <c r="X29" s="72"/>
      <c r="Y29" s="72"/>
      <c r="Z29" s="72">
        <v>4</v>
      </c>
      <c r="AA29" s="72"/>
      <c r="AB29" s="72"/>
      <c r="AC29" s="72"/>
      <c r="AD29" s="72"/>
      <c r="AE29" s="72"/>
      <c r="AF29" s="72">
        <v>2</v>
      </c>
      <c r="AG29" s="72">
        <v>4</v>
      </c>
      <c r="AH29" s="72">
        <v>2</v>
      </c>
      <c r="AI29" s="72"/>
      <c r="AJ29" s="72">
        <v>1</v>
      </c>
      <c r="AK29" s="72"/>
      <c r="AL29" s="72">
        <v>1</v>
      </c>
      <c r="AM29" s="72"/>
      <c r="AN29" s="72">
        <v>2</v>
      </c>
      <c r="AO29" s="72"/>
      <c r="AP29" s="72"/>
      <c r="AQ29" s="72"/>
      <c r="AR29" s="72"/>
      <c r="AS29" s="72"/>
      <c r="AT29" s="72"/>
      <c r="AU29" s="72"/>
      <c r="AV29" s="72"/>
      <c r="AW29" s="72"/>
      <c r="AX29" s="72">
        <v>1</v>
      </c>
      <c r="AY29" s="72">
        <v>1</v>
      </c>
      <c r="AZ29" s="72"/>
    </row>
    <row r="30" spans="1:52" hidden="1">
      <c r="A30" s="931"/>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row>
    <row r="31" spans="1:52" hidden="1">
      <c r="A31" s="931">
        <v>5</v>
      </c>
      <c r="B31" s="72" t="s">
        <v>3140</v>
      </c>
      <c r="C31" s="72"/>
      <c r="D31" s="72"/>
      <c r="E31" s="72"/>
      <c r="F31" s="72"/>
      <c r="G31" s="72"/>
      <c r="H31" s="72"/>
      <c r="I31" s="72"/>
      <c r="J31" s="72">
        <v>1</v>
      </c>
      <c r="K31" s="72"/>
      <c r="L31" s="72"/>
      <c r="M31" s="72"/>
      <c r="N31" s="72"/>
      <c r="O31" s="72"/>
      <c r="P31" s="72"/>
      <c r="Q31" s="72"/>
      <c r="R31" s="72"/>
      <c r="S31" s="72"/>
      <c r="T31" s="72">
        <v>1</v>
      </c>
      <c r="U31" s="72"/>
      <c r="V31" s="72"/>
      <c r="W31" s="72"/>
      <c r="X31" s="72"/>
      <c r="Y31" s="72"/>
      <c r="Z31" s="72">
        <v>3</v>
      </c>
      <c r="AA31" s="72">
        <v>4</v>
      </c>
      <c r="AB31" s="72"/>
      <c r="AC31" s="72"/>
      <c r="AD31" s="72"/>
      <c r="AE31" s="72"/>
      <c r="AF31" s="72">
        <v>2</v>
      </c>
      <c r="AG31" s="72">
        <v>2</v>
      </c>
      <c r="AH31" s="72">
        <v>2</v>
      </c>
      <c r="AI31" s="72"/>
      <c r="AJ31" s="72">
        <v>3</v>
      </c>
      <c r="AK31" s="72"/>
      <c r="AL31" s="72">
        <v>3</v>
      </c>
      <c r="AM31" s="72"/>
      <c r="AN31" s="72">
        <v>2</v>
      </c>
      <c r="AO31" s="72"/>
      <c r="AP31" s="72"/>
      <c r="AQ31" s="72"/>
      <c r="AR31" s="72"/>
      <c r="AS31" s="72"/>
      <c r="AT31" s="72"/>
      <c r="AU31" s="72"/>
      <c r="AV31" s="72"/>
      <c r="AW31" s="72"/>
      <c r="AX31" s="72">
        <v>1</v>
      </c>
      <c r="AY31" s="72">
        <v>1</v>
      </c>
      <c r="AZ31" s="72"/>
    </row>
    <row r="32" spans="1:52" hidden="1">
      <c r="A32" s="931"/>
      <c r="B32" s="72" t="s">
        <v>1388</v>
      </c>
      <c r="C32" s="72"/>
      <c r="D32" s="72"/>
      <c r="E32" s="72"/>
      <c r="F32" s="72"/>
      <c r="G32" s="72"/>
      <c r="H32" s="72"/>
      <c r="I32" s="72"/>
      <c r="J32" s="72">
        <v>1</v>
      </c>
      <c r="K32" s="72"/>
      <c r="L32" s="72"/>
      <c r="M32" s="72"/>
      <c r="N32" s="72"/>
      <c r="O32" s="72"/>
      <c r="P32" s="72"/>
      <c r="Q32" s="72"/>
      <c r="R32" s="72"/>
      <c r="S32" s="72"/>
      <c r="T32" s="72"/>
      <c r="U32" s="72"/>
      <c r="V32" s="72"/>
      <c r="W32" s="72"/>
      <c r="X32" s="72"/>
      <c r="Y32" s="72"/>
      <c r="Z32" s="72">
        <v>3</v>
      </c>
      <c r="AA32" s="72">
        <v>7</v>
      </c>
      <c r="AB32" s="72"/>
      <c r="AC32" s="72"/>
      <c r="AD32" s="72"/>
      <c r="AE32" s="72"/>
      <c r="AF32" s="72">
        <v>2</v>
      </c>
      <c r="AG32" s="72">
        <v>2</v>
      </c>
      <c r="AH32" s="72">
        <v>2</v>
      </c>
      <c r="AI32" s="72"/>
      <c r="AJ32" s="72">
        <v>3</v>
      </c>
      <c r="AK32" s="72"/>
      <c r="AL32" s="72">
        <v>3</v>
      </c>
      <c r="AM32" s="72"/>
      <c r="AN32" s="72">
        <v>2</v>
      </c>
      <c r="AO32" s="72"/>
      <c r="AP32" s="72"/>
      <c r="AQ32" s="72"/>
      <c r="AR32" s="72"/>
      <c r="AS32" s="72"/>
      <c r="AT32" s="72"/>
      <c r="AU32" s="72"/>
      <c r="AV32" s="72"/>
      <c r="AW32" s="72"/>
      <c r="AX32" s="72">
        <v>1</v>
      </c>
      <c r="AY32" s="72">
        <v>1</v>
      </c>
      <c r="AZ32" s="72"/>
    </row>
    <row r="33" spans="1:52" hidden="1">
      <c r="A33" s="931"/>
      <c r="B33" s="72" t="s">
        <v>1389</v>
      </c>
      <c r="C33" s="72"/>
      <c r="D33" s="72"/>
      <c r="E33" s="72"/>
      <c r="F33" s="72"/>
      <c r="G33" s="72"/>
      <c r="H33" s="72"/>
      <c r="I33" s="72"/>
      <c r="J33" s="72">
        <v>1</v>
      </c>
      <c r="K33" s="72"/>
      <c r="L33" s="72"/>
      <c r="M33" s="72"/>
      <c r="N33" s="72"/>
      <c r="O33" s="72"/>
      <c r="P33" s="72"/>
      <c r="Q33" s="72"/>
      <c r="R33" s="72"/>
      <c r="S33" s="72"/>
      <c r="T33" s="72"/>
      <c r="U33" s="72"/>
      <c r="V33" s="72"/>
      <c r="W33" s="72"/>
      <c r="X33" s="72"/>
      <c r="Y33" s="72"/>
      <c r="Z33" s="72">
        <v>9</v>
      </c>
      <c r="AA33" s="72">
        <v>5</v>
      </c>
      <c r="AB33" s="72"/>
      <c r="AC33" s="72"/>
      <c r="AD33" s="72"/>
      <c r="AE33" s="72"/>
      <c r="AF33" s="72">
        <v>3</v>
      </c>
      <c r="AG33" s="72">
        <v>6</v>
      </c>
      <c r="AH33" s="72">
        <v>2</v>
      </c>
      <c r="AI33" s="72"/>
      <c r="AJ33" s="72">
        <v>3</v>
      </c>
      <c r="AK33" s="72"/>
      <c r="AL33" s="72">
        <v>3</v>
      </c>
      <c r="AM33" s="72">
        <v>4</v>
      </c>
      <c r="AN33" s="72">
        <v>3</v>
      </c>
      <c r="AO33" s="72"/>
      <c r="AP33" s="72"/>
      <c r="AQ33" s="72"/>
      <c r="AR33" s="72"/>
      <c r="AS33" s="72"/>
      <c r="AT33" s="72"/>
      <c r="AU33" s="72"/>
      <c r="AV33" s="72"/>
      <c r="AW33" s="72"/>
      <c r="AX33" s="72">
        <v>1</v>
      </c>
      <c r="AY33" s="72">
        <v>1</v>
      </c>
      <c r="AZ33" s="72"/>
    </row>
    <row r="34" spans="1:52" hidden="1">
      <c r="A34" s="931"/>
      <c r="B34" s="72" t="s">
        <v>1390</v>
      </c>
      <c r="C34" s="72"/>
      <c r="D34" s="72"/>
      <c r="E34" s="72"/>
      <c r="F34" s="72"/>
      <c r="G34" s="72"/>
      <c r="H34" s="72"/>
      <c r="I34" s="72"/>
      <c r="J34" s="72">
        <v>1</v>
      </c>
      <c r="K34" s="72"/>
      <c r="L34" s="72"/>
      <c r="M34" s="72"/>
      <c r="N34" s="72"/>
      <c r="O34" s="72"/>
      <c r="P34" s="72"/>
      <c r="Q34" s="72"/>
      <c r="R34" s="72"/>
      <c r="S34" s="72"/>
      <c r="T34" s="72"/>
      <c r="U34" s="72"/>
      <c r="V34" s="72"/>
      <c r="W34" s="72"/>
      <c r="X34" s="72"/>
      <c r="Y34" s="72"/>
      <c r="Z34" s="72">
        <v>9</v>
      </c>
      <c r="AA34" s="72">
        <v>7</v>
      </c>
      <c r="AB34" s="72"/>
      <c r="AC34" s="72"/>
      <c r="AD34" s="72"/>
      <c r="AE34" s="72"/>
      <c r="AF34" s="72">
        <v>3</v>
      </c>
      <c r="AG34" s="72">
        <v>6</v>
      </c>
      <c r="AH34" s="72">
        <v>2</v>
      </c>
      <c r="AI34" s="72"/>
      <c r="AJ34" s="72">
        <v>3</v>
      </c>
      <c r="AK34" s="72"/>
      <c r="AL34" s="72">
        <v>3</v>
      </c>
      <c r="AM34" s="72">
        <v>4</v>
      </c>
      <c r="AN34" s="72">
        <v>3</v>
      </c>
      <c r="AO34" s="72"/>
      <c r="AP34" s="72"/>
      <c r="AQ34" s="72"/>
      <c r="AR34" s="72"/>
      <c r="AS34" s="72"/>
      <c r="AT34" s="72"/>
      <c r="AU34" s="72"/>
      <c r="AV34" s="72"/>
      <c r="AW34" s="72"/>
      <c r="AX34" s="72">
        <v>1</v>
      </c>
      <c r="AY34" s="72">
        <v>1</v>
      </c>
      <c r="AZ34" s="72"/>
    </row>
    <row r="35" spans="1:52" hidden="1">
      <c r="A35" s="931"/>
      <c r="B35" s="72" t="s">
        <v>1391</v>
      </c>
      <c r="C35" s="72"/>
      <c r="D35" s="72"/>
      <c r="E35" s="72"/>
      <c r="F35" s="72"/>
      <c r="G35" s="72"/>
      <c r="H35" s="72"/>
      <c r="I35" s="72"/>
      <c r="J35" s="72">
        <v>1</v>
      </c>
      <c r="K35" s="72"/>
      <c r="L35" s="72"/>
      <c r="M35" s="72"/>
      <c r="N35" s="72"/>
      <c r="O35" s="72"/>
      <c r="P35" s="72"/>
      <c r="Q35" s="72"/>
      <c r="R35" s="72"/>
      <c r="S35" s="72"/>
      <c r="T35" s="72"/>
      <c r="U35" s="72"/>
      <c r="V35" s="72"/>
      <c r="W35" s="72"/>
      <c r="X35" s="72"/>
      <c r="Y35" s="72"/>
      <c r="Z35" s="72">
        <v>6</v>
      </c>
      <c r="AA35" s="72">
        <v>3</v>
      </c>
      <c r="AB35" s="72"/>
      <c r="AC35" s="72"/>
      <c r="AD35" s="72"/>
      <c r="AE35" s="72"/>
      <c r="AF35" s="72">
        <v>2</v>
      </c>
      <c r="AG35" s="72">
        <v>4</v>
      </c>
      <c r="AH35" s="72">
        <v>2</v>
      </c>
      <c r="AI35" s="72"/>
      <c r="AJ35" s="72">
        <v>3</v>
      </c>
      <c r="AK35" s="72"/>
      <c r="AL35" s="72">
        <v>3</v>
      </c>
      <c r="AM35" s="72"/>
      <c r="AN35" s="72">
        <v>2</v>
      </c>
      <c r="AO35" s="72"/>
      <c r="AP35" s="72"/>
      <c r="AQ35" s="72"/>
      <c r="AR35" s="72"/>
      <c r="AS35" s="72"/>
      <c r="AT35" s="72"/>
      <c r="AU35" s="72"/>
      <c r="AV35" s="72"/>
      <c r="AW35" s="72"/>
      <c r="AX35" s="72">
        <v>1</v>
      </c>
      <c r="AY35" s="72">
        <v>1</v>
      </c>
      <c r="AZ35" s="72"/>
    </row>
    <row r="36" spans="1:52" hidden="1">
      <c r="A36" s="931"/>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row>
    <row r="37" spans="1:52" hidden="1">
      <c r="A37" s="931">
        <v>6</v>
      </c>
      <c r="B37" s="72" t="s">
        <v>1392</v>
      </c>
      <c r="C37" s="72"/>
      <c r="D37" s="72"/>
      <c r="E37" s="72"/>
      <c r="F37" s="72"/>
      <c r="G37" s="72"/>
      <c r="H37" s="72"/>
      <c r="I37" s="72"/>
      <c r="J37" s="72">
        <v>1</v>
      </c>
      <c r="K37" s="72"/>
      <c r="L37" s="72"/>
      <c r="M37" s="72"/>
      <c r="N37" s="72"/>
      <c r="O37" s="72"/>
      <c r="P37" s="72"/>
      <c r="Q37" s="72"/>
      <c r="R37" s="72"/>
      <c r="S37" s="72"/>
      <c r="T37" s="72"/>
      <c r="U37" s="72"/>
      <c r="V37" s="72"/>
      <c r="W37" s="72"/>
      <c r="X37" s="72"/>
      <c r="Y37" s="72"/>
      <c r="Z37" s="72"/>
      <c r="AA37" s="72"/>
      <c r="AB37" s="72"/>
      <c r="AC37" s="72"/>
      <c r="AD37" s="72"/>
      <c r="AE37" s="72"/>
      <c r="AF37" s="72">
        <v>1</v>
      </c>
      <c r="AG37" s="72"/>
      <c r="AH37" s="72"/>
      <c r="AI37" s="72"/>
      <c r="AJ37" s="72"/>
      <c r="AK37" s="72"/>
      <c r="AL37" s="72"/>
      <c r="AM37" s="72"/>
      <c r="AN37" s="72">
        <v>1</v>
      </c>
      <c r="AO37" s="72"/>
      <c r="AP37" s="72"/>
      <c r="AQ37" s="72"/>
      <c r="AR37" s="72"/>
      <c r="AS37" s="72"/>
      <c r="AT37" s="72"/>
      <c r="AU37" s="72"/>
      <c r="AV37" s="72"/>
      <c r="AW37" s="72"/>
      <c r="AX37" s="72"/>
      <c r="AY37" s="72"/>
      <c r="AZ37" s="72"/>
    </row>
    <row r="38" spans="1:52" hidden="1">
      <c r="A38" s="931"/>
      <c r="B38" s="72" t="s">
        <v>1393</v>
      </c>
      <c r="C38" s="72"/>
      <c r="D38" s="72"/>
      <c r="E38" s="72"/>
      <c r="F38" s="72"/>
      <c r="G38" s="72"/>
      <c r="H38" s="72"/>
      <c r="I38" s="72"/>
      <c r="J38" s="72">
        <v>1</v>
      </c>
      <c r="K38" s="72"/>
      <c r="L38" s="72"/>
      <c r="M38" s="72"/>
      <c r="N38" s="72"/>
      <c r="O38" s="72"/>
      <c r="P38" s="72"/>
      <c r="Q38" s="72"/>
      <c r="R38" s="72"/>
      <c r="S38" s="72"/>
      <c r="T38" s="72"/>
      <c r="U38" s="72"/>
      <c r="V38" s="72"/>
      <c r="W38" s="72"/>
      <c r="X38" s="72"/>
      <c r="Y38" s="72"/>
      <c r="Z38" s="72"/>
      <c r="AA38" s="72"/>
      <c r="AB38" s="72"/>
      <c r="AC38" s="72"/>
      <c r="AD38" s="72"/>
      <c r="AE38" s="72"/>
      <c r="AF38" s="72">
        <v>1</v>
      </c>
      <c r="AG38" s="72"/>
      <c r="AH38" s="72"/>
      <c r="AI38" s="72"/>
      <c r="AJ38" s="72"/>
      <c r="AK38" s="72"/>
      <c r="AL38" s="72"/>
      <c r="AM38" s="72"/>
      <c r="AN38" s="72">
        <v>1</v>
      </c>
      <c r="AO38" s="72"/>
      <c r="AP38" s="72"/>
      <c r="AQ38" s="72"/>
      <c r="AR38" s="72"/>
      <c r="AS38" s="72"/>
      <c r="AT38" s="72"/>
      <c r="AU38" s="72"/>
      <c r="AV38" s="72"/>
      <c r="AW38" s="72"/>
      <c r="AX38" s="72"/>
      <c r="AY38" s="72"/>
      <c r="AZ38" s="72"/>
    </row>
    <row r="39" spans="1:52" hidden="1">
      <c r="A39" s="931"/>
      <c r="B39" s="72" t="s">
        <v>1394</v>
      </c>
      <c r="C39" s="72"/>
      <c r="D39" s="72"/>
      <c r="E39" s="72"/>
      <c r="F39" s="72"/>
      <c r="G39" s="72"/>
      <c r="H39" s="72"/>
      <c r="I39" s="72"/>
      <c r="J39" s="72">
        <v>1</v>
      </c>
      <c r="K39" s="72"/>
      <c r="L39" s="72"/>
      <c r="M39" s="72"/>
      <c r="N39" s="72"/>
      <c r="O39" s="72"/>
      <c r="P39" s="72"/>
      <c r="Q39" s="72"/>
      <c r="R39" s="72"/>
      <c r="S39" s="72"/>
      <c r="T39" s="72"/>
      <c r="U39" s="72"/>
      <c r="V39" s="72"/>
      <c r="W39" s="72"/>
      <c r="X39" s="72"/>
      <c r="Y39" s="72"/>
      <c r="Z39" s="72">
        <v>2</v>
      </c>
      <c r="AA39" s="72">
        <v>1</v>
      </c>
      <c r="AB39" s="72"/>
      <c r="AC39" s="72"/>
      <c r="AD39" s="72"/>
      <c r="AE39" s="72"/>
      <c r="AF39" s="72">
        <v>2</v>
      </c>
      <c r="AG39" s="72">
        <v>4</v>
      </c>
      <c r="AH39" s="72"/>
      <c r="AI39" s="72"/>
      <c r="AJ39" s="72"/>
      <c r="AK39" s="72"/>
      <c r="AL39" s="72"/>
      <c r="AM39" s="72">
        <v>2</v>
      </c>
      <c r="AN39" s="72">
        <v>2</v>
      </c>
      <c r="AO39" s="72"/>
      <c r="AP39" s="72"/>
      <c r="AQ39" s="72"/>
      <c r="AR39" s="72"/>
      <c r="AS39" s="72"/>
      <c r="AT39" s="72"/>
      <c r="AU39" s="72"/>
      <c r="AV39" s="72"/>
      <c r="AW39" s="72"/>
      <c r="AX39" s="72"/>
      <c r="AY39" s="72">
        <v>1</v>
      </c>
      <c r="AZ39" s="72"/>
    </row>
    <row r="40" spans="1:52" hidden="1">
      <c r="A40" s="931"/>
      <c r="B40" s="72" t="s">
        <v>1395</v>
      </c>
      <c r="C40" s="72"/>
      <c r="D40" s="72"/>
      <c r="E40" s="72"/>
      <c r="F40" s="72"/>
      <c r="G40" s="72"/>
      <c r="H40" s="72"/>
      <c r="I40" s="72"/>
      <c r="J40" s="72">
        <v>1</v>
      </c>
      <c r="K40" s="72"/>
      <c r="L40" s="72"/>
      <c r="M40" s="72"/>
      <c r="N40" s="72"/>
      <c r="O40" s="72"/>
      <c r="P40" s="72"/>
      <c r="Q40" s="72"/>
      <c r="R40" s="72"/>
      <c r="S40" s="72"/>
      <c r="T40" s="72"/>
      <c r="U40" s="72"/>
      <c r="V40" s="72"/>
      <c r="W40" s="72"/>
      <c r="X40" s="72"/>
      <c r="Y40" s="72"/>
      <c r="Z40" s="72">
        <v>2</v>
      </c>
      <c r="AA40" s="72">
        <v>1</v>
      </c>
      <c r="AB40" s="72"/>
      <c r="AC40" s="72"/>
      <c r="AD40" s="72"/>
      <c r="AE40" s="72"/>
      <c r="AF40" s="72">
        <v>2</v>
      </c>
      <c r="AG40" s="72">
        <v>4</v>
      </c>
      <c r="AH40" s="72"/>
      <c r="AI40" s="72"/>
      <c r="AJ40" s="72"/>
      <c r="AK40" s="72"/>
      <c r="AL40" s="72"/>
      <c r="AM40" s="72">
        <v>2</v>
      </c>
      <c r="AN40" s="72">
        <v>2</v>
      </c>
      <c r="AO40" s="72"/>
      <c r="AP40" s="72"/>
      <c r="AQ40" s="72"/>
      <c r="AR40" s="72"/>
      <c r="AS40" s="72"/>
      <c r="AT40" s="72"/>
      <c r="AU40" s="72"/>
      <c r="AV40" s="72"/>
      <c r="AW40" s="72"/>
      <c r="AX40" s="72"/>
      <c r="AY40" s="72">
        <v>1</v>
      </c>
      <c r="AZ40" s="72"/>
    </row>
    <row r="41" spans="1:52" hidden="1">
      <c r="A41" s="931"/>
      <c r="B41" s="72" t="s">
        <v>1396</v>
      </c>
      <c r="C41" s="72"/>
      <c r="D41" s="72"/>
      <c r="E41" s="72"/>
      <c r="F41" s="72"/>
      <c r="G41" s="72"/>
      <c r="H41" s="72"/>
      <c r="I41" s="72"/>
      <c r="J41" s="72">
        <v>1</v>
      </c>
      <c r="K41" s="72"/>
      <c r="L41" s="72"/>
      <c r="M41" s="72"/>
      <c r="N41" s="72"/>
      <c r="O41" s="72"/>
      <c r="P41" s="72"/>
      <c r="Q41" s="72"/>
      <c r="R41" s="72"/>
      <c r="S41" s="72"/>
      <c r="T41" s="72"/>
      <c r="U41" s="72"/>
      <c r="V41" s="72"/>
      <c r="W41" s="72"/>
      <c r="X41" s="72"/>
      <c r="Y41" s="72"/>
      <c r="Z41" s="72">
        <v>1</v>
      </c>
      <c r="AA41" s="72"/>
      <c r="AB41" s="72"/>
      <c r="AC41" s="72"/>
      <c r="AD41" s="72"/>
      <c r="AE41" s="72"/>
      <c r="AF41" s="72">
        <v>1</v>
      </c>
      <c r="AG41" s="72">
        <v>2</v>
      </c>
      <c r="AH41" s="72"/>
      <c r="AI41" s="72"/>
      <c r="AJ41" s="72"/>
      <c r="AK41" s="72"/>
      <c r="AL41" s="72"/>
      <c r="AM41" s="72"/>
      <c r="AN41" s="72">
        <v>1</v>
      </c>
      <c r="AO41" s="72"/>
      <c r="AP41" s="72"/>
      <c r="AQ41" s="72"/>
      <c r="AR41" s="72"/>
      <c r="AS41" s="72"/>
      <c r="AT41" s="72"/>
      <c r="AU41" s="72"/>
      <c r="AV41" s="72"/>
      <c r="AW41" s="72"/>
      <c r="AX41" s="72"/>
      <c r="AY41" s="72">
        <v>1</v>
      </c>
      <c r="AZ41" s="72"/>
    </row>
    <row r="42" spans="1:52" hidden="1">
      <c r="A42" s="931"/>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row>
    <row r="43" spans="1:52" hidden="1">
      <c r="A43" s="931">
        <v>7</v>
      </c>
      <c r="B43" s="72" t="s">
        <v>1397</v>
      </c>
      <c r="C43" s="72"/>
      <c r="D43" s="72"/>
      <c r="E43" s="72"/>
      <c r="F43" s="72"/>
      <c r="G43" s="72"/>
      <c r="H43" s="72"/>
      <c r="I43" s="72"/>
      <c r="J43" s="72">
        <v>1</v>
      </c>
      <c r="K43" s="72"/>
      <c r="L43" s="72"/>
      <c r="M43" s="72"/>
      <c r="N43" s="72"/>
      <c r="O43" s="72"/>
      <c r="P43" s="72"/>
      <c r="Q43" s="72"/>
      <c r="R43" s="72"/>
      <c r="S43" s="72"/>
      <c r="T43" s="72">
        <v>1</v>
      </c>
      <c r="U43" s="72"/>
      <c r="V43" s="72"/>
      <c r="W43" s="72"/>
      <c r="X43" s="72"/>
      <c r="Y43" s="72"/>
      <c r="Z43" s="72"/>
      <c r="AA43" s="72">
        <v>3</v>
      </c>
      <c r="AB43" s="72"/>
      <c r="AC43" s="72"/>
      <c r="AD43" s="72"/>
      <c r="AE43" s="72"/>
      <c r="AF43" s="72">
        <v>1</v>
      </c>
      <c r="AG43" s="72"/>
      <c r="AH43" s="72"/>
      <c r="AI43" s="72"/>
      <c r="AJ43" s="72"/>
      <c r="AK43" s="72"/>
      <c r="AL43" s="72"/>
      <c r="AM43" s="72"/>
      <c r="AN43" s="72">
        <v>1</v>
      </c>
      <c r="AO43" s="72"/>
      <c r="AP43" s="72"/>
      <c r="AQ43" s="72"/>
      <c r="AR43" s="72"/>
      <c r="AS43" s="72"/>
      <c r="AT43" s="72"/>
      <c r="AU43" s="72"/>
      <c r="AV43" s="72"/>
      <c r="AW43" s="72"/>
      <c r="AX43" s="72"/>
      <c r="AY43" s="72"/>
      <c r="AZ43" s="72"/>
    </row>
    <row r="44" spans="1:52" hidden="1">
      <c r="A44" s="931"/>
      <c r="B44" s="72" t="s">
        <v>1398</v>
      </c>
      <c r="C44" s="72"/>
      <c r="D44" s="72"/>
      <c r="E44" s="72"/>
      <c r="F44" s="72"/>
      <c r="G44" s="72"/>
      <c r="H44" s="72"/>
      <c r="I44" s="72"/>
      <c r="J44" s="72">
        <v>1</v>
      </c>
      <c r="K44" s="72"/>
      <c r="L44" s="72"/>
      <c r="M44" s="72"/>
      <c r="N44" s="72"/>
      <c r="O44" s="72"/>
      <c r="P44" s="72"/>
      <c r="Q44" s="72"/>
      <c r="R44" s="72"/>
      <c r="S44" s="72"/>
      <c r="T44" s="72"/>
      <c r="U44" s="72"/>
      <c r="V44" s="72"/>
      <c r="W44" s="72"/>
      <c r="X44" s="72"/>
      <c r="Y44" s="72"/>
      <c r="Z44" s="72"/>
      <c r="AA44" s="72">
        <v>6</v>
      </c>
      <c r="AB44" s="72"/>
      <c r="AC44" s="72"/>
      <c r="AD44" s="72"/>
      <c r="AE44" s="72"/>
      <c r="AF44" s="72">
        <v>1</v>
      </c>
      <c r="AG44" s="72"/>
      <c r="AH44" s="72"/>
      <c r="AI44" s="72"/>
      <c r="AJ44" s="72"/>
      <c r="AK44" s="72"/>
      <c r="AL44" s="72"/>
      <c r="AM44" s="72"/>
      <c r="AN44" s="72">
        <v>1</v>
      </c>
      <c r="AO44" s="72"/>
      <c r="AP44" s="72"/>
      <c r="AQ44" s="72"/>
      <c r="AR44" s="72"/>
      <c r="AS44" s="72"/>
      <c r="AT44" s="72"/>
      <c r="AU44" s="72"/>
      <c r="AV44" s="72"/>
      <c r="AW44" s="72"/>
      <c r="AX44" s="72"/>
      <c r="AY44" s="72"/>
      <c r="AZ44" s="72"/>
    </row>
    <row r="45" spans="1:52" hidden="1">
      <c r="A45" s="931"/>
      <c r="B45" s="72" t="s">
        <v>1399</v>
      </c>
      <c r="C45" s="72"/>
      <c r="D45" s="72"/>
      <c r="E45" s="72"/>
      <c r="F45" s="72"/>
      <c r="G45" s="72"/>
      <c r="H45" s="72"/>
      <c r="I45" s="72"/>
      <c r="J45" s="72">
        <v>1</v>
      </c>
      <c r="K45" s="72"/>
      <c r="L45" s="72"/>
      <c r="M45" s="72"/>
      <c r="N45" s="72"/>
      <c r="O45" s="72"/>
      <c r="P45" s="72"/>
      <c r="Q45" s="72"/>
      <c r="R45" s="72"/>
      <c r="S45" s="72"/>
      <c r="T45" s="72">
        <v>1</v>
      </c>
      <c r="U45" s="72"/>
      <c r="V45" s="72"/>
      <c r="W45" s="72"/>
      <c r="X45" s="72"/>
      <c r="Y45" s="72"/>
      <c r="Z45" s="72">
        <v>6</v>
      </c>
      <c r="AA45" s="72">
        <v>6</v>
      </c>
      <c r="AB45" s="72"/>
      <c r="AC45" s="72"/>
      <c r="AD45" s="72"/>
      <c r="AE45" s="72"/>
      <c r="AF45" s="72">
        <v>2</v>
      </c>
      <c r="AG45" s="72">
        <v>4</v>
      </c>
      <c r="AH45" s="72"/>
      <c r="AI45" s="72"/>
      <c r="AJ45" s="72"/>
      <c r="AK45" s="72"/>
      <c r="AL45" s="72"/>
      <c r="AM45" s="72">
        <v>4</v>
      </c>
      <c r="AN45" s="72">
        <v>2</v>
      </c>
      <c r="AO45" s="72"/>
      <c r="AP45" s="72"/>
      <c r="AQ45" s="72"/>
      <c r="AR45" s="72"/>
      <c r="AS45" s="72"/>
      <c r="AT45" s="72"/>
      <c r="AU45" s="72"/>
      <c r="AV45" s="72"/>
      <c r="AW45" s="72"/>
      <c r="AX45" s="72"/>
      <c r="AY45" s="72">
        <v>1</v>
      </c>
      <c r="AZ45" s="72"/>
    </row>
    <row r="46" spans="1:52" hidden="1">
      <c r="A46" s="931"/>
      <c r="B46" s="72" t="s">
        <v>1400</v>
      </c>
      <c r="C46" s="72"/>
      <c r="D46" s="72"/>
      <c r="E46" s="72"/>
      <c r="F46" s="72"/>
      <c r="G46" s="72"/>
      <c r="H46" s="72"/>
      <c r="I46" s="72"/>
      <c r="J46" s="72">
        <v>1</v>
      </c>
      <c r="K46" s="72"/>
      <c r="L46" s="72"/>
      <c r="M46" s="72"/>
      <c r="N46" s="72"/>
      <c r="O46" s="72"/>
      <c r="P46" s="72"/>
      <c r="Q46" s="72"/>
      <c r="R46" s="72"/>
      <c r="S46" s="72"/>
      <c r="T46" s="72">
        <v>1</v>
      </c>
      <c r="U46" s="72"/>
      <c r="V46" s="72"/>
      <c r="W46" s="72"/>
      <c r="X46" s="72"/>
      <c r="Y46" s="72"/>
      <c r="Z46" s="72">
        <v>6</v>
      </c>
      <c r="AA46" s="72">
        <v>7</v>
      </c>
      <c r="AB46" s="72"/>
      <c r="AC46" s="72"/>
      <c r="AD46" s="72"/>
      <c r="AE46" s="72"/>
      <c r="AF46" s="72">
        <v>2</v>
      </c>
      <c r="AG46" s="72">
        <v>4</v>
      </c>
      <c r="AH46" s="72"/>
      <c r="AI46" s="72"/>
      <c r="AJ46" s="72"/>
      <c r="AK46" s="72"/>
      <c r="AL46" s="72"/>
      <c r="AM46" s="72">
        <v>4</v>
      </c>
      <c r="AN46" s="72">
        <v>2</v>
      </c>
      <c r="AO46" s="72"/>
      <c r="AP46" s="72"/>
      <c r="AQ46" s="72"/>
      <c r="AR46" s="72"/>
      <c r="AS46" s="72"/>
      <c r="AT46" s="72"/>
      <c r="AU46" s="72"/>
      <c r="AV46" s="72"/>
      <c r="AW46" s="72"/>
      <c r="AX46" s="72"/>
      <c r="AY46" s="72">
        <v>1</v>
      </c>
      <c r="AZ46" s="72"/>
    </row>
    <row r="47" spans="1:52" hidden="1">
      <c r="A47" s="931"/>
      <c r="B47" s="72" t="s">
        <v>1401</v>
      </c>
      <c r="C47" s="72"/>
      <c r="D47" s="72"/>
      <c r="E47" s="72"/>
      <c r="F47" s="72"/>
      <c r="G47" s="72"/>
      <c r="H47" s="72"/>
      <c r="I47" s="72"/>
      <c r="J47" s="72">
        <v>1</v>
      </c>
      <c r="K47" s="72"/>
      <c r="L47" s="72"/>
      <c r="M47" s="72"/>
      <c r="N47" s="72"/>
      <c r="O47" s="72"/>
      <c r="P47" s="72"/>
      <c r="Q47" s="72"/>
      <c r="R47" s="72"/>
      <c r="S47" s="72"/>
      <c r="T47" s="72"/>
      <c r="U47" s="72"/>
      <c r="V47" s="72"/>
      <c r="W47" s="72"/>
      <c r="X47" s="72"/>
      <c r="Y47" s="72"/>
      <c r="Z47" s="72">
        <v>3</v>
      </c>
      <c r="AA47" s="72"/>
      <c r="AB47" s="72"/>
      <c r="AC47" s="72"/>
      <c r="AD47" s="72"/>
      <c r="AE47" s="72"/>
      <c r="AF47" s="72">
        <v>1</v>
      </c>
      <c r="AG47" s="72">
        <v>2</v>
      </c>
      <c r="AH47" s="72"/>
      <c r="AI47" s="72"/>
      <c r="AJ47" s="72"/>
      <c r="AK47" s="72"/>
      <c r="AL47" s="72"/>
      <c r="AM47" s="72"/>
      <c r="AN47" s="72">
        <v>1</v>
      </c>
      <c r="AO47" s="72"/>
      <c r="AP47" s="72"/>
      <c r="AQ47" s="72"/>
      <c r="AR47" s="72"/>
      <c r="AS47" s="72"/>
      <c r="AT47" s="72"/>
      <c r="AU47" s="72"/>
      <c r="AV47" s="72"/>
      <c r="AW47" s="72"/>
      <c r="AX47" s="72"/>
      <c r="AY47" s="72">
        <v>1</v>
      </c>
      <c r="AZ47" s="72"/>
    </row>
    <row r="48" spans="1:52" hidden="1">
      <c r="A48" s="931"/>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row>
    <row r="49" spans="1:52" hidden="1">
      <c r="A49" s="931"/>
      <c r="B49" s="72">
        <v>1</v>
      </c>
      <c r="C49" s="72">
        <f>+B49+1</f>
        <v>2</v>
      </c>
      <c r="D49" s="72"/>
      <c r="E49" s="72"/>
      <c r="F49" s="72"/>
      <c r="G49" s="72"/>
      <c r="H49" s="72"/>
      <c r="I49" s="72" t="e">
        <f>+#REF!+1</f>
        <v>#REF!</v>
      </c>
      <c r="J49" s="72" t="e">
        <f>+I49+1</f>
        <v>#REF!</v>
      </c>
      <c r="K49" s="72" t="e">
        <f>+J49+1</f>
        <v>#REF!</v>
      </c>
      <c r="L49" s="72"/>
      <c r="M49" s="72"/>
      <c r="N49" s="72" t="e">
        <f>+#REF!+1</f>
        <v>#REF!</v>
      </c>
      <c r="O49" s="72" t="e">
        <f>+N49+1</f>
        <v>#REF!</v>
      </c>
      <c r="P49" s="72"/>
      <c r="Q49" s="72"/>
      <c r="R49" s="72" t="e">
        <f>+#REF!+1</f>
        <v>#REF!</v>
      </c>
      <c r="S49" s="72" t="e">
        <f>+#REF!+1</f>
        <v>#REF!</v>
      </c>
      <c r="T49" s="72" t="e">
        <f>+#REF!+1</f>
        <v>#REF!</v>
      </c>
      <c r="U49" s="72"/>
      <c r="V49" s="72"/>
      <c r="W49" s="72"/>
      <c r="X49" s="72"/>
      <c r="Y49" s="72" t="e">
        <f>+#REF!+1</f>
        <v>#REF!</v>
      </c>
      <c r="Z49" s="72" t="e">
        <f>+Y49+1</f>
        <v>#REF!</v>
      </c>
      <c r="AA49" s="72" t="e">
        <f>+Z49+1</f>
        <v>#REF!</v>
      </c>
      <c r="AB49" s="72" t="e">
        <f>+AA49+1</f>
        <v>#REF!</v>
      </c>
      <c r="AC49" s="72"/>
      <c r="AD49" s="72"/>
      <c r="AE49" s="72"/>
      <c r="AF49" s="72" t="e">
        <f>+AB49+1</f>
        <v>#REF!</v>
      </c>
      <c r="AG49" s="72" t="e">
        <f>+AF49+1</f>
        <v>#REF!</v>
      </c>
      <c r="AH49" s="72" t="e">
        <f>+#REF!+1</f>
        <v>#REF!</v>
      </c>
      <c r="AI49" s="72" t="e">
        <f>+AH49+1</f>
        <v>#REF!</v>
      </c>
      <c r="AJ49" s="72" t="e">
        <f>+AI49+1</f>
        <v>#REF!</v>
      </c>
      <c r="AK49" s="72" t="e">
        <f>+AJ49+1</f>
        <v>#REF!</v>
      </c>
      <c r="AL49" s="72" t="e">
        <f>+#REF!+1</f>
        <v>#REF!</v>
      </c>
      <c r="AM49" s="72" t="e">
        <f>+#REF!+1</f>
        <v>#REF!</v>
      </c>
      <c r="AN49" s="72" t="e">
        <f>+AM49+1</f>
        <v>#REF!</v>
      </c>
      <c r="AO49" s="72" t="e">
        <f>+AN49+1</f>
        <v>#REF!</v>
      </c>
      <c r="AP49" s="72"/>
      <c r="AQ49" s="72" t="e">
        <f>+#REF!+1</f>
        <v>#REF!</v>
      </c>
      <c r="AR49" s="72" t="e">
        <f>+AQ49+1</f>
        <v>#REF!</v>
      </c>
      <c r="AS49" s="72"/>
      <c r="AT49" s="72" t="e">
        <f>+AR49+1</f>
        <v>#REF!</v>
      </c>
      <c r="AU49" s="72"/>
      <c r="AV49" s="72" t="e">
        <f>+AT49+1</f>
        <v>#REF!</v>
      </c>
      <c r="AW49" s="72"/>
      <c r="AX49" s="72" t="e">
        <f>+#REF!+1</f>
        <v>#REF!</v>
      </c>
      <c r="AY49" s="72" t="e">
        <f>+AX49+1</f>
        <v>#REF!</v>
      </c>
      <c r="AZ49" s="72"/>
    </row>
    <row r="50" spans="1:52">
      <c r="A50" s="1454" t="s">
        <v>5717</v>
      </c>
      <c r="B50" s="1454"/>
      <c r="C50" s="1454"/>
      <c r="D50" s="1454"/>
      <c r="E50" s="1454"/>
      <c r="F50" s="1454"/>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1370"/>
    </row>
    <row r="51" spans="1:52">
      <c r="A51" s="1368" t="s">
        <v>5718</v>
      </c>
      <c r="B51" s="1368"/>
      <c r="C51" s="1368"/>
      <c r="D51" s="1368"/>
      <c r="E51" s="1368"/>
      <c r="F51" s="1368"/>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c r="AY51" s="67"/>
      <c r="AZ51" s="1370"/>
    </row>
    <row r="52" spans="1:52">
      <c r="A52" s="944" t="s">
        <v>5719</v>
      </c>
      <c r="B52" s="72" t="s">
        <v>3125</v>
      </c>
      <c r="C52" s="70"/>
      <c r="D52" s="70">
        <v>3</v>
      </c>
      <c r="E52" s="72"/>
      <c r="F52" s="70">
        <v>1</v>
      </c>
      <c r="G52" s="72"/>
      <c r="H52" s="72"/>
      <c r="I52" s="72"/>
      <c r="J52" s="72"/>
      <c r="K52" s="72" t="s">
        <v>5819</v>
      </c>
      <c r="L52" s="72"/>
      <c r="M52" s="72"/>
      <c r="N52" s="72"/>
      <c r="O52" s="72"/>
      <c r="P52" s="72"/>
      <c r="Q52" s="72">
        <v>1</v>
      </c>
      <c r="R52" s="72"/>
      <c r="S52" s="72"/>
      <c r="T52" s="72"/>
      <c r="U52" s="72"/>
      <c r="V52" s="72"/>
      <c r="W52" s="72"/>
      <c r="X52" s="72"/>
      <c r="Y52" s="72"/>
      <c r="Z52" s="72">
        <v>1</v>
      </c>
      <c r="AA52" s="72"/>
      <c r="AB52" s="72">
        <f>Z52</f>
        <v>1</v>
      </c>
      <c r="AC52" s="72"/>
      <c r="AD52" s="72"/>
      <c r="AE52" s="72"/>
      <c r="AF52" s="72">
        <v>1</v>
      </c>
      <c r="AG52" s="72">
        <v>1</v>
      </c>
      <c r="AH52" s="72">
        <v>2</v>
      </c>
      <c r="AI52" s="72"/>
      <c r="AJ52" s="72"/>
      <c r="AK52" s="72">
        <v>2</v>
      </c>
      <c r="AL52" s="72">
        <v>1</v>
      </c>
      <c r="AM52" s="72"/>
      <c r="AN52" s="72">
        <v>1</v>
      </c>
      <c r="AO52" s="72"/>
      <c r="AP52" s="72">
        <v>1</v>
      </c>
      <c r="AQ52" s="72"/>
      <c r="AR52" s="72">
        <f>IF(J52=2,1,0)</f>
        <v>0</v>
      </c>
      <c r="AS52" s="72">
        <f>IF(J52=2,1,0)</f>
        <v>0</v>
      </c>
      <c r="AT52" s="72">
        <f>IF(J52=2,1,0)</f>
        <v>0</v>
      </c>
      <c r="AU52" s="72">
        <v>1</v>
      </c>
      <c r="AV52" s="72"/>
      <c r="AW52" s="72"/>
      <c r="AX52" s="72">
        <v>1</v>
      </c>
      <c r="AY52" s="72"/>
      <c r="AZ52" s="72"/>
    </row>
    <row r="53" spans="1:52">
      <c r="A53" s="944" t="s">
        <v>5720</v>
      </c>
      <c r="B53" s="72" t="s">
        <v>3124</v>
      </c>
      <c r="C53" s="72">
        <v>15</v>
      </c>
      <c r="D53" s="72"/>
      <c r="E53" s="72"/>
      <c r="F53" s="72">
        <f>C53+1</f>
        <v>16</v>
      </c>
      <c r="G53" s="72">
        <f>C53+1</f>
        <v>16</v>
      </c>
      <c r="H53" s="72"/>
      <c r="I53" s="72"/>
      <c r="J53" s="72">
        <v>2</v>
      </c>
      <c r="K53" s="72"/>
      <c r="L53" s="72"/>
      <c r="M53" s="72"/>
      <c r="N53" s="72">
        <v>1</v>
      </c>
      <c r="O53" s="72"/>
      <c r="P53" s="72"/>
      <c r="Q53" s="72"/>
      <c r="R53" s="72">
        <v>1</v>
      </c>
      <c r="S53" s="72"/>
      <c r="T53" s="72"/>
      <c r="U53" s="72"/>
      <c r="V53" s="72"/>
      <c r="W53" s="72"/>
      <c r="X53" s="72"/>
      <c r="Y53" s="72"/>
      <c r="Z53" s="72">
        <v>2</v>
      </c>
      <c r="AA53" s="72">
        <f>IF(R53=1,1,IF(S53=1,2,0))</f>
        <v>1</v>
      </c>
      <c r="AB53" s="72">
        <f t="shared" ref="AB53:AB67" si="0">Z53</f>
        <v>2</v>
      </c>
      <c r="AC53" s="72"/>
      <c r="AD53" s="72">
        <f>AA53</f>
        <v>1</v>
      </c>
      <c r="AE53" s="72"/>
      <c r="AF53" s="72">
        <v>2</v>
      </c>
      <c r="AG53" s="72">
        <v>4</v>
      </c>
      <c r="AH53" s="72"/>
      <c r="AI53" s="72"/>
      <c r="AJ53" s="72"/>
      <c r="AK53" s="72"/>
      <c r="AL53" s="72"/>
      <c r="AM53" s="72"/>
      <c r="AN53" s="72"/>
      <c r="AO53" s="72">
        <v>2</v>
      </c>
      <c r="AP53" s="72"/>
      <c r="AQ53" s="72">
        <v>2</v>
      </c>
      <c r="AR53" s="72">
        <f t="shared" ref="AR53:AR67" si="1">IF(J53=2,1,0)</f>
        <v>1</v>
      </c>
      <c r="AS53" s="72">
        <f t="shared" ref="AS53:AS67" si="2">IF(J53=2,1,0)</f>
        <v>1</v>
      </c>
      <c r="AT53" s="72">
        <f t="shared" ref="AT53:AT67" si="3">IF(J53=2,1,0)</f>
        <v>1</v>
      </c>
      <c r="AU53" s="72"/>
      <c r="AV53" s="72"/>
      <c r="AW53" s="72"/>
      <c r="AX53" s="72"/>
      <c r="AY53" s="72">
        <v>1</v>
      </c>
      <c r="AZ53" s="72"/>
    </row>
    <row r="54" spans="1:52">
      <c r="A54" s="944" t="s">
        <v>5721</v>
      </c>
      <c r="B54" s="72" t="s">
        <v>3120</v>
      </c>
      <c r="C54" s="72">
        <v>60</v>
      </c>
      <c r="D54" s="72"/>
      <c r="E54" s="72"/>
      <c r="F54" s="72">
        <f t="shared" ref="F54:F66" si="4">C54</f>
        <v>60</v>
      </c>
      <c r="G54" s="72">
        <f t="shared" ref="G54:G66" si="5">C54</f>
        <v>60</v>
      </c>
      <c r="H54" s="72"/>
      <c r="I54" s="72"/>
      <c r="J54" s="72">
        <v>1</v>
      </c>
      <c r="K54" s="72"/>
      <c r="L54" s="72"/>
      <c r="M54" s="72"/>
      <c r="N54" s="72"/>
      <c r="O54" s="72"/>
      <c r="P54" s="72">
        <v>1</v>
      </c>
      <c r="Q54" s="72"/>
      <c r="R54" s="72">
        <v>1</v>
      </c>
      <c r="S54" s="72"/>
      <c r="T54" s="72"/>
      <c r="U54" s="72"/>
      <c r="V54" s="72"/>
      <c r="W54" s="72"/>
      <c r="X54" s="72"/>
      <c r="Y54" s="72"/>
      <c r="Z54" s="72"/>
      <c r="AA54" s="72">
        <f t="shared" ref="AA54:AA67" si="6">IF(R54=1,1,IF(S54=1,2,0))</f>
        <v>1</v>
      </c>
      <c r="AB54" s="72">
        <f t="shared" si="0"/>
        <v>0</v>
      </c>
      <c r="AC54" s="72"/>
      <c r="AD54" s="72">
        <f t="shared" ref="AD54:AD67" si="7">AA54</f>
        <v>1</v>
      </c>
      <c r="AE54" s="72"/>
      <c r="AF54" s="72">
        <v>1</v>
      </c>
      <c r="AG54" s="72"/>
      <c r="AH54" s="72"/>
      <c r="AI54" s="72"/>
      <c r="AJ54" s="72"/>
      <c r="AK54" s="72"/>
      <c r="AL54" s="72"/>
      <c r="AM54" s="72"/>
      <c r="AN54" s="72">
        <v>1</v>
      </c>
      <c r="AO54" s="72"/>
      <c r="AP54" s="72"/>
      <c r="AQ54" s="72"/>
      <c r="AR54" s="72">
        <f t="shared" si="1"/>
        <v>0</v>
      </c>
      <c r="AS54" s="72">
        <f t="shared" si="2"/>
        <v>0</v>
      </c>
      <c r="AT54" s="72">
        <f t="shared" si="3"/>
        <v>0</v>
      </c>
      <c r="AU54" s="72"/>
      <c r="AV54" s="72"/>
      <c r="AW54" s="72"/>
      <c r="AX54" s="72"/>
      <c r="AY54" s="72"/>
      <c r="AZ54" s="72"/>
    </row>
    <row r="55" spans="1:52">
      <c r="A55" s="944" t="s">
        <v>5722</v>
      </c>
      <c r="B55" s="72" t="s">
        <v>3120</v>
      </c>
      <c r="C55" s="72">
        <v>60</v>
      </c>
      <c r="D55" s="72"/>
      <c r="E55" s="72"/>
      <c r="F55" s="72">
        <f t="shared" si="4"/>
        <v>60</v>
      </c>
      <c r="G55" s="72">
        <f t="shared" si="5"/>
        <v>60</v>
      </c>
      <c r="H55" s="72"/>
      <c r="I55" s="72"/>
      <c r="J55" s="72">
        <v>1</v>
      </c>
      <c r="K55" s="72"/>
      <c r="L55" s="72"/>
      <c r="M55" s="72"/>
      <c r="N55" s="72"/>
      <c r="O55" s="72"/>
      <c r="P55" s="72">
        <v>1</v>
      </c>
      <c r="Q55" s="72"/>
      <c r="R55" s="72">
        <v>1</v>
      </c>
      <c r="S55" s="72"/>
      <c r="T55" s="72"/>
      <c r="U55" s="72"/>
      <c r="V55" s="72"/>
      <c r="W55" s="72"/>
      <c r="X55" s="72"/>
      <c r="Y55" s="72"/>
      <c r="Z55" s="72"/>
      <c r="AA55" s="72">
        <f t="shared" si="6"/>
        <v>1</v>
      </c>
      <c r="AB55" s="72">
        <f t="shared" si="0"/>
        <v>0</v>
      </c>
      <c r="AC55" s="72"/>
      <c r="AD55" s="72">
        <f t="shared" si="7"/>
        <v>1</v>
      </c>
      <c r="AE55" s="72"/>
      <c r="AF55" s="72">
        <v>1</v>
      </c>
      <c r="AG55" s="72"/>
      <c r="AH55" s="72"/>
      <c r="AI55" s="72"/>
      <c r="AJ55" s="72"/>
      <c r="AK55" s="72"/>
      <c r="AL55" s="72"/>
      <c r="AM55" s="72"/>
      <c r="AN55" s="72">
        <v>1</v>
      </c>
      <c r="AO55" s="72"/>
      <c r="AP55" s="72"/>
      <c r="AQ55" s="72"/>
      <c r="AR55" s="72">
        <f t="shared" si="1"/>
        <v>0</v>
      </c>
      <c r="AS55" s="72">
        <f t="shared" si="2"/>
        <v>0</v>
      </c>
      <c r="AT55" s="72">
        <f t="shared" si="3"/>
        <v>0</v>
      </c>
      <c r="AU55" s="72"/>
      <c r="AV55" s="72"/>
      <c r="AW55" s="72"/>
      <c r="AX55" s="72"/>
      <c r="AY55" s="72"/>
      <c r="AZ55" s="72"/>
    </row>
    <row r="56" spans="1:52">
      <c r="A56" s="944" t="s">
        <v>5723</v>
      </c>
      <c r="B56" s="72" t="s">
        <v>3120</v>
      </c>
      <c r="C56" s="72">
        <v>60</v>
      </c>
      <c r="D56" s="72"/>
      <c r="E56" s="72"/>
      <c r="F56" s="72">
        <f t="shared" si="4"/>
        <v>60</v>
      </c>
      <c r="G56" s="72">
        <f t="shared" si="5"/>
        <v>60</v>
      </c>
      <c r="H56" s="72"/>
      <c r="I56" s="72"/>
      <c r="J56" s="72">
        <v>2</v>
      </c>
      <c r="K56" s="72"/>
      <c r="L56" s="72"/>
      <c r="M56" s="72"/>
      <c r="N56" s="72">
        <v>1</v>
      </c>
      <c r="O56" s="72"/>
      <c r="P56" s="72"/>
      <c r="Q56" s="72"/>
      <c r="R56" s="72">
        <v>1</v>
      </c>
      <c r="S56" s="72"/>
      <c r="T56" s="72"/>
      <c r="U56" s="72"/>
      <c r="V56" s="72"/>
      <c r="W56" s="72"/>
      <c r="X56" s="72"/>
      <c r="Y56" s="72"/>
      <c r="Z56" s="72">
        <v>2</v>
      </c>
      <c r="AA56" s="72">
        <f t="shared" si="6"/>
        <v>1</v>
      </c>
      <c r="AB56" s="72">
        <f t="shared" si="0"/>
        <v>2</v>
      </c>
      <c r="AC56" s="72"/>
      <c r="AD56" s="72">
        <f t="shared" si="7"/>
        <v>1</v>
      </c>
      <c r="AE56" s="72"/>
      <c r="AF56" s="72">
        <v>2</v>
      </c>
      <c r="AG56" s="72">
        <v>4</v>
      </c>
      <c r="AH56" s="72"/>
      <c r="AI56" s="72"/>
      <c r="AJ56" s="72"/>
      <c r="AK56" s="72"/>
      <c r="AL56" s="72"/>
      <c r="AM56" s="72"/>
      <c r="AN56" s="72"/>
      <c r="AO56" s="72">
        <v>2</v>
      </c>
      <c r="AP56" s="72"/>
      <c r="AQ56" s="72">
        <v>2</v>
      </c>
      <c r="AR56" s="72">
        <f t="shared" si="1"/>
        <v>1</v>
      </c>
      <c r="AS56" s="72">
        <f t="shared" si="2"/>
        <v>1</v>
      </c>
      <c r="AT56" s="72">
        <f t="shared" si="3"/>
        <v>1</v>
      </c>
      <c r="AU56" s="72"/>
      <c r="AV56" s="72"/>
      <c r="AW56" s="72"/>
      <c r="AX56" s="72"/>
      <c r="AY56" s="72">
        <v>1</v>
      </c>
      <c r="AZ56" s="72"/>
    </row>
    <row r="57" spans="1:52">
      <c r="A57" s="944" t="s">
        <v>5724</v>
      </c>
      <c r="B57" s="72" t="s">
        <v>3122</v>
      </c>
      <c r="C57" s="72">
        <v>65</v>
      </c>
      <c r="D57" s="72"/>
      <c r="E57" s="72"/>
      <c r="F57" s="72">
        <f t="shared" si="4"/>
        <v>65</v>
      </c>
      <c r="G57" s="72">
        <f t="shared" si="5"/>
        <v>65</v>
      </c>
      <c r="H57" s="72"/>
      <c r="I57" s="72"/>
      <c r="J57" s="72">
        <v>1</v>
      </c>
      <c r="K57" s="72"/>
      <c r="L57" s="72"/>
      <c r="M57" s="72"/>
      <c r="N57" s="72"/>
      <c r="O57" s="72"/>
      <c r="P57" s="72">
        <v>1</v>
      </c>
      <c r="Q57" s="72"/>
      <c r="R57" s="72"/>
      <c r="S57" s="72">
        <v>1</v>
      </c>
      <c r="T57" s="72"/>
      <c r="U57" s="72"/>
      <c r="V57" s="72"/>
      <c r="W57" s="72"/>
      <c r="X57" s="72"/>
      <c r="Y57" s="72"/>
      <c r="Z57" s="72"/>
      <c r="AA57" s="72">
        <f t="shared" si="6"/>
        <v>2</v>
      </c>
      <c r="AB57" s="72">
        <f t="shared" si="0"/>
        <v>0</v>
      </c>
      <c r="AC57" s="72"/>
      <c r="AD57" s="72">
        <f t="shared" si="7"/>
        <v>2</v>
      </c>
      <c r="AE57" s="72"/>
      <c r="AF57" s="72">
        <v>1</v>
      </c>
      <c r="AG57" s="72"/>
      <c r="AH57" s="72"/>
      <c r="AI57" s="72"/>
      <c r="AJ57" s="72"/>
      <c r="AK57" s="72"/>
      <c r="AL57" s="72"/>
      <c r="AM57" s="72"/>
      <c r="AN57" s="72">
        <v>1</v>
      </c>
      <c r="AO57" s="72"/>
      <c r="AP57" s="72"/>
      <c r="AQ57" s="72"/>
      <c r="AR57" s="72">
        <f t="shared" si="1"/>
        <v>0</v>
      </c>
      <c r="AS57" s="72">
        <f t="shared" si="2"/>
        <v>0</v>
      </c>
      <c r="AT57" s="72">
        <f t="shared" si="3"/>
        <v>0</v>
      </c>
      <c r="AU57" s="72"/>
      <c r="AV57" s="72"/>
      <c r="AW57" s="72"/>
      <c r="AX57" s="72"/>
      <c r="AY57" s="72"/>
      <c r="AZ57" s="72"/>
    </row>
    <row r="58" spans="1:52">
      <c r="A58" s="944" t="s">
        <v>5725</v>
      </c>
      <c r="B58" s="72" t="s">
        <v>3121</v>
      </c>
      <c r="C58" s="72">
        <v>65</v>
      </c>
      <c r="D58" s="72"/>
      <c r="E58" s="72"/>
      <c r="F58" s="72">
        <f t="shared" si="4"/>
        <v>65</v>
      </c>
      <c r="G58" s="72">
        <f t="shared" si="5"/>
        <v>65</v>
      </c>
      <c r="H58" s="72"/>
      <c r="I58" s="72"/>
      <c r="J58" s="72">
        <v>1</v>
      </c>
      <c r="K58" s="72"/>
      <c r="L58" s="72"/>
      <c r="M58" s="72"/>
      <c r="N58" s="72"/>
      <c r="O58" s="72"/>
      <c r="P58" s="72">
        <v>1</v>
      </c>
      <c r="Q58" s="72"/>
      <c r="R58" s="72">
        <v>1</v>
      </c>
      <c r="S58" s="72"/>
      <c r="T58" s="72"/>
      <c r="U58" s="72"/>
      <c r="V58" s="72"/>
      <c r="W58" s="72"/>
      <c r="X58" s="72"/>
      <c r="Y58" s="72"/>
      <c r="Z58" s="72"/>
      <c r="AA58" s="72">
        <f t="shared" si="6"/>
        <v>1</v>
      </c>
      <c r="AB58" s="72">
        <f t="shared" si="0"/>
        <v>0</v>
      </c>
      <c r="AC58" s="72"/>
      <c r="AD58" s="72">
        <f t="shared" si="7"/>
        <v>1</v>
      </c>
      <c r="AE58" s="72"/>
      <c r="AF58" s="72">
        <v>1</v>
      </c>
      <c r="AG58" s="72"/>
      <c r="AH58" s="72"/>
      <c r="AI58" s="72"/>
      <c r="AJ58" s="72"/>
      <c r="AK58" s="72"/>
      <c r="AL58" s="72"/>
      <c r="AM58" s="72"/>
      <c r="AN58" s="72">
        <v>1</v>
      </c>
      <c r="AO58" s="72"/>
      <c r="AP58" s="72"/>
      <c r="AQ58" s="72"/>
      <c r="AR58" s="72">
        <f t="shared" si="1"/>
        <v>0</v>
      </c>
      <c r="AS58" s="72">
        <f t="shared" si="2"/>
        <v>0</v>
      </c>
      <c r="AT58" s="72">
        <f t="shared" si="3"/>
        <v>0</v>
      </c>
      <c r="AU58" s="72"/>
      <c r="AV58" s="72"/>
      <c r="AW58" s="72"/>
      <c r="AX58" s="72"/>
      <c r="AY58" s="72"/>
      <c r="AZ58" s="72"/>
    </row>
    <row r="59" spans="1:52">
      <c r="A59" s="944" t="s">
        <v>4529</v>
      </c>
      <c r="B59" s="72" t="s">
        <v>3120</v>
      </c>
      <c r="C59" s="72">
        <v>65</v>
      </c>
      <c r="D59" s="72"/>
      <c r="E59" s="72"/>
      <c r="F59" s="72">
        <f t="shared" si="4"/>
        <v>65</v>
      </c>
      <c r="G59" s="72">
        <f t="shared" si="5"/>
        <v>65</v>
      </c>
      <c r="H59" s="72"/>
      <c r="I59" s="72"/>
      <c r="J59" s="72">
        <v>1</v>
      </c>
      <c r="K59" s="72"/>
      <c r="L59" s="72"/>
      <c r="M59" s="72"/>
      <c r="N59" s="72"/>
      <c r="O59" s="72"/>
      <c r="P59" s="72">
        <v>1</v>
      </c>
      <c r="Q59" s="72"/>
      <c r="R59" s="72">
        <v>1</v>
      </c>
      <c r="S59" s="72"/>
      <c r="T59" s="72"/>
      <c r="U59" s="72"/>
      <c r="V59" s="72"/>
      <c r="W59" s="72"/>
      <c r="X59" s="72"/>
      <c r="Y59" s="72"/>
      <c r="Z59" s="72"/>
      <c r="AA59" s="72">
        <f t="shared" si="6"/>
        <v>1</v>
      </c>
      <c r="AB59" s="72">
        <f t="shared" si="0"/>
        <v>0</v>
      </c>
      <c r="AC59" s="72"/>
      <c r="AD59" s="72">
        <f t="shared" si="7"/>
        <v>1</v>
      </c>
      <c r="AE59" s="72"/>
      <c r="AF59" s="72">
        <v>1</v>
      </c>
      <c r="AG59" s="72"/>
      <c r="AH59" s="72"/>
      <c r="AI59" s="72"/>
      <c r="AJ59" s="72"/>
      <c r="AK59" s="72"/>
      <c r="AL59" s="72"/>
      <c r="AM59" s="72"/>
      <c r="AN59" s="72">
        <v>1</v>
      </c>
      <c r="AO59" s="72"/>
      <c r="AP59" s="72"/>
      <c r="AQ59" s="72"/>
      <c r="AR59" s="72">
        <f t="shared" si="1"/>
        <v>0</v>
      </c>
      <c r="AS59" s="72">
        <f t="shared" si="2"/>
        <v>0</v>
      </c>
      <c r="AT59" s="72">
        <f t="shared" si="3"/>
        <v>0</v>
      </c>
      <c r="AU59" s="72"/>
      <c r="AV59" s="72"/>
      <c r="AW59" s="72"/>
      <c r="AX59" s="72"/>
      <c r="AY59" s="72"/>
      <c r="AZ59" s="72"/>
    </row>
    <row r="60" spans="1:52">
      <c r="A60" s="944" t="s">
        <v>4530</v>
      </c>
      <c r="B60" s="72" t="s">
        <v>3123</v>
      </c>
      <c r="C60" s="72">
        <v>60</v>
      </c>
      <c r="D60" s="72"/>
      <c r="E60" s="72"/>
      <c r="F60" s="72">
        <f>C60+1</f>
        <v>61</v>
      </c>
      <c r="G60" s="72">
        <f>C60+1</f>
        <v>61</v>
      </c>
      <c r="H60" s="72"/>
      <c r="I60" s="72"/>
      <c r="J60" s="72">
        <v>2</v>
      </c>
      <c r="K60" s="72"/>
      <c r="L60" s="72"/>
      <c r="M60" s="72"/>
      <c r="N60" s="72">
        <v>1</v>
      </c>
      <c r="O60" s="72"/>
      <c r="P60" s="72"/>
      <c r="Q60" s="72"/>
      <c r="R60" s="72"/>
      <c r="S60" s="72"/>
      <c r="T60" s="72"/>
      <c r="U60" s="72"/>
      <c r="V60" s="72"/>
      <c r="W60" s="72"/>
      <c r="X60" s="72"/>
      <c r="Y60" s="72"/>
      <c r="Z60" s="72">
        <v>2</v>
      </c>
      <c r="AA60" s="72">
        <f t="shared" si="6"/>
        <v>0</v>
      </c>
      <c r="AB60" s="72">
        <f t="shared" si="0"/>
        <v>2</v>
      </c>
      <c r="AC60" s="72"/>
      <c r="AD60" s="72">
        <f t="shared" si="7"/>
        <v>0</v>
      </c>
      <c r="AE60" s="72"/>
      <c r="AF60" s="72">
        <v>2</v>
      </c>
      <c r="AG60" s="72">
        <v>4</v>
      </c>
      <c r="AH60" s="72"/>
      <c r="AI60" s="72"/>
      <c r="AJ60" s="72"/>
      <c r="AK60" s="72"/>
      <c r="AL60" s="72"/>
      <c r="AM60" s="72"/>
      <c r="AN60" s="72">
        <v>1</v>
      </c>
      <c r="AO60" s="72">
        <v>1</v>
      </c>
      <c r="AP60" s="72">
        <v>1</v>
      </c>
      <c r="AQ60" s="72">
        <v>1</v>
      </c>
      <c r="AR60" s="72">
        <f t="shared" si="1"/>
        <v>1</v>
      </c>
      <c r="AS60" s="72">
        <f t="shared" si="2"/>
        <v>1</v>
      </c>
      <c r="AT60" s="72">
        <f t="shared" si="3"/>
        <v>1</v>
      </c>
      <c r="AU60" s="72"/>
      <c r="AV60" s="72"/>
      <c r="AW60" s="72"/>
      <c r="AX60" s="72"/>
      <c r="AY60" s="72" t="s">
        <v>5921</v>
      </c>
      <c r="AZ60" s="72"/>
    </row>
    <row r="61" spans="1:52">
      <c r="A61" s="944" t="s">
        <v>4531</v>
      </c>
      <c r="B61" s="72" t="s">
        <v>3121</v>
      </c>
      <c r="C61" s="72">
        <v>60</v>
      </c>
      <c r="D61" s="72"/>
      <c r="E61" s="72"/>
      <c r="F61" s="72">
        <f t="shared" si="4"/>
        <v>60</v>
      </c>
      <c r="G61" s="72">
        <f t="shared" si="5"/>
        <v>60</v>
      </c>
      <c r="H61" s="72"/>
      <c r="I61" s="72"/>
      <c r="J61" s="72">
        <v>1</v>
      </c>
      <c r="K61" s="72"/>
      <c r="L61" s="72"/>
      <c r="M61" s="72"/>
      <c r="N61" s="72"/>
      <c r="O61" s="72"/>
      <c r="P61" s="72">
        <v>1</v>
      </c>
      <c r="Q61" s="72"/>
      <c r="R61" s="72"/>
      <c r="S61" s="72">
        <v>1</v>
      </c>
      <c r="T61" s="72"/>
      <c r="U61" s="72"/>
      <c r="V61" s="72"/>
      <c r="W61" s="72"/>
      <c r="X61" s="72"/>
      <c r="Y61" s="72"/>
      <c r="Z61" s="72"/>
      <c r="AA61" s="72">
        <f t="shared" si="6"/>
        <v>2</v>
      </c>
      <c r="AB61" s="72">
        <f t="shared" si="0"/>
        <v>0</v>
      </c>
      <c r="AC61" s="72"/>
      <c r="AD61" s="72">
        <f t="shared" si="7"/>
        <v>2</v>
      </c>
      <c r="AE61" s="72"/>
      <c r="AF61" s="72">
        <v>1</v>
      </c>
      <c r="AG61" s="72"/>
      <c r="AH61" s="72"/>
      <c r="AI61" s="72"/>
      <c r="AJ61" s="72"/>
      <c r="AK61" s="72"/>
      <c r="AL61" s="72"/>
      <c r="AM61" s="72"/>
      <c r="AN61" s="72">
        <v>1</v>
      </c>
      <c r="AO61" s="72"/>
      <c r="AP61" s="72"/>
      <c r="AQ61" s="72"/>
      <c r="AR61" s="72">
        <f t="shared" si="1"/>
        <v>0</v>
      </c>
      <c r="AS61" s="72">
        <f t="shared" si="2"/>
        <v>0</v>
      </c>
      <c r="AT61" s="72">
        <f t="shared" si="3"/>
        <v>0</v>
      </c>
      <c r="AU61" s="72"/>
      <c r="AV61" s="72"/>
      <c r="AW61" s="72"/>
      <c r="AX61" s="72"/>
      <c r="AY61" s="72"/>
      <c r="AZ61" s="72"/>
    </row>
    <row r="62" spans="1:52">
      <c r="A62" s="944" t="s">
        <v>4532</v>
      </c>
      <c r="B62" s="72" t="s">
        <v>3120</v>
      </c>
      <c r="C62" s="72">
        <v>65</v>
      </c>
      <c r="D62" s="72"/>
      <c r="E62" s="72"/>
      <c r="F62" s="72">
        <f t="shared" si="4"/>
        <v>65</v>
      </c>
      <c r="G62" s="72">
        <f t="shared" si="5"/>
        <v>65</v>
      </c>
      <c r="H62" s="72"/>
      <c r="I62" s="72"/>
      <c r="J62" s="72">
        <v>1</v>
      </c>
      <c r="K62" s="72"/>
      <c r="L62" s="72"/>
      <c r="M62" s="72"/>
      <c r="N62" s="72"/>
      <c r="O62" s="72"/>
      <c r="P62" s="72">
        <v>1</v>
      </c>
      <c r="Q62" s="72"/>
      <c r="R62" s="72">
        <v>1</v>
      </c>
      <c r="S62" s="72"/>
      <c r="T62" s="72"/>
      <c r="U62" s="72"/>
      <c r="V62" s="72"/>
      <c r="W62" s="72"/>
      <c r="X62" s="72"/>
      <c r="Y62" s="72"/>
      <c r="Z62" s="72"/>
      <c r="AA62" s="72">
        <f t="shared" si="6"/>
        <v>1</v>
      </c>
      <c r="AB62" s="72">
        <f t="shared" si="0"/>
        <v>0</v>
      </c>
      <c r="AC62" s="72"/>
      <c r="AD62" s="72">
        <f t="shared" si="7"/>
        <v>1</v>
      </c>
      <c r="AE62" s="72"/>
      <c r="AF62" s="72">
        <v>1</v>
      </c>
      <c r="AG62" s="72"/>
      <c r="AH62" s="72"/>
      <c r="AI62" s="72"/>
      <c r="AJ62" s="72"/>
      <c r="AK62" s="72"/>
      <c r="AL62" s="72"/>
      <c r="AM62" s="72"/>
      <c r="AN62" s="72">
        <v>1</v>
      </c>
      <c r="AO62" s="72"/>
      <c r="AP62" s="72"/>
      <c r="AQ62" s="72"/>
      <c r="AR62" s="72">
        <f t="shared" si="1"/>
        <v>0</v>
      </c>
      <c r="AS62" s="72">
        <f t="shared" si="2"/>
        <v>0</v>
      </c>
      <c r="AT62" s="72">
        <f t="shared" si="3"/>
        <v>0</v>
      </c>
      <c r="AU62" s="72"/>
      <c r="AV62" s="72"/>
      <c r="AW62" s="72"/>
      <c r="AX62" s="72"/>
      <c r="AY62" s="72"/>
      <c r="AZ62" s="72"/>
    </row>
    <row r="63" spans="1:52">
      <c r="A63" s="944" t="s">
        <v>4533</v>
      </c>
      <c r="B63" s="72" t="s">
        <v>3120</v>
      </c>
      <c r="C63" s="72">
        <v>65</v>
      </c>
      <c r="D63" s="72"/>
      <c r="E63" s="72"/>
      <c r="F63" s="72">
        <f t="shared" si="4"/>
        <v>65</v>
      </c>
      <c r="G63" s="72">
        <f t="shared" si="5"/>
        <v>65</v>
      </c>
      <c r="H63" s="72"/>
      <c r="I63" s="72"/>
      <c r="J63" s="72">
        <v>1</v>
      </c>
      <c r="K63" s="72"/>
      <c r="L63" s="72"/>
      <c r="M63" s="72"/>
      <c r="N63" s="72"/>
      <c r="O63" s="72"/>
      <c r="P63" s="72">
        <v>1</v>
      </c>
      <c r="Q63" s="72"/>
      <c r="R63" s="72">
        <v>1</v>
      </c>
      <c r="S63" s="72"/>
      <c r="T63" s="72"/>
      <c r="U63" s="72"/>
      <c r="V63" s="72"/>
      <c r="W63" s="72"/>
      <c r="X63" s="72"/>
      <c r="Y63" s="72"/>
      <c r="Z63" s="72"/>
      <c r="AA63" s="72">
        <f t="shared" si="6"/>
        <v>1</v>
      </c>
      <c r="AB63" s="72">
        <f t="shared" si="0"/>
        <v>0</v>
      </c>
      <c r="AC63" s="72"/>
      <c r="AD63" s="72">
        <f t="shared" si="7"/>
        <v>1</v>
      </c>
      <c r="AE63" s="72"/>
      <c r="AF63" s="72">
        <v>1</v>
      </c>
      <c r="AG63" s="72"/>
      <c r="AH63" s="72"/>
      <c r="AI63" s="72"/>
      <c r="AJ63" s="72"/>
      <c r="AK63" s="72"/>
      <c r="AL63" s="72"/>
      <c r="AM63" s="72"/>
      <c r="AN63" s="72">
        <v>1</v>
      </c>
      <c r="AO63" s="72"/>
      <c r="AP63" s="72"/>
      <c r="AQ63" s="72"/>
      <c r="AR63" s="72">
        <f t="shared" si="1"/>
        <v>0</v>
      </c>
      <c r="AS63" s="72">
        <f t="shared" si="2"/>
        <v>0</v>
      </c>
      <c r="AT63" s="72">
        <f t="shared" si="3"/>
        <v>0</v>
      </c>
      <c r="AU63" s="72"/>
      <c r="AV63" s="72"/>
      <c r="AW63" s="72"/>
      <c r="AX63" s="72"/>
      <c r="AY63" s="72"/>
      <c r="AZ63" s="72"/>
    </row>
    <row r="64" spans="1:52">
      <c r="A64" s="944" t="s">
        <v>4534</v>
      </c>
      <c r="B64" s="72" t="s">
        <v>3120</v>
      </c>
      <c r="C64" s="72">
        <v>65</v>
      </c>
      <c r="D64" s="72"/>
      <c r="E64" s="72"/>
      <c r="F64" s="72">
        <f t="shared" si="4"/>
        <v>65</v>
      </c>
      <c r="G64" s="72">
        <f t="shared" si="5"/>
        <v>65</v>
      </c>
      <c r="H64" s="72"/>
      <c r="I64" s="72"/>
      <c r="J64" s="72">
        <v>1</v>
      </c>
      <c r="K64" s="72"/>
      <c r="L64" s="72"/>
      <c r="M64" s="72"/>
      <c r="N64" s="72"/>
      <c r="O64" s="72"/>
      <c r="P64" s="72">
        <v>1</v>
      </c>
      <c r="Q64" s="72"/>
      <c r="R64" s="72">
        <v>1</v>
      </c>
      <c r="S64" s="72"/>
      <c r="T64" s="72"/>
      <c r="U64" s="72"/>
      <c r="V64" s="72"/>
      <c r="W64" s="72"/>
      <c r="X64" s="72"/>
      <c r="Y64" s="72"/>
      <c r="Z64" s="72"/>
      <c r="AA64" s="72">
        <f t="shared" si="6"/>
        <v>1</v>
      </c>
      <c r="AB64" s="72">
        <f t="shared" si="0"/>
        <v>0</v>
      </c>
      <c r="AC64" s="72"/>
      <c r="AD64" s="72">
        <f t="shared" si="7"/>
        <v>1</v>
      </c>
      <c r="AE64" s="72"/>
      <c r="AF64" s="72">
        <v>1</v>
      </c>
      <c r="AG64" s="72"/>
      <c r="AH64" s="72"/>
      <c r="AI64" s="72"/>
      <c r="AJ64" s="72"/>
      <c r="AK64" s="72"/>
      <c r="AL64" s="72"/>
      <c r="AM64" s="72"/>
      <c r="AN64" s="72">
        <v>1</v>
      </c>
      <c r="AO64" s="72"/>
      <c r="AP64" s="72"/>
      <c r="AQ64" s="72"/>
      <c r="AR64" s="72">
        <f t="shared" si="1"/>
        <v>0</v>
      </c>
      <c r="AS64" s="72">
        <f t="shared" si="2"/>
        <v>0</v>
      </c>
      <c r="AT64" s="72">
        <f t="shared" si="3"/>
        <v>0</v>
      </c>
      <c r="AU64" s="72"/>
      <c r="AV64" s="72"/>
      <c r="AW64" s="72"/>
      <c r="AX64" s="72"/>
      <c r="AY64" s="72">
        <v>1</v>
      </c>
      <c r="AZ64" s="72"/>
    </row>
    <row r="65" spans="1:52">
      <c r="A65" s="944" t="s">
        <v>4535</v>
      </c>
      <c r="B65" s="72" t="s">
        <v>3120</v>
      </c>
      <c r="C65" s="72">
        <v>65</v>
      </c>
      <c r="D65" s="72"/>
      <c r="E65" s="72"/>
      <c r="F65" s="72">
        <f t="shared" si="4"/>
        <v>65</v>
      </c>
      <c r="G65" s="72">
        <f t="shared" si="5"/>
        <v>65</v>
      </c>
      <c r="H65" s="72"/>
      <c r="I65" s="72"/>
      <c r="J65" s="72">
        <v>1</v>
      </c>
      <c r="K65" s="72"/>
      <c r="L65" s="72"/>
      <c r="M65" s="72"/>
      <c r="N65" s="72"/>
      <c r="O65" s="72"/>
      <c r="P65" s="72">
        <v>1</v>
      </c>
      <c r="Q65" s="72"/>
      <c r="R65" s="72">
        <v>1</v>
      </c>
      <c r="S65" s="72"/>
      <c r="T65" s="72"/>
      <c r="U65" s="72"/>
      <c r="V65" s="72"/>
      <c r="W65" s="72"/>
      <c r="X65" s="72"/>
      <c r="Y65" s="72"/>
      <c r="Z65" s="72"/>
      <c r="AA65" s="72">
        <f t="shared" si="6"/>
        <v>1</v>
      </c>
      <c r="AB65" s="72">
        <f t="shared" si="0"/>
        <v>0</v>
      </c>
      <c r="AC65" s="72"/>
      <c r="AD65" s="72">
        <f t="shared" si="7"/>
        <v>1</v>
      </c>
      <c r="AE65" s="72"/>
      <c r="AF65" s="72">
        <v>1</v>
      </c>
      <c r="AG65" s="72"/>
      <c r="AH65" s="72"/>
      <c r="AI65" s="72"/>
      <c r="AJ65" s="72"/>
      <c r="AK65" s="72"/>
      <c r="AL65" s="72"/>
      <c r="AM65" s="72"/>
      <c r="AN65" s="72">
        <v>1</v>
      </c>
      <c r="AO65" s="72"/>
      <c r="AP65" s="72"/>
      <c r="AQ65" s="72"/>
      <c r="AR65" s="72">
        <f t="shared" si="1"/>
        <v>0</v>
      </c>
      <c r="AS65" s="72">
        <f t="shared" si="2"/>
        <v>0</v>
      </c>
      <c r="AT65" s="72">
        <f t="shared" si="3"/>
        <v>0</v>
      </c>
      <c r="AU65" s="72"/>
      <c r="AV65" s="72"/>
      <c r="AW65" s="72"/>
      <c r="AX65" s="72"/>
      <c r="AY65" s="72"/>
      <c r="AZ65" s="72"/>
    </row>
    <row r="66" spans="1:52">
      <c r="A66" s="944" t="s">
        <v>4540</v>
      </c>
      <c r="B66" s="72" t="s">
        <v>3120</v>
      </c>
      <c r="C66" s="72">
        <v>65</v>
      </c>
      <c r="D66" s="72"/>
      <c r="E66" s="72"/>
      <c r="F66" s="72">
        <f t="shared" si="4"/>
        <v>65</v>
      </c>
      <c r="G66" s="72">
        <f t="shared" si="5"/>
        <v>65</v>
      </c>
      <c r="H66" s="72"/>
      <c r="I66" s="72"/>
      <c r="J66" s="72">
        <v>1</v>
      </c>
      <c r="K66" s="72"/>
      <c r="L66" s="72"/>
      <c r="M66" s="72"/>
      <c r="N66" s="72"/>
      <c r="O66" s="72"/>
      <c r="P66" s="72">
        <v>1</v>
      </c>
      <c r="Q66" s="72"/>
      <c r="R66" s="72">
        <v>1</v>
      </c>
      <c r="S66" s="72"/>
      <c r="T66" s="72"/>
      <c r="U66" s="72"/>
      <c r="V66" s="72"/>
      <c r="W66" s="72"/>
      <c r="X66" s="72"/>
      <c r="Y66" s="72"/>
      <c r="Z66" s="72"/>
      <c r="AA66" s="72">
        <f t="shared" si="6"/>
        <v>1</v>
      </c>
      <c r="AB66" s="72">
        <f t="shared" si="0"/>
        <v>0</v>
      </c>
      <c r="AC66" s="72"/>
      <c r="AD66" s="72">
        <f t="shared" si="7"/>
        <v>1</v>
      </c>
      <c r="AE66" s="72"/>
      <c r="AF66" s="72">
        <v>1</v>
      </c>
      <c r="AG66" s="72"/>
      <c r="AH66" s="72"/>
      <c r="AI66" s="72"/>
      <c r="AJ66" s="72"/>
      <c r="AK66" s="72"/>
      <c r="AL66" s="72"/>
      <c r="AM66" s="72"/>
      <c r="AN66" s="72">
        <v>1</v>
      </c>
      <c r="AO66" s="72"/>
      <c r="AP66" s="72"/>
      <c r="AQ66" s="72"/>
      <c r="AR66" s="72">
        <f t="shared" si="1"/>
        <v>0</v>
      </c>
      <c r="AS66" s="72">
        <f t="shared" si="2"/>
        <v>0</v>
      </c>
      <c r="AT66" s="72">
        <f t="shared" si="3"/>
        <v>0</v>
      </c>
      <c r="AU66" s="72"/>
      <c r="AV66" s="72"/>
      <c r="AW66" s="72"/>
      <c r="AX66" s="72"/>
      <c r="AY66" s="72"/>
      <c r="AZ66" s="72"/>
    </row>
    <row r="67" spans="1:52">
      <c r="A67" s="944" t="s">
        <v>4541</v>
      </c>
      <c r="B67" s="72" t="s">
        <v>3124</v>
      </c>
      <c r="C67" s="72">
        <v>65</v>
      </c>
      <c r="D67" s="72"/>
      <c r="E67" s="72"/>
      <c r="F67" s="72">
        <f>C67+1</f>
        <v>66</v>
      </c>
      <c r="G67" s="72">
        <f>C67+1</f>
        <v>66</v>
      </c>
      <c r="H67" s="72"/>
      <c r="I67" s="72"/>
      <c r="J67" s="72">
        <v>2</v>
      </c>
      <c r="K67" s="72"/>
      <c r="L67" s="72"/>
      <c r="M67" s="72"/>
      <c r="N67" s="72">
        <v>1</v>
      </c>
      <c r="O67" s="72"/>
      <c r="P67" s="72"/>
      <c r="Q67" s="72"/>
      <c r="R67" s="72"/>
      <c r="S67" s="72"/>
      <c r="T67" s="72"/>
      <c r="U67" s="72"/>
      <c r="V67" s="72"/>
      <c r="W67" s="72"/>
      <c r="X67" s="72"/>
      <c r="Y67" s="72"/>
      <c r="Z67" s="72">
        <v>1</v>
      </c>
      <c r="AA67" s="72">
        <f t="shared" si="6"/>
        <v>0</v>
      </c>
      <c r="AB67" s="72">
        <f t="shared" si="0"/>
        <v>1</v>
      </c>
      <c r="AC67" s="72"/>
      <c r="AD67" s="72">
        <f t="shared" si="7"/>
        <v>0</v>
      </c>
      <c r="AE67" s="72"/>
      <c r="AF67" s="72">
        <v>1</v>
      </c>
      <c r="AG67" s="72">
        <v>2</v>
      </c>
      <c r="AH67" s="72"/>
      <c r="AI67" s="72"/>
      <c r="AJ67" s="72"/>
      <c r="AK67" s="72"/>
      <c r="AL67" s="72"/>
      <c r="AM67" s="72"/>
      <c r="AN67" s="72"/>
      <c r="AO67" s="72">
        <v>1</v>
      </c>
      <c r="AP67" s="72"/>
      <c r="AQ67" s="72">
        <v>1</v>
      </c>
      <c r="AR67" s="72">
        <f t="shared" si="1"/>
        <v>1</v>
      </c>
      <c r="AS67" s="72">
        <f t="shared" si="2"/>
        <v>1</v>
      </c>
      <c r="AT67" s="72">
        <f t="shared" si="3"/>
        <v>1</v>
      </c>
      <c r="AU67" s="72"/>
      <c r="AV67" s="72"/>
      <c r="AW67" s="72"/>
      <c r="AX67" s="72"/>
      <c r="AY67" s="72">
        <v>1</v>
      </c>
      <c r="AZ67" s="72"/>
    </row>
    <row r="68" spans="1:52" s="1372" customFormat="1" ht="20.100000000000001" customHeight="1">
      <c r="A68" s="1394" t="s">
        <v>5716</v>
      </c>
      <c r="B68" s="1395"/>
      <c r="C68" s="1396">
        <f>SUM(C52:C67)</f>
        <v>900</v>
      </c>
      <c r="D68" s="1396">
        <f t="shared" ref="D68:AZ68" si="8">SUM(D52:D67)</f>
        <v>3</v>
      </c>
      <c r="E68" s="1396">
        <f t="shared" si="8"/>
        <v>0</v>
      </c>
      <c r="F68" s="1396">
        <f t="shared" si="8"/>
        <v>904</v>
      </c>
      <c r="G68" s="1396">
        <f t="shared" si="8"/>
        <v>903</v>
      </c>
      <c r="H68" s="1396">
        <f t="shared" si="8"/>
        <v>0</v>
      </c>
      <c r="I68" s="1396">
        <f t="shared" si="8"/>
        <v>0</v>
      </c>
      <c r="J68" s="1396">
        <f t="shared" si="8"/>
        <v>19</v>
      </c>
      <c r="K68" s="1396">
        <f t="shared" si="8"/>
        <v>0</v>
      </c>
      <c r="L68" s="1396">
        <f t="shared" si="8"/>
        <v>0</v>
      </c>
      <c r="M68" s="1396">
        <f t="shared" si="8"/>
        <v>0</v>
      </c>
      <c r="N68" s="1396">
        <f t="shared" si="8"/>
        <v>4</v>
      </c>
      <c r="O68" s="1396">
        <f t="shared" si="8"/>
        <v>0</v>
      </c>
      <c r="P68" s="1396">
        <f t="shared" si="8"/>
        <v>11</v>
      </c>
      <c r="Q68" s="1396">
        <f t="shared" si="8"/>
        <v>1</v>
      </c>
      <c r="R68" s="1396">
        <f t="shared" si="8"/>
        <v>11</v>
      </c>
      <c r="S68" s="1396">
        <f t="shared" si="8"/>
        <v>2</v>
      </c>
      <c r="T68" s="1396">
        <f t="shared" si="8"/>
        <v>0</v>
      </c>
      <c r="U68" s="1396">
        <f t="shared" si="8"/>
        <v>0</v>
      </c>
      <c r="V68" s="1396">
        <f t="shared" si="8"/>
        <v>0</v>
      </c>
      <c r="W68" s="1396">
        <f t="shared" si="8"/>
        <v>0</v>
      </c>
      <c r="X68" s="1396">
        <f t="shared" si="8"/>
        <v>0</v>
      </c>
      <c r="Y68" s="1396">
        <f t="shared" si="8"/>
        <v>0</v>
      </c>
      <c r="Z68" s="1396">
        <f t="shared" si="8"/>
        <v>8</v>
      </c>
      <c r="AA68" s="1396">
        <f t="shared" si="8"/>
        <v>15</v>
      </c>
      <c r="AB68" s="1396">
        <f t="shared" si="8"/>
        <v>8</v>
      </c>
      <c r="AC68" s="1396">
        <f t="shared" si="8"/>
        <v>0</v>
      </c>
      <c r="AD68" s="1396">
        <f t="shared" si="8"/>
        <v>15</v>
      </c>
      <c r="AE68" s="1396">
        <f t="shared" si="8"/>
        <v>0</v>
      </c>
      <c r="AF68" s="1396">
        <f t="shared" si="8"/>
        <v>19</v>
      </c>
      <c r="AG68" s="1396">
        <f t="shared" si="8"/>
        <v>15</v>
      </c>
      <c r="AH68" s="1396">
        <f t="shared" si="8"/>
        <v>2</v>
      </c>
      <c r="AI68" s="1396">
        <f t="shared" si="8"/>
        <v>0</v>
      </c>
      <c r="AJ68" s="1396">
        <f t="shared" si="8"/>
        <v>0</v>
      </c>
      <c r="AK68" s="1396">
        <f t="shared" si="8"/>
        <v>2</v>
      </c>
      <c r="AL68" s="1396">
        <f t="shared" si="8"/>
        <v>1</v>
      </c>
      <c r="AM68" s="1396">
        <f t="shared" si="8"/>
        <v>0</v>
      </c>
      <c r="AN68" s="1396">
        <f t="shared" si="8"/>
        <v>13</v>
      </c>
      <c r="AO68" s="1396">
        <f t="shared" si="8"/>
        <v>6</v>
      </c>
      <c r="AP68" s="1396">
        <f t="shared" si="8"/>
        <v>2</v>
      </c>
      <c r="AQ68" s="1396">
        <f t="shared" si="8"/>
        <v>6</v>
      </c>
      <c r="AR68" s="1396">
        <f t="shared" si="8"/>
        <v>4</v>
      </c>
      <c r="AS68" s="1396">
        <f t="shared" si="8"/>
        <v>4</v>
      </c>
      <c r="AT68" s="1396">
        <f t="shared" si="8"/>
        <v>4</v>
      </c>
      <c r="AU68" s="1396">
        <f t="shared" si="8"/>
        <v>1</v>
      </c>
      <c r="AV68" s="1396">
        <f t="shared" si="8"/>
        <v>0</v>
      </c>
      <c r="AW68" s="1396">
        <f t="shared" si="8"/>
        <v>0</v>
      </c>
      <c r="AX68" s="1396">
        <f t="shared" si="8"/>
        <v>1</v>
      </c>
      <c r="AY68" s="1396">
        <f t="shared" si="8"/>
        <v>4</v>
      </c>
      <c r="AZ68" s="1396">
        <f t="shared" si="8"/>
        <v>0</v>
      </c>
    </row>
    <row r="69" spans="1:52">
      <c r="A69" s="1454" t="s">
        <v>4539</v>
      </c>
      <c r="B69" s="1454"/>
      <c r="C69" s="1454"/>
      <c r="D69" s="1454"/>
      <c r="E69" s="1454"/>
      <c r="F69" s="1454"/>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1370"/>
    </row>
    <row r="70" spans="1:52">
      <c r="A70" s="1368" t="s">
        <v>5718</v>
      </c>
      <c r="B70" s="1368"/>
      <c r="C70" s="1368"/>
      <c r="D70" s="1368"/>
      <c r="E70" s="1368"/>
      <c r="F70" s="1368"/>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1370"/>
    </row>
    <row r="71" spans="1:52">
      <c r="A71" s="944" t="s">
        <v>4408</v>
      </c>
      <c r="B71" s="72"/>
      <c r="C71" s="70"/>
      <c r="D71" s="70">
        <v>2</v>
      </c>
      <c r="E71" s="72"/>
      <c r="F71" s="70">
        <v>4</v>
      </c>
      <c r="G71" s="72">
        <v>1</v>
      </c>
      <c r="H71" s="72"/>
      <c r="I71" s="72"/>
      <c r="J71" s="72">
        <v>1</v>
      </c>
      <c r="K71" s="72"/>
      <c r="L71" s="72"/>
      <c r="M71" s="72"/>
      <c r="N71" s="72"/>
      <c r="O71" s="72"/>
      <c r="P71" s="72">
        <v>1</v>
      </c>
      <c r="Q71" s="72">
        <v>1</v>
      </c>
      <c r="R71" s="72"/>
      <c r="S71" s="72"/>
      <c r="T71" s="72"/>
      <c r="U71" s="72"/>
      <c r="V71" s="72"/>
      <c r="W71" s="72"/>
      <c r="X71" s="72">
        <v>1</v>
      </c>
      <c r="Y71" s="72"/>
      <c r="Z71" s="72">
        <v>1</v>
      </c>
      <c r="AA71" s="72"/>
      <c r="AB71" s="72">
        <v>1</v>
      </c>
      <c r="AC71" s="72"/>
      <c r="AD71" s="72"/>
      <c r="AE71" s="72"/>
      <c r="AF71" s="72">
        <v>1</v>
      </c>
      <c r="AG71" s="72">
        <v>2</v>
      </c>
      <c r="AH71" s="72">
        <v>2</v>
      </c>
      <c r="AI71" s="72"/>
      <c r="AJ71" s="72"/>
      <c r="AK71" s="72">
        <v>1</v>
      </c>
      <c r="AL71" s="72">
        <v>1</v>
      </c>
      <c r="AM71" s="72"/>
      <c r="AN71" s="72">
        <v>1</v>
      </c>
      <c r="AO71" s="72"/>
      <c r="AP71" s="72">
        <v>1</v>
      </c>
      <c r="AQ71" s="72"/>
      <c r="AR71" s="72"/>
      <c r="AS71" s="72"/>
      <c r="AT71" s="72"/>
      <c r="AU71" s="72">
        <v>1</v>
      </c>
      <c r="AV71" s="72"/>
      <c r="AW71" s="72"/>
      <c r="AX71" s="72">
        <v>1</v>
      </c>
      <c r="AY71" s="72"/>
      <c r="AZ71" s="72"/>
    </row>
    <row r="72" spans="1:52">
      <c r="A72" s="944" t="s">
        <v>4409</v>
      </c>
      <c r="B72" s="72" t="s">
        <v>3122</v>
      </c>
      <c r="C72" s="72">
        <v>65</v>
      </c>
      <c r="D72" s="72"/>
      <c r="E72" s="72"/>
      <c r="F72" s="72">
        <f>C72+1</f>
        <v>66</v>
      </c>
      <c r="G72" s="72">
        <f>C72+1</f>
        <v>66</v>
      </c>
      <c r="H72" s="72"/>
      <c r="I72" s="72"/>
      <c r="J72" s="72">
        <v>2</v>
      </c>
      <c r="K72" s="72"/>
      <c r="L72" s="72"/>
      <c r="M72" s="72"/>
      <c r="N72" s="72">
        <v>1</v>
      </c>
      <c r="O72" s="72"/>
      <c r="P72" s="72"/>
      <c r="Q72" s="72"/>
      <c r="R72" s="72">
        <v>1</v>
      </c>
      <c r="S72" s="72"/>
      <c r="T72" s="72"/>
      <c r="U72" s="72"/>
      <c r="V72" s="72"/>
      <c r="W72" s="72"/>
      <c r="X72" s="72"/>
      <c r="Y72" s="72"/>
      <c r="Z72" s="72">
        <v>2</v>
      </c>
      <c r="AA72" s="72">
        <v>1</v>
      </c>
      <c r="AB72" s="72">
        <f>Z72</f>
        <v>2</v>
      </c>
      <c r="AC72" s="72"/>
      <c r="AD72" s="72">
        <f t="shared" ref="AD72:AD80" si="9">AA72</f>
        <v>1</v>
      </c>
      <c r="AE72" s="72"/>
      <c r="AF72" s="72">
        <v>2</v>
      </c>
      <c r="AG72" s="72">
        <v>4</v>
      </c>
      <c r="AH72" s="72"/>
      <c r="AI72" s="72"/>
      <c r="AJ72" s="72"/>
      <c r="AK72" s="72"/>
      <c r="AL72" s="72"/>
      <c r="AM72" s="72"/>
      <c r="AN72" s="72"/>
      <c r="AO72" s="72">
        <v>2</v>
      </c>
      <c r="AP72" s="72"/>
      <c r="AQ72" s="72">
        <v>2</v>
      </c>
      <c r="AR72" s="72">
        <v>1</v>
      </c>
      <c r="AS72" s="72">
        <v>1</v>
      </c>
      <c r="AT72" s="72">
        <v>1</v>
      </c>
      <c r="AU72" s="72"/>
      <c r="AV72" s="72"/>
      <c r="AW72" s="72"/>
      <c r="AX72" s="72"/>
      <c r="AY72" s="72">
        <v>1</v>
      </c>
      <c r="AZ72" s="72"/>
    </row>
    <row r="73" spans="1:52">
      <c r="A73" s="944" t="s">
        <v>4410</v>
      </c>
      <c r="B73" s="72"/>
      <c r="C73" s="72">
        <v>65</v>
      </c>
      <c r="D73" s="72"/>
      <c r="E73" s="72"/>
      <c r="F73" s="72">
        <f t="shared" ref="F73:F79" si="10">C73</f>
        <v>65</v>
      </c>
      <c r="G73" s="72">
        <f t="shared" ref="G73:G79" si="11">C73</f>
        <v>65</v>
      </c>
      <c r="H73" s="72"/>
      <c r="I73" s="72"/>
      <c r="J73" s="72">
        <v>1</v>
      </c>
      <c r="K73" s="72"/>
      <c r="L73" s="72"/>
      <c r="M73" s="72"/>
      <c r="N73" s="72"/>
      <c r="O73" s="72"/>
      <c r="P73" s="72">
        <v>1</v>
      </c>
      <c r="Q73" s="72"/>
      <c r="R73" s="72">
        <v>1</v>
      </c>
      <c r="S73" s="72"/>
      <c r="T73" s="72"/>
      <c r="U73" s="72"/>
      <c r="V73" s="72"/>
      <c r="W73" s="72"/>
      <c r="X73" s="72"/>
      <c r="Y73" s="72"/>
      <c r="Z73" s="72"/>
      <c r="AA73" s="72">
        <v>1</v>
      </c>
      <c r="AB73" s="72">
        <f t="shared" ref="AB73:AB80" si="12">Z73</f>
        <v>0</v>
      </c>
      <c r="AC73" s="72"/>
      <c r="AD73" s="72">
        <f t="shared" si="9"/>
        <v>1</v>
      </c>
      <c r="AE73" s="72"/>
      <c r="AF73" s="72">
        <v>1</v>
      </c>
      <c r="AG73" s="72"/>
      <c r="AH73" s="72"/>
      <c r="AI73" s="72"/>
      <c r="AJ73" s="72"/>
      <c r="AK73" s="72"/>
      <c r="AL73" s="72"/>
      <c r="AM73" s="72"/>
      <c r="AN73" s="72">
        <v>1</v>
      </c>
      <c r="AO73" s="72"/>
      <c r="AP73" s="72"/>
      <c r="AQ73" s="72"/>
      <c r="AR73" s="72"/>
      <c r="AS73" s="72"/>
      <c r="AT73" s="72"/>
      <c r="AU73" s="72"/>
      <c r="AV73" s="72"/>
      <c r="AW73" s="72"/>
      <c r="AX73" s="72"/>
      <c r="AY73" s="72"/>
      <c r="AZ73" s="72"/>
    </row>
    <row r="74" spans="1:52">
      <c r="A74" s="944" t="s">
        <v>4411</v>
      </c>
      <c r="B74" s="72" t="s">
        <v>3121</v>
      </c>
      <c r="C74" s="72">
        <v>65</v>
      </c>
      <c r="D74" s="72"/>
      <c r="E74" s="72"/>
      <c r="F74" s="72">
        <f t="shared" si="10"/>
        <v>65</v>
      </c>
      <c r="G74" s="72">
        <f t="shared" si="11"/>
        <v>65</v>
      </c>
      <c r="H74" s="72"/>
      <c r="I74" s="72"/>
      <c r="J74" s="72">
        <v>1</v>
      </c>
      <c r="K74" s="72"/>
      <c r="L74" s="72"/>
      <c r="M74" s="72"/>
      <c r="N74" s="72"/>
      <c r="O74" s="72"/>
      <c r="P74" s="72">
        <v>1</v>
      </c>
      <c r="Q74" s="72"/>
      <c r="R74" s="72"/>
      <c r="S74" s="72">
        <v>1</v>
      </c>
      <c r="T74" s="72"/>
      <c r="U74" s="72"/>
      <c r="V74" s="72"/>
      <c r="W74" s="72">
        <v>1</v>
      </c>
      <c r="X74" s="72"/>
      <c r="Y74" s="72"/>
      <c r="Z74" s="72"/>
      <c r="AA74" s="72">
        <v>2</v>
      </c>
      <c r="AB74" s="72">
        <f t="shared" si="12"/>
        <v>0</v>
      </c>
      <c r="AC74" s="72"/>
      <c r="AD74" s="72">
        <f t="shared" si="9"/>
        <v>2</v>
      </c>
      <c r="AE74" s="72"/>
      <c r="AF74" s="72">
        <v>1</v>
      </c>
      <c r="AG74" s="72"/>
      <c r="AH74" s="72"/>
      <c r="AI74" s="72"/>
      <c r="AJ74" s="72"/>
      <c r="AK74" s="72"/>
      <c r="AL74" s="72"/>
      <c r="AM74" s="72"/>
      <c r="AN74" s="72">
        <v>1</v>
      </c>
      <c r="AO74" s="72"/>
      <c r="AP74" s="72"/>
      <c r="AQ74" s="72"/>
      <c r="AR74" s="72"/>
      <c r="AS74" s="72"/>
      <c r="AT74" s="72"/>
      <c r="AU74" s="72"/>
      <c r="AV74" s="72"/>
      <c r="AW74" s="72"/>
      <c r="AX74" s="72"/>
      <c r="AY74" s="72">
        <v>1</v>
      </c>
      <c r="AZ74" s="72"/>
    </row>
    <row r="75" spans="1:52">
      <c r="A75" s="944" t="s">
        <v>4412</v>
      </c>
      <c r="B75" s="72" t="s">
        <v>3121</v>
      </c>
      <c r="C75" s="72">
        <v>65</v>
      </c>
      <c r="D75" s="72"/>
      <c r="E75" s="72"/>
      <c r="F75" s="72">
        <f t="shared" si="10"/>
        <v>65</v>
      </c>
      <c r="G75" s="72">
        <f t="shared" si="11"/>
        <v>65</v>
      </c>
      <c r="H75" s="72"/>
      <c r="I75" s="72"/>
      <c r="J75" s="72">
        <v>1</v>
      </c>
      <c r="K75" s="72"/>
      <c r="L75" s="72"/>
      <c r="M75" s="72"/>
      <c r="N75" s="72"/>
      <c r="O75" s="72"/>
      <c r="P75" s="72">
        <v>1</v>
      </c>
      <c r="Q75" s="72"/>
      <c r="R75" s="72"/>
      <c r="S75" s="72">
        <v>1</v>
      </c>
      <c r="T75" s="72"/>
      <c r="U75" s="72"/>
      <c r="V75" s="72"/>
      <c r="W75" s="72">
        <v>1</v>
      </c>
      <c r="X75" s="72"/>
      <c r="Y75" s="72"/>
      <c r="Z75" s="72"/>
      <c r="AA75" s="72">
        <v>2</v>
      </c>
      <c r="AB75" s="72">
        <f t="shared" si="12"/>
        <v>0</v>
      </c>
      <c r="AC75" s="72"/>
      <c r="AD75" s="72">
        <f t="shared" si="9"/>
        <v>2</v>
      </c>
      <c r="AE75" s="72"/>
      <c r="AF75" s="72">
        <v>1</v>
      </c>
      <c r="AG75" s="72"/>
      <c r="AH75" s="72"/>
      <c r="AI75" s="72"/>
      <c r="AJ75" s="72"/>
      <c r="AK75" s="72"/>
      <c r="AL75" s="72"/>
      <c r="AM75" s="72"/>
      <c r="AN75" s="72">
        <v>1</v>
      </c>
      <c r="AO75" s="72"/>
      <c r="AP75" s="72"/>
      <c r="AQ75" s="72"/>
      <c r="AR75" s="72"/>
      <c r="AS75" s="72"/>
      <c r="AT75" s="72"/>
      <c r="AU75" s="72"/>
      <c r="AV75" s="72"/>
      <c r="AW75" s="72"/>
      <c r="AX75" s="72"/>
      <c r="AY75" s="72"/>
      <c r="AZ75" s="72"/>
    </row>
    <row r="76" spans="1:52">
      <c r="A76" s="944" t="s">
        <v>4413</v>
      </c>
      <c r="B76" s="72"/>
      <c r="C76" s="72">
        <v>67</v>
      </c>
      <c r="D76" s="72"/>
      <c r="E76" s="72"/>
      <c r="F76" s="72">
        <f t="shared" si="10"/>
        <v>67</v>
      </c>
      <c r="G76" s="72">
        <f t="shared" si="11"/>
        <v>67</v>
      </c>
      <c r="H76" s="72"/>
      <c r="I76" s="72"/>
      <c r="J76" s="72">
        <v>1</v>
      </c>
      <c r="K76" s="72"/>
      <c r="L76" s="72"/>
      <c r="M76" s="72"/>
      <c r="N76" s="72"/>
      <c r="O76" s="72"/>
      <c r="P76" s="72">
        <v>1</v>
      </c>
      <c r="Q76" s="72"/>
      <c r="R76" s="72">
        <v>1</v>
      </c>
      <c r="S76" s="72"/>
      <c r="T76" s="72"/>
      <c r="U76" s="72"/>
      <c r="V76" s="72"/>
      <c r="W76" s="72"/>
      <c r="X76" s="72"/>
      <c r="Y76" s="72"/>
      <c r="Z76" s="72"/>
      <c r="AA76" s="72">
        <v>1</v>
      </c>
      <c r="AB76" s="72">
        <f t="shared" si="12"/>
        <v>0</v>
      </c>
      <c r="AC76" s="72"/>
      <c r="AD76" s="72">
        <f t="shared" si="9"/>
        <v>1</v>
      </c>
      <c r="AE76" s="72"/>
      <c r="AF76" s="72">
        <v>1</v>
      </c>
      <c r="AG76" s="72"/>
      <c r="AH76" s="72"/>
      <c r="AI76" s="72"/>
      <c r="AJ76" s="72"/>
      <c r="AK76" s="72"/>
      <c r="AL76" s="72"/>
      <c r="AM76" s="72"/>
      <c r="AN76" s="72">
        <v>1</v>
      </c>
      <c r="AO76" s="72"/>
      <c r="AP76" s="72"/>
      <c r="AQ76" s="72"/>
      <c r="AR76" s="72"/>
      <c r="AS76" s="72"/>
      <c r="AT76" s="72"/>
      <c r="AU76" s="72"/>
      <c r="AV76" s="72"/>
      <c r="AW76" s="72"/>
      <c r="AX76" s="72"/>
      <c r="AY76" s="72">
        <v>1</v>
      </c>
      <c r="AZ76" s="72"/>
    </row>
    <row r="77" spans="1:52">
      <c r="A77" s="944" t="s">
        <v>4414</v>
      </c>
      <c r="B77" s="72"/>
      <c r="C77" s="72">
        <v>67</v>
      </c>
      <c r="D77" s="72"/>
      <c r="E77" s="72"/>
      <c r="F77" s="72">
        <f t="shared" si="10"/>
        <v>67</v>
      </c>
      <c r="G77" s="72">
        <f t="shared" si="11"/>
        <v>67</v>
      </c>
      <c r="H77" s="72"/>
      <c r="I77" s="72"/>
      <c r="J77" s="72">
        <v>1</v>
      </c>
      <c r="K77" s="72"/>
      <c r="L77" s="72"/>
      <c r="M77" s="72"/>
      <c r="N77" s="72"/>
      <c r="O77" s="72"/>
      <c r="P77" s="72">
        <v>1</v>
      </c>
      <c r="Q77" s="72"/>
      <c r="R77" s="72">
        <v>1</v>
      </c>
      <c r="S77" s="72"/>
      <c r="T77" s="72"/>
      <c r="U77" s="72"/>
      <c r="V77" s="72"/>
      <c r="W77" s="72"/>
      <c r="X77" s="72"/>
      <c r="Y77" s="72"/>
      <c r="Z77" s="72"/>
      <c r="AA77" s="72">
        <v>1</v>
      </c>
      <c r="AB77" s="72">
        <f t="shared" si="12"/>
        <v>0</v>
      </c>
      <c r="AC77" s="72"/>
      <c r="AD77" s="72">
        <f t="shared" si="9"/>
        <v>1</v>
      </c>
      <c r="AE77" s="72"/>
      <c r="AF77" s="72">
        <v>1</v>
      </c>
      <c r="AG77" s="72"/>
      <c r="AH77" s="72"/>
      <c r="AI77" s="72"/>
      <c r="AJ77" s="72"/>
      <c r="AK77" s="72"/>
      <c r="AL77" s="72"/>
      <c r="AM77" s="72"/>
      <c r="AN77" s="72">
        <v>1</v>
      </c>
      <c r="AO77" s="72"/>
      <c r="AP77" s="72"/>
      <c r="AQ77" s="72"/>
      <c r="AR77" s="72"/>
      <c r="AS77" s="72"/>
      <c r="AT77" s="72"/>
      <c r="AU77" s="72"/>
      <c r="AV77" s="72"/>
      <c r="AW77" s="72"/>
      <c r="AX77" s="72"/>
      <c r="AY77" s="72"/>
      <c r="AZ77" s="72"/>
    </row>
    <row r="78" spans="1:52">
      <c r="A78" s="944" t="s">
        <v>4415</v>
      </c>
      <c r="B78" s="72" t="s">
        <v>3122</v>
      </c>
      <c r="C78" s="72">
        <v>67</v>
      </c>
      <c r="D78" s="72"/>
      <c r="E78" s="72"/>
      <c r="F78" s="72">
        <f t="shared" si="10"/>
        <v>67</v>
      </c>
      <c r="G78" s="72">
        <f t="shared" si="11"/>
        <v>67</v>
      </c>
      <c r="H78" s="72"/>
      <c r="I78" s="72"/>
      <c r="J78" s="72">
        <v>2</v>
      </c>
      <c r="K78" s="72"/>
      <c r="L78" s="72"/>
      <c r="M78" s="72"/>
      <c r="N78" s="72">
        <v>1</v>
      </c>
      <c r="O78" s="72"/>
      <c r="P78" s="72"/>
      <c r="Q78" s="72"/>
      <c r="R78" s="72">
        <v>1</v>
      </c>
      <c r="S78" s="72"/>
      <c r="T78" s="72"/>
      <c r="U78" s="72"/>
      <c r="V78" s="72"/>
      <c r="W78" s="72"/>
      <c r="X78" s="72"/>
      <c r="Y78" s="72"/>
      <c r="Z78" s="72">
        <v>2</v>
      </c>
      <c r="AA78" s="72">
        <v>1</v>
      </c>
      <c r="AB78" s="72">
        <f t="shared" si="12"/>
        <v>2</v>
      </c>
      <c r="AC78" s="72"/>
      <c r="AD78" s="72">
        <f t="shared" si="9"/>
        <v>1</v>
      </c>
      <c r="AE78" s="72"/>
      <c r="AF78" s="72">
        <v>2</v>
      </c>
      <c r="AG78" s="72">
        <v>4</v>
      </c>
      <c r="AH78" s="72"/>
      <c r="AI78" s="72"/>
      <c r="AJ78" s="72"/>
      <c r="AK78" s="72"/>
      <c r="AL78" s="72"/>
      <c r="AM78" s="72"/>
      <c r="AN78" s="72"/>
      <c r="AO78" s="72">
        <v>2</v>
      </c>
      <c r="AP78" s="72"/>
      <c r="AQ78" s="72">
        <v>2</v>
      </c>
      <c r="AR78" s="72">
        <v>1</v>
      </c>
      <c r="AS78" s="72">
        <v>1</v>
      </c>
      <c r="AT78" s="72">
        <v>1</v>
      </c>
      <c r="AU78" s="72"/>
      <c r="AV78" s="72"/>
      <c r="AW78" s="72"/>
      <c r="AX78" s="72"/>
      <c r="AY78" s="72">
        <v>1</v>
      </c>
      <c r="AZ78" s="72"/>
    </row>
    <row r="79" spans="1:52">
      <c r="A79" s="944" t="s">
        <v>4416</v>
      </c>
      <c r="B79" s="72"/>
      <c r="C79" s="72">
        <v>45</v>
      </c>
      <c r="D79" s="72"/>
      <c r="E79" s="72"/>
      <c r="F79" s="72">
        <f t="shared" si="10"/>
        <v>45</v>
      </c>
      <c r="G79" s="72">
        <f t="shared" si="11"/>
        <v>45</v>
      </c>
      <c r="H79" s="72"/>
      <c r="I79" s="72"/>
      <c r="J79" s="72">
        <v>1</v>
      </c>
      <c r="K79" s="72"/>
      <c r="L79" s="72"/>
      <c r="M79" s="72"/>
      <c r="N79" s="72"/>
      <c r="O79" s="72"/>
      <c r="P79" s="72">
        <v>1</v>
      </c>
      <c r="Q79" s="72"/>
      <c r="R79" s="72"/>
      <c r="S79" s="72">
        <v>1</v>
      </c>
      <c r="T79" s="72"/>
      <c r="U79" s="72"/>
      <c r="V79" s="72"/>
      <c r="W79" s="72">
        <v>1</v>
      </c>
      <c r="X79" s="72"/>
      <c r="Y79" s="72"/>
      <c r="Z79" s="72"/>
      <c r="AA79" s="72">
        <v>2</v>
      </c>
      <c r="AB79" s="72">
        <f t="shared" si="12"/>
        <v>0</v>
      </c>
      <c r="AC79" s="72"/>
      <c r="AD79" s="72">
        <f t="shared" si="9"/>
        <v>2</v>
      </c>
      <c r="AE79" s="72"/>
      <c r="AF79" s="72">
        <v>1</v>
      </c>
      <c r="AG79" s="72"/>
      <c r="AH79" s="72"/>
      <c r="AI79" s="72"/>
      <c r="AJ79" s="72"/>
      <c r="AK79" s="72"/>
      <c r="AL79" s="72"/>
      <c r="AM79" s="72"/>
      <c r="AN79" s="72">
        <v>1</v>
      </c>
      <c r="AO79" s="72"/>
      <c r="AP79" s="72"/>
      <c r="AQ79" s="72"/>
      <c r="AR79" s="72"/>
      <c r="AS79" s="72"/>
      <c r="AT79" s="72"/>
      <c r="AU79" s="72"/>
      <c r="AV79" s="72"/>
      <c r="AW79" s="72"/>
      <c r="AX79" s="72"/>
      <c r="AY79" s="72"/>
      <c r="AZ79" s="72"/>
    </row>
    <row r="80" spans="1:52">
      <c r="A80" s="944" t="s">
        <v>4417</v>
      </c>
      <c r="B80" s="72" t="s">
        <v>3124</v>
      </c>
      <c r="C80" s="72">
        <v>45</v>
      </c>
      <c r="D80" s="72"/>
      <c r="E80" s="72"/>
      <c r="F80" s="72">
        <f>C80+1</f>
        <v>46</v>
      </c>
      <c r="G80" s="72">
        <f>C80+1</f>
        <v>46</v>
      </c>
      <c r="H80" s="72"/>
      <c r="I80" s="72"/>
      <c r="J80" s="72">
        <v>2</v>
      </c>
      <c r="K80" s="72"/>
      <c r="L80" s="72"/>
      <c r="M80" s="72"/>
      <c r="N80" s="72">
        <v>1</v>
      </c>
      <c r="O80" s="72"/>
      <c r="P80" s="72"/>
      <c r="Q80" s="72"/>
      <c r="R80" s="72"/>
      <c r="S80" s="72"/>
      <c r="T80" s="72"/>
      <c r="U80" s="72"/>
      <c r="V80" s="72"/>
      <c r="W80" s="72"/>
      <c r="X80" s="72"/>
      <c r="Y80" s="72"/>
      <c r="Z80" s="72">
        <v>1</v>
      </c>
      <c r="AA80" s="72"/>
      <c r="AB80" s="72">
        <f t="shared" si="12"/>
        <v>1</v>
      </c>
      <c r="AC80" s="72"/>
      <c r="AD80" s="72">
        <f t="shared" si="9"/>
        <v>0</v>
      </c>
      <c r="AE80" s="72"/>
      <c r="AF80" s="72">
        <v>1</v>
      </c>
      <c r="AG80" s="72">
        <v>2</v>
      </c>
      <c r="AH80" s="72"/>
      <c r="AI80" s="72"/>
      <c r="AJ80" s="72"/>
      <c r="AK80" s="72"/>
      <c r="AL80" s="72"/>
      <c r="AM80" s="72"/>
      <c r="AN80" s="72"/>
      <c r="AO80" s="72">
        <v>1</v>
      </c>
      <c r="AP80" s="72"/>
      <c r="AQ80" s="72">
        <v>1</v>
      </c>
      <c r="AR80" s="72">
        <v>1</v>
      </c>
      <c r="AS80" s="72">
        <v>1</v>
      </c>
      <c r="AT80" s="72">
        <v>1</v>
      </c>
      <c r="AU80" s="72"/>
      <c r="AV80" s="72"/>
      <c r="AW80" s="72"/>
      <c r="AX80" s="72"/>
      <c r="AY80" s="72" t="s">
        <v>5921</v>
      </c>
      <c r="AZ80" s="72"/>
    </row>
    <row r="81" spans="1:52" s="1372" customFormat="1" ht="20.100000000000001" customHeight="1">
      <c r="A81" s="1394" t="s">
        <v>4538</v>
      </c>
      <c r="B81" s="1395"/>
      <c r="C81" s="1396">
        <f>SUM(C71:C80)</f>
        <v>551</v>
      </c>
      <c r="D81" s="1396">
        <f t="shared" ref="D81:AZ81" si="13">SUM(D71:D80)</f>
        <v>2</v>
      </c>
      <c r="E81" s="1396">
        <f t="shared" si="13"/>
        <v>0</v>
      </c>
      <c r="F81" s="1396">
        <f t="shared" si="13"/>
        <v>557</v>
      </c>
      <c r="G81" s="1396">
        <f t="shared" si="13"/>
        <v>554</v>
      </c>
      <c r="H81" s="1396">
        <f t="shared" si="13"/>
        <v>0</v>
      </c>
      <c r="I81" s="1396">
        <f t="shared" si="13"/>
        <v>0</v>
      </c>
      <c r="J81" s="1396">
        <f t="shared" si="13"/>
        <v>13</v>
      </c>
      <c r="K81" s="1396">
        <f t="shared" si="13"/>
        <v>0</v>
      </c>
      <c r="L81" s="1396">
        <f t="shared" si="13"/>
        <v>0</v>
      </c>
      <c r="M81" s="1396">
        <f t="shared" si="13"/>
        <v>0</v>
      </c>
      <c r="N81" s="1396">
        <f t="shared" si="13"/>
        <v>3</v>
      </c>
      <c r="O81" s="1396">
        <f t="shared" si="13"/>
        <v>0</v>
      </c>
      <c r="P81" s="1396">
        <f t="shared" si="13"/>
        <v>7</v>
      </c>
      <c r="Q81" s="1396">
        <f t="shared" si="13"/>
        <v>1</v>
      </c>
      <c r="R81" s="1396">
        <f t="shared" si="13"/>
        <v>5</v>
      </c>
      <c r="S81" s="1396">
        <f t="shared" si="13"/>
        <v>3</v>
      </c>
      <c r="T81" s="1396">
        <f t="shared" si="13"/>
        <v>0</v>
      </c>
      <c r="U81" s="1396">
        <f t="shared" si="13"/>
        <v>0</v>
      </c>
      <c r="V81" s="1396">
        <f t="shared" si="13"/>
        <v>0</v>
      </c>
      <c r="W81" s="1396">
        <f t="shared" si="13"/>
        <v>3</v>
      </c>
      <c r="X81" s="1396">
        <f t="shared" si="13"/>
        <v>1</v>
      </c>
      <c r="Y81" s="1396">
        <f t="shared" si="13"/>
        <v>0</v>
      </c>
      <c r="Z81" s="1396">
        <f t="shared" si="13"/>
        <v>6</v>
      </c>
      <c r="AA81" s="1396">
        <f t="shared" si="13"/>
        <v>11</v>
      </c>
      <c r="AB81" s="1396">
        <f t="shared" si="13"/>
        <v>6</v>
      </c>
      <c r="AC81" s="1396">
        <f t="shared" si="13"/>
        <v>0</v>
      </c>
      <c r="AD81" s="1396">
        <f t="shared" si="13"/>
        <v>11</v>
      </c>
      <c r="AE81" s="1396">
        <f t="shared" si="13"/>
        <v>0</v>
      </c>
      <c r="AF81" s="1396">
        <f t="shared" si="13"/>
        <v>12</v>
      </c>
      <c r="AG81" s="1396">
        <f t="shared" si="13"/>
        <v>12</v>
      </c>
      <c r="AH81" s="1396">
        <f t="shared" si="13"/>
        <v>2</v>
      </c>
      <c r="AI81" s="1396">
        <f t="shared" si="13"/>
        <v>0</v>
      </c>
      <c r="AJ81" s="1396">
        <f t="shared" si="13"/>
        <v>0</v>
      </c>
      <c r="AK81" s="1396">
        <f t="shared" si="13"/>
        <v>1</v>
      </c>
      <c r="AL81" s="1396">
        <f t="shared" si="13"/>
        <v>1</v>
      </c>
      <c r="AM81" s="1396">
        <f t="shared" si="13"/>
        <v>0</v>
      </c>
      <c r="AN81" s="1396">
        <f t="shared" si="13"/>
        <v>7</v>
      </c>
      <c r="AO81" s="1396">
        <f t="shared" si="13"/>
        <v>5</v>
      </c>
      <c r="AP81" s="1396">
        <f t="shared" si="13"/>
        <v>1</v>
      </c>
      <c r="AQ81" s="1396">
        <f t="shared" si="13"/>
        <v>5</v>
      </c>
      <c r="AR81" s="1396">
        <f t="shared" si="13"/>
        <v>3</v>
      </c>
      <c r="AS81" s="1396">
        <f t="shared" si="13"/>
        <v>3</v>
      </c>
      <c r="AT81" s="1396">
        <f t="shared" si="13"/>
        <v>3</v>
      </c>
      <c r="AU81" s="1396">
        <f t="shared" si="13"/>
        <v>1</v>
      </c>
      <c r="AV81" s="1396">
        <f t="shared" si="13"/>
        <v>0</v>
      </c>
      <c r="AW81" s="1396">
        <f t="shared" si="13"/>
        <v>0</v>
      </c>
      <c r="AX81" s="1396">
        <f t="shared" si="13"/>
        <v>1</v>
      </c>
      <c r="AY81" s="1396">
        <f t="shared" si="13"/>
        <v>4</v>
      </c>
      <c r="AZ81" s="1396">
        <f t="shared" si="13"/>
        <v>0</v>
      </c>
    </row>
    <row r="82" spans="1:52" hidden="1">
      <c r="A82" s="1454" t="s">
        <v>1952</v>
      </c>
      <c r="B82" s="1454"/>
      <c r="C82" s="1454"/>
      <c r="D82" s="1454"/>
      <c r="E82" s="1454"/>
      <c r="F82" s="1454"/>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1370"/>
    </row>
    <row r="83" spans="1:52" hidden="1">
      <c r="A83" s="1368" t="s">
        <v>5718</v>
      </c>
      <c r="B83" s="1368"/>
      <c r="C83" s="1368"/>
      <c r="D83" s="1368"/>
      <c r="E83" s="1368"/>
      <c r="F83" s="1368"/>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1370"/>
    </row>
    <row r="84" spans="1:52" hidden="1">
      <c r="A84" s="944" t="s">
        <v>1954</v>
      </c>
      <c r="B84" s="72"/>
      <c r="C84" s="70"/>
      <c r="D84" s="70">
        <v>3</v>
      </c>
      <c r="E84" s="72"/>
      <c r="F84" s="70">
        <v>1</v>
      </c>
      <c r="G84" s="72">
        <v>1</v>
      </c>
      <c r="H84" s="72"/>
      <c r="I84" s="72"/>
      <c r="J84" s="72"/>
      <c r="K84" s="72" t="s">
        <v>5819</v>
      </c>
      <c r="L84" s="72"/>
      <c r="M84" s="72"/>
      <c r="N84" s="72"/>
      <c r="O84" s="72"/>
      <c r="P84" s="72"/>
      <c r="Q84" s="72">
        <v>1</v>
      </c>
      <c r="R84" s="72"/>
      <c r="S84" s="72"/>
      <c r="T84" s="72"/>
      <c r="U84" s="72"/>
      <c r="V84" s="72"/>
      <c r="W84" s="72"/>
      <c r="X84" s="72"/>
      <c r="Y84" s="72"/>
      <c r="Z84" s="72">
        <v>1</v>
      </c>
      <c r="AA84" s="72"/>
      <c r="AB84" s="72">
        <v>1</v>
      </c>
      <c r="AC84" s="72"/>
      <c r="AD84" s="72"/>
      <c r="AE84" s="72"/>
      <c r="AF84" s="72">
        <v>1</v>
      </c>
      <c r="AG84" s="72">
        <v>2</v>
      </c>
      <c r="AH84" s="72">
        <v>1</v>
      </c>
      <c r="AI84" s="72"/>
      <c r="AJ84" s="72"/>
      <c r="AK84" s="72">
        <v>1</v>
      </c>
      <c r="AL84" s="72">
        <v>1</v>
      </c>
      <c r="AM84" s="72"/>
      <c r="AN84" s="72">
        <v>1</v>
      </c>
      <c r="AO84" s="72"/>
      <c r="AP84" s="72"/>
      <c r="AQ84" s="72"/>
      <c r="AR84" s="72"/>
      <c r="AS84" s="72"/>
      <c r="AT84" s="72"/>
      <c r="AU84" s="72">
        <v>1</v>
      </c>
      <c r="AV84" s="72"/>
      <c r="AW84" s="72"/>
      <c r="AX84" s="72">
        <v>1</v>
      </c>
      <c r="AY84" s="72"/>
      <c r="AZ84" s="72"/>
    </row>
    <row r="85" spans="1:52" hidden="1">
      <c r="A85" s="944" t="s">
        <v>1955</v>
      </c>
      <c r="B85" s="72"/>
      <c r="C85" s="72">
        <v>30</v>
      </c>
      <c r="D85" s="72"/>
      <c r="E85" s="72"/>
      <c r="F85" s="72">
        <f>C85+1</f>
        <v>31</v>
      </c>
      <c r="G85" s="72">
        <f>C85+1</f>
        <v>31</v>
      </c>
      <c r="H85" s="72"/>
      <c r="I85" s="72"/>
      <c r="J85" s="72">
        <v>1</v>
      </c>
      <c r="K85" s="72"/>
      <c r="L85" s="72"/>
      <c r="M85" s="72"/>
      <c r="N85" s="72"/>
      <c r="O85" s="72"/>
      <c r="P85" s="72">
        <v>1</v>
      </c>
      <c r="Q85" s="72"/>
      <c r="R85" s="72">
        <v>1</v>
      </c>
      <c r="S85" s="72"/>
      <c r="T85" s="72"/>
      <c r="U85" s="72"/>
      <c r="V85" s="72"/>
      <c r="W85" s="72"/>
      <c r="X85" s="72">
        <v>1</v>
      </c>
      <c r="Y85" s="72"/>
      <c r="Z85" s="72">
        <v>2</v>
      </c>
      <c r="AA85" s="72">
        <v>1</v>
      </c>
      <c r="AB85" s="72">
        <v>2</v>
      </c>
      <c r="AC85" s="72"/>
      <c r="AD85" s="72">
        <f t="shared" ref="AD85:AD90" si="14">AA85</f>
        <v>1</v>
      </c>
      <c r="AE85" s="72"/>
      <c r="AF85" s="72">
        <v>2</v>
      </c>
      <c r="AG85" s="72">
        <v>4</v>
      </c>
      <c r="AH85" s="72"/>
      <c r="AI85" s="72"/>
      <c r="AJ85" s="72"/>
      <c r="AK85" s="72"/>
      <c r="AL85" s="72"/>
      <c r="AM85" s="72"/>
      <c r="AN85" s="72">
        <v>2</v>
      </c>
      <c r="AO85" s="72"/>
      <c r="AP85" s="72"/>
      <c r="AQ85" s="72"/>
      <c r="AR85" s="72"/>
      <c r="AS85" s="72"/>
      <c r="AT85" s="72"/>
      <c r="AU85" s="72"/>
      <c r="AV85" s="72"/>
      <c r="AW85" s="72"/>
      <c r="AX85" s="72"/>
      <c r="AY85" s="72"/>
      <c r="AZ85" s="72"/>
    </row>
    <row r="86" spans="1:52" hidden="1">
      <c r="A86" s="944" t="s">
        <v>1956</v>
      </c>
      <c r="B86" s="72"/>
      <c r="C86" s="72">
        <v>64</v>
      </c>
      <c r="D86" s="72"/>
      <c r="E86" s="72"/>
      <c r="F86" s="72">
        <f>C86</f>
        <v>64</v>
      </c>
      <c r="G86" s="72">
        <f>C86</f>
        <v>64</v>
      </c>
      <c r="H86" s="72"/>
      <c r="I86" s="72"/>
      <c r="J86" s="72">
        <v>1</v>
      </c>
      <c r="K86" s="72"/>
      <c r="L86" s="72"/>
      <c r="M86" s="72"/>
      <c r="N86" s="72"/>
      <c r="O86" s="72"/>
      <c r="P86" s="72">
        <v>1</v>
      </c>
      <c r="Q86" s="72"/>
      <c r="R86" s="72">
        <v>1</v>
      </c>
      <c r="S86" s="72"/>
      <c r="T86" s="72"/>
      <c r="U86" s="72"/>
      <c r="V86" s="72"/>
      <c r="W86" s="72"/>
      <c r="X86" s="72"/>
      <c r="Y86" s="72"/>
      <c r="Z86" s="72"/>
      <c r="AA86" s="72">
        <v>1</v>
      </c>
      <c r="AB86" s="72"/>
      <c r="AC86" s="72"/>
      <c r="AD86" s="72">
        <f t="shared" si="14"/>
        <v>1</v>
      </c>
      <c r="AE86" s="72"/>
      <c r="AF86" s="72">
        <v>1</v>
      </c>
      <c r="AG86" s="72"/>
      <c r="AH86" s="72"/>
      <c r="AI86" s="72"/>
      <c r="AJ86" s="72"/>
      <c r="AK86" s="72"/>
      <c r="AL86" s="72"/>
      <c r="AM86" s="72"/>
      <c r="AN86" s="72">
        <v>1</v>
      </c>
      <c r="AO86" s="72"/>
      <c r="AP86" s="72"/>
      <c r="AQ86" s="72"/>
      <c r="AR86" s="72"/>
      <c r="AS86" s="72"/>
      <c r="AT86" s="72"/>
      <c r="AU86" s="72"/>
      <c r="AV86" s="72"/>
      <c r="AW86" s="72"/>
      <c r="AX86" s="72"/>
      <c r="AY86" s="72"/>
      <c r="AZ86" s="72"/>
    </row>
    <row r="87" spans="1:52" hidden="1">
      <c r="A87" s="944" t="s">
        <v>1957</v>
      </c>
      <c r="B87" s="72"/>
      <c r="C87" s="72">
        <v>64</v>
      </c>
      <c r="D87" s="72"/>
      <c r="E87" s="72"/>
      <c r="F87" s="72">
        <f>C87</f>
        <v>64</v>
      </c>
      <c r="G87" s="72">
        <f>C87</f>
        <v>64</v>
      </c>
      <c r="H87" s="72"/>
      <c r="I87" s="72"/>
      <c r="J87" s="72">
        <v>1</v>
      </c>
      <c r="K87" s="72"/>
      <c r="L87" s="72"/>
      <c r="M87" s="72"/>
      <c r="N87" s="72"/>
      <c r="O87" s="72"/>
      <c r="P87" s="72">
        <v>1</v>
      </c>
      <c r="Q87" s="72"/>
      <c r="R87" s="72"/>
      <c r="S87" s="72">
        <v>1</v>
      </c>
      <c r="T87" s="72"/>
      <c r="U87" s="72"/>
      <c r="V87" s="72"/>
      <c r="W87" s="72"/>
      <c r="X87" s="72">
        <v>1</v>
      </c>
      <c r="Y87" s="72"/>
      <c r="Z87" s="72"/>
      <c r="AA87" s="72">
        <v>2</v>
      </c>
      <c r="AB87" s="72"/>
      <c r="AC87" s="72"/>
      <c r="AD87" s="72">
        <f t="shared" si="14"/>
        <v>2</v>
      </c>
      <c r="AE87" s="72"/>
      <c r="AF87" s="72">
        <v>1</v>
      </c>
      <c r="AG87" s="72"/>
      <c r="AH87" s="72"/>
      <c r="AI87" s="72"/>
      <c r="AJ87" s="72"/>
      <c r="AK87" s="72"/>
      <c r="AL87" s="72"/>
      <c r="AM87" s="72"/>
      <c r="AN87" s="72">
        <v>1</v>
      </c>
      <c r="AO87" s="72"/>
      <c r="AP87" s="72"/>
      <c r="AQ87" s="72"/>
      <c r="AR87" s="72"/>
      <c r="AS87" s="72"/>
      <c r="AT87" s="72"/>
      <c r="AU87" s="72"/>
      <c r="AV87" s="72"/>
      <c r="AW87" s="72"/>
      <c r="AX87" s="72"/>
      <c r="AY87" s="72">
        <v>1</v>
      </c>
      <c r="AZ87" s="72"/>
    </row>
    <row r="88" spans="1:52" hidden="1">
      <c r="A88" s="944" t="s">
        <v>1958</v>
      </c>
      <c r="B88" s="72"/>
      <c r="C88" s="72">
        <v>64</v>
      </c>
      <c r="D88" s="72"/>
      <c r="E88" s="72"/>
      <c r="F88" s="72">
        <f>C88</f>
        <v>64</v>
      </c>
      <c r="G88" s="72">
        <f>C88</f>
        <v>64</v>
      </c>
      <c r="H88" s="72"/>
      <c r="I88" s="72"/>
      <c r="J88" s="72">
        <v>1</v>
      </c>
      <c r="K88" s="72"/>
      <c r="L88" s="72"/>
      <c r="M88" s="72"/>
      <c r="N88" s="72"/>
      <c r="O88" s="72"/>
      <c r="P88" s="72">
        <v>1</v>
      </c>
      <c r="Q88" s="72"/>
      <c r="R88" s="72">
        <v>1</v>
      </c>
      <c r="S88" s="72"/>
      <c r="T88" s="72"/>
      <c r="U88" s="72"/>
      <c r="V88" s="72"/>
      <c r="W88" s="72"/>
      <c r="X88" s="72"/>
      <c r="Y88" s="72"/>
      <c r="Z88" s="72"/>
      <c r="AA88" s="72">
        <v>1</v>
      </c>
      <c r="AB88" s="72"/>
      <c r="AC88" s="72"/>
      <c r="AD88" s="72">
        <f t="shared" si="14"/>
        <v>1</v>
      </c>
      <c r="AE88" s="72"/>
      <c r="AF88" s="72">
        <v>1</v>
      </c>
      <c r="AG88" s="72"/>
      <c r="AH88" s="72"/>
      <c r="AI88" s="72"/>
      <c r="AJ88" s="72"/>
      <c r="AK88" s="72"/>
      <c r="AL88" s="72"/>
      <c r="AM88" s="72"/>
      <c r="AN88" s="72">
        <v>1</v>
      </c>
      <c r="AO88" s="72"/>
      <c r="AP88" s="72"/>
      <c r="AQ88" s="72"/>
      <c r="AR88" s="72"/>
      <c r="AS88" s="72"/>
      <c r="AT88" s="72"/>
      <c r="AU88" s="72"/>
      <c r="AV88" s="72"/>
      <c r="AW88" s="72"/>
      <c r="AX88" s="72"/>
      <c r="AY88" s="72"/>
      <c r="AZ88" s="72"/>
    </row>
    <row r="89" spans="1:52" hidden="1">
      <c r="A89" s="944" t="s">
        <v>1959</v>
      </c>
      <c r="B89" s="72"/>
      <c r="C89" s="72">
        <v>64</v>
      </c>
      <c r="D89" s="72"/>
      <c r="E89" s="72"/>
      <c r="F89" s="72">
        <f>C89</f>
        <v>64</v>
      </c>
      <c r="G89" s="72">
        <f>C89</f>
        <v>64</v>
      </c>
      <c r="H89" s="72"/>
      <c r="I89" s="72"/>
      <c r="J89" s="72">
        <v>1</v>
      </c>
      <c r="K89" s="72"/>
      <c r="L89" s="72"/>
      <c r="M89" s="72"/>
      <c r="N89" s="72"/>
      <c r="O89" s="72"/>
      <c r="P89" s="72">
        <v>1</v>
      </c>
      <c r="Q89" s="72"/>
      <c r="R89" s="72">
        <v>1</v>
      </c>
      <c r="S89" s="72"/>
      <c r="T89" s="72"/>
      <c r="U89" s="72"/>
      <c r="V89" s="72"/>
      <c r="W89" s="72"/>
      <c r="X89" s="72"/>
      <c r="Y89" s="72"/>
      <c r="Z89" s="72"/>
      <c r="AA89" s="72">
        <v>1</v>
      </c>
      <c r="AB89" s="72"/>
      <c r="AC89" s="72"/>
      <c r="AD89" s="72">
        <f t="shared" si="14"/>
        <v>1</v>
      </c>
      <c r="AE89" s="72"/>
      <c r="AF89" s="72">
        <v>1</v>
      </c>
      <c r="AG89" s="72"/>
      <c r="AH89" s="72"/>
      <c r="AI89" s="72"/>
      <c r="AJ89" s="72"/>
      <c r="AK89" s="72"/>
      <c r="AL89" s="72"/>
      <c r="AM89" s="72"/>
      <c r="AN89" s="72">
        <v>1</v>
      </c>
      <c r="AO89" s="72"/>
      <c r="AP89" s="72"/>
      <c r="AQ89" s="72"/>
      <c r="AR89" s="72"/>
      <c r="AS89" s="72"/>
      <c r="AT89" s="72"/>
      <c r="AU89" s="72"/>
      <c r="AV89" s="72"/>
      <c r="AW89" s="72"/>
      <c r="AX89" s="72"/>
      <c r="AY89" s="72"/>
      <c r="AZ89" s="72"/>
    </row>
    <row r="90" spans="1:52" hidden="1">
      <c r="A90" s="944" t="s">
        <v>1960</v>
      </c>
      <c r="B90" s="72"/>
      <c r="C90" s="72">
        <v>64</v>
      </c>
      <c r="D90" s="72"/>
      <c r="E90" s="72"/>
      <c r="F90" s="72">
        <f>C90+1</f>
        <v>65</v>
      </c>
      <c r="G90" s="72">
        <f>C90+1</f>
        <v>65</v>
      </c>
      <c r="H90" s="72"/>
      <c r="I90" s="72"/>
      <c r="J90" s="72">
        <v>2</v>
      </c>
      <c r="K90" s="72"/>
      <c r="L90" s="72"/>
      <c r="M90" s="72"/>
      <c r="N90" s="72">
        <v>1</v>
      </c>
      <c r="O90" s="72"/>
      <c r="P90" s="72"/>
      <c r="Q90" s="72"/>
      <c r="R90" s="72"/>
      <c r="S90" s="72"/>
      <c r="T90" s="72"/>
      <c r="U90" s="72"/>
      <c r="V90" s="72"/>
      <c r="W90" s="72"/>
      <c r="X90" s="72"/>
      <c r="Y90" s="72"/>
      <c r="Z90" s="72">
        <v>1</v>
      </c>
      <c r="AA90" s="72"/>
      <c r="AB90" s="72">
        <v>1</v>
      </c>
      <c r="AC90" s="72"/>
      <c r="AD90" s="72">
        <f t="shared" si="14"/>
        <v>0</v>
      </c>
      <c r="AE90" s="72"/>
      <c r="AF90" s="72">
        <v>1</v>
      </c>
      <c r="AG90" s="72">
        <v>2</v>
      </c>
      <c r="AH90" s="72"/>
      <c r="AI90" s="72"/>
      <c r="AJ90" s="72"/>
      <c r="AK90" s="72"/>
      <c r="AL90" s="72"/>
      <c r="AM90" s="72"/>
      <c r="AN90" s="72"/>
      <c r="AO90" s="72">
        <v>1</v>
      </c>
      <c r="AP90" s="72"/>
      <c r="AQ90" s="72"/>
      <c r="AR90" s="72">
        <v>1</v>
      </c>
      <c r="AS90" s="72">
        <v>1</v>
      </c>
      <c r="AT90" s="72">
        <v>1</v>
      </c>
      <c r="AU90" s="72"/>
      <c r="AV90" s="72"/>
      <c r="AW90" s="72"/>
      <c r="AX90" s="72"/>
      <c r="AY90" s="72" t="s">
        <v>5921</v>
      </c>
      <c r="AZ90" s="72"/>
    </row>
    <row r="91" spans="1:52" s="1372" customFormat="1" ht="20.100000000000001" hidden="1" customHeight="1">
      <c r="A91" s="1394" t="s">
        <v>1953</v>
      </c>
      <c r="B91" s="1395"/>
      <c r="C91" s="1396"/>
      <c r="D91" s="1396"/>
      <c r="E91" s="1396"/>
      <c r="F91" s="1396"/>
      <c r="G91" s="1396"/>
      <c r="H91" s="1396"/>
      <c r="I91" s="1396"/>
      <c r="J91" s="1396"/>
      <c r="K91" s="1396"/>
      <c r="L91" s="1396"/>
      <c r="M91" s="1396"/>
      <c r="N91" s="1396"/>
      <c r="O91" s="1396"/>
      <c r="P91" s="1396"/>
      <c r="Q91" s="1396"/>
      <c r="R91" s="1396"/>
      <c r="S91" s="1396"/>
      <c r="T91" s="1396"/>
      <c r="U91" s="1396"/>
      <c r="V91" s="1396"/>
      <c r="W91" s="1396"/>
      <c r="X91" s="1396"/>
      <c r="Y91" s="1396"/>
      <c r="Z91" s="1396"/>
      <c r="AA91" s="1396"/>
      <c r="AB91" s="1396"/>
      <c r="AC91" s="1396"/>
      <c r="AD91" s="1396"/>
      <c r="AE91" s="1396"/>
      <c r="AF91" s="1396"/>
      <c r="AG91" s="1396"/>
      <c r="AH91" s="1396"/>
      <c r="AI91" s="1396"/>
      <c r="AJ91" s="1396"/>
      <c r="AK91" s="1396"/>
      <c r="AL91" s="1396"/>
      <c r="AM91" s="1396"/>
      <c r="AN91" s="1396"/>
      <c r="AO91" s="1396"/>
      <c r="AP91" s="1396"/>
      <c r="AQ91" s="1396"/>
      <c r="AR91" s="1396"/>
      <c r="AS91" s="1396"/>
      <c r="AT91" s="1396"/>
      <c r="AU91" s="1396"/>
      <c r="AV91" s="1396"/>
      <c r="AW91" s="1396"/>
      <c r="AX91" s="1396"/>
      <c r="AY91" s="1396"/>
      <c r="AZ91" s="1396"/>
    </row>
    <row r="92" spans="1:52" ht="3" customHeight="1">
      <c r="A92" s="2081" t="s">
        <v>1208</v>
      </c>
      <c r="B92" s="2082"/>
      <c r="C92" s="945"/>
      <c r="D92" s="945"/>
      <c r="E92" s="945"/>
      <c r="F92" s="945"/>
      <c r="G92" s="946"/>
      <c r="H92" s="946"/>
      <c r="I92" s="945"/>
      <c r="J92" s="947"/>
      <c r="K92" s="947"/>
      <c r="L92" s="947"/>
      <c r="M92" s="947"/>
      <c r="N92" s="947"/>
      <c r="O92" s="947"/>
      <c r="P92" s="947"/>
      <c r="Q92" s="947"/>
      <c r="R92" s="948"/>
      <c r="S92" s="948"/>
      <c r="T92" s="948"/>
      <c r="U92" s="948"/>
      <c r="V92" s="948"/>
      <c r="W92" s="948"/>
      <c r="X92" s="948"/>
      <c r="Y92" s="948"/>
      <c r="Z92" s="948"/>
      <c r="AA92" s="948"/>
      <c r="AB92" s="948"/>
      <c r="AC92" s="948"/>
      <c r="AD92" s="948"/>
      <c r="AE92" s="948"/>
      <c r="AF92" s="948"/>
      <c r="AG92" s="948"/>
      <c r="AH92" s="948"/>
      <c r="AI92" s="948"/>
      <c r="AJ92" s="948"/>
      <c r="AK92" s="948"/>
      <c r="AL92" s="948"/>
      <c r="AM92" s="948"/>
      <c r="AN92" s="948"/>
      <c r="AO92" s="948"/>
      <c r="AP92" s="948"/>
      <c r="AQ92" s="948"/>
      <c r="AR92" s="948"/>
      <c r="AS92" s="948"/>
      <c r="AT92" s="948"/>
      <c r="AU92" s="948"/>
      <c r="AV92" s="948"/>
      <c r="AW92" s="948"/>
      <c r="AX92" s="948"/>
      <c r="AY92" s="948"/>
      <c r="AZ92" s="949"/>
    </row>
    <row r="93" spans="1:52" s="631" customFormat="1" ht="30" customHeight="1">
      <c r="A93" s="2083"/>
      <c r="B93" s="2084"/>
      <c r="C93" s="1397">
        <f>C68+C81+C91</f>
        <v>1451</v>
      </c>
      <c r="D93" s="1397">
        <f t="shared" ref="D93:AZ93" si="15">D68+D81+D91</f>
        <v>5</v>
      </c>
      <c r="E93" s="1397">
        <f t="shared" si="15"/>
        <v>0</v>
      </c>
      <c r="F93" s="1397">
        <f t="shared" si="15"/>
        <v>1461</v>
      </c>
      <c r="G93" s="1397">
        <f t="shared" si="15"/>
        <v>1457</v>
      </c>
      <c r="H93" s="1397">
        <f t="shared" si="15"/>
        <v>0</v>
      </c>
      <c r="I93" s="1397">
        <f t="shared" si="15"/>
        <v>0</v>
      </c>
      <c r="J93" s="1397">
        <f t="shared" si="15"/>
        <v>32</v>
      </c>
      <c r="K93" s="1397">
        <f t="shared" si="15"/>
        <v>0</v>
      </c>
      <c r="L93" s="1397">
        <f t="shared" si="15"/>
        <v>0</v>
      </c>
      <c r="M93" s="1397">
        <f t="shared" si="15"/>
        <v>0</v>
      </c>
      <c r="N93" s="1397">
        <f>N68+N81+N91</f>
        <v>7</v>
      </c>
      <c r="O93" s="1397">
        <f t="shared" si="15"/>
        <v>0</v>
      </c>
      <c r="P93" s="1397">
        <f t="shared" si="15"/>
        <v>18</v>
      </c>
      <c r="Q93" s="1397">
        <f t="shared" si="15"/>
        <v>2</v>
      </c>
      <c r="R93" s="1397">
        <f t="shared" si="15"/>
        <v>16</v>
      </c>
      <c r="S93" s="1397">
        <f t="shared" si="15"/>
        <v>5</v>
      </c>
      <c r="T93" s="1397">
        <f t="shared" si="15"/>
        <v>0</v>
      </c>
      <c r="U93" s="1397">
        <f t="shared" si="15"/>
        <v>0</v>
      </c>
      <c r="V93" s="1397">
        <f t="shared" si="15"/>
        <v>0</v>
      </c>
      <c r="W93" s="1397">
        <f t="shared" si="15"/>
        <v>3</v>
      </c>
      <c r="X93" s="1397">
        <f t="shared" si="15"/>
        <v>1</v>
      </c>
      <c r="Y93" s="1397">
        <f t="shared" si="15"/>
        <v>0</v>
      </c>
      <c r="Z93" s="1397">
        <f t="shared" si="15"/>
        <v>14</v>
      </c>
      <c r="AA93" s="1397">
        <f t="shared" si="15"/>
        <v>26</v>
      </c>
      <c r="AB93" s="1397">
        <f t="shared" si="15"/>
        <v>14</v>
      </c>
      <c r="AC93" s="1397">
        <f t="shared" si="15"/>
        <v>0</v>
      </c>
      <c r="AD93" s="1397">
        <f t="shared" si="15"/>
        <v>26</v>
      </c>
      <c r="AE93" s="1397">
        <f t="shared" si="15"/>
        <v>0</v>
      </c>
      <c r="AF93" s="1397">
        <f t="shared" si="15"/>
        <v>31</v>
      </c>
      <c r="AG93" s="1397">
        <f t="shared" si="15"/>
        <v>27</v>
      </c>
      <c r="AH93" s="1397">
        <f t="shared" si="15"/>
        <v>4</v>
      </c>
      <c r="AI93" s="1397">
        <f t="shared" si="15"/>
        <v>0</v>
      </c>
      <c r="AJ93" s="1397">
        <f t="shared" si="15"/>
        <v>0</v>
      </c>
      <c r="AK93" s="1397">
        <f t="shared" si="15"/>
        <v>3</v>
      </c>
      <c r="AL93" s="1397">
        <f t="shared" si="15"/>
        <v>2</v>
      </c>
      <c r="AM93" s="1397">
        <f t="shared" si="15"/>
        <v>0</v>
      </c>
      <c r="AN93" s="1397">
        <f t="shared" si="15"/>
        <v>20</v>
      </c>
      <c r="AO93" s="1397">
        <f t="shared" si="15"/>
        <v>11</v>
      </c>
      <c r="AP93" s="1397">
        <f t="shared" si="15"/>
        <v>3</v>
      </c>
      <c r="AQ93" s="1397">
        <f t="shared" si="15"/>
        <v>11</v>
      </c>
      <c r="AR93" s="1397">
        <f t="shared" si="15"/>
        <v>7</v>
      </c>
      <c r="AS93" s="1397">
        <f t="shared" si="15"/>
        <v>7</v>
      </c>
      <c r="AT93" s="1397">
        <f t="shared" si="15"/>
        <v>7</v>
      </c>
      <c r="AU93" s="1397">
        <f t="shared" si="15"/>
        <v>2</v>
      </c>
      <c r="AV93" s="1397">
        <f t="shared" si="15"/>
        <v>0</v>
      </c>
      <c r="AW93" s="1397">
        <f t="shared" si="15"/>
        <v>0</v>
      </c>
      <c r="AX93" s="1397">
        <f t="shared" si="15"/>
        <v>2</v>
      </c>
      <c r="AY93" s="1397">
        <f t="shared" si="15"/>
        <v>8</v>
      </c>
      <c r="AZ93" s="1397">
        <f t="shared" si="15"/>
        <v>0</v>
      </c>
    </row>
    <row r="94" spans="1:52" ht="10.5" customHeight="1">
      <c r="A94" s="40"/>
      <c r="B94" s="52"/>
      <c r="C94" s="40"/>
      <c r="D94" s="40"/>
      <c r="E94" s="40"/>
      <c r="F94" s="40"/>
      <c r="G94" s="40"/>
      <c r="H94" s="40"/>
      <c r="I94" s="40"/>
      <c r="J94" s="40"/>
      <c r="K94" s="40"/>
      <c r="L94" s="40"/>
      <c r="M94" s="40"/>
    </row>
    <row r="95" spans="1:52">
      <c r="A95" s="2075" t="s">
        <v>3844</v>
      </c>
      <c r="B95" s="2075"/>
      <c r="C95" s="2075"/>
      <c r="D95" s="1366"/>
      <c r="E95" s="1366"/>
      <c r="F95" s="1366"/>
      <c r="G95" s="40"/>
      <c r="H95" s="40"/>
      <c r="I95" s="40"/>
      <c r="J95" s="40"/>
      <c r="K95" s="40"/>
      <c r="L95" s="40"/>
      <c r="M95" s="40"/>
    </row>
    <row r="96" spans="1:52">
      <c r="A96" s="2073" t="s">
        <v>3845</v>
      </c>
      <c r="B96" s="2073"/>
      <c r="C96" s="2073"/>
      <c r="D96" s="52"/>
      <c r="E96" s="52"/>
      <c r="F96" s="52"/>
    </row>
    <row r="97" spans="1:17">
      <c r="A97" s="40"/>
      <c r="B97" s="52"/>
      <c r="C97" s="40"/>
      <c r="D97" s="40"/>
      <c r="F97" s="41"/>
      <c r="G97" s="42">
        <f>D93</f>
        <v>5</v>
      </c>
      <c r="H97" s="43" t="s">
        <v>2041</v>
      </c>
      <c r="N97" s="40"/>
      <c r="O97" s="40"/>
      <c r="P97" s="40"/>
      <c r="Q97" s="40"/>
    </row>
    <row r="98" spans="1:17">
      <c r="A98" s="40"/>
      <c r="B98" s="52"/>
      <c r="C98" s="40"/>
      <c r="D98" s="40"/>
      <c r="F98" s="41"/>
      <c r="G98" s="42">
        <f>E93</f>
        <v>0</v>
      </c>
      <c r="H98" s="43" t="s">
        <v>4645</v>
      </c>
      <c r="N98" s="40"/>
      <c r="O98" s="40"/>
      <c r="P98" s="40"/>
      <c r="Q98" s="40"/>
    </row>
    <row r="99" spans="1:17">
      <c r="A99" s="40"/>
      <c r="B99" s="52"/>
      <c r="C99" s="40"/>
      <c r="D99" s="40"/>
      <c r="F99" s="41" t="str">
        <f>+ROUND(F93,0)&amp;"m x 1,02 ="</f>
        <v>1461m x 1,02 =</v>
      </c>
      <c r="G99" s="42">
        <f>+ROUND(F93*1.02,0)</f>
        <v>1490</v>
      </c>
      <c r="H99" s="43" t="s">
        <v>4542</v>
      </c>
      <c r="N99" s="40"/>
      <c r="O99" s="40"/>
      <c r="P99" s="40"/>
      <c r="Q99" s="40"/>
    </row>
    <row r="100" spans="1:17">
      <c r="A100" s="40"/>
      <c r="B100" s="52"/>
      <c r="C100" s="40"/>
      <c r="D100" s="40"/>
      <c r="F100" s="41" t="str">
        <f>+ROUND(G93,0)&amp;"m x 1,02 ="</f>
        <v>1457m x 1,02 =</v>
      </c>
      <c r="G100" s="42">
        <f>+ROUND(G93*1.02,0)</f>
        <v>1486</v>
      </c>
      <c r="H100" s="43" t="s">
        <v>4543</v>
      </c>
      <c r="N100" s="40"/>
      <c r="O100" s="40"/>
      <c r="P100" s="40"/>
      <c r="Q100" s="40"/>
    </row>
    <row r="101" spans="1:17">
      <c r="A101" s="2073" t="s">
        <v>3846</v>
      </c>
      <c r="B101" s="2073"/>
      <c r="C101" s="2073"/>
      <c r="D101" s="52"/>
      <c r="F101" s="40"/>
      <c r="G101" s="1493"/>
      <c r="H101" s="40"/>
      <c r="N101" s="40"/>
      <c r="O101" s="40"/>
      <c r="P101" s="40"/>
      <c r="Q101" s="40"/>
    </row>
    <row r="102" spans="1:17">
      <c r="F102" s="41" t="str">
        <f>G100&amp;" m x 0,195 kg/m ="</f>
        <v>1486 m x 0,195 kg/m =</v>
      </c>
      <c r="G102" s="42">
        <f>+ROUND((G100*0.195),0)</f>
        <v>290</v>
      </c>
      <c r="H102" s="43" t="s">
        <v>5922</v>
      </c>
    </row>
    <row r="103" spans="1:17">
      <c r="G103" s="41"/>
      <c r="H103" s="41"/>
      <c r="I103" s="41"/>
      <c r="J103" s="44"/>
    </row>
  </sheetData>
  <mergeCells count="41">
    <mergeCell ref="AU3:AU4"/>
    <mergeCell ref="AF3:AF4"/>
    <mergeCell ref="A92:B93"/>
    <mergeCell ref="A101:C101"/>
    <mergeCell ref="W3:X3"/>
    <mergeCell ref="AK3:AK4"/>
    <mergeCell ref="A95:C95"/>
    <mergeCell ref="AT3:AT4"/>
    <mergeCell ref="Y3:Y4"/>
    <mergeCell ref="AE3:AE4"/>
    <mergeCell ref="AA3:AA4"/>
    <mergeCell ref="AI3:AI4"/>
    <mergeCell ref="AB3:AB4"/>
    <mergeCell ref="H3:K3"/>
    <mergeCell ref="N3:P3"/>
    <mergeCell ref="R3:U3"/>
    <mergeCell ref="AV3:AV4"/>
    <mergeCell ref="AS3:AS4"/>
    <mergeCell ref="AX3:AX4"/>
    <mergeCell ref="A96:C96"/>
    <mergeCell ref="A1:AZ1"/>
    <mergeCell ref="A3:A4"/>
    <mergeCell ref="B3:B4"/>
    <mergeCell ref="C3:C4"/>
    <mergeCell ref="E3:F3"/>
    <mergeCell ref="AN3:AN4"/>
    <mergeCell ref="AZ3:AZ4"/>
    <mergeCell ref="AW3:AW4"/>
    <mergeCell ref="AP3:AP4"/>
    <mergeCell ref="AM3:AM4"/>
    <mergeCell ref="AY3:AY4"/>
    <mergeCell ref="AL3:AL4"/>
    <mergeCell ref="Z3:Z4"/>
    <mergeCell ref="AO3:AO4"/>
    <mergeCell ref="AJ3:AJ4"/>
    <mergeCell ref="AD3:AD4"/>
    <mergeCell ref="AR3:AR4"/>
    <mergeCell ref="AH3:AH4"/>
    <mergeCell ref="AC3:AC4"/>
    <mergeCell ref="AQ3:AQ4"/>
    <mergeCell ref="AG3:AG4"/>
  </mergeCells>
  <phoneticPr fontId="152" type="noConversion"/>
  <pageMargins left="0.75" right="0.75" top="1" bottom="1" header="0.5" footer="0.5"/>
  <headerFooter alignWithMargins="0"/>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indexed="42"/>
  </sheetPr>
  <dimension ref="A1:I83"/>
  <sheetViews>
    <sheetView showGridLines="0" showZeros="0" showRuler="0" view="pageLayout" zoomScale="85" zoomScaleNormal="85" zoomScalePageLayoutView="85" workbookViewId="0">
      <selection activeCell="C10" sqref="C10:D10"/>
    </sheetView>
  </sheetViews>
  <sheetFormatPr defaultColWidth="0" defaultRowHeight="15" zeroHeight="1"/>
  <cols>
    <col min="1" max="1" width="5.33203125" style="10" customWidth="1"/>
    <col min="2" max="2" width="5.83203125" style="13" customWidth="1"/>
    <col min="3" max="3" width="18.83203125" style="10" customWidth="1"/>
    <col min="4" max="4" width="20.83203125" style="10" customWidth="1"/>
    <col min="5" max="5" width="10.83203125" style="10" customWidth="1"/>
    <col min="6" max="6" width="30.5" style="10" customWidth="1"/>
    <col min="7" max="7" width="7.83203125" style="10" customWidth="1"/>
    <col min="8" max="8" width="16.83203125" style="34" customWidth="1"/>
    <col min="9" max="9" width="5.1640625" style="10" customWidth="1"/>
    <col min="10" max="16384" width="0" style="10" hidden="1"/>
  </cols>
  <sheetData>
    <row r="1" spans="1:9"/>
    <row r="2" spans="1:9"/>
    <row r="3" spans="1:9"/>
    <row r="4" spans="1:9" ht="18" customHeight="1">
      <c r="A4" s="79" t="s">
        <v>3077</v>
      </c>
      <c r="B4" s="79"/>
      <c r="C4" s="79"/>
      <c r="D4" s="79"/>
      <c r="E4" s="79"/>
      <c r="F4" s="79"/>
      <c r="G4" s="79"/>
      <c r="H4" s="79"/>
      <c r="I4" s="79"/>
    </row>
    <row r="5" spans="1:9" s="782" customFormat="1" ht="18" customHeight="1">
      <c r="A5" s="79" t="s">
        <v>3078</v>
      </c>
      <c r="B5" s="79"/>
      <c r="C5" s="79"/>
      <c r="D5" s="79"/>
      <c r="E5" s="79"/>
      <c r="F5" s="79"/>
      <c r="G5" s="781"/>
      <c r="H5" s="781"/>
      <c r="I5" s="781"/>
    </row>
    <row r="6" spans="1:9" ht="17.25" customHeight="1">
      <c r="A6" s="35"/>
      <c r="B6" s="80" t="s">
        <v>6345</v>
      </c>
      <c r="C6" s="2095" t="s">
        <v>85</v>
      </c>
      <c r="D6" s="2097"/>
      <c r="E6" s="2095" t="s">
        <v>3079</v>
      </c>
      <c r="F6" s="2096"/>
      <c r="G6" s="2097"/>
      <c r="H6" s="45" t="s">
        <v>2486</v>
      </c>
      <c r="I6" s="35"/>
    </row>
    <row r="7" spans="1:9" ht="30" customHeight="1">
      <c r="B7" s="788">
        <v>1</v>
      </c>
      <c r="C7" s="2100" t="s">
        <v>5213</v>
      </c>
      <c r="D7" s="2101"/>
      <c r="E7" s="815">
        <v>310</v>
      </c>
      <c r="F7" s="818" t="str">
        <f>IF(C20=8,"1.851 đồng/tấn.kmx1,3/0,9x1,3x",IF(C20=21,"1.070 đồng/tấn.kmx1,3/0,9x1,3x",IF(AND(C20&gt;=41,C20&lt;=45),"724 đồng/tấn.kmx1,3/0,9x1,3x",IF(AND(C20&gt;=56,C20&lt;=60),"684 đồng/tấn.kmx1,3/0,9x1,3x",IF(AND(C20&gt;=61,C20&lt;=70),"673 đồng/tấn.kmx1,3/0,9x1,3x","Nhập lại")))))</f>
        <v>673 đồng/tấn.kmx1,3/0,9x1,3x</v>
      </c>
      <c r="G7" s="786">
        <f>+C20</f>
        <v>65</v>
      </c>
      <c r="H7" s="787">
        <f>IF(C20=8,E7*1851*1.3/0.9*1.3*G7,IF(C20=21,E7*1070*1.3/0.9*1.3*G7,IF(AND(C20&gt;=41,C20&lt;=45),E7*724*1.3/0.9*1.3*G7,IF(AND(C20&gt;=56,C20&lt;=60),E7*684*1.3/0.9*1.3*G7,IF(AND(C20&gt;=61,C20&lt;=70),E7*673*1.3/0.9*1.3*G7,"Nhập lại")))))</f>
        <v>25464450.555555556</v>
      </c>
    </row>
    <row r="8" spans="1:9" ht="30" customHeight="1">
      <c r="B8" s="788">
        <v>2</v>
      </c>
      <c r="C8" s="2100" t="s">
        <v>5214</v>
      </c>
      <c r="D8" s="2101"/>
      <c r="E8" s="815">
        <v>10</v>
      </c>
      <c r="F8" s="817" t="str">
        <f>IF(C20=8,"1.851 đồng/tấn.kmx1,3/0,9x1,3x",IF(C20=21,"1.070 đồng/tấn.kmx1,3/0,9x1,3x",IF(AND(C20&gt;=41,C20&lt;=45),"724 đồng/tấn.kmx1,3/0,9x1,3x",IF(AND(C20&gt;=56,C20&lt;=60),"684 đồng/tấn.kmx1,3/0,9x1,3x",IF(AND(C20&gt;=61,C20&lt;=70),"673 đồng/tấn.kmx1,3/0,9x1,3x","Nhập lại")))))</f>
        <v>673 đồng/tấn.kmx1,3/0,9x1,3x</v>
      </c>
      <c r="G8" s="786">
        <f>+C20</f>
        <v>65</v>
      </c>
      <c r="H8" s="787">
        <f>IF(C20=8,E8*1851*1.3/0.9*1.3*G8,IF(C20=21,E8*1070*1.3/0.9*1.3*G8,IF(AND(C20&gt;=41,C20&lt;=45),E8*724*1.3/0.9*1.3*G8,IF(AND(C20&gt;=56,C20&lt;=60),E8*684*1.3/0.9*1.3*G8,IF(AND(C20&gt;=61,C20&lt;=70),E8*673*1.3/0.9*1.3*G8,"Nhập lại")))))</f>
        <v>821433.88888888899</v>
      </c>
    </row>
    <row r="9" spans="1:9" ht="30" hidden="1" customHeight="1">
      <c r="B9" s="789">
        <v>3</v>
      </c>
      <c r="C9" s="2100" t="s">
        <v>3080</v>
      </c>
      <c r="D9" s="2101"/>
      <c r="E9" s="816">
        <v>0</v>
      </c>
      <c r="F9" s="792" t="str">
        <f>IF(C21&lt;=30,"23.900 đồng/tấn ",IF(C21&gt;=31,"23.900 đồng/tấn + 162 đồng/tấn.km x "))</f>
        <v xml:space="preserve">23.900 đồng/tấn + 162 đồng/tấn.km x </v>
      </c>
      <c r="G9" s="793">
        <f>IF(C21&lt;=30,"",IF(C21&gt;=31,C21))</f>
        <v>40</v>
      </c>
      <c r="H9" s="787">
        <f>IF(C21&lt;=30,E9*23900,IF(C21&gt;=31,(E9*23900+(E9*162*(C21-30)))))</f>
        <v>0</v>
      </c>
    </row>
    <row r="10" spans="1:9" ht="30" hidden="1" customHeight="1">
      <c r="B10" s="789">
        <v>4</v>
      </c>
      <c r="C10" s="2100" t="s">
        <v>5122</v>
      </c>
      <c r="D10" s="2101"/>
      <c r="E10" s="816">
        <v>0</v>
      </c>
      <c r="F10" s="792" t="str">
        <f>IF(C21&lt;=30,"23.900 đồng/tấn ",IF(C21&gt;=31,"23.900 đồng/tấn + 162 đồng/tấn.km x "))</f>
        <v xml:space="preserve">23.900 đồng/tấn + 162 đồng/tấn.km x </v>
      </c>
      <c r="G10" s="793">
        <f>IF(C21&lt;=30,"",IF(C21&gt;=31,C21))</f>
        <v>40</v>
      </c>
      <c r="H10" s="787">
        <f>IF(C21&lt;=30,E10*23900,IF(C21&gt;=31,(E10*23900+(E10*162*(C21-30)))))</f>
        <v>0</v>
      </c>
    </row>
    <row r="11" spans="1:9">
      <c r="B11" s="49"/>
      <c r="C11" s="2098"/>
      <c r="D11" s="2099"/>
      <c r="E11" s="790"/>
      <c r="F11" s="794" t="s">
        <v>2320</v>
      </c>
      <c r="G11" s="795"/>
      <c r="H11" s="791">
        <f>SUM(H7:H10)</f>
        <v>26285884.444444444</v>
      </c>
    </row>
    <row r="12" spans="1:9">
      <c r="C12" s="35"/>
      <c r="D12" s="35"/>
      <c r="E12" s="35"/>
      <c r="F12" s="35"/>
      <c r="G12" s="35"/>
      <c r="H12" s="258"/>
    </row>
    <row r="13" spans="1:9">
      <c r="C13" s="35"/>
      <c r="D13" s="35"/>
      <c r="E13" s="35"/>
      <c r="F13" s="35"/>
      <c r="G13" s="35"/>
      <c r="H13" s="258"/>
    </row>
    <row r="14" spans="1:9">
      <c r="C14" s="798" t="s">
        <v>6403</v>
      </c>
      <c r="D14" s="798"/>
      <c r="E14" s="35"/>
      <c r="F14" s="35"/>
      <c r="G14" s="35"/>
      <c r="H14" s="258"/>
    </row>
    <row r="15" spans="1:9">
      <c r="B15" s="796"/>
      <c r="C15" s="797" t="s">
        <v>4249</v>
      </c>
      <c r="D15" s="797" t="s">
        <v>4251</v>
      </c>
      <c r="E15" s="35"/>
      <c r="F15" s="35"/>
      <c r="G15" s="35"/>
      <c r="H15" s="258"/>
    </row>
    <row r="16" spans="1:9">
      <c r="B16" s="796"/>
      <c r="C16" s="797" t="s">
        <v>4250</v>
      </c>
      <c r="D16" s="797" t="s">
        <v>4139</v>
      </c>
    </row>
    <row r="17" spans="2:8">
      <c r="B17" s="796"/>
      <c r="C17" s="797" t="s">
        <v>4249</v>
      </c>
      <c r="D17" s="797" t="s">
        <v>1859</v>
      </c>
      <c r="E17" s="35"/>
      <c r="F17" s="35"/>
      <c r="G17" s="35"/>
      <c r="H17" s="258"/>
    </row>
    <row r="18" spans="2:8">
      <c r="B18" s="796"/>
      <c r="C18" s="797" t="str">
        <f>IF(C20=8,"1.851đồng/tấn.km",IF(C20=21,"1.070đồng/tấn.km",IF(AND(C20&gt;=41,C20&lt;=45),"724đồng/tấn.km",IF(AND(C20&gt;=56,C20&lt;=60),"684đồng/tấn.km",IF(AND(C20&gt;=61,C20&lt;=70),"673đồng/tấn.km","Nhập lại")))))</f>
        <v>673đồng/tấn.km</v>
      </c>
      <c r="D18" s="797" t="s">
        <v>1860</v>
      </c>
      <c r="E18" s="35"/>
      <c r="F18" s="35"/>
      <c r="G18" s="35"/>
      <c r="H18" s="258"/>
    </row>
    <row r="19" spans="2:8" hidden="1">
      <c r="B19" s="796"/>
      <c r="C19" s="797" t="str">
        <f>IF(C21&lt;=30,"23.900 đồng/tấn",IF(C21&gt;=31,"162 đồng/tấn.km","xem lại"))</f>
        <v>162 đồng/tấn.km</v>
      </c>
      <c r="D19" s="797" t="s">
        <v>1861</v>
      </c>
      <c r="E19" s="35"/>
      <c r="F19" s="35"/>
      <c r="G19" s="35"/>
      <c r="H19" s="258"/>
    </row>
    <row r="20" spans="2:8">
      <c r="B20" s="813"/>
      <c r="C20" s="814">
        <v>65</v>
      </c>
      <c r="D20" s="797" t="s">
        <v>5215</v>
      </c>
      <c r="E20" s="35"/>
      <c r="F20" s="35"/>
      <c r="G20" s="35"/>
      <c r="H20" s="258"/>
    </row>
    <row r="21" spans="2:8" hidden="1">
      <c r="B21" s="796"/>
      <c r="C21" s="814">
        <v>40</v>
      </c>
      <c r="D21" s="797" t="s">
        <v>1063</v>
      </c>
      <c r="E21" s="35"/>
      <c r="F21" s="35"/>
      <c r="G21" s="35"/>
      <c r="H21" s="258"/>
    </row>
    <row r="22" spans="2:8">
      <c r="C22" s="35"/>
      <c r="D22" s="35"/>
      <c r="E22" s="35"/>
      <c r="F22" s="35"/>
      <c r="G22" s="35"/>
      <c r="H22" s="258"/>
    </row>
    <row r="23" spans="2:8">
      <c r="B23" s="797"/>
      <c r="C23" s="35"/>
      <c r="D23" s="35"/>
      <c r="F23" s="966" t="s">
        <v>4885</v>
      </c>
      <c r="G23" s="966" t="s">
        <v>4886</v>
      </c>
      <c r="H23" s="967" t="s">
        <v>4887</v>
      </c>
    </row>
    <row r="24" spans="2:8">
      <c r="B24" s="797" t="s">
        <v>1819</v>
      </c>
      <c r="C24" s="797"/>
      <c r="D24" s="796">
        <v>0.63</v>
      </c>
      <c r="E24" s="796">
        <f>0.085</f>
        <v>8.5000000000000006E-2</v>
      </c>
      <c r="F24" s="965">
        <f t="shared" ref="F24:F38" si="0">+E24+D24</f>
        <v>0.71499999999999997</v>
      </c>
      <c r="G24" s="969"/>
      <c r="H24" s="970">
        <f>+G24*F24</f>
        <v>0</v>
      </c>
    </row>
    <row r="25" spans="2:8">
      <c r="B25" s="797" t="s">
        <v>1820</v>
      </c>
      <c r="C25" s="797"/>
      <c r="D25" s="796">
        <v>0.63</v>
      </c>
      <c r="E25" s="964">
        <f>0.8*0.8*0.8*2.2</f>
        <v>1.1264000000000003</v>
      </c>
      <c r="F25" s="965">
        <f t="shared" si="0"/>
        <v>1.7564000000000002</v>
      </c>
      <c r="G25" s="969"/>
      <c r="H25" s="970">
        <f t="shared" ref="H25:H38" si="1">+G25*F25</f>
        <v>0</v>
      </c>
    </row>
    <row r="26" spans="2:8">
      <c r="B26" s="797" t="s">
        <v>1821</v>
      </c>
      <c r="C26" s="797"/>
      <c r="D26" s="796">
        <f>+D24*2</f>
        <v>1.26</v>
      </c>
      <c r="E26" s="964">
        <f>0.8*1*0.8*2.2</f>
        <v>1.4080000000000004</v>
      </c>
      <c r="F26" s="965">
        <f t="shared" si="0"/>
        <v>2.6680000000000001</v>
      </c>
      <c r="G26" s="969"/>
      <c r="H26" s="970">
        <f t="shared" si="1"/>
        <v>0</v>
      </c>
    </row>
    <row r="27" spans="2:8">
      <c r="B27" s="797" t="s">
        <v>1822</v>
      </c>
      <c r="C27" s="797"/>
      <c r="D27" s="796">
        <v>1</v>
      </c>
      <c r="E27" s="796">
        <f>0.085</f>
        <v>8.5000000000000006E-2</v>
      </c>
      <c r="F27" s="965">
        <f t="shared" si="0"/>
        <v>1.085</v>
      </c>
      <c r="G27" s="969"/>
      <c r="H27" s="970">
        <f t="shared" si="1"/>
        <v>0</v>
      </c>
    </row>
    <row r="28" spans="2:8">
      <c r="B28" s="797" t="s">
        <v>1823</v>
      </c>
      <c r="C28" s="797"/>
      <c r="D28" s="796">
        <v>1</v>
      </c>
      <c r="E28" s="964">
        <f>1*1*0.8*2.2</f>
        <v>1.7600000000000002</v>
      </c>
      <c r="F28" s="965">
        <f t="shared" si="0"/>
        <v>2.7600000000000002</v>
      </c>
      <c r="G28" s="969"/>
      <c r="H28" s="970">
        <f t="shared" si="1"/>
        <v>0</v>
      </c>
    </row>
    <row r="29" spans="2:8">
      <c r="B29" s="797" t="s">
        <v>1824</v>
      </c>
      <c r="C29" s="797"/>
      <c r="D29" s="796">
        <f>1*2</f>
        <v>2</v>
      </c>
      <c r="E29" s="964">
        <f>1.2*1*0.8*2.2</f>
        <v>2.1120000000000001</v>
      </c>
      <c r="F29" s="965">
        <f t="shared" si="0"/>
        <v>4.1120000000000001</v>
      </c>
      <c r="G29" s="969"/>
      <c r="H29" s="970">
        <f t="shared" si="1"/>
        <v>0</v>
      </c>
    </row>
    <row r="30" spans="2:8">
      <c r="B30" s="797" t="s">
        <v>1825</v>
      </c>
      <c r="C30" s="797"/>
      <c r="D30" s="796">
        <v>1.2</v>
      </c>
      <c r="E30" s="796">
        <f>0.225+0.085</f>
        <v>0.31</v>
      </c>
      <c r="F30" s="965">
        <f t="shared" si="0"/>
        <v>1.51</v>
      </c>
      <c r="G30" s="969"/>
      <c r="H30" s="970">
        <f t="shared" si="1"/>
        <v>0</v>
      </c>
    </row>
    <row r="31" spans="2:8">
      <c r="B31" s="797" t="s">
        <v>6033</v>
      </c>
      <c r="C31" s="797"/>
      <c r="D31" s="796">
        <v>1.2</v>
      </c>
      <c r="E31" s="964">
        <f>1.2*1.2*1*2.2</f>
        <v>3.1680000000000001</v>
      </c>
      <c r="F31" s="965">
        <f t="shared" si="0"/>
        <v>4.3680000000000003</v>
      </c>
      <c r="G31" s="969"/>
      <c r="H31" s="970">
        <f t="shared" si="1"/>
        <v>0</v>
      </c>
    </row>
    <row r="32" spans="2:8">
      <c r="B32" s="797" t="s">
        <v>6034</v>
      </c>
      <c r="C32" s="797"/>
      <c r="D32" s="796">
        <f>1.2*2</f>
        <v>2.4</v>
      </c>
      <c r="E32" s="964">
        <f>1.4*1.2*1*2.2</f>
        <v>3.6960000000000002</v>
      </c>
      <c r="F32" s="965">
        <f t="shared" si="0"/>
        <v>6.0960000000000001</v>
      </c>
      <c r="G32" s="969"/>
      <c r="H32" s="970">
        <f t="shared" si="1"/>
        <v>0</v>
      </c>
    </row>
    <row r="33" spans="1:9">
      <c r="B33" s="797" t="s">
        <v>6035</v>
      </c>
      <c r="C33" s="797"/>
      <c r="D33" s="796">
        <v>1.5</v>
      </c>
      <c r="E33" s="796">
        <f>0.225+0.085</f>
        <v>0.31</v>
      </c>
      <c r="F33" s="965">
        <f t="shared" si="0"/>
        <v>1.81</v>
      </c>
      <c r="G33" s="969"/>
      <c r="H33" s="970">
        <f t="shared" si="1"/>
        <v>0</v>
      </c>
    </row>
    <row r="34" spans="1:9">
      <c r="B34" s="797" t="s">
        <v>6036</v>
      </c>
      <c r="C34" s="797"/>
      <c r="D34" s="796">
        <v>1.5</v>
      </c>
      <c r="E34" s="964">
        <f>1.4*1.4*1*2.2</f>
        <v>4.3119999999999994</v>
      </c>
      <c r="F34" s="965">
        <f t="shared" si="0"/>
        <v>5.8119999999999994</v>
      </c>
      <c r="G34" s="969">
        <f>'II.1.5.nc+mtcTA'!D10</f>
        <v>18</v>
      </c>
      <c r="H34" s="970">
        <f t="shared" si="1"/>
        <v>104.61599999999999</v>
      </c>
    </row>
    <row r="35" spans="1:9">
      <c r="B35" s="797" t="s">
        <v>6037</v>
      </c>
      <c r="C35" s="797"/>
      <c r="D35" s="796">
        <f>1.5*2</f>
        <v>3</v>
      </c>
      <c r="E35" s="964">
        <f>1.6*1.4*1*2.2</f>
        <v>4.9279999999999999</v>
      </c>
      <c r="F35" s="965">
        <f t="shared" si="0"/>
        <v>7.9279999999999999</v>
      </c>
      <c r="G35" s="969">
        <f>'II.1.5.nc+mtcTA'!D11</f>
        <v>10</v>
      </c>
      <c r="H35" s="970">
        <f t="shared" si="1"/>
        <v>79.28</v>
      </c>
    </row>
    <row r="36" spans="1:9">
      <c r="B36" s="797" t="s">
        <v>4882</v>
      </c>
      <c r="C36" s="797"/>
      <c r="D36" s="796">
        <v>2</v>
      </c>
      <c r="E36" s="796">
        <f>0.335*2</f>
        <v>0.67</v>
      </c>
      <c r="F36" s="965">
        <f t="shared" si="0"/>
        <v>2.67</v>
      </c>
      <c r="G36" s="969"/>
      <c r="H36" s="970">
        <f t="shared" si="1"/>
        <v>0</v>
      </c>
    </row>
    <row r="37" spans="1:9">
      <c r="B37" s="797" t="s">
        <v>4883</v>
      </c>
      <c r="C37" s="797"/>
      <c r="D37" s="796">
        <v>2</v>
      </c>
      <c r="E37" s="964">
        <f>1.6*1.6*1.2*2.2</f>
        <v>6.7584000000000017</v>
      </c>
      <c r="F37" s="965">
        <f t="shared" si="0"/>
        <v>8.7584000000000017</v>
      </c>
      <c r="G37" s="969">
        <f>'II.1.5.nc+mtcTA'!D10</f>
        <v>18</v>
      </c>
      <c r="H37" s="970">
        <f t="shared" si="1"/>
        <v>157.65120000000002</v>
      </c>
    </row>
    <row r="38" spans="1:9">
      <c r="B38" s="797" t="s">
        <v>4587</v>
      </c>
      <c r="C38" s="797"/>
      <c r="D38" s="796">
        <f>2*2</f>
        <v>4</v>
      </c>
      <c r="E38" s="964">
        <f>1.8*1.6*1.2*2.2</f>
        <v>7.6032000000000011</v>
      </c>
      <c r="F38" s="965">
        <f t="shared" si="0"/>
        <v>11.603200000000001</v>
      </c>
      <c r="G38" s="969">
        <f>'II.1.5.nc+mtcTA'!D9</f>
        <v>2</v>
      </c>
      <c r="H38" s="970">
        <f t="shared" si="1"/>
        <v>23.206400000000002</v>
      </c>
    </row>
    <row r="39" spans="1:9">
      <c r="C39" s="35"/>
      <c r="D39" s="35"/>
      <c r="E39" s="35"/>
      <c r="F39" s="35"/>
      <c r="G39" s="35"/>
      <c r="H39" s="258"/>
    </row>
    <row r="40" spans="1:9">
      <c r="C40" s="35"/>
      <c r="D40" s="35"/>
      <c r="E40" s="35"/>
      <c r="F40" s="968" t="s">
        <v>4888</v>
      </c>
      <c r="G40" s="35"/>
      <c r="H40" s="971">
        <f>SUM(H24:H38)</f>
        <v>364.75360000000001</v>
      </c>
    </row>
    <row r="41" spans="1:9">
      <c r="B41" s="797" t="s">
        <v>5123</v>
      </c>
      <c r="C41" s="35"/>
      <c r="D41" s="35"/>
      <c r="E41" s="35"/>
      <c r="F41" s="35"/>
      <c r="G41" s="35"/>
      <c r="H41" s="258"/>
    </row>
    <row r="42" spans="1:9">
      <c r="B42" s="797" t="s">
        <v>5124</v>
      </c>
    </row>
    <row r="43" spans="1:9"/>
    <row r="44" spans="1:9"/>
    <row r="45" spans="1:9"/>
    <row r="46" spans="1:9"/>
    <row r="47" spans="1:9">
      <c r="A47" s="79" t="s">
        <v>3106</v>
      </c>
      <c r="B47" s="79"/>
      <c r="C47" s="79"/>
      <c r="D47" s="79"/>
      <c r="E47" s="79"/>
      <c r="F47" s="79"/>
      <c r="G47" s="79"/>
      <c r="H47" s="79"/>
      <c r="I47" s="79"/>
    </row>
    <row r="48" spans="1:9">
      <c r="B48" s="39"/>
      <c r="C48" s="39"/>
      <c r="D48" s="39"/>
      <c r="E48" s="39"/>
      <c r="F48" s="39"/>
      <c r="H48" s="10"/>
    </row>
    <row r="49" spans="1:9">
      <c r="A49" s="35"/>
      <c r="B49" s="80" t="s">
        <v>6345</v>
      </c>
      <c r="C49" s="80"/>
      <c r="D49" s="80"/>
      <c r="E49" s="80"/>
      <c r="F49" s="2092" t="s">
        <v>85</v>
      </c>
      <c r="G49" s="2092"/>
      <c r="H49" s="45" t="s">
        <v>2486</v>
      </c>
      <c r="I49" s="35"/>
    </row>
    <row r="50" spans="1:9">
      <c r="B50" s="46">
        <v>1</v>
      </c>
      <c r="C50" s="81" t="s">
        <v>3107</v>
      </c>
      <c r="D50" s="81" t="s">
        <v>3107</v>
      </c>
      <c r="E50" s="81"/>
      <c r="F50" s="81" t="s">
        <v>3107</v>
      </c>
      <c r="G50" s="84">
        <f>G7</f>
        <v>65</v>
      </c>
      <c r="H50" s="47"/>
    </row>
    <row r="51" spans="1:9">
      <c r="B51" s="46"/>
      <c r="C51" s="82">
        <v>1000000</v>
      </c>
      <c r="D51" s="82">
        <v>1000000</v>
      </c>
      <c r="E51" s="82"/>
      <c r="F51" s="82">
        <v>1000000</v>
      </c>
      <c r="G51" s="83"/>
      <c r="H51" s="48">
        <f>+F51*G51</f>
        <v>0</v>
      </c>
    </row>
    <row r="52" spans="1:9">
      <c r="B52" s="46">
        <f>1+B50</f>
        <v>2</v>
      </c>
      <c r="C52" s="783"/>
      <c r="D52" s="783"/>
      <c r="E52" s="783"/>
      <c r="F52" s="2093" t="s">
        <v>2319</v>
      </c>
      <c r="G52" s="2094"/>
      <c r="H52" s="48"/>
    </row>
    <row r="53" spans="1:9">
      <c r="B53" s="46"/>
      <c r="C53" s="82">
        <v>100000</v>
      </c>
      <c r="D53" s="82">
        <v>100000</v>
      </c>
      <c r="E53" s="82"/>
      <c r="F53" s="82">
        <v>100000</v>
      </c>
      <c r="G53" s="83"/>
      <c r="H53" s="48">
        <f>+F53*G53</f>
        <v>0</v>
      </c>
    </row>
    <row r="54" spans="1:9">
      <c r="B54" s="49"/>
      <c r="C54" s="49"/>
      <c r="D54" s="49"/>
      <c r="E54" s="49"/>
      <c r="F54" s="2091" t="s">
        <v>2320</v>
      </c>
      <c r="G54" s="2091"/>
      <c r="H54" s="50">
        <f>SUM(H51:H53)</f>
        <v>0</v>
      </c>
    </row>
    <row r="55" spans="1:9">
      <c r="C55" s="35"/>
      <c r="D55" s="35"/>
      <c r="E55" s="35"/>
      <c r="F55" s="35"/>
      <c r="G55" s="35"/>
      <c r="H55" s="258"/>
    </row>
    <row r="56" spans="1:9">
      <c r="C56" s="35"/>
      <c r="D56" s="35"/>
      <c r="E56" s="35"/>
      <c r="F56" s="35"/>
      <c r="G56" s="35"/>
      <c r="H56" s="258"/>
    </row>
    <row r="57" spans="1:9">
      <c r="C57" s="35"/>
      <c r="D57" s="35"/>
      <c r="E57" s="35"/>
      <c r="F57" s="35"/>
      <c r="G57" s="35"/>
      <c r="H57" s="258"/>
    </row>
    <row r="58" spans="1:9"/>
    <row r="59" spans="1:9"/>
    <row r="60" spans="1:9"/>
    <row r="61" spans="1:9"/>
    <row r="62" spans="1:9"/>
    <row r="63" spans="1:9"/>
    <row r="64" spans="1:9"/>
    <row r="65"/>
    <row r="66"/>
    <row r="67"/>
    <row r="68"/>
    <row r="69"/>
    <row r="70"/>
    <row r="71"/>
    <row r="72"/>
    <row r="73"/>
    <row r="74"/>
    <row r="75"/>
    <row r="76"/>
    <row r="77"/>
    <row r="78"/>
    <row r="79"/>
    <row r="80"/>
    <row r="81"/>
    <row r="82"/>
    <row r="83"/>
  </sheetData>
  <mergeCells count="10">
    <mergeCell ref="F54:G54"/>
    <mergeCell ref="F49:G49"/>
    <mergeCell ref="F52:G52"/>
    <mergeCell ref="E6:G6"/>
    <mergeCell ref="C6:D6"/>
    <mergeCell ref="C11:D11"/>
    <mergeCell ref="C7:D7"/>
    <mergeCell ref="C8:D8"/>
    <mergeCell ref="C9:D9"/>
    <mergeCell ref="C10:D10"/>
  </mergeCells>
  <phoneticPr fontId="75" type="noConversion"/>
  <printOptions horizontalCentered="1"/>
  <pageMargins left="0.19685039370078741" right="0.19685039370078741" top="0.59055118110236227" bottom="0.98425196850393704" header="0.19685039370078741" footer="0.19685039370078741"/>
  <pageSetup paperSize="9" scale="97" firstPageNumber="32" orientation="portrait" blackAndWhite="1" useFirstPageNumber="1"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L2101"/>
  <sheetViews>
    <sheetView showWhiteSpace="0" zoomScaleNormal="115" zoomScalePageLayoutView="115" workbookViewId="0">
      <selection activeCell="C1913" sqref="C1913"/>
    </sheetView>
  </sheetViews>
  <sheetFormatPr defaultColWidth="13.5" defaultRowHeight="12.75"/>
  <cols>
    <col min="1" max="1" width="12.83203125" style="329" customWidth="1"/>
    <col min="2" max="2" width="16.83203125" style="589" customWidth="1"/>
    <col min="3" max="3" width="46.1640625" style="329" customWidth="1"/>
    <col min="4" max="4" width="9.6640625" style="589" customWidth="1"/>
    <col min="5" max="6" width="22" style="589" customWidth="1"/>
    <col min="7" max="7" width="21.5" style="329" customWidth="1"/>
    <col min="8" max="8" width="28.83203125" style="329" customWidth="1"/>
    <col min="9" max="9" width="14.83203125" style="593" customWidth="1"/>
    <col min="10" max="10" width="16.1640625" style="30" customWidth="1"/>
    <col min="11" max="11" width="16.1640625" style="329" hidden="1" customWidth="1"/>
    <col min="12" max="12" width="14" style="329" hidden="1" customWidth="1"/>
    <col min="13" max="13" width="15.1640625" style="685" customWidth="1"/>
    <col min="14" max="14" width="14" style="593" customWidth="1"/>
    <col min="15" max="15" width="13.83203125" style="685" customWidth="1"/>
    <col min="16" max="16" width="21.83203125" style="685" customWidth="1"/>
    <col min="17" max="17" width="21.83203125" style="329" customWidth="1"/>
    <col min="18" max="18" width="4.1640625" style="329" customWidth="1"/>
    <col min="19" max="19" width="30.33203125" style="593" customWidth="1"/>
    <col min="20" max="24" width="13.5" style="329" customWidth="1"/>
    <col min="25" max="25" width="18.5" style="329" customWidth="1"/>
    <col min="26" max="26" width="14.33203125" style="589" customWidth="1"/>
    <col min="27" max="27" width="11.83203125" style="329" customWidth="1"/>
    <col min="28" max="30" width="16.1640625" style="329" bestFit="1" customWidth="1"/>
    <col min="31" max="16384" width="13.5" style="329"/>
  </cols>
  <sheetData>
    <row r="1" spans="1:30" ht="13.5" thickBot="1">
      <c r="A1" s="586" t="s">
        <v>1481</v>
      </c>
      <c r="B1" s="587"/>
      <c r="C1" s="588" t="s">
        <v>1482</v>
      </c>
      <c r="H1" s="589"/>
      <c r="I1" s="590" t="s">
        <v>1483</v>
      </c>
      <c r="J1" s="591" t="s">
        <v>1484</v>
      </c>
      <c r="K1" s="590" t="s">
        <v>1485</v>
      </c>
      <c r="L1" s="590" t="s">
        <v>1486</v>
      </c>
      <c r="M1" s="590" t="s">
        <v>1487</v>
      </c>
      <c r="N1" s="592" t="s">
        <v>1488</v>
      </c>
      <c r="O1" s="592" t="s">
        <v>1489</v>
      </c>
      <c r="P1" s="593" t="s">
        <v>1490</v>
      </c>
      <c r="Q1" s="594" t="s">
        <v>1491</v>
      </c>
      <c r="R1" s="595" t="s">
        <v>1492</v>
      </c>
      <c r="S1" s="595" t="s">
        <v>1493</v>
      </c>
      <c r="T1" s="594"/>
      <c r="U1" s="593"/>
      <c r="V1" s="329" t="s">
        <v>1494</v>
      </c>
      <c r="W1" s="329" t="s">
        <v>2428</v>
      </c>
      <c r="Z1" s="329"/>
      <c r="AB1" s="589"/>
    </row>
    <row r="2" spans="1:30" s="588" customFormat="1" ht="13.5" thickBot="1">
      <c r="A2" s="596" t="s">
        <v>6345</v>
      </c>
      <c r="B2" s="597" t="s">
        <v>2429</v>
      </c>
      <c r="C2" s="598" t="s">
        <v>3142</v>
      </c>
      <c r="D2" s="598" t="s">
        <v>3143</v>
      </c>
      <c r="E2" s="774" t="s">
        <v>5461</v>
      </c>
      <c r="H2" s="599">
        <v>39540</v>
      </c>
      <c r="I2" s="598"/>
      <c r="J2" s="600"/>
      <c r="K2" s="601"/>
      <c r="L2" s="598"/>
      <c r="M2" s="598"/>
      <c r="N2" s="602"/>
      <c r="O2" s="603"/>
      <c r="P2" s="604"/>
      <c r="Q2" s="605" t="s">
        <v>87</v>
      </c>
      <c r="R2" s="605" t="s">
        <v>87</v>
      </c>
      <c r="S2" s="606" t="s">
        <v>87</v>
      </c>
      <c r="T2" s="607"/>
      <c r="V2" s="608" t="s">
        <v>3144</v>
      </c>
      <c r="W2" s="609" t="s">
        <v>3144</v>
      </c>
      <c r="AB2" s="588" t="s">
        <v>3145</v>
      </c>
    </row>
    <row r="3" spans="1:30" ht="21.75" customHeight="1">
      <c r="A3" s="610" t="s">
        <v>3146</v>
      </c>
      <c r="B3" s="611"/>
      <c r="C3" s="612"/>
      <c r="D3" s="613"/>
      <c r="E3" s="614"/>
      <c r="H3" s="614"/>
      <c r="I3" s="615"/>
      <c r="J3" s="616"/>
      <c r="K3" s="617"/>
      <c r="L3" s="617"/>
      <c r="M3" s="617"/>
      <c r="N3" s="618"/>
      <c r="O3" s="617"/>
      <c r="P3" s="619"/>
      <c r="Q3" s="620"/>
      <c r="R3" s="620"/>
      <c r="S3" s="621"/>
      <c r="T3" s="622"/>
      <c r="V3" s="623"/>
      <c r="W3" s="624"/>
      <c r="X3" s="625"/>
      <c r="Y3" s="623"/>
      <c r="Z3" s="329"/>
      <c r="AB3" s="589"/>
      <c r="AC3" s="231"/>
    </row>
    <row r="4" spans="1:30" ht="16.5" hidden="1" customHeight="1">
      <c r="A4" s="329" t="s">
        <v>3147</v>
      </c>
      <c r="B4" s="626">
        <v>57657100</v>
      </c>
      <c r="C4" s="627" t="s">
        <v>1306</v>
      </c>
      <c r="D4" s="571" t="s">
        <v>1307</v>
      </c>
      <c r="H4" s="589"/>
      <c r="I4" s="589"/>
      <c r="K4" s="589"/>
      <c r="L4" s="589"/>
      <c r="M4" s="589"/>
      <c r="N4" s="589"/>
      <c r="O4" s="589"/>
      <c r="P4" s="589"/>
      <c r="Q4" s="589"/>
      <c r="R4" s="589"/>
      <c r="S4" s="589"/>
      <c r="T4" s="589"/>
      <c r="U4" s="589"/>
      <c r="V4" s="589"/>
      <c r="W4" s="589"/>
      <c r="X4" s="589"/>
      <c r="Y4" s="589"/>
      <c r="AA4" s="589"/>
      <c r="AB4" s="589"/>
      <c r="AC4" s="589"/>
      <c r="AD4" s="589"/>
    </row>
    <row r="5" spans="1:30" ht="16.5" hidden="1" customHeight="1">
      <c r="A5" s="329" t="s">
        <v>5308</v>
      </c>
      <c r="B5" s="626">
        <v>57657121</v>
      </c>
      <c r="C5" s="627" t="s">
        <v>579</v>
      </c>
      <c r="D5" s="571" t="s">
        <v>1307</v>
      </c>
      <c r="H5" s="589"/>
      <c r="I5" s="589"/>
      <c r="K5" s="589"/>
      <c r="L5" s="589"/>
      <c r="M5" s="589"/>
      <c r="N5" s="589"/>
      <c r="O5" s="589"/>
      <c r="P5" s="589"/>
      <c r="Q5" s="589"/>
      <c r="R5" s="589"/>
      <c r="S5" s="589"/>
      <c r="T5" s="589"/>
      <c r="U5" s="589"/>
      <c r="V5" s="589"/>
      <c r="W5" s="589"/>
      <c r="X5" s="589"/>
      <c r="Y5" s="589"/>
      <c r="AA5" s="589"/>
      <c r="AB5" s="589"/>
      <c r="AC5" s="589"/>
      <c r="AD5" s="589"/>
    </row>
    <row r="6" spans="1:30" ht="16.5" hidden="1" customHeight="1">
      <c r="A6" s="329" t="s">
        <v>580</v>
      </c>
      <c r="B6" s="626">
        <v>57657235</v>
      </c>
      <c r="C6" s="627" t="s">
        <v>2081</v>
      </c>
      <c r="D6" s="571" t="s">
        <v>1307</v>
      </c>
      <c r="H6" s="589"/>
      <c r="I6" s="589"/>
      <c r="K6" s="589"/>
      <c r="L6" s="589"/>
      <c r="M6" s="589"/>
      <c r="N6" s="589"/>
      <c r="O6" s="589"/>
      <c r="P6" s="589"/>
      <c r="Q6" s="589"/>
      <c r="R6" s="589"/>
      <c r="S6" s="589"/>
      <c r="T6" s="589"/>
      <c r="U6" s="589"/>
      <c r="V6" s="589"/>
      <c r="W6" s="589"/>
      <c r="X6" s="589"/>
      <c r="Y6" s="589"/>
      <c r="AA6" s="589"/>
      <c r="AB6" s="589"/>
      <c r="AC6" s="589"/>
      <c r="AD6" s="589"/>
    </row>
    <row r="7" spans="1:30" ht="16.5" hidden="1" customHeight="1">
      <c r="A7" s="329" t="s">
        <v>2082</v>
      </c>
      <c r="B7" s="626">
        <v>57657373</v>
      </c>
      <c r="C7" s="627" t="s">
        <v>2083</v>
      </c>
      <c r="D7" s="571" t="s">
        <v>1307</v>
      </c>
      <c r="H7" s="589"/>
      <c r="I7" s="589"/>
      <c r="K7" s="589"/>
      <c r="L7" s="589"/>
      <c r="M7" s="589"/>
      <c r="N7" s="589"/>
      <c r="O7" s="589"/>
      <c r="P7" s="589"/>
      <c r="Q7" s="589"/>
      <c r="R7" s="589"/>
      <c r="S7" s="589"/>
      <c r="T7" s="589"/>
      <c r="U7" s="589"/>
      <c r="V7" s="589"/>
      <c r="W7" s="589"/>
      <c r="X7" s="589"/>
      <c r="Y7" s="589"/>
      <c r="AA7" s="589"/>
      <c r="AB7" s="589"/>
      <c r="AC7" s="589"/>
      <c r="AD7" s="589"/>
    </row>
    <row r="8" spans="1:30" ht="16.5" hidden="1" customHeight="1">
      <c r="A8" s="329" t="s">
        <v>2084</v>
      </c>
      <c r="B8" s="626">
        <v>57657471</v>
      </c>
      <c r="C8" s="627" t="s">
        <v>1867</v>
      </c>
      <c r="D8" s="571" t="s">
        <v>1307</v>
      </c>
      <c r="H8" s="589"/>
      <c r="I8" s="589"/>
      <c r="K8" s="589"/>
      <c r="L8" s="589"/>
      <c r="M8" s="589"/>
      <c r="N8" s="589"/>
      <c r="O8" s="589"/>
      <c r="P8" s="589"/>
      <c r="Q8" s="589"/>
      <c r="R8" s="589"/>
      <c r="S8" s="589"/>
      <c r="T8" s="589"/>
      <c r="U8" s="589"/>
      <c r="V8" s="589"/>
      <c r="W8" s="589"/>
      <c r="X8" s="589"/>
      <c r="Y8" s="589"/>
      <c r="AA8" s="589"/>
      <c r="AB8" s="589"/>
      <c r="AC8" s="589"/>
      <c r="AD8" s="589"/>
    </row>
    <row r="9" spans="1:30" ht="16.5" hidden="1" customHeight="1">
      <c r="A9" s="329" t="s">
        <v>1868</v>
      </c>
      <c r="B9" s="626">
        <v>57657536</v>
      </c>
      <c r="C9" s="627" t="s">
        <v>159</v>
      </c>
      <c r="D9" s="571" t="s">
        <v>1307</v>
      </c>
      <c r="H9" s="589"/>
      <c r="I9" s="589"/>
      <c r="K9" s="589"/>
      <c r="L9" s="589"/>
      <c r="M9" s="589"/>
      <c r="N9" s="589"/>
      <c r="O9" s="589"/>
      <c r="P9" s="589"/>
      <c r="Q9" s="589"/>
      <c r="R9" s="589"/>
      <c r="S9" s="589"/>
      <c r="T9" s="589"/>
      <c r="U9" s="589"/>
      <c r="V9" s="589"/>
      <c r="W9" s="589"/>
      <c r="X9" s="589"/>
      <c r="Y9" s="589"/>
      <c r="AA9" s="589"/>
      <c r="AB9" s="589"/>
      <c r="AC9" s="589"/>
      <c r="AD9" s="589"/>
    </row>
    <row r="10" spans="1:30" ht="16.5" hidden="1" customHeight="1">
      <c r="A10" s="329" t="s">
        <v>1619</v>
      </c>
      <c r="B10" s="626">
        <v>57657537</v>
      </c>
      <c r="C10" s="627" t="s">
        <v>3176</v>
      </c>
      <c r="D10" s="571" t="s">
        <v>1307</v>
      </c>
      <c r="H10" s="589"/>
      <c r="I10" s="589"/>
      <c r="K10" s="589"/>
      <c r="L10" s="589"/>
      <c r="M10" s="589"/>
      <c r="N10" s="589"/>
      <c r="O10" s="589"/>
      <c r="P10" s="589"/>
      <c r="Q10" s="589"/>
      <c r="R10" s="589"/>
      <c r="S10" s="589"/>
      <c r="T10" s="589"/>
      <c r="U10" s="589"/>
      <c r="V10" s="589"/>
      <c r="W10" s="589"/>
      <c r="X10" s="589"/>
      <c r="Y10" s="589"/>
      <c r="AA10" s="589"/>
      <c r="AB10" s="589"/>
      <c r="AC10" s="589"/>
      <c r="AD10" s="589"/>
    </row>
    <row r="11" spans="1:30" ht="16.5" hidden="1" customHeight="1">
      <c r="B11" s="626"/>
      <c r="C11" s="627"/>
      <c r="D11" s="571"/>
      <c r="H11" s="589"/>
      <c r="I11" s="589"/>
      <c r="K11" s="589"/>
      <c r="L11" s="589"/>
      <c r="M11" s="589"/>
      <c r="N11" s="589"/>
      <c r="O11" s="589"/>
      <c r="P11" s="589"/>
      <c r="Q11" s="589"/>
      <c r="R11" s="589"/>
      <c r="S11" s="589"/>
      <c r="T11" s="589"/>
      <c r="U11" s="589"/>
      <c r="V11" s="589"/>
      <c r="W11" s="589"/>
      <c r="X11" s="589"/>
      <c r="Y11" s="589"/>
      <c r="AA11" s="589"/>
      <c r="AB11" s="589"/>
      <c r="AC11" s="589"/>
      <c r="AD11" s="589"/>
    </row>
    <row r="12" spans="1:30" ht="16.5" hidden="1" customHeight="1">
      <c r="A12" s="329" t="s">
        <v>3177</v>
      </c>
      <c r="B12" s="626"/>
      <c r="C12" s="628" t="s">
        <v>3178</v>
      </c>
      <c r="D12" s="629" t="s">
        <v>1307</v>
      </c>
      <c r="E12" s="630"/>
      <c r="H12" s="630"/>
      <c r="I12" s="589"/>
      <c r="K12" s="589"/>
      <c r="L12" s="589"/>
      <c r="M12" s="589"/>
      <c r="N12" s="589"/>
      <c r="O12" s="589"/>
      <c r="P12" s="589"/>
      <c r="Q12" s="589"/>
      <c r="R12" s="589"/>
      <c r="S12" s="589"/>
      <c r="T12" s="589"/>
      <c r="U12" s="589"/>
      <c r="V12" s="589"/>
      <c r="W12" s="589"/>
      <c r="X12" s="589"/>
      <c r="Y12" s="589"/>
      <c r="AA12" s="589"/>
      <c r="AB12" s="589"/>
      <c r="AC12" s="589"/>
      <c r="AD12" s="589"/>
    </row>
    <row r="13" spans="1:30" ht="16.5" hidden="1" customHeight="1">
      <c r="A13" s="329" t="s">
        <v>3179</v>
      </c>
      <c r="B13" s="626"/>
      <c r="C13" s="628" t="s">
        <v>3180</v>
      </c>
      <c r="D13" s="629" t="s">
        <v>1307</v>
      </c>
      <c r="E13" s="630"/>
      <c r="H13" s="630"/>
      <c r="I13" s="589"/>
      <c r="K13" s="589"/>
      <c r="L13" s="589"/>
      <c r="M13" s="589"/>
      <c r="N13" s="589"/>
      <c r="O13" s="589"/>
      <c r="P13" s="589"/>
      <c r="Q13" s="589"/>
      <c r="R13" s="589"/>
      <c r="S13" s="589"/>
      <c r="T13" s="589"/>
      <c r="U13" s="589"/>
      <c r="V13" s="589"/>
      <c r="W13" s="589"/>
      <c r="X13" s="589"/>
      <c r="Y13" s="589"/>
      <c r="AA13" s="589"/>
      <c r="AB13" s="589"/>
      <c r="AC13" s="589"/>
      <c r="AD13" s="589"/>
    </row>
    <row r="14" spans="1:30" ht="16.5" hidden="1" customHeight="1">
      <c r="A14" s="329" t="s">
        <v>3181</v>
      </c>
      <c r="B14" s="626"/>
      <c r="C14" s="628" t="s">
        <v>2863</v>
      </c>
      <c r="D14" s="629" t="s">
        <v>1307</v>
      </c>
      <c r="E14" s="630"/>
      <c r="H14" s="630"/>
      <c r="I14" s="589"/>
      <c r="K14" s="589"/>
      <c r="L14" s="589"/>
      <c r="M14" s="589"/>
      <c r="N14" s="589"/>
      <c r="O14" s="589"/>
      <c r="P14" s="589"/>
      <c r="Q14" s="589"/>
      <c r="R14" s="589"/>
      <c r="S14" s="589"/>
      <c r="T14" s="589"/>
      <c r="U14" s="589"/>
      <c r="V14" s="589"/>
      <c r="W14" s="589"/>
      <c r="X14" s="589"/>
      <c r="Y14" s="589"/>
      <c r="AA14" s="589"/>
      <c r="AB14" s="589"/>
      <c r="AC14" s="589"/>
      <c r="AD14" s="589"/>
    </row>
    <row r="15" spans="1:30" ht="16.5" hidden="1" customHeight="1">
      <c r="A15" s="329" t="s">
        <v>2864</v>
      </c>
      <c r="B15" s="626"/>
      <c r="C15" s="628" t="s">
        <v>2865</v>
      </c>
      <c r="D15" s="629" t="s">
        <v>1307</v>
      </c>
      <c r="E15" s="630"/>
      <c r="H15" s="630"/>
      <c r="I15" s="589"/>
      <c r="K15" s="589"/>
      <c r="L15" s="589"/>
      <c r="M15" s="589"/>
      <c r="N15" s="589"/>
      <c r="O15" s="589"/>
      <c r="P15" s="589"/>
      <c r="Q15" s="589"/>
      <c r="R15" s="589"/>
      <c r="S15" s="589"/>
      <c r="T15" s="589"/>
      <c r="U15" s="589"/>
      <c r="V15" s="589"/>
      <c r="W15" s="589"/>
      <c r="X15" s="589"/>
      <c r="Y15" s="589"/>
      <c r="AA15" s="589"/>
      <c r="AB15" s="589"/>
      <c r="AC15" s="589"/>
      <c r="AD15" s="589"/>
    </row>
    <row r="16" spans="1:30" ht="16.5" hidden="1" customHeight="1">
      <c r="A16" s="329" t="s">
        <v>2866</v>
      </c>
      <c r="B16" s="626">
        <v>57657620</v>
      </c>
      <c r="C16" s="627" t="s">
        <v>2867</v>
      </c>
      <c r="D16" s="571" t="s">
        <v>1307</v>
      </c>
      <c r="H16" s="589"/>
      <c r="I16" s="589"/>
      <c r="K16" s="589"/>
      <c r="L16" s="589"/>
      <c r="M16" s="589"/>
      <c r="N16" s="589"/>
      <c r="O16" s="589"/>
      <c r="P16" s="589"/>
      <c r="Q16" s="589"/>
      <c r="R16" s="589"/>
      <c r="S16" s="589"/>
      <c r="T16" s="589"/>
      <c r="U16" s="589"/>
      <c r="V16" s="589"/>
      <c r="W16" s="589"/>
      <c r="X16" s="589"/>
      <c r="Y16" s="589"/>
      <c r="AA16" s="589"/>
      <c r="AB16" s="589"/>
      <c r="AC16" s="589"/>
      <c r="AD16" s="589"/>
    </row>
    <row r="17" spans="1:30" ht="16.5" hidden="1" customHeight="1">
      <c r="A17" s="329" t="s">
        <v>2868</v>
      </c>
      <c r="B17" s="626">
        <v>57657720</v>
      </c>
      <c r="C17" s="627" t="s">
        <v>2869</v>
      </c>
      <c r="D17" s="571" t="s">
        <v>1307</v>
      </c>
      <c r="H17" s="589"/>
      <c r="I17" s="589"/>
      <c r="K17" s="589"/>
      <c r="L17" s="589"/>
      <c r="M17" s="589"/>
      <c r="N17" s="589"/>
      <c r="O17" s="589"/>
      <c r="P17" s="589"/>
      <c r="Q17" s="589"/>
      <c r="R17" s="589"/>
      <c r="S17" s="589"/>
      <c r="T17" s="589"/>
      <c r="U17" s="589"/>
      <c r="V17" s="589"/>
      <c r="W17" s="589"/>
      <c r="X17" s="589"/>
      <c r="Y17" s="589"/>
      <c r="AA17" s="589"/>
      <c r="AB17" s="589"/>
      <c r="AC17" s="589"/>
      <c r="AD17" s="589"/>
    </row>
    <row r="18" spans="1:30" ht="16.5" hidden="1" customHeight="1">
      <c r="A18" s="329" t="s">
        <v>2870</v>
      </c>
      <c r="B18" s="626">
        <v>57657820</v>
      </c>
      <c r="C18" s="627" t="s">
        <v>2871</v>
      </c>
      <c r="D18" s="571" t="s">
        <v>1307</v>
      </c>
      <c r="H18" s="589"/>
      <c r="I18" s="589"/>
      <c r="K18" s="589"/>
      <c r="L18" s="589"/>
      <c r="M18" s="589"/>
      <c r="N18" s="589"/>
      <c r="O18" s="589"/>
      <c r="P18" s="589"/>
      <c r="Q18" s="589"/>
      <c r="R18" s="589"/>
      <c r="S18" s="589"/>
      <c r="T18" s="589"/>
      <c r="U18" s="589"/>
      <c r="V18" s="589"/>
      <c r="W18" s="589"/>
      <c r="X18" s="589"/>
      <c r="Y18" s="589"/>
      <c r="AA18" s="589"/>
      <c r="AB18" s="589"/>
      <c r="AC18" s="589"/>
      <c r="AD18" s="589"/>
    </row>
    <row r="19" spans="1:30" ht="16.5" hidden="1" customHeight="1">
      <c r="A19" s="329" t="s">
        <v>2872</v>
      </c>
      <c r="B19" s="626">
        <v>57657850</v>
      </c>
      <c r="C19" s="627" t="s">
        <v>2873</v>
      </c>
      <c r="D19" s="571" t="s">
        <v>1307</v>
      </c>
      <c r="H19" s="589"/>
      <c r="I19" s="589"/>
      <c r="K19" s="589"/>
      <c r="L19" s="589"/>
      <c r="M19" s="589"/>
      <c r="N19" s="589"/>
      <c r="O19" s="589"/>
      <c r="P19" s="589"/>
      <c r="Q19" s="589"/>
      <c r="R19" s="589"/>
      <c r="S19" s="589"/>
      <c r="T19" s="589"/>
      <c r="U19" s="589"/>
      <c r="V19" s="589"/>
      <c r="W19" s="589"/>
      <c r="X19" s="589"/>
      <c r="Y19" s="589"/>
      <c r="AA19" s="589"/>
      <c r="AB19" s="589"/>
      <c r="AC19" s="589"/>
      <c r="AD19" s="589"/>
    </row>
    <row r="20" spans="1:30" ht="16.5" hidden="1" customHeight="1">
      <c r="A20" s="329" t="s">
        <v>2874</v>
      </c>
      <c r="B20" s="626">
        <v>57657376</v>
      </c>
      <c r="C20" s="627" t="s">
        <v>2875</v>
      </c>
      <c r="D20" s="571" t="s">
        <v>1307</v>
      </c>
      <c r="H20" s="589"/>
      <c r="I20" s="589"/>
      <c r="K20" s="589"/>
      <c r="L20" s="589"/>
      <c r="M20" s="589"/>
      <c r="N20" s="589"/>
      <c r="O20" s="589"/>
      <c r="P20" s="589"/>
      <c r="Q20" s="589"/>
      <c r="R20" s="589"/>
      <c r="S20" s="589"/>
      <c r="T20" s="589"/>
      <c r="U20" s="589"/>
      <c r="V20" s="589"/>
      <c r="W20" s="589"/>
      <c r="X20" s="589"/>
      <c r="Y20" s="589"/>
      <c r="AA20" s="589"/>
      <c r="AB20" s="589"/>
      <c r="AC20" s="589"/>
      <c r="AD20" s="589"/>
    </row>
    <row r="21" spans="1:30" ht="16.5" hidden="1" customHeight="1">
      <c r="A21" s="329" t="s">
        <v>2876</v>
      </c>
      <c r="B21" s="626">
        <v>57657852</v>
      </c>
      <c r="C21" s="627" t="s">
        <v>2877</v>
      </c>
      <c r="D21" s="571" t="s">
        <v>1307</v>
      </c>
      <c r="H21" s="589"/>
      <c r="I21" s="589"/>
      <c r="K21" s="589"/>
      <c r="L21" s="589"/>
      <c r="M21" s="589"/>
      <c r="N21" s="589"/>
      <c r="O21" s="589"/>
      <c r="P21" s="589"/>
      <c r="Q21" s="589"/>
      <c r="R21" s="589"/>
      <c r="S21" s="589"/>
      <c r="T21" s="589"/>
      <c r="U21" s="589"/>
      <c r="V21" s="589"/>
      <c r="W21" s="589"/>
      <c r="X21" s="589"/>
      <c r="Y21" s="589"/>
      <c r="AA21" s="589"/>
      <c r="AB21" s="589"/>
      <c r="AC21" s="589"/>
      <c r="AD21" s="589"/>
    </row>
    <row r="22" spans="1:30" ht="16.5" hidden="1" customHeight="1">
      <c r="A22" s="329" t="s">
        <v>2878</v>
      </c>
      <c r="B22" s="626">
        <v>57657750</v>
      </c>
      <c r="C22" s="627" t="s">
        <v>5406</v>
      </c>
      <c r="D22" s="571" t="s">
        <v>1307</v>
      </c>
      <c r="H22" s="589"/>
      <c r="I22" s="589"/>
      <c r="K22" s="589"/>
      <c r="L22" s="589"/>
      <c r="M22" s="589"/>
      <c r="N22" s="589"/>
      <c r="O22" s="589"/>
      <c r="P22" s="589"/>
      <c r="Q22" s="589"/>
      <c r="R22" s="589"/>
      <c r="S22" s="589"/>
      <c r="T22" s="589"/>
      <c r="U22" s="589"/>
      <c r="V22" s="589"/>
      <c r="W22" s="589"/>
      <c r="X22" s="589"/>
      <c r="Y22" s="589"/>
      <c r="AA22" s="589"/>
      <c r="AB22" s="589"/>
      <c r="AC22" s="589"/>
      <c r="AD22" s="589"/>
    </row>
    <row r="23" spans="1:30" ht="16.5" hidden="1" customHeight="1">
      <c r="A23" s="329" t="s">
        <v>5407</v>
      </c>
      <c r="B23" s="626">
        <v>0</v>
      </c>
      <c r="C23" s="627" t="s">
        <v>5408</v>
      </c>
      <c r="D23" s="571" t="s">
        <v>1307</v>
      </c>
      <c r="H23" s="589"/>
      <c r="I23" s="589"/>
      <c r="K23" s="589"/>
      <c r="L23" s="589"/>
      <c r="M23" s="589"/>
      <c r="N23" s="589"/>
      <c r="O23" s="589"/>
      <c r="P23" s="589"/>
      <c r="Q23" s="589"/>
      <c r="R23" s="589"/>
      <c r="S23" s="589"/>
      <c r="T23" s="589"/>
      <c r="U23" s="589"/>
      <c r="V23" s="589"/>
      <c r="W23" s="589"/>
      <c r="X23" s="589"/>
      <c r="Y23" s="589"/>
      <c r="AA23" s="589"/>
      <c r="AB23" s="589"/>
      <c r="AC23" s="589"/>
      <c r="AD23" s="589"/>
    </row>
    <row r="24" spans="1:30" ht="16.5" hidden="1" customHeight="1">
      <c r="A24" s="329" t="s">
        <v>5409</v>
      </c>
      <c r="B24" s="626">
        <v>57657860</v>
      </c>
      <c r="C24" s="627" t="s">
        <v>5410</v>
      </c>
      <c r="D24" s="571" t="s">
        <v>1307</v>
      </c>
      <c r="H24" s="589"/>
      <c r="I24" s="589"/>
      <c r="K24" s="589"/>
      <c r="L24" s="589"/>
      <c r="M24" s="589"/>
      <c r="N24" s="589"/>
      <c r="O24" s="589"/>
      <c r="P24" s="589"/>
      <c r="Q24" s="589"/>
      <c r="R24" s="589"/>
      <c r="S24" s="589"/>
      <c r="T24" s="589"/>
      <c r="U24" s="589"/>
      <c r="V24" s="589"/>
      <c r="W24" s="589"/>
      <c r="X24" s="589"/>
      <c r="Y24" s="589"/>
      <c r="AA24" s="589"/>
      <c r="AB24" s="589"/>
      <c r="AC24" s="589"/>
      <c r="AD24" s="589"/>
    </row>
    <row r="25" spans="1:30" ht="16.5" hidden="1" customHeight="1">
      <c r="A25" s="329" t="s">
        <v>5411</v>
      </c>
      <c r="B25" s="626">
        <v>0</v>
      </c>
      <c r="C25" s="627" t="s">
        <v>2061</v>
      </c>
      <c r="D25" s="571" t="s">
        <v>1307</v>
      </c>
      <c r="H25" s="589"/>
      <c r="I25" s="589"/>
      <c r="K25" s="589"/>
      <c r="L25" s="589"/>
      <c r="M25" s="589"/>
      <c r="N25" s="589"/>
      <c r="O25" s="589"/>
      <c r="P25" s="589"/>
      <c r="Q25" s="589"/>
      <c r="R25" s="589"/>
      <c r="S25" s="589"/>
      <c r="T25" s="589"/>
      <c r="U25" s="589"/>
      <c r="V25" s="589"/>
      <c r="W25" s="589"/>
      <c r="X25" s="589"/>
      <c r="Y25" s="589"/>
      <c r="AA25" s="589"/>
      <c r="AB25" s="589"/>
      <c r="AC25" s="589"/>
      <c r="AD25" s="589"/>
    </row>
    <row r="26" spans="1:30" ht="16.5" hidden="1" customHeight="1">
      <c r="A26" s="329" t="s">
        <v>2062</v>
      </c>
      <c r="B26" s="626">
        <v>0</v>
      </c>
      <c r="C26" s="628" t="s">
        <v>2063</v>
      </c>
      <c r="D26" s="571" t="s">
        <v>1307</v>
      </c>
      <c r="H26" s="589"/>
      <c r="I26" s="589"/>
      <c r="K26" s="589"/>
      <c r="L26" s="589"/>
      <c r="M26" s="589"/>
      <c r="N26" s="589"/>
      <c r="O26" s="589"/>
      <c r="P26" s="589"/>
      <c r="Q26" s="589"/>
      <c r="R26" s="589"/>
      <c r="S26" s="589"/>
      <c r="T26" s="589"/>
      <c r="U26" s="589"/>
      <c r="V26" s="589"/>
      <c r="W26" s="589"/>
      <c r="X26" s="589"/>
      <c r="Y26" s="589"/>
      <c r="AA26" s="589"/>
      <c r="AB26" s="589"/>
      <c r="AC26" s="589"/>
      <c r="AD26" s="589"/>
    </row>
    <row r="27" spans="1:30" ht="16.5" hidden="1" customHeight="1">
      <c r="A27" s="329" t="s">
        <v>2064</v>
      </c>
      <c r="B27" s="626">
        <v>0</v>
      </c>
      <c r="C27" s="628" t="s">
        <v>2065</v>
      </c>
      <c r="D27" s="629" t="s">
        <v>1307</v>
      </c>
      <c r="E27" s="630"/>
      <c r="H27" s="630"/>
      <c r="I27" s="589"/>
      <c r="K27" s="589"/>
      <c r="L27" s="589"/>
      <c r="M27" s="589"/>
      <c r="N27" s="589"/>
      <c r="O27" s="589"/>
      <c r="P27" s="589"/>
      <c r="Q27" s="589"/>
      <c r="R27" s="589"/>
      <c r="S27" s="589"/>
      <c r="T27" s="589"/>
      <c r="U27" s="589"/>
      <c r="V27" s="589"/>
      <c r="W27" s="589"/>
      <c r="X27" s="589"/>
      <c r="Y27" s="589"/>
      <c r="AA27" s="589"/>
      <c r="AB27" s="589"/>
      <c r="AC27" s="589"/>
      <c r="AD27" s="589"/>
    </row>
    <row r="28" spans="1:30" ht="16.5" hidden="1" customHeight="1">
      <c r="A28" s="329" t="s">
        <v>2066</v>
      </c>
      <c r="B28" s="626">
        <v>0</v>
      </c>
      <c r="C28" s="627" t="s">
        <v>2226</v>
      </c>
      <c r="D28" s="571" t="s">
        <v>1307</v>
      </c>
      <c r="E28" s="630"/>
      <c r="H28" s="630"/>
      <c r="I28" s="589"/>
      <c r="K28" s="589"/>
      <c r="L28" s="589"/>
      <c r="M28" s="589"/>
      <c r="N28" s="589"/>
      <c r="O28" s="589"/>
      <c r="P28" s="589"/>
      <c r="Q28" s="589"/>
      <c r="R28" s="589"/>
      <c r="S28" s="589"/>
      <c r="T28" s="589"/>
      <c r="U28" s="589"/>
      <c r="V28" s="589"/>
      <c r="W28" s="589"/>
      <c r="X28" s="589"/>
      <c r="Y28" s="589"/>
      <c r="AA28" s="589"/>
      <c r="AB28" s="589"/>
      <c r="AC28" s="589"/>
      <c r="AD28" s="589"/>
    </row>
    <row r="29" spans="1:30" ht="16.5" hidden="1" customHeight="1">
      <c r="B29" s="626"/>
      <c r="C29" s="628"/>
      <c r="D29" s="629"/>
      <c r="E29" s="631"/>
      <c r="H29" s="631"/>
      <c r="I29" s="589"/>
      <c r="K29" s="589"/>
      <c r="L29" s="589"/>
      <c r="M29" s="589"/>
      <c r="N29" s="589"/>
      <c r="O29" s="589"/>
      <c r="P29" s="589"/>
      <c r="Q29" s="589"/>
      <c r="R29" s="589"/>
      <c r="S29" s="589"/>
      <c r="T29" s="589"/>
      <c r="U29" s="589"/>
      <c r="V29" s="589"/>
      <c r="W29" s="589"/>
      <c r="X29" s="589"/>
      <c r="Y29" s="589"/>
      <c r="AA29" s="589"/>
      <c r="AB29" s="589"/>
      <c r="AC29" s="589"/>
      <c r="AD29" s="589"/>
    </row>
    <row r="30" spans="1:30">
      <c r="A30" s="329" t="s">
        <v>2227</v>
      </c>
      <c r="B30" s="626">
        <v>0</v>
      </c>
      <c r="C30" s="627" t="s">
        <v>2228</v>
      </c>
      <c r="D30" s="571" t="s">
        <v>1307</v>
      </c>
      <c r="E30" s="631"/>
      <c r="H30" s="631"/>
      <c r="I30" s="589"/>
      <c r="K30" s="589"/>
      <c r="L30" s="589"/>
      <c r="M30" s="589"/>
      <c r="N30" s="589"/>
      <c r="O30" s="589"/>
      <c r="P30" s="589"/>
      <c r="Q30" s="589"/>
      <c r="R30" s="589"/>
      <c r="S30" s="589"/>
      <c r="T30" s="589"/>
      <c r="U30" s="589"/>
      <c r="V30" s="589"/>
      <c r="W30" s="589"/>
      <c r="X30" s="589"/>
      <c r="Y30" s="589"/>
      <c r="AA30" s="589"/>
      <c r="AB30" s="589"/>
      <c r="AC30" s="589"/>
      <c r="AD30" s="589"/>
    </row>
    <row r="31" spans="1:30">
      <c r="A31" s="329" t="s">
        <v>2229</v>
      </c>
      <c r="B31" s="626">
        <v>0</v>
      </c>
      <c r="C31" s="627" t="s">
        <v>2230</v>
      </c>
      <c r="D31" s="571" t="s">
        <v>1307</v>
      </c>
      <c r="E31" s="632">
        <v>26716000</v>
      </c>
      <c r="H31" s="632">
        <v>19547000</v>
      </c>
      <c r="I31" s="589">
        <f t="shared" ref="I31:I94" si="0">IF(E31=H31,0,1)</f>
        <v>1</v>
      </c>
      <c r="K31" s="589"/>
      <c r="L31" s="589"/>
      <c r="M31" s="589"/>
      <c r="N31" s="589"/>
      <c r="O31" s="589"/>
      <c r="P31" s="589"/>
      <c r="Q31" s="589"/>
      <c r="R31" s="589"/>
      <c r="S31" s="589"/>
      <c r="T31" s="589"/>
      <c r="U31" s="589"/>
      <c r="V31" s="589"/>
      <c r="W31" s="589"/>
      <c r="X31" s="589"/>
      <c r="Y31" s="589"/>
      <c r="AA31" s="589"/>
      <c r="AB31" s="589"/>
      <c r="AC31" s="589"/>
      <c r="AD31" s="589"/>
    </row>
    <row r="32" spans="1:30">
      <c r="A32" s="329" t="s">
        <v>5698</v>
      </c>
      <c r="B32" s="626">
        <v>0</v>
      </c>
      <c r="C32" s="627" t="s">
        <v>4604</v>
      </c>
      <c r="D32" s="571" t="s">
        <v>1307</v>
      </c>
      <c r="E32" s="632">
        <v>34219000</v>
      </c>
      <c r="H32" s="632">
        <v>25037000</v>
      </c>
      <c r="I32" s="589">
        <f t="shared" si="0"/>
        <v>1</v>
      </c>
      <c r="K32" s="589"/>
      <c r="L32" s="589"/>
      <c r="M32" s="589"/>
      <c r="N32" s="589"/>
      <c r="O32" s="589"/>
      <c r="P32" s="589"/>
      <c r="Q32" s="589"/>
      <c r="R32" s="589"/>
      <c r="S32" s="589"/>
      <c r="T32" s="589"/>
      <c r="U32" s="589"/>
      <c r="V32" s="589"/>
      <c r="W32" s="589"/>
      <c r="X32" s="589"/>
      <c r="Y32" s="589"/>
      <c r="AA32" s="589"/>
      <c r="AB32" s="589"/>
      <c r="AC32" s="589"/>
      <c r="AD32" s="589"/>
    </row>
    <row r="33" spans="1:30">
      <c r="A33" s="329" t="s">
        <v>4605</v>
      </c>
      <c r="B33" s="626">
        <v>0</v>
      </c>
      <c r="C33" s="627" t="s">
        <v>4900</v>
      </c>
      <c r="D33" s="571" t="s">
        <v>1307</v>
      </c>
      <c r="E33" s="632">
        <v>42677000</v>
      </c>
      <c r="H33" s="632">
        <v>31225000</v>
      </c>
      <c r="I33" s="589">
        <f t="shared" si="0"/>
        <v>1</v>
      </c>
      <c r="K33" s="589"/>
      <c r="L33" s="589"/>
      <c r="M33" s="589"/>
      <c r="N33" s="589"/>
      <c r="O33" s="589"/>
      <c r="P33" s="589"/>
      <c r="Q33" s="589"/>
      <c r="R33" s="589"/>
      <c r="S33" s="589"/>
      <c r="T33" s="589"/>
      <c r="U33" s="589"/>
      <c r="V33" s="589"/>
      <c r="W33" s="589"/>
      <c r="X33" s="589"/>
      <c r="Y33" s="589"/>
      <c r="AA33" s="589"/>
      <c r="AB33" s="589"/>
      <c r="AC33" s="589"/>
      <c r="AD33" s="589"/>
    </row>
    <row r="34" spans="1:30">
      <c r="A34" s="329" t="s">
        <v>4901</v>
      </c>
      <c r="B34" s="626">
        <v>0</v>
      </c>
      <c r="C34" s="627" t="s">
        <v>6019</v>
      </c>
      <c r="D34" s="571" t="s">
        <v>1307</v>
      </c>
      <c r="E34" s="632">
        <v>50367000</v>
      </c>
      <c r="H34" s="632">
        <v>36851000</v>
      </c>
      <c r="I34" s="589">
        <f t="shared" si="0"/>
        <v>1</v>
      </c>
      <c r="K34" s="589"/>
      <c r="L34" s="589"/>
      <c r="M34" s="589"/>
      <c r="N34" s="589"/>
      <c r="O34" s="589"/>
      <c r="P34" s="589"/>
      <c r="Q34" s="589"/>
      <c r="R34" s="589"/>
      <c r="S34" s="589"/>
      <c r="T34" s="589"/>
      <c r="U34" s="589"/>
      <c r="V34" s="589"/>
      <c r="W34" s="589"/>
      <c r="X34" s="589"/>
      <c r="Y34" s="589"/>
      <c r="AA34" s="589"/>
      <c r="AB34" s="589"/>
      <c r="AC34" s="589"/>
      <c r="AD34" s="589"/>
    </row>
    <row r="35" spans="1:30">
      <c r="A35" s="329" t="s">
        <v>6020</v>
      </c>
      <c r="B35" s="626">
        <v>0</v>
      </c>
      <c r="C35" s="627" t="s">
        <v>846</v>
      </c>
      <c r="D35" s="571" t="s">
        <v>1307</v>
      </c>
      <c r="E35" s="632">
        <v>66517000</v>
      </c>
      <c r="H35" s="632">
        <v>48667000</v>
      </c>
      <c r="I35" s="589">
        <f t="shared" si="0"/>
        <v>1</v>
      </c>
      <c r="K35" s="589"/>
      <c r="L35" s="589"/>
      <c r="M35" s="589"/>
      <c r="N35" s="589"/>
      <c r="O35" s="589"/>
      <c r="P35" s="589"/>
      <c r="Q35" s="589"/>
      <c r="R35" s="589"/>
      <c r="S35" s="589"/>
      <c r="T35" s="589"/>
      <c r="U35" s="589"/>
      <c r="V35" s="589"/>
      <c r="W35" s="589"/>
      <c r="X35" s="589"/>
      <c r="Y35" s="589"/>
      <c r="AA35" s="589"/>
      <c r="AB35" s="589"/>
      <c r="AC35" s="589"/>
      <c r="AD35" s="589"/>
    </row>
    <row r="36" spans="1:30">
      <c r="A36" s="329" t="s">
        <v>847</v>
      </c>
      <c r="B36" s="626">
        <v>0</v>
      </c>
      <c r="C36" s="627" t="s">
        <v>848</v>
      </c>
      <c r="D36" s="571" t="s">
        <v>1307</v>
      </c>
      <c r="E36" s="632">
        <v>78818000</v>
      </c>
      <c r="H36" s="633"/>
      <c r="I36" s="589">
        <f t="shared" si="0"/>
        <v>1</v>
      </c>
      <c r="K36" s="589"/>
      <c r="L36" s="589"/>
      <c r="M36" s="589"/>
      <c r="N36" s="589"/>
      <c r="O36" s="589"/>
      <c r="P36" s="589"/>
      <c r="Q36" s="589"/>
      <c r="R36" s="589"/>
      <c r="S36" s="589"/>
      <c r="T36" s="589"/>
      <c r="U36" s="589"/>
      <c r="V36" s="589"/>
      <c r="W36" s="589"/>
      <c r="X36" s="589"/>
      <c r="Y36" s="589"/>
      <c r="AA36" s="589"/>
      <c r="AB36" s="589"/>
      <c r="AC36" s="589"/>
      <c r="AD36" s="589"/>
    </row>
    <row r="37" spans="1:30">
      <c r="B37" s="626"/>
      <c r="C37" s="627"/>
      <c r="D37" s="571"/>
      <c r="E37" s="633"/>
      <c r="H37" s="633"/>
      <c r="I37" s="589">
        <f t="shared" si="0"/>
        <v>0</v>
      </c>
      <c r="K37" s="589"/>
      <c r="L37" s="589"/>
      <c r="M37" s="589"/>
      <c r="N37" s="589"/>
      <c r="O37" s="589"/>
      <c r="P37" s="589"/>
      <c r="Q37" s="589"/>
      <c r="R37" s="589"/>
      <c r="S37" s="589"/>
      <c r="T37" s="589"/>
      <c r="U37" s="589"/>
      <c r="V37" s="589"/>
      <c r="W37" s="589"/>
      <c r="X37" s="589"/>
      <c r="Y37" s="589"/>
      <c r="AA37" s="589"/>
      <c r="AB37" s="589"/>
      <c r="AC37" s="589"/>
      <c r="AD37" s="589"/>
    </row>
    <row r="38" spans="1:30">
      <c r="A38" s="329" t="s">
        <v>849</v>
      </c>
      <c r="B38" s="626">
        <v>0</v>
      </c>
      <c r="C38" s="628" t="s">
        <v>850</v>
      </c>
      <c r="D38" s="629" t="s">
        <v>1307</v>
      </c>
      <c r="E38" s="633"/>
      <c r="H38" s="633"/>
      <c r="I38" s="589">
        <f t="shared" si="0"/>
        <v>0</v>
      </c>
      <c r="K38" s="589"/>
      <c r="L38" s="589"/>
      <c r="M38" s="589"/>
      <c r="N38" s="589"/>
      <c r="O38" s="589"/>
      <c r="P38" s="589"/>
      <c r="Q38" s="589"/>
      <c r="R38" s="589"/>
      <c r="S38" s="589"/>
      <c r="T38" s="589"/>
      <c r="U38" s="589"/>
      <c r="V38" s="589"/>
      <c r="W38" s="589"/>
      <c r="X38" s="589"/>
      <c r="Y38" s="589"/>
      <c r="AA38" s="589"/>
      <c r="AB38" s="589"/>
      <c r="AC38" s="589"/>
      <c r="AD38" s="589"/>
    </row>
    <row r="39" spans="1:30">
      <c r="A39" s="329" t="s">
        <v>851</v>
      </c>
      <c r="B39" s="626">
        <v>0</v>
      </c>
      <c r="C39" s="628" t="s">
        <v>852</v>
      </c>
      <c r="D39" s="629" t="s">
        <v>1307</v>
      </c>
      <c r="E39" s="633"/>
      <c r="H39" s="633"/>
      <c r="I39" s="589">
        <f t="shared" si="0"/>
        <v>0</v>
      </c>
      <c r="K39" s="589"/>
      <c r="L39" s="589"/>
      <c r="M39" s="589"/>
      <c r="N39" s="589"/>
      <c r="O39" s="589"/>
      <c r="P39" s="589"/>
      <c r="Q39" s="589"/>
      <c r="R39" s="589"/>
      <c r="S39" s="589"/>
      <c r="T39" s="589"/>
      <c r="U39" s="589"/>
      <c r="V39" s="589"/>
      <c r="W39" s="589"/>
      <c r="X39" s="589"/>
      <c r="Y39" s="589"/>
      <c r="AA39" s="589"/>
      <c r="AB39" s="589"/>
      <c r="AC39" s="589"/>
      <c r="AD39" s="589"/>
    </row>
    <row r="40" spans="1:30">
      <c r="A40" s="329" t="s">
        <v>853</v>
      </c>
      <c r="B40" s="626">
        <v>0</v>
      </c>
      <c r="C40" s="628" t="s">
        <v>854</v>
      </c>
      <c r="D40" s="629" t="s">
        <v>1307</v>
      </c>
      <c r="E40" s="632">
        <v>120253000</v>
      </c>
      <c r="H40" s="632">
        <v>87983000</v>
      </c>
      <c r="I40" s="589">
        <f t="shared" si="0"/>
        <v>1</v>
      </c>
      <c r="K40" s="589"/>
      <c r="L40" s="589"/>
      <c r="M40" s="589"/>
      <c r="N40" s="589"/>
      <c r="O40" s="589"/>
      <c r="P40" s="589"/>
      <c r="Q40" s="589"/>
      <c r="R40" s="589"/>
      <c r="S40" s="589"/>
      <c r="T40" s="589"/>
      <c r="U40" s="589"/>
      <c r="V40" s="589"/>
      <c r="W40" s="589"/>
      <c r="X40" s="589"/>
      <c r="Y40" s="589"/>
      <c r="AA40" s="589"/>
      <c r="AB40" s="589"/>
      <c r="AC40" s="589"/>
      <c r="AD40" s="589"/>
    </row>
    <row r="41" spans="1:30">
      <c r="A41" s="329" t="s">
        <v>1907</v>
      </c>
      <c r="B41" s="626">
        <v>0</v>
      </c>
      <c r="C41" s="628" t="s">
        <v>5872</v>
      </c>
      <c r="D41" s="629" t="s">
        <v>1307</v>
      </c>
      <c r="E41" s="632">
        <v>138207000</v>
      </c>
      <c r="H41" s="632">
        <v>101120000</v>
      </c>
      <c r="I41" s="589">
        <f t="shared" si="0"/>
        <v>1</v>
      </c>
      <c r="K41" s="589"/>
      <c r="L41" s="589"/>
      <c r="M41" s="589"/>
      <c r="N41" s="589"/>
      <c r="O41" s="589"/>
      <c r="P41" s="589"/>
      <c r="Q41" s="589"/>
      <c r="R41" s="589"/>
      <c r="S41" s="589"/>
      <c r="T41" s="589"/>
      <c r="U41" s="589"/>
      <c r="V41" s="589"/>
      <c r="W41" s="589"/>
      <c r="X41" s="589"/>
      <c r="Y41" s="589"/>
      <c r="AA41" s="589"/>
      <c r="AB41" s="589"/>
      <c r="AC41" s="589"/>
      <c r="AD41" s="589"/>
    </row>
    <row r="42" spans="1:30">
      <c r="A42" s="329" t="s">
        <v>5873</v>
      </c>
      <c r="B42" s="626">
        <v>0</v>
      </c>
      <c r="C42" s="627" t="s">
        <v>5874</v>
      </c>
      <c r="D42" s="571" t="s">
        <v>1307</v>
      </c>
      <c r="E42" s="632">
        <v>155494000</v>
      </c>
      <c r="H42" s="632">
        <v>113767000</v>
      </c>
      <c r="I42" s="589">
        <f t="shared" si="0"/>
        <v>1</v>
      </c>
      <c r="K42" s="589"/>
      <c r="L42" s="589"/>
      <c r="M42" s="589"/>
      <c r="N42" s="589"/>
      <c r="O42" s="589"/>
      <c r="P42" s="589"/>
      <c r="Q42" s="589"/>
      <c r="R42" s="589"/>
      <c r="S42" s="589"/>
      <c r="T42" s="589"/>
      <c r="U42" s="589"/>
      <c r="V42" s="589"/>
      <c r="W42" s="589"/>
      <c r="X42" s="589"/>
      <c r="Y42" s="589"/>
      <c r="AA42" s="589"/>
      <c r="AB42" s="589"/>
      <c r="AC42" s="589"/>
      <c r="AD42" s="589"/>
    </row>
    <row r="43" spans="1:30">
      <c r="A43" s="329" t="s">
        <v>5875</v>
      </c>
      <c r="B43" s="626">
        <v>0</v>
      </c>
      <c r="C43" s="627" t="s">
        <v>5876</v>
      </c>
      <c r="D43" s="571" t="s">
        <v>1307</v>
      </c>
      <c r="E43" s="632">
        <v>198599000</v>
      </c>
      <c r="H43" s="632">
        <v>139251000</v>
      </c>
      <c r="I43" s="589">
        <f t="shared" si="0"/>
        <v>1</v>
      </c>
      <c r="K43" s="589"/>
      <c r="L43" s="589"/>
      <c r="M43" s="589"/>
      <c r="N43" s="589"/>
      <c r="O43" s="589"/>
      <c r="P43" s="589"/>
      <c r="Q43" s="589"/>
      <c r="R43" s="589"/>
      <c r="S43" s="589"/>
      <c r="T43" s="589"/>
      <c r="U43" s="589"/>
      <c r="V43" s="589"/>
      <c r="W43" s="589"/>
      <c r="X43" s="589"/>
      <c r="Y43" s="589"/>
      <c r="AA43" s="589"/>
      <c r="AB43" s="589"/>
      <c r="AC43" s="589"/>
      <c r="AD43" s="589"/>
    </row>
    <row r="44" spans="1:30">
      <c r="A44" s="329" t="s">
        <v>5877</v>
      </c>
      <c r="B44" s="626">
        <v>0</v>
      </c>
      <c r="C44" s="627" t="s">
        <v>5878</v>
      </c>
      <c r="D44" s="571" t="s">
        <v>1307</v>
      </c>
      <c r="E44" s="632">
        <v>239671000</v>
      </c>
      <c r="H44" s="632">
        <v>175355000</v>
      </c>
      <c r="I44" s="589">
        <f t="shared" si="0"/>
        <v>1</v>
      </c>
      <c r="K44" s="589"/>
      <c r="L44" s="589"/>
      <c r="M44" s="589"/>
      <c r="N44" s="589"/>
      <c r="O44" s="589"/>
      <c r="P44" s="589"/>
      <c r="Q44" s="589"/>
      <c r="R44" s="589"/>
      <c r="S44" s="589"/>
      <c r="T44" s="589"/>
      <c r="U44" s="589"/>
      <c r="V44" s="589"/>
      <c r="W44" s="589"/>
      <c r="X44" s="589"/>
      <c r="Y44" s="589"/>
      <c r="AA44" s="589"/>
      <c r="AB44" s="589"/>
      <c r="AC44" s="589"/>
      <c r="AD44" s="589"/>
    </row>
    <row r="45" spans="1:30">
      <c r="A45" s="329" t="s">
        <v>5879</v>
      </c>
      <c r="B45" s="626">
        <v>0</v>
      </c>
      <c r="C45" s="627" t="s">
        <v>4784</v>
      </c>
      <c r="D45" s="571" t="s">
        <v>1307</v>
      </c>
      <c r="E45" s="632">
        <v>279934000</v>
      </c>
      <c r="H45" s="632">
        <v>195061000</v>
      </c>
      <c r="I45" s="589">
        <f t="shared" si="0"/>
        <v>1</v>
      </c>
      <c r="K45" s="589"/>
      <c r="L45" s="589"/>
      <c r="M45" s="589"/>
      <c r="N45" s="589"/>
      <c r="O45" s="589"/>
      <c r="P45" s="589"/>
      <c r="Q45" s="589"/>
      <c r="R45" s="589"/>
      <c r="S45" s="589"/>
      <c r="T45" s="589"/>
      <c r="U45" s="589"/>
      <c r="V45" s="589"/>
      <c r="W45" s="589"/>
      <c r="X45" s="589"/>
      <c r="Y45" s="589"/>
      <c r="AA45" s="589"/>
      <c r="AB45" s="589"/>
      <c r="AC45" s="589"/>
      <c r="AD45" s="589"/>
    </row>
    <row r="46" spans="1:30">
      <c r="A46" s="329" t="s">
        <v>4785</v>
      </c>
      <c r="B46" s="626">
        <v>0</v>
      </c>
      <c r="C46" s="627" t="s">
        <v>4185</v>
      </c>
      <c r="D46" s="571" t="s">
        <v>1307</v>
      </c>
      <c r="E46" s="632">
        <v>320833000</v>
      </c>
      <c r="H46" s="632">
        <v>224957000</v>
      </c>
      <c r="I46" s="589">
        <f t="shared" si="0"/>
        <v>1</v>
      </c>
      <c r="K46" s="589"/>
      <c r="L46" s="589"/>
      <c r="M46" s="589"/>
      <c r="N46" s="589"/>
      <c r="O46" s="589"/>
      <c r="P46" s="589"/>
      <c r="Q46" s="589"/>
      <c r="R46" s="589"/>
      <c r="S46" s="589"/>
      <c r="T46" s="589"/>
      <c r="U46" s="589"/>
      <c r="V46" s="589"/>
      <c r="W46" s="589"/>
      <c r="X46" s="589"/>
      <c r="Y46" s="589"/>
      <c r="AA46" s="589"/>
      <c r="AB46" s="589"/>
      <c r="AC46" s="589"/>
      <c r="AD46" s="589"/>
    </row>
    <row r="47" spans="1:30">
      <c r="A47" s="329" t="s">
        <v>4186</v>
      </c>
      <c r="B47" s="626">
        <v>0</v>
      </c>
      <c r="C47" s="627" t="s">
        <v>3622</v>
      </c>
      <c r="D47" s="571" t="s">
        <v>1307</v>
      </c>
      <c r="E47" s="632">
        <v>331759000</v>
      </c>
      <c r="H47" s="632">
        <v>242732000</v>
      </c>
      <c r="I47" s="589">
        <f t="shared" si="0"/>
        <v>1</v>
      </c>
      <c r="K47" s="589"/>
      <c r="L47" s="589"/>
      <c r="M47" s="589"/>
      <c r="N47" s="589"/>
      <c r="O47" s="589"/>
      <c r="P47" s="589"/>
      <c r="Q47" s="589"/>
      <c r="R47" s="589"/>
      <c r="S47" s="589"/>
      <c r="T47" s="589"/>
      <c r="U47" s="589"/>
      <c r="V47" s="589"/>
      <c r="W47" s="589"/>
      <c r="X47" s="589"/>
      <c r="Y47" s="589"/>
      <c r="AA47" s="589"/>
      <c r="AB47" s="589"/>
      <c r="AC47" s="589"/>
      <c r="AD47" s="589"/>
    </row>
    <row r="48" spans="1:30">
      <c r="A48" s="329" t="s">
        <v>6325</v>
      </c>
      <c r="B48" s="626">
        <v>0</v>
      </c>
      <c r="C48" s="627" t="s">
        <v>6326</v>
      </c>
      <c r="D48" s="571" t="s">
        <v>1307</v>
      </c>
      <c r="E48" s="632">
        <v>352493000</v>
      </c>
      <c r="H48" s="632">
        <v>257902000</v>
      </c>
      <c r="I48" s="589">
        <f t="shared" si="0"/>
        <v>1</v>
      </c>
      <c r="K48" s="589"/>
      <c r="L48" s="589"/>
      <c r="M48" s="589"/>
      <c r="N48" s="589"/>
      <c r="O48" s="589"/>
      <c r="P48" s="589"/>
      <c r="Q48" s="589"/>
      <c r="R48" s="589"/>
      <c r="S48" s="589"/>
      <c r="T48" s="589"/>
      <c r="U48" s="589"/>
      <c r="V48" s="589"/>
      <c r="W48" s="589"/>
      <c r="X48" s="589"/>
      <c r="Y48" s="589"/>
      <c r="AA48" s="589"/>
      <c r="AB48" s="589"/>
      <c r="AC48" s="589"/>
      <c r="AD48" s="589"/>
    </row>
    <row r="49" spans="1:30">
      <c r="A49" s="329" t="s">
        <v>6327</v>
      </c>
      <c r="B49" s="626">
        <v>0</v>
      </c>
      <c r="C49" s="627" t="s">
        <v>359</v>
      </c>
      <c r="D49" s="571" t="s">
        <v>1307</v>
      </c>
      <c r="E49" s="632">
        <v>376022000</v>
      </c>
      <c r="H49" s="632">
        <v>275117000</v>
      </c>
      <c r="I49" s="589">
        <f t="shared" si="0"/>
        <v>1</v>
      </c>
      <c r="K49" s="589"/>
      <c r="L49" s="589"/>
      <c r="M49" s="589"/>
      <c r="N49" s="589"/>
      <c r="O49" s="589"/>
      <c r="P49" s="589"/>
      <c r="Q49" s="589"/>
      <c r="R49" s="589"/>
      <c r="S49" s="589"/>
      <c r="T49" s="589"/>
      <c r="U49" s="589"/>
      <c r="V49" s="589"/>
      <c r="W49" s="589"/>
      <c r="X49" s="589"/>
      <c r="Y49" s="589"/>
      <c r="AA49" s="589"/>
      <c r="AB49" s="589"/>
      <c r="AC49" s="589"/>
      <c r="AD49" s="589"/>
    </row>
    <row r="50" spans="1:30">
      <c r="A50" s="329" t="s">
        <v>360</v>
      </c>
      <c r="B50" s="626">
        <v>0</v>
      </c>
      <c r="C50" s="627" t="s">
        <v>361</v>
      </c>
      <c r="D50" s="571" t="s">
        <v>1307</v>
      </c>
      <c r="E50" s="632">
        <v>450273000</v>
      </c>
      <c r="H50" s="632">
        <v>329444000</v>
      </c>
      <c r="I50" s="589">
        <f t="shared" si="0"/>
        <v>1</v>
      </c>
      <c r="K50" s="589"/>
      <c r="L50" s="589"/>
      <c r="M50" s="589"/>
      <c r="N50" s="589"/>
      <c r="O50" s="589"/>
      <c r="P50" s="589"/>
      <c r="Q50" s="589"/>
      <c r="R50" s="589"/>
      <c r="S50" s="589"/>
      <c r="T50" s="589"/>
      <c r="U50" s="589"/>
      <c r="V50" s="589"/>
      <c r="W50" s="589"/>
      <c r="X50" s="589"/>
      <c r="Y50" s="589"/>
      <c r="AA50" s="589"/>
      <c r="AB50" s="589"/>
      <c r="AC50" s="589"/>
      <c r="AD50" s="589"/>
    </row>
    <row r="51" spans="1:30">
      <c r="A51" s="329" t="s">
        <v>362</v>
      </c>
      <c r="B51" s="626">
        <v>0</v>
      </c>
      <c r="C51" s="627" t="s">
        <v>1765</v>
      </c>
      <c r="D51" s="571" t="s">
        <v>1307</v>
      </c>
      <c r="E51" s="632">
        <v>531325000</v>
      </c>
      <c r="H51" s="632">
        <v>356932000</v>
      </c>
      <c r="I51" s="589">
        <f t="shared" si="0"/>
        <v>1</v>
      </c>
      <c r="K51" s="589"/>
      <c r="L51" s="589"/>
      <c r="M51" s="589"/>
      <c r="N51" s="589"/>
      <c r="O51" s="589"/>
      <c r="P51" s="589"/>
      <c r="Q51" s="589"/>
      <c r="R51" s="589"/>
      <c r="S51" s="589"/>
      <c r="T51" s="589"/>
      <c r="U51" s="589"/>
      <c r="V51" s="589"/>
      <c r="W51" s="589"/>
      <c r="X51" s="589"/>
      <c r="Y51" s="589"/>
      <c r="AA51" s="589"/>
      <c r="AB51" s="589"/>
      <c r="AC51" s="589"/>
      <c r="AD51" s="589"/>
    </row>
    <row r="52" spans="1:30">
      <c r="A52" s="329" t="s">
        <v>1766</v>
      </c>
      <c r="B52" s="626">
        <v>0</v>
      </c>
      <c r="C52" s="628" t="s">
        <v>1767</v>
      </c>
      <c r="D52" s="571" t="s">
        <v>1307</v>
      </c>
      <c r="E52" s="632">
        <v>617026000</v>
      </c>
      <c r="H52" s="632">
        <v>410409000</v>
      </c>
      <c r="I52" s="589">
        <f t="shared" si="0"/>
        <v>1</v>
      </c>
      <c r="K52" s="589"/>
      <c r="L52" s="589"/>
      <c r="M52" s="589"/>
      <c r="N52" s="589"/>
      <c r="O52" s="589"/>
      <c r="P52" s="589"/>
      <c r="Q52" s="589"/>
      <c r="R52" s="589"/>
      <c r="S52" s="589"/>
      <c r="T52" s="589"/>
      <c r="U52" s="589"/>
      <c r="V52" s="589"/>
      <c r="W52" s="589"/>
      <c r="X52" s="589"/>
      <c r="Y52" s="589"/>
      <c r="AA52" s="589"/>
      <c r="AB52" s="589"/>
      <c r="AC52" s="589"/>
      <c r="AD52" s="589"/>
    </row>
    <row r="53" spans="1:30">
      <c r="A53" s="329" t="s">
        <v>1768</v>
      </c>
      <c r="B53" s="626">
        <v>0</v>
      </c>
      <c r="C53" s="628" t="s">
        <v>1769</v>
      </c>
      <c r="D53" s="629" t="s">
        <v>1307</v>
      </c>
      <c r="E53" s="632">
        <v>624040000</v>
      </c>
      <c r="H53" s="632">
        <v>456580000</v>
      </c>
      <c r="I53" s="589">
        <f t="shared" si="0"/>
        <v>1</v>
      </c>
      <c r="K53" s="589"/>
      <c r="L53" s="589"/>
      <c r="M53" s="589"/>
      <c r="N53" s="589"/>
      <c r="O53" s="589"/>
      <c r="P53" s="589"/>
      <c r="Q53" s="589"/>
      <c r="R53" s="589"/>
      <c r="S53" s="589"/>
      <c r="T53" s="589"/>
      <c r="U53" s="589"/>
      <c r="V53" s="589"/>
      <c r="W53" s="589"/>
      <c r="X53" s="589"/>
      <c r="Y53" s="589"/>
      <c r="AA53" s="589"/>
      <c r="AB53" s="589"/>
      <c r="AC53" s="589"/>
      <c r="AD53" s="589"/>
    </row>
    <row r="54" spans="1:30">
      <c r="A54" s="329" t="s">
        <v>1770</v>
      </c>
      <c r="B54" s="626">
        <v>0</v>
      </c>
      <c r="C54" s="628" t="s">
        <v>1771</v>
      </c>
      <c r="D54" s="629" t="s">
        <v>1307</v>
      </c>
      <c r="E54" s="632">
        <v>747548000</v>
      </c>
      <c r="H54" s="632">
        <v>546945000</v>
      </c>
      <c r="I54" s="589">
        <f t="shared" si="0"/>
        <v>1</v>
      </c>
      <c r="K54" s="589"/>
      <c r="L54" s="589"/>
      <c r="M54" s="589"/>
      <c r="N54" s="589"/>
      <c r="O54" s="589"/>
      <c r="P54" s="589"/>
      <c r="Q54" s="589"/>
      <c r="R54" s="589"/>
      <c r="S54" s="589"/>
      <c r="T54" s="589"/>
      <c r="U54" s="589"/>
      <c r="V54" s="589"/>
      <c r="W54" s="589"/>
      <c r="X54" s="589"/>
      <c r="Y54" s="589"/>
      <c r="AA54" s="589"/>
      <c r="AB54" s="589"/>
      <c r="AC54" s="589"/>
      <c r="AD54" s="589"/>
    </row>
    <row r="55" spans="1:30">
      <c r="A55" s="610" t="s">
        <v>3650</v>
      </c>
      <c r="B55" s="611"/>
      <c r="C55" s="612"/>
      <c r="D55" s="613"/>
      <c r="E55" s="571"/>
      <c r="F55" s="329"/>
      <c r="H55" s="614"/>
      <c r="I55" s="589">
        <f t="shared" si="0"/>
        <v>0</v>
      </c>
      <c r="K55" s="589"/>
      <c r="L55" s="589"/>
      <c r="M55" s="589"/>
      <c r="N55" s="589"/>
      <c r="O55" s="589"/>
      <c r="P55" s="589"/>
      <c r="Q55" s="589"/>
      <c r="R55" s="589"/>
      <c r="S55" s="589"/>
      <c r="T55" s="589"/>
      <c r="U55" s="589"/>
      <c r="V55" s="589"/>
      <c r="W55" s="589"/>
      <c r="X55" s="589"/>
      <c r="Y55" s="589"/>
      <c r="AA55" s="589"/>
      <c r="AB55" s="589"/>
      <c r="AC55" s="589"/>
      <c r="AD55" s="589"/>
    </row>
    <row r="56" spans="1:30">
      <c r="A56" s="329" t="s">
        <v>1772</v>
      </c>
      <c r="B56" s="626">
        <v>35660086</v>
      </c>
      <c r="C56" s="627" t="s">
        <v>1773</v>
      </c>
      <c r="D56" s="571" t="s">
        <v>1307</v>
      </c>
      <c r="E56" s="775" t="s">
        <v>1774</v>
      </c>
      <c r="H56" s="634" t="s">
        <v>1774</v>
      </c>
      <c r="I56" s="589">
        <f t="shared" si="0"/>
        <v>0</v>
      </c>
      <c r="K56" s="589"/>
      <c r="L56" s="589"/>
      <c r="M56" s="589"/>
      <c r="N56" s="589"/>
      <c r="O56" s="589"/>
      <c r="P56" s="589"/>
      <c r="Q56" s="589"/>
      <c r="R56" s="589"/>
      <c r="S56" s="589"/>
      <c r="T56" s="589"/>
      <c r="U56" s="589"/>
      <c r="V56" s="589"/>
      <c r="W56" s="589"/>
      <c r="X56" s="589"/>
      <c r="Y56" s="589"/>
      <c r="AA56" s="589"/>
      <c r="AB56" s="589"/>
      <c r="AC56" s="589"/>
      <c r="AD56" s="589"/>
    </row>
    <row r="57" spans="1:30">
      <c r="A57" s="329" t="s">
        <v>1775</v>
      </c>
      <c r="B57" s="626">
        <v>35660016</v>
      </c>
      <c r="C57" s="627" t="s">
        <v>1939</v>
      </c>
      <c r="D57" s="571" t="s">
        <v>1307</v>
      </c>
      <c r="E57" s="775" t="s">
        <v>1774</v>
      </c>
      <c r="H57" s="634" t="s">
        <v>1774</v>
      </c>
      <c r="I57" s="589">
        <f t="shared" si="0"/>
        <v>0</v>
      </c>
      <c r="K57" s="589"/>
      <c r="L57" s="589"/>
      <c r="M57" s="589"/>
      <c r="N57" s="589"/>
      <c r="O57" s="589"/>
      <c r="P57" s="589"/>
      <c r="Q57" s="589"/>
      <c r="R57" s="589"/>
      <c r="S57" s="589"/>
      <c r="T57" s="589"/>
      <c r="U57" s="589"/>
      <c r="V57" s="589"/>
      <c r="W57" s="589"/>
      <c r="X57" s="589"/>
      <c r="Y57" s="589"/>
      <c r="AA57" s="589"/>
      <c r="AB57" s="589"/>
      <c r="AC57" s="589"/>
      <c r="AD57" s="589"/>
    </row>
    <row r="58" spans="1:30">
      <c r="A58" s="329" t="s">
        <v>1940</v>
      </c>
      <c r="B58" s="626">
        <v>35660006</v>
      </c>
      <c r="C58" s="575" t="s">
        <v>2133</v>
      </c>
      <c r="D58" s="571" t="s">
        <v>1307</v>
      </c>
      <c r="E58" s="775" t="s">
        <v>1774</v>
      </c>
      <c r="H58" s="634" t="s">
        <v>1774</v>
      </c>
      <c r="I58" s="589">
        <f t="shared" si="0"/>
        <v>0</v>
      </c>
      <c r="K58" s="589"/>
      <c r="L58" s="589"/>
      <c r="M58" s="589"/>
      <c r="N58" s="589"/>
      <c r="O58" s="589"/>
      <c r="P58" s="589"/>
      <c r="Q58" s="589"/>
      <c r="R58" s="589"/>
      <c r="S58" s="589"/>
      <c r="T58" s="589"/>
      <c r="U58" s="589"/>
      <c r="V58" s="589"/>
      <c r="W58" s="589"/>
      <c r="X58" s="589"/>
      <c r="Y58" s="589"/>
      <c r="AA58" s="589"/>
      <c r="AB58" s="589"/>
      <c r="AC58" s="589"/>
      <c r="AD58" s="589"/>
    </row>
    <row r="59" spans="1:30">
      <c r="B59" s="626"/>
      <c r="C59" s="627"/>
      <c r="D59" s="571"/>
      <c r="E59" s="635"/>
      <c r="H59" s="619"/>
      <c r="I59" s="589">
        <f t="shared" si="0"/>
        <v>0</v>
      </c>
      <c r="K59" s="589"/>
      <c r="L59" s="589"/>
      <c r="M59" s="589"/>
      <c r="N59" s="589"/>
      <c r="O59" s="589"/>
      <c r="P59" s="589"/>
      <c r="Q59" s="589"/>
      <c r="R59" s="589"/>
      <c r="S59" s="589"/>
      <c r="T59" s="589"/>
      <c r="U59" s="589"/>
      <c r="V59" s="589"/>
      <c r="W59" s="589"/>
      <c r="X59" s="589"/>
      <c r="Y59" s="589"/>
      <c r="AA59" s="589"/>
      <c r="AB59" s="589"/>
      <c r="AC59" s="589"/>
      <c r="AD59" s="589"/>
    </row>
    <row r="60" spans="1:30">
      <c r="A60" s="329" t="s">
        <v>2134</v>
      </c>
      <c r="B60" s="626">
        <v>0</v>
      </c>
      <c r="C60" s="575" t="s">
        <v>2088</v>
      </c>
      <c r="D60" s="571" t="s">
        <v>1307</v>
      </c>
      <c r="E60" s="775" t="s">
        <v>1774</v>
      </c>
      <c r="H60" s="634" t="s">
        <v>1774</v>
      </c>
      <c r="I60" s="589">
        <f t="shared" si="0"/>
        <v>0</v>
      </c>
      <c r="K60" s="589"/>
      <c r="L60" s="589"/>
      <c r="M60" s="589"/>
      <c r="N60" s="589"/>
      <c r="O60" s="589"/>
      <c r="P60" s="589"/>
      <c r="Q60" s="589"/>
      <c r="R60" s="589"/>
      <c r="S60" s="589"/>
      <c r="T60" s="589"/>
      <c r="U60" s="589"/>
      <c r="V60" s="589"/>
      <c r="W60" s="589"/>
      <c r="X60" s="589"/>
      <c r="Y60" s="589"/>
      <c r="AA60" s="589"/>
      <c r="AB60" s="589"/>
      <c r="AC60" s="589"/>
      <c r="AD60" s="589"/>
    </row>
    <row r="61" spans="1:30">
      <c r="A61" s="329" t="s">
        <v>4966</v>
      </c>
      <c r="B61" s="626">
        <v>0</v>
      </c>
      <c r="C61" s="575" t="s">
        <v>4967</v>
      </c>
      <c r="D61" s="571" t="s">
        <v>1307</v>
      </c>
      <c r="E61" s="775" t="s">
        <v>1774</v>
      </c>
      <c r="H61" s="634" t="s">
        <v>1774</v>
      </c>
      <c r="I61" s="589">
        <f t="shared" si="0"/>
        <v>0</v>
      </c>
      <c r="K61" s="589"/>
      <c r="L61" s="589"/>
      <c r="M61" s="589"/>
      <c r="N61" s="589"/>
      <c r="O61" s="589"/>
      <c r="P61" s="589"/>
      <c r="Q61" s="589"/>
      <c r="R61" s="589"/>
      <c r="S61" s="589"/>
      <c r="T61" s="589"/>
      <c r="U61" s="589"/>
      <c r="V61" s="589"/>
      <c r="W61" s="589"/>
      <c r="X61" s="589"/>
      <c r="Y61" s="589"/>
      <c r="AA61" s="589"/>
      <c r="AB61" s="589"/>
      <c r="AC61" s="589"/>
      <c r="AD61" s="589"/>
    </row>
    <row r="62" spans="1:30">
      <c r="A62" s="329" t="s">
        <v>4968</v>
      </c>
      <c r="B62" s="626">
        <v>0</v>
      </c>
      <c r="C62" s="575" t="s">
        <v>2849</v>
      </c>
      <c r="D62" s="571" t="s">
        <v>1307</v>
      </c>
      <c r="E62" s="775" t="s">
        <v>1774</v>
      </c>
      <c r="H62" s="634" t="s">
        <v>1774</v>
      </c>
      <c r="I62" s="589">
        <f t="shared" si="0"/>
        <v>0</v>
      </c>
      <c r="K62" s="589"/>
      <c r="L62" s="589"/>
      <c r="M62" s="589"/>
      <c r="N62" s="589"/>
      <c r="O62" s="589"/>
      <c r="P62" s="589"/>
      <c r="Q62" s="589"/>
      <c r="R62" s="589"/>
      <c r="S62" s="589"/>
      <c r="T62" s="589"/>
      <c r="U62" s="589"/>
      <c r="V62" s="589"/>
      <c r="W62" s="589"/>
      <c r="X62" s="589"/>
      <c r="Y62" s="589"/>
      <c r="AA62" s="589"/>
      <c r="AB62" s="589"/>
      <c r="AC62" s="589"/>
      <c r="AD62" s="589"/>
    </row>
    <row r="63" spans="1:30">
      <c r="A63" s="329" t="s">
        <v>2850</v>
      </c>
      <c r="B63" s="626">
        <v>35365415</v>
      </c>
      <c r="C63" s="575" t="s">
        <v>2851</v>
      </c>
      <c r="D63" s="571" t="s">
        <v>1307</v>
      </c>
      <c r="E63" s="775" t="s">
        <v>1774</v>
      </c>
      <c r="H63" s="634" t="s">
        <v>1774</v>
      </c>
      <c r="I63" s="589">
        <f t="shared" si="0"/>
        <v>0</v>
      </c>
      <c r="K63" s="589"/>
      <c r="L63" s="589"/>
      <c r="M63" s="589"/>
      <c r="N63" s="589"/>
      <c r="O63" s="589"/>
      <c r="P63" s="589"/>
      <c r="Q63" s="589"/>
      <c r="R63" s="589"/>
      <c r="S63" s="589"/>
      <c r="T63" s="589"/>
      <c r="U63" s="589"/>
      <c r="V63" s="589"/>
      <c r="W63" s="589"/>
      <c r="X63" s="589"/>
      <c r="Y63" s="589"/>
      <c r="AA63" s="589"/>
      <c r="AB63" s="589"/>
      <c r="AC63" s="589"/>
      <c r="AD63" s="589"/>
    </row>
    <row r="64" spans="1:30">
      <c r="A64" s="329" t="s">
        <v>2852</v>
      </c>
      <c r="B64" s="626">
        <v>0</v>
      </c>
      <c r="C64" s="575" t="s">
        <v>3249</v>
      </c>
      <c r="D64" s="571" t="s">
        <v>1307</v>
      </c>
      <c r="E64" s="775" t="s">
        <v>1774</v>
      </c>
      <c r="H64" s="634" t="s">
        <v>1774</v>
      </c>
      <c r="I64" s="589">
        <f t="shared" si="0"/>
        <v>0</v>
      </c>
      <c r="K64" s="589"/>
      <c r="L64" s="589"/>
      <c r="M64" s="589"/>
      <c r="N64" s="589"/>
      <c r="O64" s="589"/>
      <c r="P64" s="589"/>
      <c r="Q64" s="589"/>
      <c r="R64" s="589"/>
      <c r="S64" s="589"/>
      <c r="T64" s="589"/>
      <c r="U64" s="589"/>
      <c r="V64" s="589"/>
      <c r="W64" s="589"/>
      <c r="X64" s="589"/>
      <c r="Y64" s="589"/>
      <c r="AA64" s="589"/>
      <c r="AB64" s="589"/>
      <c r="AC64" s="589"/>
      <c r="AD64" s="589"/>
    </row>
    <row r="65" spans="1:30">
      <c r="A65" s="329" t="s">
        <v>3250</v>
      </c>
      <c r="B65" s="626">
        <v>0</v>
      </c>
      <c r="C65" s="575" t="s">
        <v>3251</v>
      </c>
      <c r="D65" s="571" t="s">
        <v>1307</v>
      </c>
      <c r="E65" s="775" t="s">
        <v>1774</v>
      </c>
      <c r="H65" s="634" t="s">
        <v>1774</v>
      </c>
      <c r="I65" s="589">
        <f t="shared" si="0"/>
        <v>0</v>
      </c>
      <c r="K65" s="589"/>
      <c r="L65" s="589"/>
      <c r="M65" s="589"/>
      <c r="N65" s="589"/>
      <c r="O65" s="589"/>
      <c r="P65" s="589"/>
      <c r="Q65" s="589"/>
      <c r="R65" s="589"/>
      <c r="S65" s="589"/>
      <c r="T65" s="589"/>
      <c r="U65" s="589"/>
      <c r="V65" s="589"/>
      <c r="W65" s="589"/>
      <c r="X65" s="589"/>
      <c r="Y65" s="589"/>
      <c r="AA65" s="589"/>
      <c r="AB65" s="589"/>
      <c r="AC65" s="589"/>
      <c r="AD65" s="589"/>
    </row>
    <row r="66" spans="1:30">
      <c r="A66" s="329" t="s">
        <v>3252</v>
      </c>
      <c r="B66" s="626">
        <v>0</v>
      </c>
      <c r="C66" s="575" t="s">
        <v>3253</v>
      </c>
      <c r="D66" s="571" t="s">
        <v>1307</v>
      </c>
      <c r="E66" s="775" t="s">
        <v>1774</v>
      </c>
      <c r="H66" s="634" t="s">
        <v>1774</v>
      </c>
      <c r="I66" s="589">
        <f t="shared" si="0"/>
        <v>0</v>
      </c>
      <c r="K66" s="589"/>
      <c r="L66" s="589"/>
      <c r="M66" s="589"/>
      <c r="N66" s="589"/>
      <c r="O66" s="589"/>
      <c r="P66" s="589"/>
      <c r="Q66" s="589"/>
      <c r="R66" s="589"/>
      <c r="S66" s="589"/>
      <c r="T66" s="589"/>
      <c r="U66" s="589"/>
      <c r="V66" s="589"/>
      <c r="W66" s="589"/>
      <c r="X66" s="589"/>
      <c r="Y66" s="589"/>
      <c r="AA66" s="589"/>
      <c r="AB66" s="589"/>
      <c r="AC66" s="589"/>
      <c r="AD66" s="589"/>
    </row>
    <row r="67" spans="1:30">
      <c r="A67" s="329" t="s">
        <v>3254</v>
      </c>
      <c r="B67" s="626">
        <v>0</v>
      </c>
      <c r="C67" s="575" t="s">
        <v>3255</v>
      </c>
      <c r="D67" s="571" t="s">
        <v>1307</v>
      </c>
      <c r="E67" s="775" t="s">
        <v>1774</v>
      </c>
      <c r="H67" s="634" t="s">
        <v>1774</v>
      </c>
      <c r="I67" s="589">
        <f t="shared" si="0"/>
        <v>0</v>
      </c>
      <c r="K67" s="589"/>
      <c r="L67" s="589"/>
      <c r="M67" s="589"/>
      <c r="N67" s="589"/>
      <c r="O67" s="589"/>
      <c r="P67" s="589"/>
      <c r="Q67" s="589"/>
      <c r="R67" s="589"/>
      <c r="S67" s="589"/>
      <c r="T67" s="589"/>
      <c r="U67" s="589"/>
      <c r="V67" s="589"/>
      <c r="W67" s="589"/>
      <c r="X67" s="589"/>
      <c r="Y67" s="589"/>
      <c r="AA67" s="589"/>
      <c r="AB67" s="589"/>
      <c r="AC67" s="589"/>
      <c r="AD67" s="589"/>
    </row>
    <row r="68" spans="1:30">
      <c r="B68" s="626"/>
      <c r="C68" s="575"/>
      <c r="D68" s="571"/>
      <c r="E68" s="636"/>
      <c r="H68" s="637"/>
      <c r="I68" s="589">
        <f t="shared" si="0"/>
        <v>0</v>
      </c>
      <c r="K68" s="589"/>
      <c r="L68" s="589"/>
      <c r="M68" s="589"/>
      <c r="N68" s="589"/>
      <c r="O68" s="589"/>
      <c r="P68" s="589"/>
      <c r="Q68" s="589"/>
      <c r="R68" s="589"/>
      <c r="S68" s="589"/>
      <c r="T68" s="589"/>
      <c r="U68" s="589"/>
      <c r="V68" s="589"/>
      <c r="W68" s="589"/>
      <c r="X68" s="589"/>
      <c r="Y68" s="589"/>
      <c r="AA68" s="589"/>
      <c r="AB68" s="589"/>
      <c r="AC68" s="589"/>
      <c r="AD68" s="589"/>
    </row>
    <row r="69" spans="1:30">
      <c r="A69" s="329" t="s">
        <v>3256</v>
      </c>
      <c r="B69" s="626">
        <v>35352339</v>
      </c>
      <c r="C69" s="575" t="s">
        <v>3806</v>
      </c>
      <c r="D69" s="571" t="s">
        <v>1307</v>
      </c>
      <c r="E69" s="775" t="s">
        <v>1774</v>
      </c>
      <c r="H69" s="634" t="s">
        <v>1774</v>
      </c>
      <c r="I69" s="589">
        <f t="shared" si="0"/>
        <v>0</v>
      </c>
      <c r="K69" s="589"/>
      <c r="L69" s="589"/>
      <c r="M69" s="589"/>
      <c r="N69" s="589"/>
      <c r="O69" s="589"/>
      <c r="P69" s="589"/>
      <c r="Q69" s="589"/>
      <c r="R69" s="589"/>
      <c r="S69" s="589"/>
      <c r="T69" s="589"/>
      <c r="U69" s="589"/>
      <c r="V69" s="589"/>
      <c r="W69" s="589"/>
      <c r="X69" s="589"/>
      <c r="Y69" s="589"/>
      <c r="AA69" s="589"/>
      <c r="AB69" s="589"/>
      <c r="AC69" s="589"/>
      <c r="AD69" s="589"/>
    </row>
    <row r="70" spans="1:30">
      <c r="A70" s="329" t="s">
        <v>3257</v>
      </c>
      <c r="B70" s="626">
        <v>35352340</v>
      </c>
      <c r="C70" s="575" t="s">
        <v>3258</v>
      </c>
      <c r="D70" s="571" t="s">
        <v>1307</v>
      </c>
      <c r="E70" s="775" t="s">
        <v>1774</v>
      </c>
      <c r="H70" s="634" t="s">
        <v>1774</v>
      </c>
      <c r="I70" s="589">
        <f t="shared" si="0"/>
        <v>0</v>
      </c>
      <c r="K70" s="589"/>
      <c r="L70" s="589"/>
      <c r="M70" s="589"/>
      <c r="N70" s="589"/>
      <c r="O70" s="589"/>
      <c r="P70" s="589"/>
      <c r="Q70" s="589"/>
      <c r="R70" s="589"/>
      <c r="S70" s="589"/>
      <c r="T70" s="589"/>
      <c r="U70" s="589"/>
      <c r="V70" s="589"/>
      <c r="W70" s="589"/>
      <c r="X70" s="589"/>
      <c r="Y70" s="589"/>
      <c r="AA70" s="589"/>
      <c r="AB70" s="589"/>
      <c r="AC70" s="589"/>
      <c r="AD70" s="589"/>
    </row>
    <row r="71" spans="1:30">
      <c r="A71" s="329" t="s">
        <v>3259</v>
      </c>
      <c r="B71" s="626">
        <v>35352341</v>
      </c>
      <c r="C71" s="575" t="s">
        <v>1610</v>
      </c>
      <c r="D71" s="571" t="s">
        <v>1307</v>
      </c>
      <c r="E71" s="775" t="s">
        <v>1774</v>
      </c>
      <c r="H71" s="634" t="s">
        <v>1774</v>
      </c>
      <c r="I71" s="589">
        <f t="shared" si="0"/>
        <v>0</v>
      </c>
      <c r="K71" s="589"/>
      <c r="L71" s="589"/>
      <c r="M71" s="589"/>
      <c r="N71" s="589"/>
      <c r="O71" s="589"/>
      <c r="P71" s="589"/>
      <c r="Q71" s="589"/>
      <c r="R71" s="589"/>
      <c r="S71" s="589"/>
      <c r="T71" s="589"/>
      <c r="U71" s="589"/>
      <c r="V71" s="589"/>
      <c r="W71" s="589"/>
      <c r="X71" s="589"/>
      <c r="Y71" s="589"/>
      <c r="AA71" s="589"/>
      <c r="AB71" s="589"/>
      <c r="AC71" s="589"/>
      <c r="AD71" s="589"/>
    </row>
    <row r="72" spans="1:30">
      <c r="A72" s="329" t="s">
        <v>1609</v>
      </c>
      <c r="B72" s="626">
        <v>35352341</v>
      </c>
      <c r="C72" s="575" t="s">
        <v>3260</v>
      </c>
      <c r="D72" s="571" t="s">
        <v>1307</v>
      </c>
      <c r="E72" s="775" t="s">
        <v>1774</v>
      </c>
      <c r="H72" s="634" t="s">
        <v>1774</v>
      </c>
      <c r="I72" s="589">
        <f t="shared" si="0"/>
        <v>0</v>
      </c>
      <c r="K72" s="589"/>
      <c r="L72" s="589"/>
      <c r="M72" s="589"/>
      <c r="N72" s="589"/>
      <c r="O72" s="589"/>
      <c r="P72" s="589"/>
      <c r="Q72" s="589"/>
      <c r="R72" s="589"/>
      <c r="S72" s="589"/>
      <c r="T72" s="589"/>
      <c r="U72" s="589"/>
      <c r="V72" s="589"/>
      <c r="W72" s="589"/>
      <c r="X72" s="589"/>
      <c r="Y72" s="589"/>
      <c r="AA72" s="589"/>
      <c r="AB72" s="589"/>
      <c r="AC72" s="589"/>
      <c r="AD72" s="589"/>
    </row>
    <row r="73" spans="1:30">
      <c r="A73" s="329" t="s">
        <v>3261</v>
      </c>
      <c r="B73" s="626">
        <v>35352342</v>
      </c>
      <c r="C73" s="575" t="s">
        <v>3535</v>
      </c>
      <c r="D73" s="571" t="s">
        <v>1307</v>
      </c>
      <c r="E73" s="775" t="s">
        <v>1774</v>
      </c>
      <c r="H73" s="634" t="s">
        <v>1774</v>
      </c>
      <c r="I73" s="589">
        <f t="shared" si="0"/>
        <v>0</v>
      </c>
      <c r="K73" s="589"/>
      <c r="L73" s="589"/>
      <c r="M73" s="589"/>
      <c r="N73" s="589"/>
      <c r="O73" s="589"/>
      <c r="P73" s="589"/>
      <c r="Q73" s="589"/>
      <c r="R73" s="589"/>
      <c r="S73" s="589"/>
      <c r="T73" s="589"/>
      <c r="U73" s="589"/>
      <c r="V73" s="589"/>
      <c r="W73" s="589"/>
      <c r="X73" s="589"/>
      <c r="Y73" s="589"/>
      <c r="AA73" s="589"/>
      <c r="AB73" s="589"/>
      <c r="AC73" s="589"/>
      <c r="AD73" s="589"/>
    </row>
    <row r="74" spans="1:30">
      <c r="A74" s="329" t="s">
        <v>3536</v>
      </c>
      <c r="B74" s="626">
        <v>35352343</v>
      </c>
      <c r="C74" s="575" t="s">
        <v>3537</v>
      </c>
      <c r="D74" s="571" t="s">
        <v>1307</v>
      </c>
      <c r="E74" s="775" t="s">
        <v>1774</v>
      </c>
      <c r="H74" s="634" t="s">
        <v>1774</v>
      </c>
      <c r="I74" s="589">
        <f t="shared" si="0"/>
        <v>0</v>
      </c>
      <c r="K74" s="589"/>
      <c r="L74" s="589"/>
      <c r="M74" s="589"/>
      <c r="N74" s="589"/>
      <c r="O74" s="589"/>
      <c r="P74" s="589"/>
      <c r="Q74" s="589"/>
      <c r="R74" s="589"/>
      <c r="S74" s="589"/>
      <c r="T74" s="589"/>
      <c r="U74" s="589"/>
      <c r="V74" s="589"/>
      <c r="W74" s="589"/>
      <c r="X74" s="589"/>
      <c r="Y74" s="589"/>
      <c r="AA74" s="589"/>
      <c r="AB74" s="589"/>
      <c r="AC74" s="589"/>
      <c r="AD74" s="589"/>
    </row>
    <row r="75" spans="1:30">
      <c r="A75" s="329" t="s">
        <v>3538</v>
      </c>
      <c r="B75" s="626">
        <v>35352346</v>
      </c>
      <c r="C75" s="575" t="s">
        <v>3539</v>
      </c>
      <c r="D75" s="571" t="s">
        <v>1307</v>
      </c>
      <c r="E75" s="775" t="s">
        <v>1774</v>
      </c>
      <c r="H75" s="634" t="s">
        <v>1774</v>
      </c>
      <c r="I75" s="589">
        <f t="shared" si="0"/>
        <v>0</v>
      </c>
      <c r="K75" s="589"/>
      <c r="L75" s="589"/>
      <c r="M75" s="589"/>
      <c r="N75" s="589"/>
      <c r="O75" s="589"/>
      <c r="P75" s="589"/>
      <c r="Q75" s="589"/>
      <c r="R75" s="589"/>
      <c r="S75" s="589"/>
      <c r="T75" s="589"/>
      <c r="U75" s="589"/>
      <c r="V75" s="589"/>
      <c r="W75" s="589"/>
      <c r="X75" s="589"/>
      <c r="Y75" s="589"/>
      <c r="AA75" s="589"/>
      <c r="AB75" s="589"/>
      <c r="AC75" s="589"/>
      <c r="AD75" s="589"/>
    </row>
    <row r="76" spans="1:30">
      <c r="A76" s="329" t="s">
        <v>3540</v>
      </c>
      <c r="B76" s="626">
        <v>35352351</v>
      </c>
      <c r="C76" s="575" t="s">
        <v>3541</v>
      </c>
      <c r="D76" s="571" t="s">
        <v>1307</v>
      </c>
      <c r="E76" s="775" t="s">
        <v>1774</v>
      </c>
      <c r="H76" s="634" t="s">
        <v>1774</v>
      </c>
      <c r="I76" s="589">
        <f t="shared" si="0"/>
        <v>0</v>
      </c>
      <c r="K76" s="589"/>
      <c r="L76" s="589"/>
      <c r="M76" s="589"/>
      <c r="N76" s="589"/>
      <c r="O76" s="589"/>
      <c r="P76" s="589"/>
      <c r="Q76" s="589"/>
      <c r="R76" s="589"/>
      <c r="S76" s="589"/>
      <c r="T76" s="589"/>
      <c r="U76" s="589"/>
      <c r="V76" s="589"/>
      <c r="W76" s="589"/>
      <c r="X76" s="589"/>
      <c r="Y76" s="589"/>
      <c r="AA76" s="589"/>
      <c r="AB76" s="589"/>
      <c r="AC76" s="589"/>
      <c r="AD76" s="589"/>
    </row>
    <row r="77" spans="1:30">
      <c r="A77" s="329" t="s">
        <v>3542</v>
      </c>
      <c r="B77" s="626">
        <v>35352353</v>
      </c>
      <c r="C77" s="575" t="s">
        <v>3543</v>
      </c>
      <c r="D77" s="571" t="s">
        <v>1307</v>
      </c>
      <c r="E77" s="775" t="s">
        <v>1774</v>
      </c>
      <c r="H77" s="634" t="s">
        <v>1774</v>
      </c>
      <c r="I77" s="589">
        <f t="shared" si="0"/>
        <v>0</v>
      </c>
      <c r="K77" s="589"/>
      <c r="L77" s="589"/>
      <c r="M77" s="589"/>
      <c r="N77" s="589"/>
      <c r="O77" s="589"/>
      <c r="P77" s="589"/>
      <c r="Q77" s="589"/>
      <c r="R77" s="589"/>
      <c r="S77" s="589"/>
      <c r="T77" s="589"/>
      <c r="U77" s="589"/>
      <c r="V77" s="589"/>
      <c r="W77" s="589"/>
      <c r="X77" s="589"/>
      <c r="Y77" s="589"/>
      <c r="AA77" s="589"/>
      <c r="AB77" s="589"/>
      <c r="AC77" s="589"/>
      <c r="AD77" s="589"/>
    </row>
    <row r="78" spans="1:30">
      <c r="A78" s="329" t="s">
        <v>3544</v>
      </c>
      <c r="B78" s="626">
        <v>35352354</v>
      </c>
      <c r="C78" s="575" t="s">
        <v>3545</v>
      </c>
      <c r="D78" s="571" t="s">
        <v>1307</v>
      </c>
      <c r="E78" s="775" t="s">
        <v>1774</v>
      </c>
      <c r="H78" s="634" t="s">
        <v>1774</v>
      </c>
      <c r="I78" s="589">
        <f t="shared" si="0"/>
        <v>0</v>
      </c>
      <c r="K78" s="589"/>
      <c r="L78" s="589"/>
      <c r="M78" s="589"/>
      <c r="N78" s="589"/>
      <c r="O78" s="589"/>
      <c r="P78" s="589"/>
      <c r="Q78" s="589"/>
      <c r="R78" s="589"/>
      <c r="S78" s="589"/>
      <c r="T78" s="589"/>
      <c r="U78" s="589"/>
      <c r="V78" s="589"/>
      <c r="W78" s="589"/>
      <c r="X78" s="589"/>
      <c r="Y78" s="589"/>
      <c r="AA78" s="589"/>
      <c r="AB78" s="589"/>
      <c r="AC78" s="589"/>
      <c r="AD78" s="589"/>
    </row>
    <row r="79" spans="1:30">
      <c r="A79" s="329" t="s">
        <v>3546</v>
      </c>
      <c r="B79" s="626">
        <v>35352356</v>
      </c>
      <c r="C79" s="575" t="s">
        <v>2588</v>
      </c>
      <c r="D79" s="571" t="s">
        <v>1307</v>
      </c>
      <c r="E79" s="775" t="s">
        <v>1774</v>
      </c>
      <c r="H79" s="634" t="s">
        <v>1774</v>
      </c>
      <c r="I79" s="589">
        <f t="shared" si="0"/>
        <v>0</v>
      </c>
      <c r="K79" s="589"/>
      <c r="L79" s="589"/>
      <c r="M79" s="589"/>
      <c r="N79" s="589"/>
      <c r="O79" s="589"/>
      <c r="P79" s="589"/>
      <c r="Q79" s="589"/>
      <c r="R79" s="589"/>
      <c r="S79" s="589"/>
      <c r="T79" s="589"/>
      <c r="U79" s="589"/>
      <c r="V79" s="589"/>
      <c r="W79" s="589"/>
      <c r="X79" s="589"/>
      <c r="Y79" s="589"/>
      <c r="AA79" s="589"/>
      <c r="AB79" s="589"/>
      <c r="AC79" s="589"/>
      <c r="AD79" s="589"/>
    </row>
    <row r="80" spans="1:30">
      <c r="A80" s="329" t="s">
        <v>2589</v>
      </c>
      <c r="B80" s="626">
        <v>35352361</v>
      </c>
      <c r="C80" s="575" t="s">
        <v>1497</v>
      </c>
      <c r="D80" s="571" t="s">
        <v>1307</v>
      </c>
      <c r="E80" s="775" t="s">
        <v>1774</v>
      </c>
      <c r="H80" s="634" t="s">
        <v>1774</v>
      </c>
      <c r="I80" s="589">
        <f t="shared" si="0"/>
        <v>0</v>
      </c>
      <c r="K80" s="589"/>
      <c r="L80" s="589"/>
      <c r="M80" s="589"/>
      <c r="N80" s="589"/>
      <c r="O80" s="589"/>
      <c r="P80" s="589"/>
      <c r="Q80" s="589"/>
      <c r="R80" s="589"/>
      <c r="S80" s="589"/>
      <c r="T80" s="589"/>
      <c r="U80" s="589"/>
      <c r="V80" s="589"/>
      <c r="W80" s="589"/>
      <c r="X80" s="589"/>
      <c r="Y80" s="589"/>
      <c r="AA80" s="589"/>
      <c r="AB80" s="589"/>
      <c r="AC80" s="589"/>
      <c r="AD80" s="589"/>
    </row>
    <row r="81" spans="1:30">
      <c r="B81" s="626"/>
      <c r="C81" s="575"/>
      <c r="D81" s="571"/>
      <c r="E81" s="636"/>
      <c r="H81" s="637"/>
      <c r="I81" s="589">
        <f t="shared" si="0"/>
        <v>0</v>
      </c>
      <c r="K81" s="589"/>
      <c r="L81" s="589"/>
      <c r="M81" s="589"/>
      <c r="N81" s="589"/>
      <c r="O81" s="589"/>
      <c r="P81" s="589"/>
      <c r="Q81" s="589"/>
      <c r="R81" s="589"/>
      <c r="S81" s="589"/>
      <c r="T81" s="589"/>
      <c r="U81" s="589"/>
      <c r="V81" s="589"/>
      <c r="W81" s="589"/>
      <c r="X81" s="589"/>
      <c r="Y81" s="589"/>
      <c r="AA81" s="589"/>
      <c r="AB81" s="589"/>
      <c r="AC81" s="589"/>
      <c r="AD81" s="589"/>
    </row>
    <row r="82" spans="1:30">
      <c r="A82" s="329" t="s">
        <v>1498</v>
      </c>
      <c r="B82" s="626">
        <v>87328580</v>
      </c>
      <c r="C82" s="575" t="s">
        <v>1499</v>
      </c>
      <c r="D82" s="571" t="s">
        <v>1307</v>
      </c>
      <c r="E82" s="775" t="s">
        <v>1774</v>
      </c>
      <c r="H82" s="634" t="s">
        <v>1774</v>
      </c>
      <c r="I82" s="589">
        <f t="shared" si="0"/>
        <v>0</v>
      </c>
      <c r="K82" s="589"/>
      <c r="L82" s="589"/>
      <c r="M82" s="589"/>
      <c r="N82" s="589"/>
      <c r="O82" s="589"/>
      <c r="P82" s="589"/>
      <c r="Q82" s="589"/>
      <c r="R82" s="589"/>
      <c r="S82" s="589"/>
      <c r="T82" s="589"/>
      <c r="U82" s="589"/>
      <c r="V82" s="589"/>
      <c r="W82" s="589"/>
      <c r="X82" s="589"/>
      <c r="Y82" s="589"/>
      <c r="AA82" s="589"/>
      <c r="AB82" s="589"/>
      <c r="AC82" s="589"/>
      <c r="AD82" s="589"/>
    </row>
    <row r="83" spans="1:30">
      <c r="A83" s="329" t="s">
        <v>1500</v>
      </c>
      <c r="B83" s="626">
        <v>87328748</v>
      </c>
      <c r="C83" s="575" t="s">
        <v>1501</v>
      </c>
      <c r="D83" s="571" t="s">
        <v>1307</v>
      </c>
      <c r="E83" s="775" t="s">
        <v>1774</v>
      </c>
      <c r="H83" s="634" t="s">
        <v>1774</v>
      </c>
      <c r="I83" s="589">
        <f t="shared" si="0"/>
        <v>0</v>
      </c>
      <c r="K83" s="589"/>
      <c r="L83" s="589"/>
      <c r="M83" s="589"/>
      <c r="N83" s="589"/>
      <c r="O83" s="589"/>
      <c r="P83" s="589"/>
      <c r="Q83" s="589"/>
      <c r="R83" s="589"/>
      <c r="S83" s="589"/>
      <c r="T83" s="589"/>
      <c r="U83" s="589"/>
      <c r="V83" s="589"/>
      <c r="W83" s="589"/>
      <c r="X83" s="589"/>
      <c r="Y83" s="589"/>
      <c r="AA83" s="589"/>
      <c r="AB83" s="589"/>
      <c r="AC83" s="589"/>
      <c r="AD83" s="589"/>
    </row>
    <row r="84" spans="1:30">
      <c r="A84" s="329" t="s">
        <v>1502</v>
      </c>
      <c r="B84" s="626"/>
      <c r="C84" s="638" t="s">
        <v>4170</v>
      </c>
      <c r="D84" s="629" t="s">
        <v>1307</v>
      </c>
      <c r="E84" s="775" t="s">
        <v>1774</v>
      </c>
      <c r="H84" s="634" t="s">
        <v>1774</v>
      </c>
      <c r="I84" s="589">
        <f t="shared" si="0"/>
        <v>0</v>
      </c>
      <c r="K84" s="589"/>
      <c r="L84" s="589"/>
      <c r="M84" s="589"/>
      <c r="N84" s="589"/>
      <c r="O84" s="589"/>
      <c r="P84" s="589"/>
      <c r="Q84" s="589"/>
      <c r="R84" s="589"/>
      <c r="S84" s="589"/>
      <c r="T84" s="589"/>
      <c r="U84" s="589"/>
      <c r="V84" s="589"/>
      <c r="W84" s="589"/>
      <c r="X84" s="589"/>
      <c r="Y84" s="589"/>
      <c r="AA84" s="589"/>
      <c r="AB84" s="589"/>
      <c r="AC84" s="589"/>
      <c r="AD84" s="589"/>
    </row>
    <row r="85" spans="1:30">
      <c r="B85" s="626"/>
      <c r="C85" s="638"/>
      <c r="D85" s="629"/>
      <c r="E85" s="636"/>
      <c r="H85" s="637"/>
      <c r="I85" s="589">
        <f t="shared" si="0"/>
        <v>0</v>
      </c>
      <c r="K85" s="589"/>
      <c r="L85" s="589"/>
      <c r="M85" s="589"/>
      <c r="N85" s="589"/>
      <c r="O85" s="589"/>
      <c r="P85" s="589"/>
      <c r="Q85" s="589"/>
      <c r="R85" s="589"/>
      <c r="S85" s="589"/>
      <c r="T85" s="589"/>
      <c r="U85" s="589"/>
      <c r="V85" s="589"/>
      <c r="W85" s="589"/>
      <c r="X85" s="589"/>
      <c r="Y85" s="589"/>
      <c r="AA85" s="589"/>
      <c r="AB85" s="589"/>
      <c r="AC85" s="589"/>
      <c r="AD85" s="589"/>
    </row>
    <row r="86" spans="1:30">
      <c r="A86" s="329" t="s">
        <v>4171</v>
      </c>
      <c r="B86" s="626"/>
      <c r="C86" s="638" t="s">
        <v>1650</v>
      </c>
      <c r="D86" s="629" t="s">
        <v>1307</v>
      </c>
      <c r="E86" s="775" t="s">
        <v>1774</v>
      </c>
      <c r="H86" s="634" t="s">
        <v>1774</v>
      </c>
      <c r="I86" s="589">
        <f t="shared" si="0"/>
        <v>0</v>
      </c>
      <c r="K86" s="589"/>
      <c r="L86" s="589"/>
      <c r="M86" s="589"/>
      <c r="N86" s="589"/>
      <c r="O86" s="589"/>
      <c r="P86" s="589"/>
      <c r="Q86" s="589"/>
      <c r="R86" s="589"/>
      <c r="S86" s="589"/>
      <c r="T86" s="589"/>
      <c r="U86" s="589"/>
      <c r="V86" s="589"/>
      <c r="W86" s="589"/>
      <c r="X86" s="589"/>
      <c r="Y86" s="589"/>
      <c r="AA86" s="589"/>
      <c r="AB86" s="589"/>
      <c r="AC86" s="589"/>
      <c r="AD86" s="589"/>
    </row>
    <row r="87" spans="1:30">
      <c r="A87" s="329" t="s">
        <v>1651</v>
      </c>
      <c r="B87" s="626"/>
      <c r="C87" s="628" t="s">
        <v>1652</v>
      </c>
      <c r="D87" s="629" t="s">
        <v>1307</v>
      </c>
      <c r="E87" s="775" t="s">
        <v>1774</v>
      </c>
      <c r="H87" s="634" t="s">
        <v>1774</v>
      </c>
      <c r="I87" s="589">
        <f t="shared" si="0"/>
        <v>0</v>
      </c>
      <c r="K87" s="589"/>
      <c r="L87" s="589"/>
      <c r="M87" s="589"/>
      <c r="N87" s="589"/>
      <c r="O87" s="589"/>
      <c r="P87" s="589"/>
      <c r="Q87" s="589"/>
      <c r="R87" s="589"/>
      <c r="S87" s="589"/>
      <c r="T87" s="589"/>
      <c r="U87" s="589"/>
      <c r="V87" s="589"/>
      <c r="W87" s="589"/>
      <c r="X87" s="589"/>
      <c r="Y87" s="589"/>
      <c r="AA87" s="589"/>
      <c r="AB87" s="589"/>
      <c r="AC87" s="589"/>
      <c r="AD87" s="589"/>
    </row>
    <row r="88" spans="1:30">
      <c r="B88" s="626"/>
      <c r="C88" s="628"/>
      <c r="D88" s="629"/>
      <c r="E88" s="636"/>
      <c r="H88" s="637"/>
      <c r="I88" s="589">
        <f t="shared" si="0"/>
        <v>0</v>
      </c>
      <c r="K88" s="589"/>
      <c r="L88" s="589"/>
      <c r="M88" s="589"/>
      <c r="N88" s="589"/>
      <c r="O88" s="589"/>
      <c r="P88" s="589"/>
      <c r="Q88" s="589"/>
      <c r="R88" s="589"/>
      <c r="S88" s="589"/>
      <c r="T88" s="589"/>
      <c r="U88" s="589"/>
      <c r="V88" s="589"/>
      <c r="W88" s="589"/>
      <c r="X88" s="589"/>
      <c r="Y88" s="589"/>
      <c r="AA88" s="589"/>
      <c r="AB88" s="589"/>
      <c r="AC88" s="589"/>
      <c r="AD88" s="589"/>
    </row>
    <row r="89" spans="1:30">
      <c r="A89" s="329" t="s">
        <v>1653</v>
      </c>
      <c r="B89" s="626">
        <v>87328533</v>
      </c>
      <c r="C89" s="575" t="s">
        <v>1654</v>
      </c>
      <c r="D89" s="571" t="s">
        <v>1307</v>
      </c>
      <c r="E89" s="775" t="s">
        <v>1774</v>
      </c>
      <c r="H89" s="634" t="s">
        <v>1774</v>
      </c>
      <c r="I89" s="589">
        <f t="shared" si="0"/>
        <v>0</v>
      </c>
      <c r="K89" s="589"/>
      <c r="L89" s="589"/>
      <c r="M89" s="589"/>
      <c r="N89" s="589"/>
      <c r="O89" s="589"/>
      <c r="P89" s="589"/>
      <c r="Q89" s="589"/>
      <c r="R89" s="589"/>
      <c r="S89" s="589"/>
      <c r="T89" s="589"/>
      <c r="U89" s="589"/>
      <c r="V89" s="589"/>
      <c r="W89" s="589"/>
      <c r="X89" s="589"/>
      <c r="Y89" s="589"/>
      <c r="AA89" s="589"/>
      <c r="AB89" s="589"/>
      <c r="AC89" s="589"/>
      <c r="AD89" s="589"/>
    </row>
    <row r="90" spans="1:30">
      <c r="A90" s="329" t="s">
        <v>1655</v>
      </c>
      <c r="B90" s="626">
        <v>87351120</v>
      </c>
      <c r="C90" s="627" t="s">
        <v>4777</v>
      </c>
      <c r="D90" s="571" t="s">
        <v>1307</v>
      </c>
      <c r="E90" s="775" t="s">
        <v>1774</v>
      </c>
      <c r="H90" s="634" t="s">
        <v>1774</v>
      </c>
      <c r="I90" s="589">
        <f t="shared" si="0"/>
        <v>0</v>
      </c>
      <c r="K90" s="589"/>
      <c r="L90" s="589"/>
      <c r="M90" s="589"/>
      <c r="N90" s="589"/>
      <c r="O90" s="589"/>
      <c r="P90" s="589"/>
      <c r="Q90" s="589"/>
      <c r="R90" s="589"/>
      <c r="S90" s="589"/>
      <c r="T90" s="589"/>
      <c r="U90" s="589"/>
      <c r="V90" s="589"/>
      <c r="W90" s="589"/>
      <c r="X90" s="589"/>
      <c r="Y90" s="589"/>
      <c r="AA90" s="589"/>
      <c r="AB90" s="589"/>
      <c r="AC90" s="589"/>
      <c r="AD90" s="589"/>
    </row>
    <row r="91" spans="1:30">
      <c r="B91" s="626"/>
      <c r="C91" s="627"/>
      <c r="D91" s="571"/>
      <c r="E91" s="636"/>
      <c r="H91" s="637"/>
      <c r="I91" s="589">
        <f t="shared" si="0"/>
        <v>0</v>
      </c>
      <c r="K91" s="589"/>
      <c r="L91" s="589"/>
      <c r="M91" s="589"/>
      <c r="N91" s="589"/>
      <c r="O91" s="589"/>
      <c r="P91" s="589"/>
      <c r="Q91" s="589"/>
      <c r="R91" s="589"/>
      <c r="S91" s="589"/>
      <c r="T91" s="589"/>
      <c r="U91" s="589"/>
      <c r="V91" s="589"/>
      <c r="W91" s="589"/>
      <c r="X91" s="589"/>
      <c r="Y91" s="589"/>
      <c r="AA91" s="589"/>
      <c r="AB91" s="589"/>
      <c r="AC91" s="589"/>
      <c r="AD91" s="589"/>
    </row>
    <row r="92" spans="1:30">
      <c r="A92" s="329" t="s">
        <v>4778</v>
      </c>
      <c r="B92" s="626">
        <v>87328535</v>
      </c>
      <c r="C92" s="627" t="s">
        <v>4779</v>
      </c>
      <c r="D92" s="571" t="s">
        <v>1307</v>
      </c>
      <c r="E92" s="775" t="s">
        <v>1774</v>
      </c>
      <c r="H92" s="634" t="s">
        <v>1774</v>
      </c>
      <c r="I92" s="589">
        <f t="shared" si="0"/>
        <v>0</v>
      </c>
      <c r="K92" s="589"/>
      <c r="L92" s="589"/>
      <c r="M92" s="589"/>
      <c r="N92" s="589"/>
      <c r="O92" s="589"/>
      <c r="P92" s="589"/>
      <c r="Q92" s="589"/>
      <c r="R92" s="589"/>
      <c r="S92" s="589"/>
      <c r="T92" s="589"/>
      <c r="U92" s="589"/>
      <c r="V92" s="589"/>
      <c r="W92" s="589"/>
      <c r="X92" s="589"/>
      <c r="Y92" s="589"/>
      <c r="AA92" s="589"/>
      <c r="AB92" s="589"/>
      <c r="AC92" s="589"/>
      <c r="AD92" s="589"/>
    </row>
    <row r="93" spans="1:30">
      <c r="A93" s="329" t="s">
        <v>4780</v>
      </c>
      <c r="B93" s="626">
        <v>0</v>
      </c>
      <c r="C93" s="628" t="s">
        <v>645</v>
      </c>
      <c r="D93" s="629" t="s">
        <v>1307</v>
      </c>
      <c r="E93" s="775" t="s">
        <v>1774</v>
      </c>
      <c r="H93" s="634" t="s">
        <v>1774</v>
      </c>
      <c r="I93" s="589">
        <f t="shared" si="0"/>
        <v>0</v>
      </c>
      <c r="K93" s="589"/>
      <c r="L93" s="589"/>
      <c r="M93" s="589"/>
      <c r="N93" s="589"/>
      <c r="O93" s="589"/>
      <c r="P93" s="589"/>
      <c r="Q93" s="589"/>
      <c r="R93" s="589"/>
      <c r="S93" s="589"/>
      <c r="T93" s="589"/>
      <c r="U93" s="589"/>
      <c r="V93" s="589"/>
      <c r="W93" s="589"/>
      <c r="X93" s="589"/>
      <c r="Y93" s="589"/>
      <c r="AA93" s="589"/>
      <c r="AB93" s="589"/>
      <c r="AC93" s="589"/>
      <c r="AD93" s="589"/>
    </row>
    <row r="94" spans="1:30">
      <c r="B94" s="626"/>
      <c r="C94" s="628"/>
      <c r="D94" s="629"/>
      <c r="E94" s="636"/>
      <c r="H94" s="637"/>
      <c r="I94" s="589">
        <f t="shared" si="0"/>
        <v>0</v>
      </c>
      <c r="K94" s="589"/>
      <c r="L94" s="589"/>
      <c r="M94" s="589"/>
      <c r="N94" s="589"/>
      <c r="O94" s="589"/>
      <c r="P94" s="589"/>
      <c r="Q94" s="589"/>
      <c r="R94" s="589"/>
      <c r="S94" s="589"/>
      <c r="T94" s="589"/>
      <c r="U94" s="589"/>
      <c r="V94" s="589"/>
      <c r="W94" s="589"/>
      <c r="X94" s="589"/>
      <c r="Y94" s="589"/>
      <c r="AA94" s="589"/>
      <c r="AB94" s="589"/>
      <c r="AC94" s="589"/>
      <c r="AD94" s="589"/>
    </row>
    <row r="95" spans="1:30">
      <c r="A95" s="329" t="s">
        <v>646</v>
      </c>
      <c r="B95" s="626">
        <v>0</v>
      </c>
      <c r="C95" s="628" t="s">
        <v>4144</v>
      </c>
      <c r="D95" s="629" t="s">
        <v>1307</v>
      </c>
      <c r="E95" s="775" t="s">
        <v>1774</v>
      </c>
      <c r="H95" s="634" t="s">
        <v>1774</v>
      </c>
      <c r="I95" s="589">
        <f t="shared" ref="I95:I133" si="1">IF(E95=H95,0,1)</f>
        <v>0</v>
      </c>
      <c r="K95" s="589"/>
      <c r="L95" s="589"/>
      <c r="M95" s="589"/>
      <c r="N95" s="589"/>
      <c r="O95" s="589"/>
      <c r="P95" s="589"/>
      <c r="Q95" s="589"/>
      <c r="R95" s="589"/>
      <c r="S95" s="589"/>
      <c r="T95" s="589"/>
      <c r="U95" s="589"/>
      <c r="V95" s="589"/>
      <c r="W95" s="589"/>
      <c r="X95" s="589"/>
      <c r="Y95" s="589"/>
      <c r="AA95" s="589"/>
      <c r="AB95" s="589"/>
      <c r="AC95" s="589"/>
      <c r="AD95" s="589"/>
    </row>
    <row r="96" spans="1:30">
      <c r="A96" s="329" t="s">
        <v>4145</v>
      </c>
      <c r="B96" s="626">
        <v>0</v>
      </c>
      <c r="C96" s="628" t="s">
        <v>2482</v>
      </c>
      <c r="D96" s="629" t="s">
        <v>1307</v>
      </c>
      <c r="E96" s="775" t="s">
        <v>1774</v>
      </c>
      <c r="H96" s="634" t="s">
        <v>1774</v>
      </c>
      <c r="I96" s="589">
        <f t="shared" si="1"/>
        <v>0</v>
      </c>
      <c r="K96" s="589"/>
      <c r="L96" s="589"/>
      <c r="M96" s="589"/>
      <c r="N96" s="589"/>
      <c r="O96" s="589"/>
      <c r="P96" s="589"/>
      <c r="Q96" s="589"/>
      <c r="R96" s="589"/>
      <c r="S96" s="589"/>
      <c r="T96" s="589"/>
      <c r="U96" s="589"/>
      <c r="V96" s="589"/>
      <c r="W96" s="589"/>
      <c r="X96" s="589"/>
      <c r="Y96" s="589"/>
      <c r="AA96" s="589"/>
      <c r="AB96" s="589"/>
      <c r="AC96" s="589"/>
      <c r="AD96" s="589"/>
    </row>
    <row r="97" spans="1:30">
      <c r="A97" s="610" t="s">
        <v>6012</v>
      </c>
      <c r="B97" s="611"/>
      <c r="C97" s="612"/>
      <c r="D97" s="613"/>
      <c r="E97" s="639"/>
      <c r="F97" s="329"/>
      <c r="H97" s="640"/>
      <c r="I97" s="589">
        <f t="shared" si="1"/>
        <v>0</v>
      </c>
      <c r="K97" s="589"/>
      <c r="L97" s="589"/>
      <c r="M97" s="589"/>
      <c r="N97" s="589"/>
      <c r="O97" s="589"/>
      <c r="P97" s="589"/>
      <c r="Q97" s="589"/>
      <c r="R97" s="589"/>
      <c r="S97" s="589"/>
      <c r="T97" s="589"/>
      <c r="U97" s="589"/>
      <c r="V97" s="589"/>
      <c r="W97" s="589"/>
      <c r="X97" s="589"/>
      <c r="Y97" s="589"/>
      <c r="AA97" s="589"/>
      <c r="AB97" s="589"/>
      <c r="AC97" s="589"/>
      <c r="AD97" s="589"/>
    </row>
    <row r="98" spans="1:30">
      <c r="A98" s="329" t="s">
        <v>6013</v>
      </c>
      <c r="B98" s="626">
        <v>34274018</v>
      </c>
      <c r="C98" s="575" t="s">
        <v>6014</v>
      </c>
      <c r="D98" s="571" t="s">
        <v>1307</v>
      </c>
      <c r="E98" s="776">
        <v>963034</v>
      </c>
      <c r="H98" s="633">
        <v>963034</v>
      </c>
      <c r="I98" s="589">
        <f t="shared" si="1"/>
        <v>0</v>
      </c>
      <c r="K98" s="589"/>
      <c r="L98" s="589"/>
      <c r="M98" s="589"/>
      <c r="N98" s="589"/>
      <c r="O98" s="589"/>
      <c r="P98" s="589"/>
      <c r="Q98" s="589"/>
      <c r="R98" s="589"/>
      <c r="S98" s="589"/>
      <c r="T98" s="589"/>
      <c r="U98" s="589"/>
      <c r="V98" s="589"/>
      <c r="W98" s="589"/>
      <c r="X98" s="589"/>
      <c r="Y98" s="589"/>
      <c r="AA98" s="589"/>
      <c r="AB98" s="589"/>
      <c r="AC98" s="589"/>
      <c r="AD98" s="589"/>
    </row>
    <row r="99" spans="1:30">
      <c r="B99" s="626"/>
      <c r="C99" s="627"/>
      <c r="D99" s="571"/>
      <c r="E99" s="641"/>
      <c r="H99" s="641"/>
      <c r="I99" s="589">
        <f t="shared" si="1"/>
        <v>0</v>
      </c>
      <c r="K99" s="589"/>
      <c r="L99" s="589"/>
      <c r="M99" s="589"/>
      <c r="N99" s="589"/>
      <c r="O99" s="589"/>
      <c r="P99" s="589"/>
      <c r="Q99" s="589"/>
      <c r="R99" s="589"/>
      <c r="S99" s="589"/>
      <c r="T99" s="589"/>
      <c r="U99" s="589"/>
      <c r="V99" s="589"/>
      <c r="W99" s="589"/>
      <c r="X99" s="589"/>
      <c r="Y99" s="589"/>
      <c r="AA99" s="589"/>
      <c r="AB99" s="589"/>
      <c r="AC99" s="589"/>
      <c r="AD99" s="589"/>
    </row>
    <row r="100" spans="1:30">
      <c r="A100" s="329" t="s">
        <v>168</v>
      </c>
      <c r="B100" s="626">
        <v>33022625</v>
      </c>
      <c r="C100" s="627" t="s">
        <v>6015</v>
      </c>
      <c r="D100" s="571" t="s">
        <v>1307</v>
      </c>
      <c r="E100" s="776">
        <v>972300</v>
      </c>
      <c r="H100" s="633">
        <v>955234</v>
      </c>
      <c r="I100" s="589">
        <f t="shared" si="1"/>
        <v>1</v>
      </c>
      <c r="K100" s="589"/>
      <c r="L100" s="589"/>
      <c r="M100" s="589"/>
      <c r="N100" s="589"/>
      <c r="O100" s="589"/>
      <c r="P100" s="589"/>
      <c r="Q100" s="589"/>
      <c r="R100" s="589"/>
      <c r="S100" s="589"/>
      <c r="T100" s="589"/>
      <c r="U100" s="589"/>
      <c r="V100" s="589"/>
      <c r="W100" s="589"/>
      <c r="X100" s="589"/>
      <c r="Y100" s="589"/>
      <c r="AA100" s="589"/>
      <c r="AB100" s="589"/>
      <c r="AC100" s="589"/>
      <c r="AD100" s="589"/>
    </row>
    <row r="101" spans="1:30">
      <c r="A101" s="329" t="s">
        <v>6016</v>
      </c>
      <c r="B101" s="626">
        <v>33022627</v>
      </c>
      <c r="C101" s="627" t="s">
        <v>6017</v>
      </c>
      <c r="D101" s="571" t="s">
        <v>1307</v>
      </c>
      <c r="E101" s="641"/>
      <c r="H101" s="641"/>
      <c r="I101" s="589">
        <f t="shared" si="1"/>
        <v>0</v>
      </c>
      <c r="K101" s="589"/>
      <c r="L101" s="589"/>
      <c r="M101" s="589"/>
      <c r="N101" s="589"/>
      <c r="O101" s="589"/>
      <c r="P101" s="589"/>
      <c r="Q101" s="589"/>
      <c r="R101" s="589"/>
      <c r="S101" s="589"/>
      <c r="T101" s="589"/>
      <c r="U101" s="589"/>
      <c r="V101" s="589"/>
      <c r="W101" s="589"/>
      <c r="X101" s="589"/>
      <c r="Y101" s="589"/>
      <c r="AA101" s="589"/>
      <c r="AB101" s="589"/>
      <c r="AC101" s="589"/>
      <c r="AD101" s="589"/>
    </row>
    <row r="102" spans="1:30">
      <c r="A102" s="329" t="s">
        <v>6018</v>
      </c>
      <c r="B102" s="626">
        <v>33056421</v>
      </c>
      <c r="C102" s="627" t="s">
        <v>1289</v>
      </c>
      <c r="D102" s="571" t="s">
        <v>1307</v>
      </c>
      <c r="E102" s="641"/>
      <c r="H102" s="641"/>
      <c r="I102" s="589">
        <f t="shared" si="1"/>
        <v>0</v>
      </c>
      <c r="K102" s="589"/>
      <c r="L102" s="589"/>
      <c r="M102" s="589"/>
      <c r="N102" s="589"/>
      <c r="O102" s="589"/>
      <c r="P102" s="589"/>
      <c r="Q102" s="589"/>
      <c r="R102" s="589"/>
      <c r="S102" s="589"/>
      <c r="T102" s="589"/>
      <c r="U102" s="589"/>
      <c r="V102" s="589"/>
      <c r="W102" s="589"/>
      <c r="X102" s="589"/>
      <c r="Y102" s="589"/>
      <c r="AA102" s="589"/>
      <c r="AB102" s="589"/>
      <c r="AC102" s="589"/>
      <c r="AD102" s="589"/>
    </row>
    <row r="103" spans="1:30">
      <c r="B103" s="626"/>
      <c r="C103" s="627"/>
      <c r="D103" s="571"/>
      <c r="E103" s="641"/>
      <c r="H103" s="641"/>
      <c r="I103" s="589">
        <f t="shared" si="1"/>
        <v>0</v>
      </c>
      <c r="K103" s="589"/>
      <c r="L103" s="589"/>
      <c r="M103" s="589"/>
      <c r="N103" s="589"/>
      <c r="O103" s="589"/>
      <c r="P103" s="589"/>
      <c r="Q103" s="589"/>
      <c r="R103" s="589"/>
      <c r="S103" s="589"/>
      <c r="T103" s="589"/>
      <c r="U103" s="589"/>
      <c r="V103" s="589"/>
      <c r="W103" s="589"/>
      <c r="X103" s="589"/>
      <c r="Y103" s="589"/>
      <c r="AA103" s="589"/>
      <c r="AB103" s="589"/>
      <c r="AC103" s="589"/>
      <c r="AD103" s="589"/>
    </row>
    <row r="104" spans="1:30">
      <c r="A104" s="329" t="s">
        <v>1290</v>
      </c>
      <c r="B104" s="626">
        <v>33085100</v>
      </c>
      <c r="C104" s="575" t="s">
        <v>1291</v>
      </c>
      <c r="D104" s="571" t="s">
        <v>1307</v>
      </c>
      <c r="E104" s="776">
        <v>1400000</v>
      </c>
      <c r="H104" s="641">
        <v>1400000</v>
      </c>
      <c r="I104" s="589">
        <f t="shared" si="1"/>
        <v>0</v>
      </c>
      <c r="K104" s="589"/>
      <c r="L104" s="589"/>
      <c r="M104" s="589"/>
      <c r="N104" s="589"/>
      <c r="O104" s="589"/>
      <c r="P104" s="589"/>
      <c r="Q104" s="589"/>
      <c r="R104" s="589"/>
      <c r="S104" s="589"/>
      <c r="T104" s="589"/>
      <c r="U104" s="589"/>
      <c r="V104" s="589"/>
      <c r="W104" s="589"/>
      <c r="X104" s="589"/>
      <c r="Y104" s="589"/>
      <c r="AA104" s="589"/>
      <c r="AB104" s="589"/>
      <c r="AC104" s="589"/>
      <c r="AD104" s="589"/>
    </row>
    <row r="105" spans="1:30">
      <c r="A105" s="329" t="s">
        <v>1292</v>
      </c>
      <c r="B105" s="626">
        <v>33056435</v>
      </c>
      <c r="C105" s="575" t="s">
        <v>1293</v>
      </c>
      <c r="D105" s="571" t="s">
        <v>1294</v>
      </c>
      <c r="E105" s="776">
        <v>1650000</v>
      </c>
      <c r="H105" s="641">
        <v>1650000</v>
      </c>
      <c r="I105" s="589">
        <f t="shared" si="1"/>
        <v>0</v>
      </c>
      <c r="K105" s="589"/>
      <c r="L105" s="589"/>
      <c r="M105" s="589"/>
      <c r="N105" s="589"/>
      <c r="O105" s="589"/>
      <c r="P105" s="589"/>
      <c r="Q105" s="589"/>
      <c r="R105" s="589"/>
      <c r="S105" s="589"/>
      <c r="T105" s="589"/>
      <c r="U105" s="589"/>
      <c r="V105" s="589"/>
      <c r="W105" s="589"/>
      <c r="X105" s="589"/>
      <c r="Y105" s="589"/>
      <c r="AA105" s="589"/>
      <c r="AB105" s="589"/>
      <c r="AC105" s="589"/>
      <c r="AD105" s="589"/>
    </row>
    <row r="106" spans="1:30">
      <c r="B106" s="626"/>
      <c r="C106" s="575"/>
      <c r="D106" s="571"/>
      <c r="E106" s="641"/>
      <c r="H106" s="641"/>
      <c r="I106" s="589">
        <f t="shared" si="1"/>
        <v>0</v>
      </c>
      <c r="K106" s="589"/>
      <c r="L106" s="589"/>
      <c r="M106" s="589"/>
      <c r="N106" s="589"/>
      <c r="O106" s="589"/>
      <c r="P106" s="589"/>
      <c r="Q106" s="589"/>
      <c r="R106" s="589"/>
      <c r="S106" s="589"/>
      <c r="T106" s="589"/>
      <c r="U106" s="589"/>
      <c r="V106" s="589"/>
      <c r="W106" s="589"/>
      <c r="X106" s="589"/>
      <c r="Y106" s="589"/>
      <c r="AA106" s="589"/>
      <c r="AB106" s="589"/>
      <c r="AC106" s="589"/>
      <c r="AD106" s="589"/>
    </row>
    <row r="107" spans="1:30">
      <c r="A107" s="329" t="s">
        <v>1295</v>
      </c>
      <c r="B107" s="626"/>
      <c r="C107" s="628" t="s">
        <v>1296</v>
      </c>
      <c r="D107" s="629" t="s">
        <v>1297</v>
      </c>
      <c r="E107" s="641"/>
      <c r="H107" s="641"/>
      <c r="I107" s="589">
        <f t="shared" si="1"/>
        <v>0</v>
      </c>
      <c r="K107" s="589"/>
      <c r="L107" s="589"/>
      <c r="M107" s="589"/>
      <c r="N107" s="589"/>
      <c r="O107" s="589"/>
      <c r="P107" s="589"/>
      <c r="Q107" s="589"/>
      <c r="R107" s="589"/>
      <c r="S107" s="589"/>
      <c r="T107" s="589"/>
      <c r="U107" s="589"/>
      <c r="V107" s="589"/>
      <c r="W107" s="589"/>
      <c r="X107" s="589"/>
      <c r="Y107" s="589"/>
      <c r="AA107" s="589"/>
      <c r="AB107" s="589"/>
      <c r="AC107" s="589"/>
      <c r="AD107" s="589"/>
    </row>
    <row r="108" spans="1:30">
      <c r="B108" s="626"/>
      <c r="C108" s="628"/>
      <c r="D108" s="629"/>
      <c r="E108" s="641"/>
      <c r="H108" s="641"/>
      <c r="I108" s="589">
        <f t="shared" si="1"/>
        <v>0</v>
      </c>
      <c r="K108" s="589"/>
      <c r="L108" s="589"/>
      <c r="M108" s="589"/>
      <c r="N108" s="589"/>
      <c r="O108" s="589"/>
      <c r="P108" s="589"/>
      <c r="Q108" s="589"/>
      <c r="R108" s="589"/>
      <c r="S108" s="589"/>
      <c r="T108" s="589"/>
      <c r="U108" s="589"/>
      <c r="V108" s="589"/>
      <c r="W108" s="589"/>
      <c r="X108" s="589"/>
      <c r="Y108" s="589"/>
      <c r="AA108" s="589"/>
      <c r="AB108" s="589"/>
      <c r="AC108" s="589"/>
      <c r="AD108" s="589"/>
    </row>
    <row r="109" spans="1:30">
      <c r="A109" s="329" t="s">
        <v>1298</v>
      </c>
      <c r="B109" s="626">
        <v>34215240</v>
      </c>
      <c r="C109" s="627" t="s">
        <v>1299</v>
      </c>
      <c r="D109" s="571" t="s">
        <v>1307</v>
      </c>
      <c r="E109" s="641"/>
      <c r="H109" s="641"/>
      <c r="I109" s="589">
        <f t="shared" si="1"/>
        <v>0</v>
      </c>
      <c r="K109" s="589"/>
      <c r="L109" s="589"/>
      <c r="M109" s="589"/>
      <c r="N109" s="589"/>
      <c r="O109" s="589"/>
      <c r="P109" s="589"/>
      <c r="Q109" s="589"/>
      <c r="R109" s="589"/>
      <c r="S109" s="589"/>
      <c r="T109" s="589"/>
      <c r="U109" s="589"/>
      <c r="V109" s="589"/>
      <c r="W109" s="589"/>
      <c r="X109" s="589"/>
      <c r="Y109" s="589"/>
      <c r="AA109" s="589"/>
      <c r="AB109" s="589"/>
      <c r="AC109" s="589"/>
      <c r="AD109" s="589"/>
    </row>
    <row r="110" spans="1:30">
      <c r="A110" s="329" t="s">
        <v>1300</v>
      </c>
      <c r="B110" s="626"/>
      <c r="C110" s="627" t="s">
        <v>1301</v>
      </c>
      <c r="D110" s="571" t="s">
        <v>1307</v>
      </c>
      <c r="E110" s="641"/>
      <c r="H110" s="641"/>
      <c r="I110" s="589">
        <f t="shared" si="1"/>
        <v>0</v>
      </c>
      <c r="K110" s="589"/>
      <c r="L110" s="589"/>
      <c r="M110" s="589"/>
      <c r="N110" s="589"/>
      <c r="O110" s="589"/>
      <c r="P110" s="589"/>
      <c r="Q110" s="589"/>
      <c r="R110" s="589"/>
      <c r="S110" s="589"/>
      <c r="T110" s="589"/>
      <c r="U110" s="589"/>
      <c r="V110" s="589"/>
      <c r="W110" s="589"/>
      <c r="X110" s="589"/>
      <c r="Y110" s="589"/>
      <c r="AA110" s="589"/>
      <c r="AB110" s="589"/>
      <c r="AC110" s="589"/>
      <c r="AD110" s="589"/>
    </row>
    <row r="111" spans="1:30">
      <c r="A111" s="329" t="s">
        <v>1302</v>
      </c>
      <c r="B111" s="626"/>
      <c r="C111" s="627" t="s">
        <v>1303</v>
      </c>
      <c r="D111" s="571" t="s">
        <v>1297</v>
      </c>
      <c r="E111" s="776">
        <v>7000000</v>
      </c>
      <c r="H111" s="641"/>
      <c r="I111" s="589">
        <f t="shared" si="1"/>
        <v>1</v>
      </c>
      <c r="J111" s="30" t="s">
        <v>1304</v>
      </c>
      <c r="K111" s="589"/>
      <c r="L111" s="589"/>
      <c r="M111" s="589"/>
      <c r="N111" s="589"/>
      <c r="O111" s="589"/>
      <c r="P111" s="589"/>
      <c r="Q111" s="589"/>
      <c r="R111" s="589"/>
      <c r="S111" s="589"/>
      <c r="T111" s="589"/>
      <c r="U111" s="589"/>
      <c r="V111" s="589"/>
      <c r="W111" s="589"/>
      <c r="X111" s="589"/>
      <c r="Y111" s="589"/>
      <c r="AA111" s="589"/>
      <c r="AB111" s="589"/>
      <c r="AC111" s="589"/>
      <c r="AD111" s="589"/>
    </row>
    <row r="112" spans="1:30">
      <c r="B112" s="626"/>
      <c r="C112" s="627"/>
      <c r="D112" s="571"/>
      <c r="E112" s="641"/>
      <c r="H112" s="641"/>
      <c r="I112" s="589">
        <f t="shared" si="1"/>
        <v>0</v>
      </c>
      <c r="K112" s="589"/>
      <c r="L112" s="589"/>
      <c r="M112" s="589"/>
      <c r="N112" s="589"/>
      <c r="O112" s="589"/>
      <c r="P112" s="589"/>
      <c r="Q112" s="589"/>
      <c r="R112" s="589"/>
      <c r="S112" s="589"/>
      <c r="T112" s="589"/>
      <c r="U112" s="589"/>
      <c r="V112" s="589"/>
      <c r="W112" s="589"/>
      <c r="X112" s="589"/>
      <c r="Y112" s="589"/>
      <c r="AA112" s="589"/>
      <c r="AB112" s="589"/>
      <c r="AC112" s="589"/>
      <c r="AD112" s="589"/>
    </row>
    <row r="113" spans="1:30">
      <c r="A113" s="329" t="s">
        <v>1305</v>
      </c>
      <c r="B113" s="626">
        <v>33050246</v>
      </c>
      <c r="C113" s="627" t="s">
        <v>5268</v>
      </c>
      <c r="D113" s="571" t="s">
        <v>1307</v>
      </c>
      <c r="E113" s="641"/>
      <c r="H113" s="641"/>
      <c r="I113" s="589">
        <f t="shared" si="1"/>
        <v>0</v>
      </c>
      <c r="K113" s="589"/>
      <c r="L113" s="589"/>
      <c r="M113" s="589"/>
      <c r="N113" s="589"/>
      <c r="O113" s="589"/>
      <c r="P113" s="589"/>
      <c r="Q113" s="589"/>
      <c r="R113" s="589"/>
      <c r="S113" s="589"/>
      <c r="T113" s="589"/>
      <c r="U113" s="589"/>
      <c r="V113" s="589"/>
      <c r="W113" s="589"/>
      <c r="X113" s="589"/>
      <c r="Y113" s="589"/>
      <c r="AA113" s="589"/>
      <c r="AB113" s="589"/>
      <c r="AC113" s="589"/>
      <c r="AD113" s="589"/>
    </row>
    <row r="114" spans="1:30">
      <c r="A114" s="329" t="s">
        <v>5269</v>
      </c>
      <c r="B114" s="626">
        <v>33050247</v>
      </c>
      <c r="C114" s="627" t="s">
        <v>1168</v>
      </c>
      <c r="D114" s="571" t="s">
        <v>1307</v>
      </c>
      <c r="E114" s="641"/>
      <c r="H114" s="641"/>
      <c r="I114" s="589">
        <f t="shared" si="1"/>
        <v>0</v>
      </c>
      <c r="K114" s="589"/>
      <c r="L114" s="589"/>
      <c r="M114" s="589"/>
      <c r="N114" s="589"/>
      <c r="O114" s="589"/>
      <c r="P114" s="589"/>
      <c r="Q114" s="589"/>
      <c r="R114" s="589"/>
      <c r="S114" s="589"/>
      <c r="T114" s="589"/>
      <c r="U114" s="589"/>
      <c r="V114" s="589"/>
      <c r="W114" s="589"/>
      <c r="X114" s="589"/>
      <c r="Y114" s="589"/>
      <c r="AA114" s="589"/>
      <c r="AB114" s="589"/>
      <c r="AC114" s="589"/>
      <c r="AD114" s="589"/>
    </row>
    <row r="115" spans="1:30">
      <c r="B115" s="626"/>
      <c r="C115" s="627"/>
      <c r="D115" s="571"/>
      <c r="E115" s="641"/>
      <c r="H115" s="641"/>
      <c r="I115" s="589">
        <f t="shared" si="1"/>
        <v>0</v>
      </c>
      <c r="K115" s="589"/>
      <c r="L115" s="589"/>
      <c r="M115" s="589"/>
      <c r="N115" s="589"/>
      <c r="O115" s="589"/>
      <c r="P115" s="589"/>
      <c r="Q115" s="589"/>
      <c r="R115" s="589"/>
      <c r="S115" s="589"/>
      <c r="T115" s="589"/>
      <c r="U115" s="589"/>
      <c r="V115" s="589"/>
      <c r="W115" s="589"/>
      <c r="X115" s="589"/>
      <c r="Y115" s="589"/>
      <c r="AA115" s="589"/>
      <c r="AB115" s="589"/>
      <c r="AC115" s="589"/>
      <c r="AD115" s="589"/>
    </row>
    <row r="116" spans="1:30">
      <c r="A116" s="329" t="s">
        <v>1169</v>
      </c>
      <c r="B116" s="626">
        <v>33057555</v>
      </c>
      <c r="C116" s="575" t="s">
        <v>1170</v>
      </c>
      <c r="D116" s="571" t="s">
        <v>1307</v>
      </c>
      <c r="E116" s="776">
        <v>21526</v>
      </c>
      <c r="H116" s="633">
        <v>21526</v>
      </c>
      <c r="I116" s="589">
        <f t="shared" si="1"/>
        <v>0</v>
      </c>
      <c r="K116" s="589"/>
      <c r="L116" s="589"/>
      <c r="M116" s="589"/>
      <c r="N116" s="589"/>
      <c r="O116" s="589"/>
      <c r="P116" s="589"/>
      <c r="Q116" s="589"/>
      <c r="R116" s="589"/>
      <c r="S116" s="589"/>
      <c r="T116" s="589"/>
      <c r="U116" s="589"/>
      <c r="V116" s="589"/>
      <c r="W116" s="589"/>
      <c r="X116" s="589"/>
      <c r="Y116" s="589"/>
      <c r="AA116" s="589"/>
      <c r="AB116" s="589"/>
      <c r="AC116" s="589"/>
      <c r="AD116" s="589"/>
    </row>
    <row r="117" spans="1:30">
      <c r="A117" s="329" t="s">
        <v>1171</v>
      </c>
      <c r="B117" s="626">
        <v>33057558</v>
      </c>
      <c r="C117" s="575" t="s">
        <v>1172</v>
      </c>
      <c r="D117" s="571" t="s">
        <v>1307</v>
      </c>
      <c r="E117" s="776">
        <v>23995</v>
      </c>
      <c r="H117" s="633">
        <v>23995</v>
      </c>
      <c r="I117" s="589">
        <f t="shared" si="1"/>
        <v>0</v>
      </c>
      <c r="K117" s="589"/>
      <c r="L117" s="589"/>
      <c r="M117" s="589"/>
      <c r="N117" s="589"/>
      <c r="O117" s="589"/>
      <c r="P117" s="589"/>
      <c r="Q117" s="589"/>
      <c r="R117" s="589"/>
      <c r="S117" s="589"/>
      <c r="T117" s="589"/>
      <c r="U117" s="589"/>
      <c r="V117" s="589"/>
      <c r="W117" s="589"/>
      <c r="X117" s="589"/>
      <c r="Y117" s="589"/>
      <c r="AA117" s="589"/>
      <c r="AB117" s="589"/>
      <c r="AC117" s="589"/>
      <c r="AD117" s="589"/>
    </row>
    <row r="118" spans="1:30">
      <c r="A118" s="329" t="s">
        <v>1173</v>
      </c>
      <c r="B118" s="626">
        <v>33057560</v>
      </c>
      <c r="C118" s="575" t="s">
        <v>1174</v>
      </c>
      <c r="D118" s="571" t="s">
        <v>1307</v>
      </c>
      <c r="E118" s="776">
        <v>20195</v>
      </c>
      <c r="H118" s="633">
        <v>20195</v>
      </c>
      <c r="I118" s="589">
        <f t="shared" si="1"/>
        <v>0</v>
      </c>
      <c r="K118" s="589"/>
      <c r="L118" s="589"/>
      <c r="M118" s="589"/>
      <c r="N118" s="589"/>
      <c r="O118" s="589"/>
      <c r="P118" s="589"/>
      <c r="Q118" s="589"/>
      <c r="R118" s="589"/>
      <c r="S118" s="589"/>
      <c r="T118" s="589"/>
      <c r="U118" s="589"/>
      <c r="V118" s="589"/>
      <c r="W118" s="589"/>
      <c r="X118" s="589"/>
      <c r="Y118" s="589"/>
      <c r="AA118" s="589"/>
      <c r="AB118" s="589"/>
      <c r="AC118" s="589"/>
      <c r="AD118" s="589"/>
    </row>
    <row r="119" spans="1:30">
      <c r="A119" s="329" t="s">
        <v>869</v>
      </c>
      <c r="B119" s="626">
        <v>33057562</v>
      </c>
      <c r="C119" s="575" t="s">
        <v>5996</v>
      </c>
      <c r="D119" s="571" t="s">
        <v>1307</v>
      </c>
      <c r="E119" s="776">
        <v>20859</v>
      </c>
      <c r="H119" s="633">
        <v>20859</v>
      </c>
      <c r="I119" s="589">
        <f t="shared" si="1"/>
        <v>0</v>
      </c>
      <c r="K119" s="589"/>
      <c r="L119" s="589"/>
      <c r="M119" s="589"/>
      <c r="N119" s="589"/>
      <c r="O119" s="589"/>
      <c r="P119" s="589"/>
      <c r="Q119" s="589"/>
      <c r="R119" s="589"/>
      <c r="S119" s="589"/>
      <c r="T119" s="589"/>
      <c r="U119" s="589"/>
      <c r="V119" s="589"/>
      <c r="W119" s="589"/>
      <c r="X119" s="589"/>
      <c r="Y119" s="589"/>
      <c r="AA119" s="589"/>
      <c r="AB119" s="589"/>
      <c r="AC119" s="589"/>
      <c r="AD119" s="589"/>
    </row>
    <row r="120" spans="1:30">
      <c r="A120" s="329" t="s">
        <v>5997</v>
      </c>
      <c r="B120" s="626">
        <v>33057564</v>
      </c>
      <c r="C120" s="575" t="s">
        <v>5998</v>
      </c>
      <c r="D120" s="571" t="s">
        <v>1307</v>
      </c>
      <c r="E120" s="776">
        <v>20252</v>
      </c>
      <c r="H120" s="633">
        <v>20252</v>
      </c>
      <c r="I120" s="589">
        <f t="shared" si="1"/>
        <v>0</v>
      </c>
      <c r="K120" s="589"/>
      <c r="L120" s="589"/>
      <c r="M120" s="589"/>
      <c r="N120" s="589"/>
      <c r="O120" s="589"/>
      <c r="P120" s="589"/>
      <c r="Q120" s="589"/>
      <c r="R120" s="589"/>
      <c r="S120" s="589"/>
      <c r="T120" s="589"/>
      <c r="U120" s="589"/>
      <c r="V120" s="589"/>
      <c r="W120" s="589"/>
      <c r="X120" s="589"/>
      <c r="Y120" s="589"/>
      <c r="AA120" s="589"/>
      <c r="AB120" s="589"/>
      <c r="AC120" s="589"/>
      <c r="AD120" s="589"/>
    </row>
    <row r="121" spans="1:30">
      <c r="A121" s="329" t="s">
        <v>5999</v>
      </c>
      <c r="B121" s="626">
        <v>33057566</v>
      </c>
      <c r="C121" s="575" t="s">
        <v>6000</v>
      </c>
      <c r="D121" s="571" t="s">
        <v>1307</v>
      </c>
      <c r="E121" s="776">
        <v>21670</v>
      </c>
      <c r="H121" s="633">
        <v>21670</v>
      </c>
      <c r="I121" s="589">
        <f t="shared" si="1"/>
        <v>0</v>
      </c>
      <c r="K121" s="589"/>
      <c r="L121" s="589"/>
      <c r="M121" s="589"/>
      <c r="N121" s="589"/>
      <c r="O121" s="589"/>
      <c r="P121" s="589"/>
      <c r="Q121" s="589"/>
      <c r="R121" s="589"/>
      <c r="S121" s="589"/>
      <c r="T121" s="589"/>
      <c r="U121" s="589"/>
      <c r="V121" s="589"/>
      <c r="W121" s="589"/>
      <c r="X121" s="589"/>
      <c r="Y121" s="589"/>
      <c r="AA121" s="589"/>
      <c r="AB121" s="589"/>
      <c r="AC121" s="589"/>
      <c r="AD121" s="589"/>
    </row>
    <row r="122" spans="1:30">
      <c r="A122" s="329" t="s">
        <v>6001</v>
      </c>
      <c r="B122" s="626">
        <v>33057568</v>
      </c>
      <c r="C122" s="575" t="s">
        <v>6002</v>
      </c>
      <c r="D122" s="571" t="s">
        <v>1307</v>
      </c>
      <c r="E122" s="776">
        <v>23205</v>
      </c>
      <c r="H122" s="633">
        <v>22576</v>
      </c>
      <c r="I122" s="589">
        <f t="shared" si="1"/>
        <v>1</v>
      </c>
      <c r="K122" s="589"/>
      <c r="L122" s="589"/>
      <c r="M122" s="589"/>
      <c r="N122" s="589"/>
      <c r="O122" s="589"/>
      <c r="P122" s="589"/>
      <c r="Q122" s="589"/>
      <c r="R122" s="589"/>
      <c r="S122" s="589"/>
      <c r="T122" s="589"/>
      <c r="U122" s="589"/>
      <c r="V122" s="589"/>
      <c r="W122" s="589"/>
      <c r="X122" s="589"/>
      <c r="Y122" s="589"/>
      <c r="AA122" s="589"/>
      <c r="AB122" s="589"/>
      <c r="AC122" s="589"/>
      <c r="AD122" s="589"/>
    </row>
    <row r="123" spans="1:30">
      <c r="A123" s="329" t="s">
        <v>5403</v>
      </c>
      <c r="B123" s="626">
        <v>33057570</v>
      </c>
      <c r="C123" s="575" t="s">
        <v>5108</v>
      </c>
      <c r="D123" s="571" t="s">
        <v>1307</v>
      </c>
      <c r="E123" s="776">
        <v>25236</v>
      </c>
      <c r="H123" s="633">
        <v>30236</v>
      </c>
      <c r="I123" s="589">
        <f t="shared" si="1"/>
        <v>1</v>
      </c>
      <c r="K123" s="589"/>
      <c r="L123" s="589"/>
      <c r="M123" s="589"/>
      <c r="N123" s="589"/>
      <c r="O123" s="589"/>
      <c r="P123" s="589"/>
      <c r="Q123" s="589"/>
      <c r="R123" s="589"/>
      <c r="S123" s="589"/>
      <c r="T123" s="589"/>
      <c r="U123" s="589"/>
      <c r="V123" s="589"/>
      <c r="W123" s="589"/>
      <c r="X123" s="589"/>
      <c r="Y123" s="589"/>
      <c r="AA123" s="589"/>
      <c r="AB123" s="589"/>
      <c r="AC123" s="589"/>
      <c r="AD123" s="589"/>
    </row>
    <row r="124" spans="1:30">
      <c r="A124" s="329" t="s">
        <v>3351</v>
      </c>
      <c r="B124" s="626">
        <v>33075572</v>
      </c>
      <c r="C124" s="575" t="s">
        <v>3352</v>
      </c>
      <c r="D124" s="571" t="s">
        <v>1307</v>
      </c>
      <c r="E124" s="776">
        <v>27195</v>
      </c>
      <c r="H124" s="633">
        <v>21307</v>
      </c>
      <c r="I124" s="589">
        <f t="shared" si="1"/>
        <v>1</v>
      </c>
      <c r="K124" s="589"/>
      <c r="L124" s="589"/>
      <c r="M124" s="589"/>
      <c r="N124" s="589"/>
      <c r="O124" s="589"/>
      <c r="P124" s="589"/>
      <c r="Q124" s="589"/>
      <c r="R124" s="589"/>
      <c r="S124" s="589"/>
      <c r="T124" s="589"/>
      <c r="U124" s="589"/>
      <c r="V124" s="589"/>
      <c r="W124" s="589"/>
      <c r="X124" s="589"/>
      <c r="Y124" s="589"/>
      <c r="AA124" s="589"/>
      <c r="AB124" s="589"/>
      <c r="AC124" s="589"/>
      <c r="AD124" s="589"/>
    </row>
    <row r="125" spans="1:30">
      <c r="A125" s="329" t="s">
        <v>3353</v>
      </c>
      <c r="B125" s="626">
        <v>33057574</v>
      </c>
      <c r="C125" s="575" t="s">
        <v>3354</v>
      </c>
      <c r="D125" s="571" t="s">
        <v>1307</v>
      </c>
      <c r="E125" s="776">
        <v>30460</v>
      </c>
      <c r="H125" s="633">
        <v>30460</v>
      </c>
      <c r="I125" s="589">
        <f t="shared" si="1"/>
        <v>0</v>
      </c>
      <c r="K125" s="589"/>
      <c r="L125" s="589"/>
      <c r="M125" s="589"/>
      <c r="N125" s="589"/>
      <c r="O125" s="589"/>
      <c r="P125" s="589"/>
      <c r="Q125" s="589"/>
      <c r="R125" s="589"/>
      <c r="S125" s="589"/>
      <c r="T125" s="589"/>
      <c r="U125" s="589"/>
      <c r="V125" s="589"/>
      <c r="W125" s="589"/>
      <c r="X125" s="589"/>
      <c r="Y125" s="589"/>
      <c r="AA125" s="589"/>
      <c r="AB125" s="589"/>
      <c r="AC125" s="589"/>
      <c r="AD125" s="589"/>
    </row>
    <row r="126" spans="1:30">
      <c r="A126" s="329" t="s">
        <v>3355</v>
      </c>
      <c r="B126" s="626">
        <v>33057575</v>
      </c>
      <c r="C126" s="575" t="s">
        <v>3356</v>
      </c>
      <c r="D126" s="571" t="s">
        <v>1307</v>
      </c>
      <c r="E126" s="776">
        <v>31827</v>
      </c>
      <c r="H126" s="633">
        <v>31827</v>
      </c>
      <c r="I126" s="589">
        <f t="shared" si="1"/>
        <v>0</v>
      </c>
      <c r="K126" s="589"/>
      <c r="L126" s="589"/>
      <c r="M126" s="589"/>
      <c r="N126" s="589"/>
      <c r="O126" s="589"/>
      <c r="P126" s="589"/>
      <c r="Q126" s="589"/>
      <c r="R126" s="589"/>
      <c r="S126" s="589"/>
      <c r="T126" s="589"/>
      <c r="U126" s="589"/>
      <c r="V126" s="589"/>
      <c r="W126" s="589"/>
      <c r="X126" s="589"/>
      <c r="Y126" s="589"/>
      <c r="AA126" s="589"/>
      <c r="AB126" s="589"/>
      <c r="AC126" s="589"/>
      <c r="AD126" s="589"/>
    </row>
    <row r="127" spans="1:30">
      <c r="A127" s="329" t="s">
        <v>3357</v>
      </c>
      <c r="B127" s="626">
        <v>33075576</v>
      </c>
      <c r="C127" s="575" t="s">
        <v>3358</v>
      </c>
      <c r="D127" s="571" t="s">
        <v>1307</v>
      </c>
      <c r="E127" s="776">
        <v>35805</v>
      </c>
      <c r="H127" s="633">
        <v>22117</v>
      </c>
      <c r="I127" s="589">
        <f t="shared" si="1"/>
        <v>1</v>
      </c>
      <c r="K127" s="589"/>
      <c r="L127" s="589"/>
      <c r="M127" s="589"/>
      <c r="N127" s="589"/>
      <c r="O127" s="589"/>
      <c r="P127" s="589"/>
      <c r="Q127" s="589"/>
      <c r="R127" s="589"/>
      <c r="S127" s="589"/>
      <c r="T127" s="589"/>
      <c r="U127" s="589"/>
      <c r="V127" s="589"/>
      <c r="W127" s="589"/>
      <c r="X127" s="589"/>
      <c r="Y127" s="589"/>
      <c r="AA127" s="589"/>
      <c r="AB127" s="589"/>
      <c r="AC127" s="589"/>
      <c r="AD127" s="589"/>
    </row>
    <row r="128" spans="1:30">
      <c r="A128" s="329" t="s">
        <v>3359</v>
      </c>
      <c r="B128" s="626">
        <v>33075578</v>
      </c>
      <c r="C128" s="575" t="s">
        <v>3360</v>
      </c>
      <c r="D128" s="571" t="s">
        <v>1307</v>
      </c>
      <c r="E128" s="776">
        <v>35919</v>
      </c>
      <c r="H128" s="633">
        <v>35919</v>
      </c>
      <c r="I128" s="589">
        <f t="shared" si="1"/>
        <v>0</v>
      </c>
      <c r="K128" s="589"/>
      <c r="L128" s="589"/>
      <c r="M128" s="589"/>
      <c r="N128" s="589"/>
      <c r="O128" s="589"/>
      <c r="P128" s="589"/>
      <c r="Q128" s="589"/>
      <c r="R128" s="589"/>
      <c r="S128" s="589"/>
      <c r="T128" s="589"/>
      <c r="U128" s="589"/>
      <c r="V128" s="589"/>
      <c r="W128" s="589"/>
      <c r="X128" s="589"/>
      <c r="Y128" s="589"/>
      <c r="AA128" s="589"/>
      <c r="AB128" s="589"/>
      <c r="AC128" s="589"/>
      <c r="AD128" s="589"/>
    </row>
    <row r="129" spans="1:30">
      <c r="A129" s="329" t="s">
        <v>3361</v>
      </c>
      <c r="B129" s="626">
        <v>33057579</v>
      </c>
      <c r="C129" s="575" t="s">
        <v>3362</v>
      </c>
      <c r="D129" s="571" t="s">
        <v>1307</v>
      </c>
      <c r="E129" s="776">
        <v>37685</v>
      </c>
      <c r="H129" s="633">
        <v>37685</v>
      </c>
      <c r="I129" s="589">
        <f t="shared" si="1"/>
        <v>0</v>
      </c>
      <c r="K129" s="589"/>
      <c r="L129" s="589"/>
      <c r="M129" s="589"/>
      <c r="N129" s="589"/>
      <c r="O129" s="589"/>
      <c r="P129" s="589"/>
      <c r="Q129" s="589"/>
      <c r="R129" s="589"/>
      <c r="S129" s="589"/>
      <c r="T129" s="589"/>
      <c r="U129" s="589"/>
      <c r="V129" s="589"/>
      <c r="W129" s="589"/>
      <c r="X129" s="589"/>
      <c r="Y129" s="589"/>
      <c r="AA129" s="589"/>
      <c r="AB129" s="589"/>
      <c r="AC129" s="589"/>
      <c r="AD129" s="589"/>
    </row>
    <row r="130" spans="1:30">
      <c r="A130" s="329" t="s">
        <v>3363</v>
      </c>
      <c r="B130" s="626">
        <v>33057580</v>
      </c>
      <c r="C130" s="575" t="s">
        <v>3364</v>
      </c>
      <c r="D130" s="571" t="s">
        <v>1307</v>
      </c>
      <c r="E130" s="776">
        <v>53555</v>
      </c>
      <c r="H130" s="633">
        <v>53555</v>
      </c>
      <c r="I130" s="589">
        <f t="shared" si="1"/>
        <v>0</v>
      </c>
      <c r="K130" s="589"/>
      <c r="L130" s="589"/>
      <c r="M130" s="589"/>
      <c r="N130" s="589"/>
      <c r="O130" s="589"/>
      <c r="P130" s="589"/>
      <c r="Q130" s="589"/>
      <c r="R130" s="589"/>
      <c r="S130" s="589"/>
      <c r="T130" s="589"/>
      <c r="U130" s="589"/>
      <c r="V130" s="589"/>
      <c r="W130" s="589"/>
      <c r="X130" s="589"/>
      <c r="Y130" s="589"/>
      <c r="AA130" s="589"/>
      <c r="AB130" s="589"/>
      <c r="AC130" s="589"/>
      <c r="AD130" s="589"/>
    </row>
    <row r="131" spans="1:30">
      <c r="A131" s="329" t="s">
        <v>3365</v>
      </c>
      <c r="B131" s="626">
        <v>33075582</v>
      </c>
      <c r="C131" s="575" t="s">
        <v>3366</v>
      </c>
      <c r="D131" s="571" t="s">
        <v>1307</v>
      </c>
      <c r="E131" s="776">
        <v>55230</v>
      </c>
      <c r="H131" s="633">
        <v>44826</v>
      </c>
      <c r="I131" s="589">
        <f t="shared" si="1"/>
        <v>1</v>
      </c>
      <c r="K131" s="589"/>
      <c r="L131" s="589"/>
      <c r="M131" s="589"/>
      <c r="N131" s="589"/>
      <c r="O131" s="589"/>
      <c r="P131" s="589"/>
      <c r="Q131" s="589"/>
      <c r="R131" s="589"/>
      <c r="S131" s="589"/>
      <c r="T131" s="589"/>
      <c r="U131" s="589"/>
      <c r="V131" s="589"/>
      <c r="W131" s="589"/>
      <c r="X131" s="589"/>
      <c r="Y131" s="589"/>
      <c r="AA131" s="589"/>
      <c r="AB131" s="589"/>
      <c r="AC131" s="589"/>
      <c r="AD131" s="589"/>
    </row>
    <row r="132" spans="1:30">
      <c r="A132" s="329" t="s">
        <v>3367</v>
      </c>
      <c r="B132" s="626">
        <v>33075588</v>
      </c>
      <c r="C132" s="575" t="s">
        <v>3368</v>
      </c>
      <c r="D132" s="571" t="s">
        <v>1307</v>
      </c>
      <c r="E132" s="776">
        <v>118440</v>
      </c>
      <c r="H132" s="633">
        <v>96503</v>
      </c>
      <c r="I132" s="589">
        <f t="shared" si="1"/>
        <v>1</v>
      </c>
      <c r="K132" s="589"/>
      <c r="L132" s="589"/>
      <c r="M132" s="589"/>
      <c r="N132" s="589"/>
      <c r="O132" s="589"/>
      <c r="P132" s="589"/>
      <c r="Q132" s="589"/>
      <c r="R132" s="589"/>
      <c r="S132" s="589"/>
      <c r="T132" s="589"/>
      <c r="U132" s="589"/>
      <c r="V132" s="589"/>
      <c r="W132" s="589"/>
      <c r="X132" s="589"/>
      <c r="Y132" s="589"/>
      <c r="AA132" s="589"/>
      <c r="AB132" s="589"/>
      <c r="AC132" s="589"/>
      <c r="AD132" s="589"/>
    </row>
    <row r="133" spans="1:30">
      <c r="A133" s="329" t="s">
        <v>3369</v>
      </c>
      <c r="B133" s="626"/>
      <c r="C133" s="575" t="s">
        <v>471</v>
      </c>
      <c r="D133" s="571" t="s">
        <v>472</v>
      </c>
      <c r="E133" s="776">
        <v>4900000</v>
      </c>
      <c r="H133" s="633">
        <v>21526</v>
      </c>
      <c r="I133" s="589">
        <f t="shared" si="1"/>
        <v>1</v>
      </c>
      <c r="J133" s="30" t="s">
        <v>1304</v>
      </c>
      <c r="K133" s="589"/>
      <c r="L133" s="589"/>
      <c r="M133" s="589"/>
      <c r="N133" s="589"/>
      <c r="O133" s="589"/>
      <c r="P133" s="589"/>
      <c r="Q133" s="589"/>
      <c r="R133" s="589"/>
      <c r="S133" s="589"/>
      <c r="T133" s="589"/>
      <c r="U133" s="589"/>
      <c r="V133" s="589"/>
      <c r="W133" s="589"/>
      <c r="X133" s="589"/>
      <c r="Y133" s="589"/>
      <c r="AA133" s="589"/>
      <c r="AB133" s="589"/>
      <c r="AC133" s="589"/>
      <c r="AD133" s="589"/>
    </row>
    <row r="134" spans="1:30">
      <c r="B134" s="626"/>
      <c r="C134" s="575"/>
      <c r="D134" s="571"/>
      <c r="E134" s="776"/>
      <c r="H134" s="633"/>
      <c r="I134" s="589"/>
      <c r="K134" s="589"/>
      <c r="L134" s="589"/>
      <c r="M134" s="589"/>
      <c r="N134" s="589"/>
      <c r="O134" s="589"/>
      <c r="P134" s="589"/>
      <c r="Q134" s="589"/>
      <c r="R134" s="589"/>
      <c r="S134" s="589"/>
      <c r="T134" s="589"/>
      <c r="U134" s="589"/>
      <c r="V134" s="589"/>
      <c r="W134" s="589"/>
      <c r="X134" s="589"/>
      <c r="Y134" s="589"/>
      <c r="AA134" s="589"/>
      <c r="AB134" s="589"/>
      <c r="AC134" s="589"/>
      <c r="AD134" s="589"/>
    </row>
    <row r="135" spans="1:30">
      <c r="A135" s="329" t="s">
        <v>193</v>
      </c>
      <c r="B135" s="626"/>
      <c r="C135" s="575" t="s">
        <v>5730</v>
      </c>
      <c r="D135" s="571" t="s">
        <v>1307</v>
      </c>
      <c r="E135" s="776">
        <v>125000</v>
      </c>
      <c r="H135" s="633"/>
      <c r="I135" s="589"/>
      <c r="J135" s="30" t="s">
        <v>1304</v>
      </c>
      <c r="K135" s="642">
        <v>40094</v>
      </c>
      <c r="L135" s="589"/>
      <c r="M135" s="589"/>
      <c r="N135" s="589"/>
      <c r="O135" s="589"/>
      <c r="P135" s="589"/>
      <c r="Q135" s="589"/>
      <c r="R135" s="589"/>
      <c r="S135" s="589"/>
      <c r="T135" s="589"/>
      <c r="U135" s="589"/>
      <c r="V135" s="589"/>
      <c r="W135" s="589"/>
      <c r="X135" s="589"/>
      <c r="Y135" s="589"/>
      <c r="AA135" s="589"/>
      <c r="AB135" s="589"/>
      <c r="AC135" s="589"/>
      <c r="AD135" s="589"/>
    </row>
    <row r="136" spans="1:30">
      <c r="A136" s="329" t="s">
        <v>194</v>
      </c>
      <c r="B136" s="626"/>
      <c r="C136" s="575" t="s">
        <v>5731</v>
      </c>
      <c r="D136" s="571" t="s">
        <v>1307</v>
      </c>
      <c r="E136" s="776">
        <v>150000</v>
      </c>
      <c r="H136" s="633"/>
      <c r="I136" s="589"/>
      <c r="J136" s="30" t="s">
        <v>1304</v>
      </c>
      <c r="K136" s="642">
        <v>40094</v>
      </c>
      <c r="L136" s="589"/>
      <c r="M136" s="589"/>
      <c r="N136" s="589"/>
      <c r="O136" s="589"/>
      <c r="P136" s="589"/>
      <c r="Q136" s="589"/>
      <c r="R136" s="589"/>
      <c r="S136" s="589"/>
      <c r="T136" s="589"/>
      <c r="U136" s="589"/>
      <c r="V136" s="589"/>
      <c r="W136" s="589"/>
      <c r="X136" s="589"/>
      <c r="Y136" s="589"/>
      <c r="AA136" s="589"/>
      <c r="AB136" s="589"/>
      <c r="AC136" s="589"/>
      <c r="AD136" s="589"/>
    </row>
    <row r="137" spans="1:30">
      <c r="A137" s="329" t="s">
        <v>5741</v>
      </c>
      <c r="B137" s="626"/>
      <c r="C137" s="575" t="s">
        <v>5732</v>
      </c>
      <c r="D137" s="571" t="s">
        <v>1307</v>
      </c>
      <c r="E137" s="776">
        <v>175000</v>
      </c>
      <c r="H137" s="633"/>
      <c r="I137" s="589"/>
      <c r="J137" s="30" t="s">
        <v>1304</v>
      </c>
      <c r="K137" s="642">
        <v>40094</v>
      </c>
      <c r="L137" s="589"/>
      <c r="M137" s="589"/>
      <c r="N137" s="589"/>
      <c r="O137" s="589"/>
      <c r="P137" s="589"/>
      <c r="Q137" s="589"/>
      <c r="R137" s="589"/>
      <c r="S137" s="589"/>
      <c r="T137" s="589"/>
      <c r="U137" s="589"/>
      <c r="V137" s="589"/>
      <c r="W137" s="589"/>
      <c r="X137" s="589"/>
      <c r="Y137" s="589"/>
      <c r="AA137" s="589"/>
      <c r="AB137" s="589"/>
      <c r="AC137" s="589"/>
      <c r="AD137" s="589"/>
    </row>
    <row r="138" spans="1:30">
      <c r="B138" s="626"/>
      <c r="C138" s="575"/>
      <c r="D138" s="571"/>
      <c r="E138" s="776"/>
      <c r="H138" s="633"/>
      <c r="I138" s="589"/>
      <c r="K138" s="589"/>
      <c r="L138" s="589"/>
      <c r="M138" s="589"/>
      <c r="N138" s="589"/>
      <c r="O138" s="589"/>
      <c r="P138" s="589"/>
      <c r="Q138" s="589"/>
      <c r="R138" s="589"/>
      <c r="S138" s="589"/>
      <c r="T138" s="589"/>
      <c r="U138" s="589"/>
      <c r="V138" s="589"/>
      <c r="W138" s="589"/>
      <c r="X138" s="589"/>
      <c r="Y138" s="589"/>
      <c r="AA138" s="589"/>
      <c r="AB138" s="589"/>
      <c r="AC138" s="589"/>
      <c r="AD138" s="589"/>
    </row>
    <row r="139" spans="1:30">
      <c r="A139" s="329" t="s">
        <v>5742</v>
      </c>
      <c r="B139" s="626"/>
      <c r="C139" s="575" t="s">
        <v>5735</v>
      </c>
      <c r="D139" s="571" t="s">
        <v>1307</v>
      </c>
      <c r="E139" s="776">
        <v>200000</v>
      </c>
      <c r="H139" s="633"/>
      <c r="I139" s="589"/>
      <c r="K139" s="589"/>
      <c r="L139" s="589"/>
      <c r="M139" s="589"/>
      <c r="N139" s="589"/>
      <c r="O139" s="589"/>
      <c r="P139" s="589"/>
      <c r="Q139" s="589"/>
      <c r="R139" s="589"/>
      <c r="S139" s="589"/>
      <c r="T139" s="589"/>
      <c r="U139" s="589"/>
      <c r="V139" s="589"/>
      <c r="W139" s="589"/>
      <c r="X139" s="589"/>
      <c r="Y139" s="589"/>
      <c r="AA139" s="589"/>
      <c r="AB139" s="589"/>
      <c r="AC139" s="589"/>
      <c r="AD139" s="589"/>
    </row>
    <row r="140" spans="1:30">
      <c r="A140" s="329" t="s">
        <v>5743</v>
      </c>
      <c r="B140" s="626"/>
      <c r="C140" s="575" t="s">
        <v>5736</v>
      </c>
      <c r="D140" s="571" t="s">
        <v>1307</v>
      </c>
      <c r="E140" s="776">
        <v>220000</v>
      </c>
      <c r="H140" s="633"/>
      <c r="I140" s="589"/>
      <c r="K140" s="589"/>
      <c r="L140" s="589"/>
      <c r="M140" s="589"/>
      <c r="N140" s="589"/>
      <c r="O140" s="589"/>
      <c r="P140" s="589"/>
      <c r="Q140" s="589"/>
      <c r="R140" s="589"/>
      <c r="S140" s="589"/>
      <c r="T140" s="589"/>
      <c r="U140" s="589"/>
      <c r="V140" s="589"/>
      <c r="W140" s="589"/>
      <c r="X140" s="589"/>
      <c r="Y140" s="589"/>
      <c r="AA140" s="589"/>
      <c r="AB140" s="589"/>
      <c r="AC140" s="589"/>
      <c r="AD140" s="589"/>
    </row>
    <row r="141" spans="1:30">
      <c r="A141" s="329" t="s">
        <v>5744</v>
      </c>
      <c r="B141" s="626"/>
      <c r="C141" s="575" t="s">
        <v>5733</v>
      </c>
      <c r="D141" s="571" t="s">
        <v>1307</v>
      </c>
      <c r="E141" s="776">
        <v>200000</v>
      </c>
      <c r="H141" s="633"/>
      <c r="I141" s="589"/>
      <c r="K141" s="589"/>
      <c r="L141" s="589"/>
      <c r="M141" s="589"/>
      <c r="N141" s="589"/>
      <c r="O141" s="589"/>
      <c r="P141" s="589"/>
      <c r="Q141" s="589"/>
      <c r="R141" s="589"/>
      <c r="S141" s="589"/>
      <c r="T141" s="589"/>
      <c r="U141" s="589"/>
      <c r="V141" s="589"/>
      <c r="W141" s="589"/>
      <c r="X141" s="589"/>
      <c r="Y141" s="589"/>
      <c r="AA141" s="589"/>
      <c r="AB141" s="589"/>
      <c r="AC141" s="589"/>
      <c r="AD141" s="589"/>
    </row>
    <row r="142" spans="1:30">
      <c r="A142" s="329" t="s">
        <v>2536</v>
      </c>
      <c r="B142" s="626"/>
      <c r="C142" s="575" t="s">
        <v>5734</v>
      </c>
      <c r="D142" s="571" t="s">
        <v>1307</v>
      </c>
      <c r="E142" s="776">
        <v>220000</v>
      </c>
      <c r="H142" s="633"/>
      <c r="I142" s="589"/>
      <c r="K142" s="589"/>
      <c r="L142" s="589"/>
      <c r="M142" s="589"/>
      <c r="N142" s="589"/>
      <c r="O142" s="589"/>
      <c r="P142" s="589"/>
      <c r="Q142" s="589"/>
      <c r="R142" s="589"/>
      <c r="S142" s="589"/>
      <c r="T142" s="589"/>
      <c r="U142" s="589"/>
      <c r="V142" s="589"/>
      <c r="W142" s="589"/>
      <c r="X142" s="589"/>
      <c r="Y142" s="589"/>
      <c r="AA142" s="589"/>
      <c r="AB142" s="589"/>
      <c r="AC142" s="589"/>
      <c r="AD142" s="589"/>
    </row>
    <row r="143" spans="1:30">
      <c r="B143" s="626"/>
      <c r="C143" s="575"/>
      <c r="D143" s="571"/>
      <c r="E143" s="776"/>
      <c r="H143" s="633"/>
      <c r="I143" s="589"/>
      <c r="K143" s="589"/>
      <c r="L143" s="589"/>
      <c r="M143" s="589"/>
      <c r="N143" s="589"/>
      <c r="O143" s="589"/>
      <c r="P143" s="589"/>
      <c r="Q143" s="589"/>
      <c r="R143" s="589"/>
      <c r="S143" s="589"/>
      <c r="T143" s="589"/>
      <c r="U143" s="589"/>
      <c r="V143" s="589"/>
      <c r="W143" s="589"/>
      <c r="X143" s="589"/>
      <c r="Y143" s="589"/>
      <c r="AA143" s="589"/>
      <c r="AB143" s="589"/>
      <c r="AC143" s="589"/>
      <c r="AD143" s="589"/>
    </row>
    <row r="144" spans="1:30">
      <c r="A144" s="329" t="s">
        <v>2537</v>
      </c>
      <c r="B144" s="626"/>
      <c r="C144" s="575" t="s">
        <v>5737</v>
      </c>
      <c r="D144" s="571" t="s">
        <v>1307</v>
      </c>
      <c r="E144" s="776">
        <v>150000</v>
      </c>
      <c r="H144" s="633"/>
      <c r="I144" s="589"/>
      <c r="K144" s="589"/>
      <c r="L144" s="589"/>
      <c r="M144" s="589"/>
      <c r="N144" s="589"/>
      <c r="O144" s="589"/>
      <c r="P144" s="589"/>
      <c r="Q144" s="589"/>
      <c r="R144" s="589"/>
      <c r="S144" s="589"/>
      <c r="T144" s="589"/>
      <c r="U144" s="589"/>
      <c r="V144" s="589"/>
      <c r="W144" s="589"/>
      <c r="X144" s="589"/>
      <c r="Y144" s="589"/>
      <c r="AA144" s="589"/>
      <c r="AB144" s="589"/>
      <c r="AC144" s="589"/>
      <c r="AD144" s="589"/>
    </row>
    <row r="145" spans="1:30">
      <c r="B145" s="626"/>
      <c r="C145" s="575"/>
      <c r="D145" s="571"/>
      <c r="E145" s="776"/>
      <c r="H145" s="633"/>
      <c r="I145" s="589"/>
      <c r="K145" s="589"/>
      <c r="L145" s="589"/>
      <c r="M145" s="589"/>
      <c r="N145" s="589"/>
      <c r="O145" s="589"/>
      <c r="P145" s="589"/>
      <c r="Q145" s="589"/>
      <c r="R145" s="589"/>
      <c r="S145" s="589"/>
      <c r="T145" s="589"/>
      <c r="U145" s="589"/>
      <c r="V145" s="589"/>
      <c r="W145" s="589"/>
      <c r="X145" s="589"/>
      <c r="Y145" s="589"/>
      <c r="AA145" s="589"/>
      <c r="AB145" s="589"/>
      <c r="AC145" s="589"/>
      <c r="AD145" s="589"/>
    </row>
    <row r="146" spans="1:30">
      <c r="A146" s="329" t="s">
        <v>2538</v>
      </c>
      <c r="B146" s="626"/>
      <c r="C146" s="575" t="s">
        <v>5738</v>
      </c>
      <c r="D146" s="571" t="s">
        <v>1307</v>
      </c>
      <c r="E146" s="776">
        <v>150000</v>
      </c>
      <c r="H146" s="633"/>
      <c r="I146" s="589"/>
      <c r="K146" s="589"/>
      <c r="L146" s="589"/>
      <c r="M146" s="589"/>
      <c r="N146" s="589"/>
      <c r="O146" s="589"/>
      <c r="P146" s="589"/>
      <c r="Q146" s="589"/>
      <c r="R146" s="589"/>
      <c r="S146" s="589"/>
      <c r="T146" s="589"/>
      <c r="U146" s="589"/>
      <c r="V146" s="589"/>
      <c r="W146" s="589"/>
      <c r="X146" s="589"/>
      <c r="Y146" s="589"/>
      <c r="AA146" s="589"/>
      <c r="AB146" s="589"/>
      <c r="AC146" s="589"/>
      <c r="AD146" s="589"/>
    </row>
    <row r="147" spans="1:30">
      <c r="A147" s="329" t="s">
        <v>2539</v>
      </c>
      <c r="B147" s="626"/>
      <c r="C147" s="575" t="s">
        <v>5739</v>
      </c>
      <c r="D147" s="571" t="s">
        <v>1307</v>
      </c>
      <c r="E147" s="776">
        <v>150000</v>
      </c>
      <c r="H147" s="633"/>
      <c r="I147" s="589"/>
      <c r="K147" s="589"/>
      <c r="L147" s="589"/>
      <c r="M147" s="589"/>
      <c r="N147" s="589"/>
      <c r="O147" s="589"/>
      <c r="P147" s="589"/>
      <c r="Q147" s="589"/>
      <c r="R147" s="589"/>
      <c r="S147" s="589"/>
      <c r="T147" s="589"/>
      <c r="U147" s="589"/>
      <c r="V147" s="589"/>
      <c r="W147" s="589"/>
      <c r="X147" s="589"/>
      <c r="Y147" s="589"/>
      <c r="AA147" s="589"/>
      <c r="AB147" s="589"/>
      <c r="AC147" s="589"/>
      <c r="AD147" s="589"/>
    </row>
    <row r="148" spans="1:30">
      <c r="B148" s="626"/>
      <c r="C148" s="575"/>
      <c r="D148" s="571"/>
      <c r="E148" s="776"/>
      <c r="H148" s="633"/>
      <c r="I148" s="589"/>
      <c r="K148" s="589"/>
      <c r="L148" s="589"/>
      <c r="M148" s="589"/>
      <c r="N148" s="589"/>
      <c r="O148" s="589"/>
      <c r="P148" s="589"/>
      <c r="Q148" s="589"/>
      <c r="R148" s="589"/>
      <c r="S148" s="589"/>
      <c r="T148" s="589"/>
      <c r="U148" s="589"/>
      <c r="V148" s="589"/>
      <c r="W148" s="589"/>
      <c r="X148" s="589"/>
      <c r="Y148" s="589"/>
      <c r="AA148" s="589"/>
      <c r="AB148" s="589"/>
      <c r="AC148" s="589"/>
      <c r="AD148" s="589"/>
    </row>
    <row r="149" spans="1:30">
      <c r="A149" s="329" t="s">
        <v>2540</v>
      </c>
      <c r="B149" s="626"/>
      <c r="C149" s="575" t="s">
        <v>5740</v>
      </c>
      <c r="D149" s="571" t="s">
        <v>1307</v>
      </c>
      <c r="E149" s="776">
        <v>300000</v>
      </c>
      <c r="H149" s="633"/>
      <c r="I149" s="589"/>
      <c r="K149" s="589"/>
      <c r="L149" s="589"/>
      <c r="M149" s="589"/>
      <c r="N149" s="589"/>
      <c r="O149" s="589"/>
      <c r="P149" s="589"/>
      <c r="Q149" s="589"/>
      <c r="R149" s="589"/>
      <c r="S149" s="589"/>
      <c r="T149" s="589"/>
      <c r="U149" s="589"/>
      <c r="V149" s="589"/>
      <c r="W149" s="589"/>
      <c r="X149" s="589"/>
      <c r="Y149" s="589"/>
      <c r="AA149" s="589"/>
      <c r="AB149" s="589"/>
      <c r="AC149" s="589"/>
      <c r="AD149" s="589"/>
    </row>
    <row r="150" spans="1:30">
      <c r="B150" s="626"/>
      <c r="C150" s="575"/>
      <c r="D150" s="571"/>
      <c r="E150" s="776"/>
      <c r="H150" s="633"/>
      <c r="I150" s="589"/>
      <c r="K150" s="589"/>
      <c r="L150" s="589"/>
      <c r="M150" s="589"/>
      <c r="N150" s="589"/>
      <c r="O150" s="589"/>
      <c r="P150" s="589"/>
      <c r="Q150" s="589"/>
      <c r="R150" s="589"/>
      <c r="S150" s="589"/>
      <c r="T150" s="589"/>
      <c r="U150" s="589"/>
      <c r="V150" s="589"/>
      <c r="W150" s="589"/>
      <c r="X150" s="589"/>
      <c r="Y150" s="589"/>
      <c r="AA150" s="589"/>
      <c r="AB150" s="589"/>
      <c r="AC150" s="589"/>
      <c r="AD150" s="589"/>
    </row>
    <row r="151" spans="1:30">
      <c r="A151" s="610" t="s">
        <v>473</v>
      </c>
      <c r="B151" s="611"/>
      <c r="C151" s="612"/>
      <c r="D151" s="613"/>
      <c r="E151" s="614"/>
      <c r="F151" s="329"/>
      <c r="H151" s="614"/>
      <c r="I151" s="589">
        <f t="shared" ref="I151:I214" si="2">IF(E151=H151,0,1)</f>
        <v>0</v>
      </c>
      <c r="K151" s="589"/>
      <c r="L151" s="589"/>
      <c r="M151" s="589"/>
      <c r="N151" s="589"/>
      <c r="O151" s="589"/>
      <c r="P151" s="589"/>
      <c r="Q151" s="589"/>
      <c r="R151" s="589"/>
      <c r="S151" s="589"/>
      <c r="T151" s="589"/>
      <c r="U151" s="589"/>
      <c r="V151" s="589"/>
      <c r="W151" s="589"/>
      <c r="X151" s="589"/>
      <c r="Y151" s="589"/>
      <c r="AA151" s="589"/>
      <c r="AB151" s="589"/>
      <c r="AC151" s="589"/>
      <c r="AD151" s="589"/>
    </row>
    <row r="152" spans="1:30">
      <c r="A152" s="329" t="s">
        <v>5462</v>
      </c>
      <c r="B152" s="626">
        <v>0</v>
      </c>
      <c r="C152" s="627" t="s">
        <v>5463</v>
      </c>
      <c r="D152" s="571" t="s">
        <v>1307</v>
      </c>
      <c r="E152" s="777">
        <v>45000</v>
      </c>
      <c r="H152" s="641">
        <v>200000</v>
      </c>
      <c r="I152" s="589">
        <f>IF(E152=H152,0,1)</f>
        <v>1</v>
      </c>
      <c r="K152" s="589"/>
      <c r="L152" s="589"/>
      <c r="M152" s="589"/>
      <c r="N152" s="589"/>
      <c r="O152" s="589"/>
      <c r="P152" s="589"/>
      <c r="Q152" s="589"/>
      <c r="R152" s="589"/>
      <c r="S152" s="589"/>
      <c r="T152" s="589"/>
      <c r="U152" s="589"/>
      <c r="V152" s="589"/>
      <c r="W152" s="589"/>
      <c r="X152" s="589"/>
      <c r="Y152" s="589"/>
      <c r="AA152" s="589"/>
      <c r="AB152" s="589"/>
      <c r="AC152" s="589"/>
      <c r="AD152" s="589"/>
    </row>
    <row r="153" spans="1:30">
      <c r="A153" s="329" t="s">
        <v>3023</v>
      </c>
      <c r="B153" s="626">
        <v>0</v>
      </c>
      <c r="C153" s="627" t="s">
        <v>3024</v>
      </c>
      <c r="D153" s="571" t="s">
        <v>1307</v>
      </c>
      <c r="E153" s="777">
        <v>570000</v>
      </c>
      <c r="H153" s="641">
        <v>200000</v>
      </c>
      <c r="I153" s="589">
        <f t="shared" si="2"/>
        <v>1</v>
      </c>
      <c r="K153" s="589"/>
      <c r="L153" s="589"/>
      <c r="M153" s="589"/>
      <c r="N153" s="589"/>
      <c r="O153" s="589"/>
      <c r="P153" s="589"/>
      <c r="Q153" s="589"/>
      <c r="R153" s="589"/>
      <c r="S153" s="589"/>
      <c r="T153" s="589"/>
      <c r="U153" s="589"/>
      <c r="V153" s="589"/>
      <c r="W153" s="589"/>
      <c r="X153" s="589"/>
      <c r="Y153" s="589"/>
      <c r="AA153" s="589"/>
      <c r="AB153" s="589"/>
      <c r="AC153" s="589"/>
      <c r="AD153" s="589"/>
    </row>
    <row r="154" spans="1:30">
      <c r="A154" s="329" t="s">
        <v>3025</v>
      </c>
      <c r="B154" s="626">
        <v>0</v>
      </c>
      <c r="C154" s="627" t="s">
        <v>5216</v>
      </c>
      <c r="D154" s="571" t="s">
        <v>1307</v>
      </c>
      <c r="E154" s="777">
        <v>679000</v>
      </c>
      <c r="H154" s="641">
        <v>230000</v>
      </c>
      <c r="I154" s="589">
        <f t="shared" si="2"/>
        <v>1</v>
      </c>
      <c r="K154" s="589"/>
      <c r="L154" s="589"/>
      <c r="M154" s="589"/>
      <c r="N154" s="589"/>
      <c r="O154" s="589"/>
      <c r="P154" s="589"/>
      <c r="Q154" s="589"/>
      <c r="R154" s="589"/>
      <c r="S154" s="589"/>
      <c r="T154" s="589"/>
      <c r="U154" s="589"/>
      <c r="V154" s="589"/>
      <c r="W154" s="589"/>
      <c r="X154" s="589"/>
      <c r="Y154" s="589"/>
      <c r="AA154" s="589"/>
      <c r="AB154" s="589"/>
      <c r="AC154" s="589"/>
      <c r="AD154" s="589"/>
    </row>
    <row r="155" spans="1:30">
      <c r="A155" s="329" t="s">
        <v>5217</v>
      </c>
      <c r="B155" s="626">
        <v>0</v>
      </c>
      <c r="C155" s="627" t="s">
        <v>5218</v>
      </c>
      <c r="D155" s="571" t="s">
        <v>1307</v>
      </c>
      <c r="E155" s="777">
        <v>679000</v>
      </c>
      <c r="H155" s="641">
        <v>250000</v>
      </c>
      <c r="I155" s="589">
        <f t="shared" si="2"/>
        <v>1</v>
      </c>
      <c r="K155" s="589"/>
      <c r="L155" s="589"/>
      <c r="M155" s="589"/>
      <c r="N155" s="589"/>
      <c r="O155" s="589"/>
      <c r="P155" s="589"/>
      <c r="Q155" s="589"/>
      <c r="R155" s="589"/>
      <c r="S155" s="589"/>
      <c r="T155" s="589"/>
      <c r="U155" s="589"/>
      <c r="V155" s="589"/>
      <c r="W155" s="589"/>
      <c r="X155" s="589"/>
      <c r="Y155" s="589"/>
      <c r="AA155" s="589"/>
      <c r="AB155" s="589"/>
      <c r="AC155" s="589"/>
      <c r="AD155" s="589"/>
    </row>
    <row r="156" spans="1:30">
      <c r="A156" s="329" t="s">
        <v>5219</v>
      </c>
      <c r="B156" s="626">
        <v>0</v>
      </c>
      <c r="C156" s="627" t="s">
        <v>5220</v>
      </c>
      <c r="D156" s="571" t="s">
        <v>1307</v>
      </c>
      <c r="E156" s="777">
        <v>933000</v>
      </c>
      <c r="H156" s="641">
        <v>365000</v>
      </c>
      <c r="I156" s="589">
        <f t="shared" si="2"/>
        <v>1</v>
      </c>
      <c r="K156" s="589"/>
      <c r="L156" s="589"/>
      <c r="M156" s="589"/>
      <c r="N156" s="589"/>
      <c r="O156" s="589"/>
      <c r="P156" s="589"/>
      <c r="Q156" s="589"/>
      <c r="R156" s="589"/>
      <c r="S156" s="589"/>
      <c r="T156" s="589"/>
      <c r="U156" s="589"/>
      <c r="V156" s="589"/>
      <c r="W156" s="589"/>
      <c r="X156" s="589"/>
      <c r="Y156" s="589"/>
      <c r="AA156" s="589"/>
      <c r="AB156" s="589"/>
      <c r="AC156" s="589"/>
      <c r="AD156" s="589"/>
    </row>
    <row r="157" spans="1:30">
      <c r="A157" s="329" t="s">
        <v>5221</v>
      </c>
      <c r="B157" s="626">
        <v>0</v>
      </c>
      <c r="C157" s="627" t="s">
        <v>4107</v>
      </c>
      <c r="D157" s="571" t="s">
        <v>1307</v>
      </c>
      <c r="E157" s="777">
        <v>933000</v>
      </c>
      <c r="H157" s="641">
        <v>370000</v>
      </c>
      <c r="I157" s="589">
        <f t="shared" si="2"/>
        <v>1</v>
      </c>
      <c r="K157" s="589"/>
      <c r="L157" s="589"/>
      <c r="M157" s="589"/>
      <c r="N157" s="589"/>
      <c r="O157" s="589"/>
      <c r="P157" s="589"/>
      <c r="Q157" s="589"/>
      <c r="R157" s="589"/>
      <c r="S157" s="589"/>
      <c r="T157" s="589"/>
      <c r="U157" s="589"/>
      <c r="V157" s="589"/>
      <c r="W157" s="589"/>
      <c r="X157" s="589"/>
      <c r="Y157" s="589"/>
      <c r="AA157" s="589"/>
      <c r="AB157" s="589"/>
      <c r="AC157" s="589"/>
      <c r="AD157" s="589"/>
    </row>
    <row r="158" spans="1:30">
      <c r="A158" s="329" t="s">
        <v>4108</v>
      </c>
      <c r="B158" s="626">
        <v>0</v>
      </c>
      <c r="C158" s="627" t="s">
        <v>4109</v>
      </c>
      <c r="D158" s="571" t="s">
        <v>1307</v>
      </c>
      <c r="E158" s="777">
        <v>933000</v>
      </c>
      <c r="H158" s="641">
        <v>600000</v>
      </c>
      <c r="I158" s="589">
        <f t="shared" si="2"/>
        <v>1</v>
      </c>
      <c r="K158" s="589"/>
      <c r="L158" s="589"/>
      <c r="M158" s="589"/>
      <c r="N158" s="589"/>
      <c r="O158" s="589"/>
      <c r="P158" s="589"/>
      <c r="Q158" s="589"/>
      <c r="R158" s="589"/>
      <c r="S158" s="589"/>
      <c r="T158" s="589"/>
      <c r="U158" s="589"/>
      <c r="V158" s="589"/>
      <c r="W158" s="589"/>
      <c r="X158" s="589"/>
      <c r="Y158" s="589"/>
      <c r="AA158" s="589"/>
      <c r="AB158" s="589"/>
      <c r="AC158" s="589"/>
      <c r="AD158" s="589"/>
    </row>
    <row r="159" spans="1:30">
      <c r="A159" s="329" t="s">
        <v>4110</v>
      </c>
      <c r="B159" s="626">
        <v>0</v>
      </c>
      <c r="C159" s="627" t="s">
        <v>4111</v>
      </c>
      <c r="D159" s="571" t="s">
        <v>1307</v>
      </c>
      <c r="E159" s="777">
        <v>2017000</v>
      </c>
      <c r="H159" s="641">
        <v>650000</v>
      </c>
      <c r="I159" s="589">
        <f t="shared" si="2"/>
        <v>1</v>
      </c>
      <c r="K159" s="589"/>
      <c r="L159" s="589"/>
      <c r="M159" s="589"/>
      <c r="N159" s="589"/>
      <c r="O159" s="589"/>
      <c r="P159" s="589"/>
      <c r="Q159" s="589"/>
      <c r="R159" s="589"/>
      <c r="S159" s="589"/>
      <c r="T159" s="589"/>
      <c r="U159" s="589"/>
      <c r="V159" s="589"/>
      <c r="W159" s="589"/>
      <c r="X159" s="589"/>
      <c r="Y159" s="589"/>
      <c r="AA159" s="589"/>
      <c r="AB159" s="589"/>
      <c r="AC159" s="589"/>
      <c r="AD159" s="589"/>
    </row>
    <row r="160" spans="1:30">
      <c r="A160" s="329" t="s">
        <v>4112</v>
      </c>
      <c r="B160" s="626">
        <v>0</v>
      </c>
      <c r="C160" s="627" t="s">
        <v>4113</v>
      </c>
      <c r="D160" s="571" t="s">
        <v>1307</v>
      </c>
      <c r="E160" s="777">
        <v>2017000</v>
      </c>
      <c r="H160" s="641">
        <v>700000</v>
      </c>
      <c r="I160" s="589">
        <f t="shared" si="2"/>
        <v>1</v>
      </c>
      <c r="K160" s="589"/>
      <c r="L160" s="589"/>
      <c r="M160" s="589"/>
      <c r="N160" s="589"/>
      <c r="O160" s="589"/>
      <c r="P160" s="589"/>
      <c r="Q160" s="589"/>
      <c r="R160" s="589"/>
      <c r="S160" s="589"/>
      <c r="T160" s="589"/>
      <c r="U160" s="589"/>
      <c r="V160" s="589"/>
      <c r="W160" s="589"/>
      <c r="X160" s="589"/>
      <c r="Y160" s="589"/>
      <c r="AA160" s="589"/>
      <c r="AB160" s="589"/>
      <c r="AC160" s="589"/>
      <c r="AD160" s="589"/>
    </row>
    <row r="161" spans="1:30">
      <c r="A161" s="329" t="s">
        <v>4114</v>
      </c>
      <c r="B161" s="626">
        <v>0</v>
      </c>
      <c r="C161" s="627" t="s">
        <v>4115</v>
      </c>
      <c r="D161" s="571" t="s">
        <v>1307</v>
      </c>
      <c r="E161" s="777">
        <v>2017000</v>
      </c>
      <c r="H161" s="641">
        <v>750000</v>
      </c>
      <c r="I161" s="589">
        <f t="shared" si="2"/>
        <v>1</v>
      </c>
      <c r="K161" s="589"/>
      <c r="L161" s="589"/>
      <c r="M161" s="589"/>
      <c r="N161" s="589"/>
      <c r="O161" s="589"/>
      <c r="P161" s="589"/>
      <c r="Q161" s="589"/>
      <c r="R161" s="589"/>
      <c r="S161" s="589"/>
      <c r="T161" s="589"/>
      <c r="U161" s="589"/>
      <c r="V161" s="589"/>
      <c r="W161" s="589"/>
      <c r="X161" s="589"/>
      <c r="Y161" s="589"/>
      <c r="AA161" s="589"/>
      <c r="AB161" s="589"/>
      <c r="AC161" s="589"/>
      <c r="AD161" s="589"/>
    </row>
    <row r="162" spans="1:30">
      <c r="A162" s="329" t="s">
        <v>4116</v>
      </c>
      <c r="B162" s="626">
        <v>0</v>
      </c>
      <c r="C162" s="627" t="s">
        <v>4117</v>
      </c>
      <c r="D162" s="571" t="s">
        <v>1307</v>
      </c>
      <c r="E162" s="777">
        <v>2017000</v>
      </c>
      <c r="H162" s="641">
        <v>800000</v>
      </c>
      <c r="I162" s="589">
        <f t="shared" si="2"/>
        <v>1</v>
      </c>
      <c r="K162" s="589"/>
      <c r="L162" s="589"/>
      <c r="M162" s="589"/>
      <c r="N162" s="589"/>
      <c r="O162" s="589"/>
      <c r="P162" s="589"/>
      <c r="Q162" s="589"/>
      <c r="R162" s="589"/>
      <c r="S162" s="589"/>
      <c r="T162" s="589"/>
      <c r="U162" s="589"/>
      <c r="V162" s="589"/>
      <c r="W162" s="589"/>
      <c r="X162" s="589"/>
      <c r="Y162" s="589"/>
      <c r="AA162" s="589"/>
      <c r="AB162" s="589"/>
      <c r="AC162" s="589"/>
      <c r="AD162" s="589"/>
    </row>
    <row r="163" spans="1:30">
      <c r="B163" s="626"/>
      <c r="C163" s="627"/>
      <c r="D163" s="571"/>
      <c r="E163" s="641"/>
      <c r="H163" s="641"/>
      <c r="I163" s="589">
        <f t="shared" si="2"/>
        <v>0</v>
      </c>
      <c r="K163" s="589"/>
      <c r="L163" s="589"/>
      <c r="M163" s="589"/>
      <c r="N163" s="589"/>
      <c r="O163" s="589"/>
      <c r="P163" s="589"/>
      <c r="Q163" s="589"/>
      <c r="R163" s="589"/>
      <c r="S163" s="589"/>
      <c r="T163" s="589"/>
      <c r="U163" s="589"/>
      <c r="V163" s="589"/>
      <c r="W163" s="589"/>
      <c r="X163" s="589"/>
      <c r="Y163" s="589"/>
      <c r="AA163" s="589"/>
      <c r="AB163" s="589"/>
      <c r="AC163" s="589"/>
      <c r="AD163" s="589"/>
    </row>
    <row r="164" spans="1:30">
      <c r="A164" s="329" t="s">
        <v>4226</v>
      </c>
      <c r="B164" s="626">
        <v>0</v>
      </c>
      <c r="C164" s="627" t="s">
        <v>4227</v>
      </c>
      <c r="D164" s="571" t="s">
        <v>1307</v>
      </c>
      <c r="E164" s="776">
        <v>416000</v>
      </c>
      <c r="H164" s="641">
        <v>810000</v>
      </c>
      <c r="I164" s="589">
        <f t="shared" si="2"/>
        <v>1</v>
      </c>
      <c r="K164" s="589"/>
      <c r="L164" s="589"/>
      <c r="M164" s="589"/>
      <c r="N164" s="589"/>
      <c r="O164" s="589"/>
      <c r="P164" s="589"/>
      <c r="Q164" s="589"/>
      <c r="R164" s="589"/>
      <c r="S164" s="589"/>
      <c r="T164" s="589"/>
      <c r="U164" s="589"/>
      <c r="V164" s="589"/>
      <c r="W164" s="589"/>
      <c r="X164" s="589"/>
      <c r="Y164" s="589"/>
      <c r="AA164" s="589"/>
      <c r="AB164" s="589"/>
      <c r="AC164" s="589"/>
      <c r="AD164" s="589"/>
    </row>
    <row r="165" spans="1:30">
      <c r="A165" s="329" t="s">
        <v>4228</v>
      </c>
      <c r="B165" s="626">
        <v>0</v>
      </c>
      <c r="C165" s="627" t="s">
        <v>4229</v>
      </c>
      <c r="D165" s="571" t="s">
        <v>1307</v>
      </c>
      <c r="E165" s="776">
        <v>726000</v>
      </c>
      <c r="H165" s="641">
        <v>810000</v>
      </c>
      <c r="I165" s="589">
        <f>IF(E165=H165,0,1)</f>
        <v>1</v>
      </c>
      <c r="K165" s="589"/>
      <c r="L165" s="589"/>
      <c r="M165" s="589"/>
      <c r="N165" s="589"/>
      <c r="O165" s="589"/>
      <c r="P165" s="589"/>
      <c r="Q165" s="589"/>
      <c r="R165" s="589"/>
      <c r="S165" s="589"/>
      <c r="T165" s="589"/>
      <c r="U165" s="589"/>
      <c r="V165" s="589"/>
      <c r="W165" s="589"/>
      <c r="X165" s="589"/>
      <c r="Y165" s="589"/>
      <c r="AA165" s="589"/>
      <c r="AB165" s="589"/>
      <c r="AC165" s="589"/>
      <c r="AD165" s="589"/>
    </row>
    <row r="166" spans="1:30">
      <c r="A166" s="329" t="s">
        <v>4118</v>
      </c>
      <c r="B166" s="626">
        <v>0</v>
      </c>
      <c r="C166" s="627" t="s">
        <v>4119</v>
      </c>
      <c r="D166" s="571" t="s">
        <v>1307</v>
      </c>
      <c r="E166" s="776">
        <v>1245000</v>
      </c>
      <c r="H166" s="641">
        <v>810000</v>
      </c>
      <c r="I166" s="589">
        <f t="shared" si="2"/>
        <v>1</v>
      </c>
      <c r="K166" s="589"/>
      <c r="L166" s="589"/>
      <c r="M166" s="589"/>
      <c r="N166" s="589"/>
      <c r="O166" s="589"/>
      <c r="P166" s="589"/>
      <c r="Q166" s="589"/>
      <c r="R166" s="589"/>
      <c r="S166" s="589"/>
      <c r="T166" s="589"/>
      <c r="U166" s="589"/>
      <c r="V166" s="589"/>
      <c r="W166" s="589"/>
      <c r="X166" s="589"/>
      <c r="Y166" s="589"/>
      <c r="AA166" s="589"/>
      <c r="AB166" s="589"/>
      <c r="AC166" s="589"/>
      <c r="AD166" s="589"/>
    </row>
    <row r="167" spans="1:30">
      <c r="A167" s="329" t="s">
        <v>4120</v>
      </c>
      <c r="B167" s="626">
        <v>0</v>
      </c>
      <c r="C167" s="627" t="s">
        <v>4121</v>
      </c>
      <c r="D167" s="571" t="s">
        <v>1307</v>
      </c>
      <c r="E167" s="776">
        <v>2787000</v>
      </c>
      <c r="H167" s="641">
        <v>920000</v>
      </c>
      <c r="I167" s="589">
        <f t="shared" si="2"/>
        <v>1</v>
      </c>
      <c r="K167" s="589"/>
      <c r="L167" s="589"/>
      <c r="M167" s="589"/>
      <c r="N167" s="589"/>
      <c r="O167" s="589"/>
      <c r="P167" s="589"/>
      <c r="Q167" s="589"/>
      <c r="R167" s="589"/>
      <c r="S167" s="589"/>
      <c r="T167" s="589"/>
      <c r="U167" s="589"/>
      <c r="V167" s="589"/>
      <c r="W167" s="589"/>
      <c r="X167" s="589"/>
      <c r="Y167" s="589"/>
      <c r="AA167" s="589"/>
      <c r="AB167" s="589"/>
      <c r="AC167" s="589"/>
      <c r="AD167" s="589"/>
    </row>
    <row r="168" spans="1:30">
      <c r="A168" s="329" t="s">
        <v>4122</v>
      </c>
      <c r="B168" s="626">
        <v>0</v>
      </c>
      <c r="C168" s="627" t="s">
        <v>4123</v>
      </c>
      <c r="D168" s="571" t="s">
        <v>1307</v>
      </c>
      <c r="E168" s="776">
        <v>2787000</v>
      </c>
      <c r="H168" s="641">
        <v>1050000</v>
      </c>
      <c r="I168" s="589">
        <f t="shared" si="2"/>
        <v>1</v>
      </c>
      <c r="K168" s="589"/>
      <c r="L168" s="589"/>
      <c r="M168" s="589"/>
      <c r="N168" s="589"/>
      <c r="O168" s="589"/>
      <c r="P168" s="589"/>
      <c r="Q168" s="589"/>
      <c r="R168" s="589"/>
      <c r="S168" s="589"/>
      <c r="T168" s="589"/>
      <c r="U168" s="589"/>
      <c r="V168" s="589"/>
      <c r="W168" s="589"/>
      <c r="X168" s="589"/>
      <c r="Y168" s="589"/>
      <c r="AA168" s="589"/>
      <c r="AB168" s="589"/>
      <c r="AC168" s="589"/>
      <c r="AD168" s="589"/>
    </row>
    <row r="169" spans="1:30">
      <c r="A169" s="329" t="s">
        <v>4124</v>
      </c>
      <c r="B169" s="626">
        <v>0</v>
      </c>
      <c r="C169" s="627" t="s">
        <v>4125</v>
      </c>
      <c r="D169" s="571" t="s">
        <v>1307</v>
      </c>
      <c r="E169" s="776">
        <v>2787000</v>
      </c>
      <c r="H169" s="641">
        <v>1300000</v>
      </c>
      <c r="I169" s="589">
        <f t="shared" si="2"/>
        <v>1</v>
      </c>
      <c r="K169" s="589"/>
      <c r="L169" s="589"/>
      <c r="M169" s="589"/>
      <c r="N169" s="589"/>
      <c r="O169" s="589"/>
      <c r="P169" s="589"/>
      <c r="Q169" s="589"/>
      <c r="R169" s="589"/>
      <c r="S169" s="589"/>
      <c r="T169" s="589"/>
      <c r="U169" s="589"/>
      <c r="V169" s="589"/>
      <c r="W169" s="589"/>
      <c r="X169" s="589"/>
      <c r="Y169" s="589"/>
      <c r="AA169" s="589"/>
      <c r="AB169" s="589"/>
      <c r="AC169" s="589"/>
      <c r="AD169" s="589"/>
    </row>
    <row r="170" spans="1:30">
      <c r="A170" s="329" t="s">
        <v>4126</v>
      </c>
      <c r="B170" s="626">
        <v>0</v>
      </c>
      <c r="C170" s="627" t="s">
        <v>1585</v>
      </c>
      <c r="D170" s="571" t="s">
        <v>1307</v>
      </c>
      <c r="E170" s="776">
        <v>6206000</v>
      </c>
      <c r="H170" s="641">
        <v>3399000</v>
      </c>
      <c r="I170" s="589">
        <f t="shared" si="2"/>
        <v>1</v>
      </c>
      <c r="K170" s="589"/>
      <c r="L170" s="589"/>
      <c r="M170" s="589"/>
      <c r="N170" s="589"/>
      <c r="O170" s="589"/>
      <c r="P170" s="589"/>
      <c r="Q170" s="589"/>
      <c r="R170" s="589"/>
      <c r="S170" s="589"/>
      <c r="T170" s="589"/>
      <c r="U170" s="589"/>
      <c r="V170" s="589"/>
      <c r="W170" s="589"/>
      <c r="X170" s="589"/>
      <c r="Y170" s="589"/>
      <c r="AA170" s="589"/>
      <c r="AB170" s="589"/>
      <c r="AC170" s="589"/>
      <c r="AD170" s="589"/>
    </row>
    <row r="171" spans="1:30">
      <c r="A171" s="329" t="s">
        <v>1586</v>
      </c>
      <c r="B171" s="626">
        <v>0</v>
      </c>
      <c r="C171" s="627" t="s">
        <v>518</v>
      </c>
      <c r="D171" s="571" t="s">
        <v>1307</v>
      </c>
      <c r="E171" s="776">
        <v>16709000</v>
      </c>
      <c r="H171" s="641">
        <v>7405700</v>
      </c>
      <c r="I171" s="589">
        <f t="shared" si="2"/>
        <v>1</v>
      </c>
      <c r="K171" s="589"/>
      <c r="L171" s="589"/>
      <c r="M171" s="589"/>
      <c r="N171" s="589"/>
      <c r="O171" s="589"/>
      <c r="P171" s="589"/>
      <c r="Q171" s="589"/>
      <c r="R171" s="589"/>
      <c r="S171" s="589"/>
      <c r="T171" s="589"/>
      <c r="U171" s="589"/>
      <c r="V171" s="589"/>
      <c r="W171" s="589"/>
      <c r="X171" s="589"/>
      <c r="Y171" s="589"/>
      <c r="AA171" s="589"/>
      <c r="AB171" s="589"/>
      <c r="AC171" s="589"/>
      <c r="AD171" s="589"/>
    </row>
    <row r="172" spans="1:30">
      <c r="A172" s="329" t="s">
        <v>519</v>
      </c>
      <c r="B172" s="626">
        <v>0</v>
      </c>
      <c r="C172" s="627" t="s">
        <v>816</v>
      </c>
      <c r="D172" s="571" t="s">
        <v>1307</v>
      </c>
      <c r="E172" s="776">
        <v>16709000</v>
      </c>
      <c r="H172" s="641">
        <v>7405700</v>
      </c>
      <c r="I172" s="589">
        <f t="shared" si="2"/>
        <v>1</v>
      </c>
      <c r="K172" s="589"/>
      <c r="L172" s="589"/>
      <c r="M172" s="589"/>
      <c r="N172" s="589"/>
      <c r="O172" s="589"/>
      <c r="P172" s="589"/>
      <c r="Q172" s="589"/>
      <c r="R172" s="589"/>
      <c r="S172" s="589"/>
      <c r="T172" s="589"/>
      <c r="U172" s="589"/>
      <c r="V172" s="589"/>
      <c r="W172" s="589"/>
      <c r="X172" s="589"/>
      <c r="Y172" s="589"/>
      <c r="AA172" s="589"/>
      <c r="AB172" s="589"/>
      <c r="AC172" s="589"/>
      <c r="AD172" s="589"/>
    </row>
    <row r="173" spans="1:30">
      <c r="A173" s="329" t="s">
        <v>817</v>
      </c>
      <c r="B173" s="626">
        <v>0</v>
      </c>
      <c r="C173" s="627" t="s">
        <v>818</v>
      </c>
      <c r="D173" s="571" t="s">
        <v>1307</v>
      </c>
      <c r="E173" s="776">
        <v>18328000</v>
      </c>
      <c r="H173" s="641">
        <v>9260000</v>
      </c>
      <c r="I173" s="589">
        <f t="shared" si="2"/>
        <v>1</v>
      </c>
      <c r="K173" s="589"/>
      <c r="L173" s="589"/>
      <c r="M173" s="589"/>
      <c r="N173" s="589"/>
      <c r="O173" s="589"/>
      <c r="P173" s="589"/>
      <c r="Q173" s="589"/>
      <c r="R173" s="589"/>
      <c r="S173" s="589"/>
      <c r="T173" s="589"/>
      <c r="U173" s="589"/>
      <c r="V173" s="589"/>
      <c r="W173" s="589"/>
      <c r="X173" s="589"/>
      <c r="Y173" s="589"/>
      <c r="AA173" s="589"/>
      <c r="AB173" s="589"/>
      <c r="AC173" s="589"/>
      <c r="AD173" s="589"/>
    </row>
    <row r="174" spans="1:30">
      <c r="A174" s="329" t="s">
        <v>5586</v>
      </c>
      <c r="B174" s="626">
        <v>0</v>
      </c>
      <c r="C174" s="627" t="s">
        <v>5587</v>
      </c>
      <c r="D174" s="571" t="s">
        <v>1307</v>
      </c>
      <c r="E174" s="776">
        <v>30973000</v>
      </c>
      <c r="H174" s="641">
        <v>9260000</v>
      </c>
      <c r="I174" s="589">
        <f t="shared" si="2"/>
        <v>1</v>
      </c>
      <c r="K174" s="589"/>
      <c r="L174" s="589"/>
      <c r="M174" s="589"/>
      <c r="N174" s="589"/>
      <c r="O174" s="589"/>
      <c r="P174" s="589"/>
      <c r="Q174" s="589"/>
      <c r="R174" s="589"/>
      <c r="S174" s="589"/>
      <c r="T174" s="589"/>
      <c r="U174" s="589"/>
      <c r="V174" s="589"/>
      <c r="W174" s="589"/>
      <c r="X174" s="589"/>
      <c r="Y174" s="589"/>
      <c r="AA174" s="589"/>
      <c r="AB174" s="589"/>
      <c r="AC174" s="589"/>
      <c r="AD174" s="589"/>
    </row>
    <row r="175" spans="1:30">
      <c r="B175" s="626"/>
      <c r="C175" s="627"/>
      <c r="D175" s="571"/>
      <c r="E175" s="641"/>
      <c r="H175" s="641"/>
      <c r="I175" s="589">
        <f t="shared" si="2"/>
        <v>0</v>
      </c>
      <c r="K175" s="589"/>
      <c r="L175" s="589"/>
      <c r="M175" s="589"/>
      <c r="N175" s="589" t="s">
        <v>5588</v>
      </c>
      <c r="O175" s="589"/>
      <c r="P175" s="589"/>
      <c r="Q175" s="589"/>
      <c r="R175" s="589"/>
      <c r="S175" s="589"/>
      <c r="T175" s="589"/>
      <c r="U175" s="589"/>
      <c r="V175" s="589"/>
      <c r="W175" s="589"/>
      <c r="X175" s="589"/>
      <c r="Y175" s="589"/>
      <c r="AA175" s="589"/>
      <c r="AB175" s="589"/>
      <c r="AC175" s="589"/>
      <c r="AD175" s="589"/>
    </row>
    <row r="176" spans="1:30">
      <c r="A176" s="329" t="s">
        <v>5589</v>
      </c>
      <c r="B176" s="626">
        <v>0</v>
      </c>
      <c r="C176" s="627" t="s">
        <v>5590</v>
      </c>
      <c r="D176" s="571" t="s">
        <v>1297</v>
      </c>
      <c r="E176" s="776">
        <v>50565450</v>
      </c>
      <c r="H176" s="641">
        <v>42446800</v>
      </c>
      <c r="I176" s="589">
        <f t="shared" si="2"/>
        <v>1</v>
      </c>
      <c r="J176" s="30" t="s">
        <v>5591</v>
      </c>
      <c r="K176" s="589"/>
      <c r="L176" s="589"/>
      <c r="M176" s="619">
        <v>60109886</v>
      </c>
      <c r="N176" s="619">
        <v>6000000</v>
      </c>
      <c r="O176" s="589"/>
      <c r="P176" s="589"/>
      <c r="Q176" s="589"/>
      <c r="R176" s="589"/>
      <c r="S176" s="589"/>
      <c r="T176" s="589"/>
      <c r="U176" s="589"/>
      <c r="V176" s="589"/>
      <c r="W176" s="589"/>
      <c r="X176" s="589"/>
      <c r="Y176" s="589"/>
      <c r="AA176" s="589"/>
      <c r="AB176" s="589"/>
      <c r="AC176" s="589"/>
      <c r="AD176" s="589"/>
    </row>
    <row r="177" spans="1:38">
      <c r="A177" s="329" t="s">
        <v>5592</v>
      </c>
      <c r="B177" s="626">
        <v>0</v>
      </c>
      <c r="C177" s="627" t="s">
        <v>5593</v>
      </c>
      <c r="D177" s="571" t="s">
        <v>1307</v>
      </c>
      <c r="E177" s="776">
        <v>73244535</v>
      </c>
      <c r="H177" s="641">
        <v>48950000</v>
      </c>
      <c r="I177" s="589">
        <f t="shared" si="2"/>
        <v>1</v>
      </c>
      <c r="K177" s="589"/>
      <c r="L177" s="589"/>
      <c r="M177" s="619">
        <v>70817986</v>
      </c>
      <c r="N177" s="619">
        <v>6000000</v>
      </c>
      <c r="O177" s="589"/>
      <c r="P177" s="589"/>
      <c r="Q177" s="589"/>
      <c r="R177" s="589"/>
      <c r="S177" s="589"/>
      <c r="T177" s="589"/>
      <c r="U177" s="589"/>
      <c r="V177" s="589"/>
      <c r="W177" s="589"/>
      <c r="X177" s="589"/>
      <c r="Y177" s="589"/>
      <c r="AA177" s="589"/>
      <c r="AB177" s="589"/>
      <c r="AC177" s="589"/>
      <c r="AD177" s="589"/>
    </row>
    <row r="178" spans="1:38">
      <c r="A178" s="329" t="s">
        <v>5594</v>
      </c>
      <c r="B178" s="626">
        <v>0</v>
      </c>
      <c r="C178" s="627" t="s">
        <v>5595</v>
      </c>
      <c r="D178" s="571" t="s">
        <v>1307</v>
      </c>
      <c r="E178" s="776"/>
      <c r="H178" s="641">
        <v>68214000</v>
      </c>
      <c r="I178" s="589">
        <f t="shared" si="2"/>
        <v>1</v>
      </c>
      <c r="K178" s="589"/>
      <c r="L178" s="589"/>
      <c r="M178" s="619">
        <v>113959185</v>
      </c>
      <c r="N178" s="619">
        <v>6000000</v>
      </c>
      <c r="O178" s="589"/>
      <c r="P178" s="589"/>
      <c r="Q178" s="589"/>
      <c r="R178" s="589"/>
      <c r="S178" s="589"/>
      <c r="T178" s="589"/>
      <c r="U178" s="589"/>
      <c r="V178" s="589"/>
      <c r="W178" s="589"/>
      <c r="X178" s="589"/>
      <c r="Y178" s="589"/>
      <c r="AA178" s="589"/>
      <c r="AB178" s="589"/>
      <c r="AC178" s="589"/>
      <c r="AD178" s="589"/>
    </row>
    <row r="179" spans="1:38">
      <c r="A179" s="329" t="s">
        <v>5596</v>
      </c>
      <c r="B179" s="626">
        <v>0</v>
      </c>
      <c r="C179" s="627" t="s">
        <v>3922</v>
      </c>
      <c r="D179" s="571" t="s">
        <v>1307</v>
      </c>
      <c r="E179" s="776"/>
      <c r="H179" s="641">
        <v>295500000</v>
      </c>
      <c r="I179" s="589">
        <f t="shared" si="2"/>
        <v>1</v>
      </c>
      <c r="K179" s="589"/>
      <c r="L179" s="589"/>
      <c r="M179" s="619">
        <v>196829330</v>
      </c>
      <c r="N179" s="619">
        <v>6000000</v>
      </c>
      <c r="O179" s="589"/>
      <c r="P179" s="589"/>
      <c r="Q179" s="589"/>
      <c r="R179" s="589"/>
      <c r="S179" s="589"/>
      <c r="T179" s="589"/>
      <c r="U179" s="589"/>
      <c r="V179" s="589"/>
      <c r="W179" s="589"/>
      <c r="X179" s="589"/>
      <c r="Y179" s="589"/>
      <c r="AA179" s="589"/>
      <c r="AB179" s="589"/>
      <c r="AC179" s="589"/>
      <c r="AD179" s="589"/>
    </row>
    <row r="180" spans="1:38">
      <c r="A180" s="610" t="s">
        <v>3923</v>
      </c>
      <c r="B180" s="611"/>
      <c r="C180" s="612"/>
      <c r="D180" s="613"/>
      <c r="E180" s="614"/>
      <c r="F180" s="329"/>
      <c r="H180" s="614"/>
      <c r="I180" s="589">
        <f t="shared" si="2"/>
        <v>0</v>
      </c>
      <c r="K180" s="589"/>
      <c r="L180" s="589"/>
      <c r="M180" s="589"/>
      <c r="N180" s="589"/>
      <c r="O180" s="589"/>
      <c r="P180" s="589"/>
      <c r="Q180" s="589"/>
      <c r="R180" s="589"/>
      <c r="S180" s="589"/>
      <c r="T180" s="589"/>
      <c r="U180" s="589"/>
      <c r="V180" s="589"/>
      <c r="W180" s="589"/>
      <c r="X180" s="589"/>
      <c r="Y180" s="589"/>
      <c r="AA180" s="589"/>
      <c r="AB180" s="589"/>
      <c r="AC180" s="589"/>
      <c r="AD180" s="589"/>
    </row>
    <row r="181" spans="1:38">
      <c r="A181" s="329" t="s">
        <v>3924</v>
      </c>
      <c r="B181" s="626">
        <v>0</v>
      </c>
      <c r="C181" s="627" t="s">
        <v>5799</v>
      </c>
      <c r="D181" s="571" t="s">
        <v>3521</v>
      </c>
      <c r="E181" s="776">
        <v>170000</v>
      </c>
      <c r="H181" s="619">
        <v>170000</v>
      </c>
      <c r="I181" s="589">
        <f t="shared" si="2"/>
        <v>0</v>
      </c>
      <c r="K181" s="589"/>
      <c r="L181" s="589"/>
      <c r="M181" s="589"/>
      <c r="N181" s="589"/>
      <c r="O181" s="589"/>
      <c r="P181" s="589"/>
      <c r="Q181" s="589"/>
      <c r="R181" s="589"/>
      <c r="S181" s="589"/>
      <c r="T181" s="589"/>
      <c r="U181" s="589"/>
      <c r="V181" s="589"/>
      <c r="W181" s="589"/>
      <c r="X181" s="589"/>
      <c r="Y181" s="589"/>
      <c r="AA181" s="589"/>
      <c r="AB181" s="589"/>
      <c r="AC181" s="589"/>
      <c r="AD181" s="589"/>
    </row>
    <row r="182" spans="1:38">
      <c r="A182" s="329" t="s">
        <v>2578</v>
      </c>
      <c r="B182" s="626">
        <v>0</v>
      </c>
      <c r="C182" s="627" t="s">
        <v>2579</v>
      </c>
      <c r="D182" s="571" t="s">
        <v>3521</v>
      </c>
      <c r="E182" s="776">
        <v>150000</v>
      </c>
      <c r="H182" s="619">
        <v>150000</v>
      </c>
      <c r="I182" s="589">
        <f t="shared" si="2"/>
        <v>0</v>
      </c>
      <c r="K182" s="589"/>
      <c r="L182" s="589"/>
      <c r="M182" s="589"/>
      <c r="N182" s="589"/>
      <c r="O182" s="589"/>
      <c r="P182" s="589"/>
      <c r="Q182" s="589"/>
      <c r="R182" s="589"/>
      <c r="S182" s="589"/>
      <c r="T182" s="589"/>
      <c r="U182" s="589"/>
      <c r="V182" s="589"/>
      <c r="W182" s="589"/>
      <c r="X182" s="589"/>
      <c r="Y182" s="589"/>
      <c r="AA182" s="589"/>
      <c r="AB182" s="589"/>
      <c r="AC182" s="589"/>
      <c r="AD182" s="589"/>
    </row>
    <row r="183" spans="1:38">
      <c r="A183" s="610" t="s">
        <v>42</v>
      </c>
      <c r="B183" s="611"/>
      <c r="C183" s="612"/>
      <c r="D183" s="613"/>
      <c r="E183" s="614"/>
      <c r="F183" s="329"/>
      <c r="H183" s="614"/>
      <c r="I183" s="589">
        <f t="shared" si="2"/>
        <v>0</v>
      </c>
      <c r="K183" s="589"/>
      <c r="L183" s="589"/>
      <c r="M183" s="589"/>
      <c r="N183" s="589"/>
      <c r="O183" s="589"/>
      <c r="P183" s="589"/>
      <c r="Q183" s="589"/>
      <c r="R183" s="589"/>
      <c r="S183" s="589"/>
      <c r="T183" s="589"/>
      <c r="U183" s="589"/>
      <c r="V183" s="589"/>
      <c r="W183" s="589"/>
      <c r="X183" s="589"/>
      <c r="Y183" s="589"/>
      <c r="AA183" s="589"/>
      <c r="AB183" s="589"/>
      <c r="AC183" s="589"/>
      <c r="AD183" s="589"/>
    </row>
    <row r="184" spans="1:38">
      <c r="A184" s="329" t="s">
        <v>43</v>
      </c>
      <c r="B184" s="626">
        <v>59203140</v>
      </c>
      <c r="C184" s="643" t="s">
        <v>44</v>
      </c>
      <c r="D184" s="644" t="s">
        <v>1307</v>
      </c>
      <c r="E184" s="645">
        <v>618000</v>
      </c>
      <c r="H184" s="646">
        <v>618000</v>
      </c>
      <c r="I184" s="589">
        <f t="shared" si="2"/>
        <v>0</v>
      </c>
      <c r="K184" s="589"/>
      <c r="L184" s="589"/>
      <c r="M184" s="589"/>
      <c r="N184" s="589"/>
      <c r="O184" s="589"/>
      <c r="P184" s="589"/>
      <c r="Q184" s="589"/>
      <c r="R184" s="589"/>
      <c r="S184" s="589"/>
      <c r="T184" s="589"/>
      <c r="U184" s="589"/>
      <c r="V184" s="589"/>
      <c r="W184" s="589"/>
      <c r="X184" s="589"/>
      <c r="Y184" s="589"/>
      <c r="AA184" s="589"/>
      <c r="AB184" s="589"/>
      <c r="AC184" s="589"/>
      <c r="AD184" s="589"/>
    </row>
    <row r="185" spans="1:38">
      <c r="A185" s="329" t="s">
        <v>45</v>
      </c>
      <c r="B185" s="626">
        <v>59203141</v>
      </c>
      <c r="C185" s="643" t="s">
        <v>46</v>
      </c>
      <c r="D185" s="644" t="s">
        <v>1307</v>
      </c>
      <c r="E185" s="645">
        <v>782800</v>
      </c>
      <c r="H185" s="646">
        <v>782800</v>
      </c>
      <c r="I185" s="589">
        <f t="shared" si="2"/>
        <v>0</v>
      </c>
      <c r="K185" s="589"/>
      <c r="L185" s="589"/>
      <c r="M185" s="589"/>
      <c r="N185" s="589"/>
      <c r="O185" s="589"/>
      <c r="P185" s="589"/>
      <c r="Q185" s="589"/>
      <c r="R185" s="589"/>
      <c r="S185" s="589"/>
      <c r="T185" s="589"/>
      <c r="U185" s="589"/>
      <c r="V185" s="589"/>
      <c r="W185" s="589"/>
      <c r="X185" s="589"/>
      <c r="Y185" s="589"/>
      <c r="AA185" s="589"/>
      <c r="AB185" s="589"/>
      <c r="AC185" s="589"/>
      <c r="AD185" s="589"/>
    </row>
    <row r="186" spans="1:38">
      <c r="A186" s="329" t="s">
        <v>47</v>
      </c>
      <c r="B186" s="626">
        <v>59203142</v>
      </c>
      <c r="C186" s="575" t="s">
        <v>48</v>
      </c>
      <c r="D186" s="571" t="s">
        <v>1307</v>
      </c>
      <c r="E186" s="645">
        <v>875500</v>
      </c>
      <c r="H186" s="646">
        <v>875500</v>
      </c>
      <c r="I186" s="589">
        <f t="shared" si="2"/>
        <v>0</v>
      </c>
      <c r="K186" s="589"/>
      <c r="L186" s="589"/>
      <c r="M186" s="589"/>
      <c r="N186" s="589"/>
      <c r="O186" s="589"/>
      <c r="P186" s="589"/>
      <c r="Q186" s="589"/>
      <c r="R186" s="589"/>
      <c r="S186" s="589"/>
      <c r="T186" s="589"/>
      <c r="U186" s="589"/>
      <c r="V186" s="589"/>
      <c r="W186" s="589"/>
      <c r="X186" s="589"/>
      <c r="Y186" s="589"/>
      <c r="AA186" s="589"/>
      <c r="AB186" s="589"/>
      <c r="AC186" s="589"/>
      <c r="AD186" s="589"/>
    </row>
    <row r="187" spans="1:38">
      <c r="A187" s="329" t="s">
        <v>49</v>
      </c>
      <c r="B187" s="626">
        <v>59203143</v>
      </c>
      <c r="C187" s="647" t="s">
        <v>3870</v>
      </c>
      <c r="D187" s="231" t="s">
        <v>1307</v>
      </c>
      <c r="E187" s="645">
        <v>1493500</v>
      </c>
      <c r="H187" s="646">
        <v>1493500</v>
      </c>
      <c r="I187" s="589">
        <f t="shared" si="2"/>
        <v>0</v>
      </c>
      <c r="K187" s="589"/>
      <c r="L187" s="589"/>
      <c r="M187" s="589"/>
      <c r="N187" s="589"/>
      <c r="O187" s="589"/>
      <c r="P187" s="589"/>
      <c r="Q187" s="589"/>
      <c r="R187" s="589"/>
      <c r="S187" s="589"/>
      <c r="T187" s="589"/>
      <c r="U187" s="589"/>
      <c r="V187" s="589"/>
      <c r="W187" s="589"/>
      <c r="X187" s="589"/>
      <c r="Y187" s="589"/>
      <c r="AA187" s="589"/>
      <c r="AB187" s="589"/>
      <c r="AC187" s="589"/>
      <c r="AD187" s="589"/>
    </row>
    <row r="188" spans="1:38">
      <c r="A188" s="610" t="s">
        <v>6204</v>
      </c>
      <c r="B188" s="611"/>
      <c r="C188" s="612"/>
      <c r="D188" s="613"/>
      <c r="E188" s="614"/>
      <c r="F188" s="329"/>
      <c r="H188" s="614"/>
      <c r="I188" s="589">
        <f t="shared" si="2"/>
        <v>0</v>
      </c>
      <c r="K188" s="589"/>
      <c r="L188" s="589"/>
      <c r="M188" s="589"/>
      <c r="N188" s="589"/>
      <c r="O188" s="589"/>
      <c r="P188" s="589"/>
      <c r="Q188" s="589"/>
      <c r="R188" s="589"/>
      <c r="S188" s="589"/>
      <c r="T188" s="589"/>
      <c r="U188" s="589"/>
      <c r="V188" s="589"/>
      <c r="W188" s="589"/>
      <c r="X188" s="589"/>
      <c r="Y188" s="589"/>
      <c r="AA188" s="589"/>
      <c r="AB188" s="589"/>
      <c r="AC188" s="589"/>
      <c r="AD188" s="589"/>
    </row>
    <row r="189" spans="1:38">
      <c r="A189" s="329" t="s">
        <v>6205</v>
      </c>
      <c r="B189" s="648">
        <v>30600299</v>
      </c>
      <c r="C189" s="575" t="s">
        <v>6206</v>
      </c>
      <c r="D189" s="571" t="s">
        <v>1307</v>
      </c>
      <c r="E189" s="645">
        <v>210000</v>
      </c>
      <c r="H189" s="645">
        <v>250000</v>
      </c>
      <c r="I189" s="589">
        <f t="shared" si="2"/>
        <v>1</v>
      </c>
      <c r="K189" s="589"/>
      <c r="L189" s="589"/>
      <c r="M189" s="589"/>
      <c r="N189" s="589"/>
      <c r="O189" s="589"/>
      <c r="P189" s="589"/>
      <c r="Q189" s="589"/>
      <c r="R189" s="589"/>
      <c r="S189" s="589"/>
      <c r="T189" s="589"/>
      <c r="U189" s="589"/>
      <c r="V189" s="589"/>
      <c r="W189" s="589"/>
      <c r="X189" s="589"/>
      <c r="Y189" s="589"/>
      <c r="AA189" s="589"/>
      <c r="AB189" s="589"/>
      <c r="AC189" s="589"/>
      <c r="AD189" s="589"/>
    </row>
    <row r="190" spans="1:38">
      <c r="A190" s="329" t="s">
        <v>6207</v>
      </c>
      <c r="B190" s="649">
        <v>30600298</v>
      </c>
      <c r="C190" s="650" t="s">
        <v>1800</v>
      </c>
      <c r="D190" s="231" t="s">
        <v>1307</v>
      </c>
      <c r="E190" s="645">
        <v>475000</v>
      </c>
      <c r="H190" s="645">
        <v>300000</v>
      </c>
      <c r="I190" s="589">
        <f t="shared" si="2"/>
        <v>1</v>
      </c>
      <c r="K190" s="589"/>
      <c r="L190" s="589"/>
      <c r="M190" s="589"/>
      <c r="N190" s="589"/>
      <c r="O190" s="589"/>
      <c r="P190" s="589"/>
      <c r="Q190" s="589"/>
      <c r="R190" s="589"/>
      <c r="S190" s="589"/>
      <c r="T190" s="589"/>
      <c r="U190" s="589"/>
      <c r="V190" s="589"/>
      <c r="W190" s="589"/>
      <c r="X190" s="589"/>
      <c r="Y190" s="589"/>
      <c r="AA190" s="589"/>
      <c r="AB190" s="589"/>
      <c r="AC190" s="589"/>
      <c r="AD190" s="589"/>
    </row>
    <row r="191" spans="1:38" s="588" customFormat="1">
      <c r="A191" s="329" t="s">
        <v>1801</v>
      </c>
      <c r="B191" s="651"/>
      <c r="C191" s="638" t="s">
        <v>1802</v>
      </c>
      <c r="D191" s="629" t="s">
        <v>1307</v>
      </c>
      <c r="E191" s="646"/>
      <c r="H191" s="645">
        <v>430000</v>
      </c>
      <c r="I191" s="589">
        <f t="shared" si="2"/>
        <v>1</v>
      </c>
      <c r="J191" s="30"/>
      <c r="K191" s="589"/>
      <c r="L191" s="589"/>
      <c r="M191" s="589"/>
      <c r="N191" s="589"/>
      <c r="O191" s="589"/>
      <c r="P191" s="589"/>
      <c r="Q191" s="589"/>
      <c r="R191" s="589"/>
      <c r="S191" s="589"/>
      <c r="T191" s="589"/>
      <c r="U191" s="589"/>
      <c r="V191" s="589"/>
      <c r="W191" s="589"/>
      <c r="X191" s="589"/>
      <c r="Y191" s="589"/>
      <c r="Z191" s="589"/>
      <c r="AA191" s="589"/>
      <c r="AB191" s="589"/>
      <c r="AC191" s="589"/>
      <c r="AD191" s="589"/>
      <c r="AE191" s="329"/>
      <c r="AF191" s="329"/>
      <c r="AG191" s="329"/>
      <c r="AH191" s="329"/>
      <c r="AI191" s="329"/>
      <c r="AJ191" s="329"/>
      <c r="AK191" s="329"/>
      <c r="AL191" s="329"/>
    </row>
    <row r="192" spans="1:38" s="588" customFormat="1">
      <c r="A192" s="329"/>
      <c r="B192" s="652"/>
      <c r="C192" s="638"/>
      <c r="D192" s="629"/>
      <c r="E192" s="653"/>
      <c r="H192" s="653"/>
      <c r="I192" s="589">
        <f t="shared" si="2"/>
        <v>0</v>
      </c>
      <c r="J192" s="30"/>
      <c r="K192" s="589"/>
      <c r="L192" s="589"/>
      <c r="M192" s="589"/>
      <c r="N192" s="589"/>
      <c r="O192" s="589"/>
      <c r="P192" s="589"/>
      <c r="Q192" s="589"/>
      <c r="R192" s="589"/>
      <c r="S192" s="589"/>
      <c r="T192" s="589"/>
      <c r="U192" s="589"/>
      <c r="V192" s="589"/>
      <c r="W192" s="589"/>
      <c r="X192" s="589"/>
      <c r="Y192" s="589"/>
      <c r="Z192" s="589"/>
      <c r="AA192" s="589"/>
      <c r="AB192" s="589"/>
      <c r="AC192" s="589"/>
      <c r="AD192" s="589"/>
      <c r="AE192" s="329"/>
      <c r="AF192" s="329"/>
      <c r="AG192" s="329"/>
      <c r="AH192" s="329"/>
      <c r="AI192" s="329"/>
      <c r="AJ192" s="329"/>
      <c r="AK192" s="329"/>
      <c r="AL192" s="329"/>
    </row>
    <row r="193" spans="1:30">
      <c r="A193" s="329" t="s">
        <v>1803</v>
      </c>
      <c r="B193" s="654">
        <v>59000304</v>
      </c>
      <c r="C193" s="575" t="s">
        <v>1804</v>
      </c>
      <c r="D193" s="571" t="s">
        <v>1307</v>
      </c>
      <c r="E193" s="646">
        <v>400000</v>
      </c>
      <c r="H193" s="645">
        <v>320000</v>
      </c>
      <c r="I193" s="589">
        <f t="shared" si="2"/>
        <v>1</v>
      </c>
      <c r="K193" s="589"/>
      <c r="L193" s="589"/>
      <c r="M193" s="589"/>
      <c r="N193" s="589"/>
      <c r="O193" s="589"/>
      <c r="P193" s="589"/>
      <c r="Q193" s="589"/>
      <c r="R193" s="589"/>
      <c r="S193" s="589"/>
      <c r="T193" s="589"/>
      <c r="U193" s="589"/>
      <c r="V193" s="589"/>
      <c r="W193" s="589"/>
      <c r="X193" s="589"/>
      <c r="Y193" s="589"/>
      <c r="AA193" s="589"/>
      <c r="AB193" s="589"/>
      <c r="AC193" s="589"/>
      <c r="AD193" s="589"/>
    </row>
    <row r="194" spans="1:30">
      <c r="A194" s="329" t="s">
        <v>1805</v>
      </c>
      <c r="B194" s="654">
        <v>59000306</v>
      </c>
      <c r="C194" s="655" t="s">
        <v>1806</v>
      </c>
      <c r="D194" s="656" t="s">
        <v>1307</v>
      </c>
      <c r="E194" s="653"/>
      <c r="H194" s="653"/>
      <c r="I194" s="589">
        <f t="shared" si="2"/>
        <v>0</v>
      </c>
      <c r="K194" s="589"/>
      <c r="L194" s="589"/>
      <c r="M194" s="589"/>
      <c r="N194" s="589"/>
      <c r="O194" s="589"/>
      <c r="P194" s="589"/>
      <c r="Q194" s="589"/>
      <c r="R194" s="589"/>
      <c r="S194" s="589"/>
      <c r="T194" s="589"/>
      <c r="U194" s="589"/>
      <c r="V194" s="589"/>
      <c r="W194" s="589"/>
      <c r="X194" s="589"/>
      <c r="Y194" s="589"/>
      <c r="AA194" s="589"/>
      <c r="AB194" s="589"/>
      <c r="AC194" s="589"/>
      <c r="AD194" s="589"/>
    </row>
    <row r="195" spans="1:30">
      <c r="A195" s="610" t="s">
        <v>1807</v>
      </c>
      <c r="B195" s="611"/>
      <c r="C195" s="612"/>
      <c r="D195" s="613"/>
      <c r="E195" s="614"/>
      <c r="F195" s="329"/>
      <c r="H195" s="614"/>
      <c r="I195" s="589">
        <f t="shared" si="2"/>
        <v>0</v>
      </c>
      <c r="K195" s="589"/>
      <c r="L195" s="589"/>
      <c r="M195" s="589"/>
      <c r="N195" s="589"/>
      <c r="O195" s="589"/>
      <c r="P195" s="589"/>
      <c r="Q195" s="589"/>
      <c r="R195" s="589"/>
      <c r="S195" s="589"/>
      <c r="T195" s="589"/>
      <c r="U195" s="589"/>
      <c r="V195" s="589"/>
      <c r="W195" s="589"/>
      <c r="X195" s="589"/>
      <c r="Y195" s="589"/>
      <c r="AA195" s="589"/>
      <c r="AB195" s="589"/>
      <c r="AC195" s="589"/>
      <c r="AD195" s="589"/>
    </row>
    <row r="196" spans="1:30">
      <c r="A196" s="329" t="s">
        <v>5685</v>
      </c>
      <c r="B196" s="648">
        <v>30220102</v>
      </c>
      <c r="C196" s="655" t="s">
        <v>5686</v>
      </c>
      <c r="D196" s="656" t="s">
        <v>5687</v>
      </c>
      <c r="E196" s="646"/>
      <c r="H196" s="646"/>
      <c r="I196" s="589">
        <f t="shared" si="2"/>
        <v>0</v>
      </c>
      <c r="K196" s="589"/>
      <c r="L196" s="589"/>
      <c r="M196" s="589"/>
      <c r="N196" s="589"/>
      <c r="O196" s="589"/>
      <c r="P196" s="589"/>
      <c r="Q196" s="589"/>
      <c r="R196" s="589"/>
      <c r="S196" s="589"/>
      <c r="T196" s="589"/>
      <c r="U196" s="589"/>
      <c r="V196" s="589"/>
      <c r="W196" s="589"/>
      <c r="X196" s="589"/>
      <c r="Y196" s="589"/>
      <c r="AA196" s="589"/>
      <c r="AB196" s="589"/>
      <c r="AC196" s="589"/>
      <c r="AD196" s="589"/>
    </row>
    <row r="197" spans="1:30">
      <c r="A197" s="329" t="s">
        <v>5688</v>
      </c>
      <c r="B197" s="648">
        <v>30220103</v>
      </c>
      <c r="C197" s="650" t="s">
        <v>5689</v>
      </c>
      <c r="D197" s="231" t="s">
        <v>5687</v>
      </c>
      <c r="E197" s="646"/>
      <c r="H197" s="657"/>
      <c r="I197" s="589">
        <f t="shared" si="2"/>
        <v>0</v>
      </c>
      <c r="K197" s="589"/>
      <c r="L197" s="589"/>
      <c r="M197" s="589"/>
      <c r="N197" s="589"/>
      <c r="O197" s="589"/>
      <c r="P197" s="589"/>
      <c r="Q197" s="589"/>
      <c r="R197" s="589"/>
      <c r="S197" s="589"/>
      <c r="T197" s="589"/>
      <c r="U197" s="589"/>
      <c r="V197" s="589"/>
      <c r="W197" s="589"/>
      <c r="X197" s="589"/>
      <c r="Y197" s="589"/>
      <c r="AA197" s="589"/>
      <c r="AB197" s="589"/>
      <c r="AC197" s="589"/>
      <c r="AD197" s="589"/>
    </row>
    <row r="198" spans="1:30">
      <c r="A198" s="329" t="s">
        <v>5690</v>
      </c>
      <c r="B198" s="626">
        <v>30205065</v>
      </c>
      <c r="C198" s="575" t="s">
        <v>5691</v>
      </c>
      <c r="D198" s="571" t="s">
        <v>5687</v>
      </c>
      <c r="E198" s="646">
        <v>940000</v>
      </c>
      <c r="H198" s="657"/>
      <c r="I198" s="589">
        <f t="shared" si="2"/>
        <v>1</v>
      </c>
      <c r="K198" s="589"/>
      <c r="L198" s="589"/>
      <c r="M198" s="589"/>
      <c r="N198" s="589"/>
      <c r="O198" s="589"/>
      <c r="P198" s="589"/>
      <c r="Q198" s="589"/>
      <c r="R198" s="589"/>
      <c r="S198" s="589"/>
      <c r="T198" s="589"/>
      <c r="U198" s="589"/>
      <c r="V198" s="589"/>
      <c r="W198" s="589"/>
      <c r="X198" s="589"/>
      <c r="Y198" s="589"/>
      <c r="AA198" s="589"/>
      <c r="AB198" s="589"/>
      <c r="AC198" s="589"/>
      <c r="AD198" s="589"/>
    </row>
    <row r="199" spans="1:30">
      <c r="A199" s="329" t="s">
        <v>5692</v>
      </c>
      <c r="B199" s="626">
        <v>30204060</v>
      </c>
      <c r="C199" s="575" t="s">
        <v>4724</v>
      </c>
      <c r="D199" s="571" t="s">
        <v>5687</v>
      </c>
      <c r="E199" s="646"/>
      <c r="H199" s="657"/>
      <c r="I199" s="589">
        <f t="shared" si="2"/>
        <v>0</v>
      </c>
      <c r="K199" s="589"/>
      <c r="L199" s="589"/>
      <c r="M199" s="589"/>
      <c r="N199" s="589"/>
      <c r="O199" s="589"/>
      <c r="P199" s="589"/>
      <c r="Q199" s="589"/>
      <c r="R199" s="589"/>
      <c r="S199" s="589"/>
      <c r="T199" s="589"/>
      <c r="U199" s="589"/>
      <c r="V199" s="589"/>
      <c r="W199" s="589"/>
      <c r="X199" s="589"/>
      <c r="Y199" s="589"/>
      <c r="AA199" s="589"/>
      <c r="AB199" s="589"/>
      <c r="AC199" s="589"/>
      <c r="AD199" s="589"/>
    </row>
    <row r="200" spans="1:30">
      <c r="B200" s="654"/>
      <c r="C200" s="575"/>
      <c r="D200" s="571"/>
      <c r="E200" s="658"/>
      <c r="H200" s="658"/>
      <c r="I200" s="589">
        <f t="shared" si="2"/>
        <v>0</v>
      </c>
      <c r="K200" s="589"/>
      <c r="L200" s="589"/>
      <c r="M200" s="589"/>
      <c r="N200" s="589"/>
      <c r="O200" s="589"/>
      <c r="P200" s="589"/>
      <c r="Q200" s="589"/>
      <c r="R200" s="589"/>
      <c r="S200" s="589"/>
      <c r="T200" s="589"/>
      <c r="U200" s="589"/>
      <c r="V200" s="589"/>
      <c r="W200" s="589"/>
      <c r="X200" s="589"/>
      <c r="Y200" s="589"/>
      <c r="AA200" s="589"/>
      <c r="AB200" s="589"/>
      <c r="AC200" s="589"/>
      <c r="AD200" s="589"/>
    </row>
    <row r="201" spans="1:30">
      <c r="A201" s="329" t="s">
        <v>4725</v>
      </c>
      <c r="B201" s="648">
        <v>30205070</v>
      </c>
      <c r="C201" s="575" t="s">
        <v>4712</v>
      </c>
      <c r="D201" s="571" t="s">
        <v>5687</v>
      </c>
      <c r="E201" s="645">
        <v>1441000</v>
      </c>
      <c r="H201" s="645">
        <v>1050000</v>
      </c>
      <c r="I201" s="589">
        <f t="shared" si="2"/>
        <v>1</v>
      </c>
      <c r="K201" s="589"/>
      <c r="L201" s="589"/>
      <c r="M201" s="589"/>
      <c r="N201" s="589"/>
      <c r="O201" s="589"/>
      <c r="P201" s="589"/>
      <c r="Q201" s="589"/>
      <c r="R201" s="589"/>
      <c r="S201" s="589"/>
      <c r="T201" s="589"/>
      <c r="U201" s="589"/>
      <c r="V201" s="589"/>
      <c r="W201" s="589"/>
      <c r="X201" s="589"/>
      <c r="Y201" s="589"/>
      <c r="AA201" s="589"/>
      <c r="AB201" s="589"/>
      <c r="AC201" s="589"/>
      <c r="AD201" s="589"/>
    </row>
    <row r="202" spans="1:30">
      <c r="A202" s="329" t="s">
        <v>4713</v>
      </c>
      <c r="B202" s="648">
        <v>30205122</v>
      </c>
      <c r="C202" s="575" t="s">
        <v>2178</v>
      </c>
      <c r="D202" s="571" t="s">
        <v>5687</v>
      </c>
      <c r="E202" s="645">
        <v>2192000</v>
      </c>
      <c r="G202" s="685"/>
      <c r="H202" s="645">
        <v>1800000</v>
      </c>
      <c r="I202" s="589">
        <f t="shared" si="2"/>
        <v>1</v>
      </c>
      <c r="K202" s="589"/>
      <c r="L202" s="589"/>
      <c r="M202" s="589"/>
      <c r="N202" s="589"/>
      <c r="O202" s="589"/>
      <c r="P202" s="589"/>
      <c r="Q202" s="589"/>
      <c r="R202" s="589"/>
      <c r="S202" s="589"/>
      <c r="T202" s="589"/>
      <c r="U202" s="589"/>
      <c r="V202" s="589"/>
      <c r="W202" s="589"/>
      <c r="X202" s="589"/>
      <c r="Y202" s="589"/>
      <c r="AA202" s="589"/>
      <c r="AB202" s="589"/>
      <c r="AC202" s="589"/>
      <c r="AD202" s="589"/>
    </row>
    <row r="203" spans="1:30">
      <c r="A203" s="329" t="s">
        <v>2179</v>
      </c>
      <c r="B203" s="648">
        <v>30205121</v>
      </c>
      <c r="C203" s="655" t="s">
        <v>2180</v>
      </c>
      <c r="D203" s="656" t="s">
        <v>5687</v>
      </c>
      <c r="E203" s="645">
        <v>2590000</v>
      </c>
      <c r="H203" s="645">
        <v>2300000</v>
      </c>
      <c r="I203" s="589">
        <f t="shared" si="2"/>
        <v>1</v>
      </c>
      <c r="K203" s="589"/>
      <c r="L203" s="589"/>
      <c r="M203" s="589"/>
      <c r="N203" s="589"/>
      <c r="O203" s="589"/>
      <c r="P203" s="589"/>
      <c r="Q203" s="589"/>
      <c r="R203" s="589"/>
      <c r="S203" s="589"/>
      <c r="T203" s="589"/>
      <c r="U203" s="589"/>
      <c r="V203" s="589"/>
      <c r="W203" s="589"/>
      <c r="X203" s="589"/>
      <c r="Y203" s="589"/>
      <c r="AA203" s="589"/>
      <c r="AB203" s="589"/>
      <c r="AC203" s="589"/>
      <c r="AD203" s="589"/>
    </row>
    <row r="204" spans="1:30">
      <c r="A204" s="329" t="s">
        <v>2181</v>
      </c>
      <c r="B204" s="648">
        <v>30205140</v>
      </c>
      <c r="C204" s="643" t="s">
        <v>888</v>
      </c>
      <c r="D204" s="644" t="s">
        <v>5687</v>
      </c>
      <c r="E204" s="645">
        <v>4013000</v>
      </c>
      <c r="G204" s="685"/>
      <c r="H204" s="645">
        <v>3600000</v>
      </c>
      <c r="I204" s="589">
        <f t="shared" si="2"/>
        <v>1</v>
      </c>
      <c r="K204" s="589"/>
      <c r="L204" s="589"/>
      <c r="M204" s="589"/>
      <c r="N204" s="589"/>
      <c r="O204" s="589"/>
      <c r="P204" s="589"/>
      <c r="Q204" s="589"/>
      <c r="R204" s="589"/>
      <c r="S204" s="589"/>
      <c r="T204" s="589"/>
      <c r="U204" s="589"/>
      <c r="V204" s="589"/>
      <c r="W204" s="589"/>
      <c r="X204" s="589"/>
      <c r="Y204" s="589"/>
      <c r="AA204" s="589"/>
      <c r="AB204" s="589"/>
      <c r="AC204" s="589"/>
      <c r="AD204" s="589"/>
    </row>
    <row r="205" spans="1:30">
      <c r="A205" s="329" t="s">
        <v>889</v>
      </c>
      <c r="B205" s="626"/>
      <c r="C205" s="643" t="s">
        <v>890</v>
      </c>
      <c r="D205" s="644" t="s">
        <v>5687</v>
      </c>
      <c r="E205" s="646">
        <v>16300000</v>
      </c>
      <c r="H205" s="645">
        <v>16000000</v>
      </c>
      <c r="I205" s="589">
        <f t="shared" si="2"/>
        <v>1</v>
      </c>
      <c r="K205" s="589"/>
      <c r="L205" s="589"/>
      <c r="M205" s="589"/>
      <c r="N205" s="589"/>
      <c r="O205" s="589"/>
      <c r="P205" s="589"/>
      <c r="Q205" s="589"/>
      <c r="R205" s="589"/>
      <c r="S205" s="589"/>
      <c r="T205" s="589"/>
      <c r="U205" s="589"/>
      <c r="V205" s="589"/>
      <c r="W205" s="589"/>
      <c r="X205" s="589"/>
      <c r="Y205" s="589"/>
      <c r="AA205" s="589"/>
      <c r="AB205" s="589"/>
      <c r="AC205" s="589"/>
      <c r="AD205" s="589"/>
    </row>
    <row r="206" spans="1:30">
      <c r="A206" s="610" t="s">
        <v>891</v>
      </c>
      <c r="B206" s="611"/>
      <c r="C206" s="612"/>
      <c r="D206" s="613"/>
      <c r="E206" s="614"/>
      <c r="F206" s="329"/>
      <c r="H206" s="614"/>
      <c r="I206" s="589">
        <f t="shared" si="2"/>
        <v>0</v>
      </c>
      <c r="K206" s="589"/>
      <c r="L206" s="589"/>
      <c r="M206" s="589"/>
      <c r="N206" s="589"/>
      <c r="O206" s="589"/>
      <c r="P206" s="589"/>
      <c r="Q206" s="589"/>
      <c r="R206" s="589"/>
      <c r="S206" s="589"/>
      <c r="T206" s="589"/>
      <c r="U206" s="589"/>
      <c r="V206" s="589"/>
      <c r="W206" s="589"/>
      <c r="X206" s="589"/>
      <c r="Y206" s="589"/>
      <c r="AA206" s="589"/>
      <c r="AB206" s="589"/>
      <c r="AC206" s="589"/>
      <c r="AD206" s="589"/>
    </row>
    <row r="207" spans="1:30">
      <c r="A207" s="329" t="s">
        <v>892</v>
      </c>
      <c r="B207" s="626">
        <v>0</v>
      </c>
      <c r="C207" s="650" t="s">
        <v>886</v>
      </c>
      <c r="D207" s="571" t="s">
        <v>1307</v>
      </c>
      <c r="E207" s="633"/>
      <c r="H207" s="632">
        <v>376100</v>
      </c>
      <c r="I207" s="589">
        <f t="shared" si="2"/>
        <v>1</v>
      </c>
      <c r="K207" s="589"/>
      <c r="L207" s="589"/>
      <c r="M207" s="589"/>
      <c r="N207" s="589"/>
      <c r="O207" s="589"/>
      <c r="P207" s="589"/>
      <c r="Q207" s="589"/>
      <c r="R207" s="589"/>
      <c r="S207" s="589"/>
      <c r="T207" s="589"/>
      <c r="U207" s="589"/>
      <c r="V207" s="589"/>
      <c r="W207" s="589"/>
      <c r="X207" s="589"/>
      <c r="Y207" s="589"/>
      <c r="AA207" s="589">
        <f>ROUND(AD207*$AE$211,-2)</f>
        <v>376100</v>
      </c>
      <c r="AB207" s="589"/>
      <c r="AC207" s="589"/>
      <c r="AD207" s="589">
        <v>1800</v>
      </c>
    </row>
    <row r="208" spans="1:30">
      <c r="A208" s="329" t="s">
        <v>4230</v>
      </c>
      <c r="B208" s="626">
        <v>0</v>
      </c>
      <c r="C208" s="650" t="s">
        <v>4231</v>
      </c>
      <c r="D208" s="571" t="s">
        <v>1307</v>
      </c>
      <c r="E208" s="633">
        <v>435000</v>
      </c>
      <c r="H208" s="632">
        <v>376100</v>
      </c>
      <c r="I208" s="589">
        <f>IF(E208=H208,0,1)</f>
        <v>1</v>
      </c>
      <c r="K208" s="589"/>
      <c r="L208" s="589"/>
      <c r="M208" s="589"/>
      <c r="N208" s="589"/>
      <c r="O208" s="589"/>
      <c r="P208" s="589"/>
      <c r="Q208" s="589"/>
      <c r="R208" s="589"/>
      <c r="S208" s="589"/>
      <c r="T208" s="589"/>
      <c r="U208" s="589"/>
      <c r="V208" s="589"/>
      <c r="W208" s="589"/>
      <c r="X208" s="589"/>
      <c r="Y208" s="589"/>
      <c r="AA208" s="589">
        <f>ROUND(AD208*$AE$211,-2)</f>
        <v>376100</v>
      </c>
      <c r="AB208" s="589"/>
      <c r="AC208" s="589"/>
      <c r="AD208" s="589">
        <v>1800</v>
      </c>
    </row>
    <row r="209" spans="1:31">
      <c r="A209" s="329" t="s">
        <v>887</v>
      </c>
      <c r="B209" s="648">
        <v>30600072</v>
      </c>
      <c r="C209" s="650" t="s">
        <v>3992</v>
      </c>
      <c r="D209" s="231" t="s">
        <v>1307</v>
      </c>
      <c r="E209" s="776">
        <v>573000</v>
      </c>
      <c r="H209" s="632">
        <v>459600</v>
      </c>
      <c r="I209" s="589">
        <f t="shared" si="2"/>
        <v>1</v>
      </c>
      <c r="K209" s="589"/>
      <c r="L209" s="589"/>
      <c r="M209" s="589"/>
      <c r="N209" s="589"/>
      <c r="O209" s="589"/>
      <c r="P209" s="589"/>
      <c r="Q209" s="589"/>
      <c r="R209" s="589"/>
      <c r="S209" s="589"/>
      <c r="T209" s="589"/>
      <c r="U209" s="589"/>
      <c r="V209" s="589"/>
      <c r="W209" s="589"/>
      <c r="X209" s="589"/>
      <c r="Y209" s="589"/>
      <c r="AA209" s="589">
        <f>ROUND(AD209*$AE$211,-2)</f>
        <v>459600</v>
      </c>
      <c r="AB209" s="589"/>
      <c r="AC209" s="589"/>
      <c r="AD209" s="589">
        <v>2200</v>
      </c>
    </row>
    <row r="210" spans="1:31">
      <c r="A210" s="329" t="s">
        <v>3993</v>
      </c>
      <c r="B210" s="626">
        <v>0</v>
      </c>
      <c r="C210" s="650" t="s">
        <v>3994</v>
      </c>
      <c r="D210" s="231" t="s">
        <v>1307</v>
      </c>
      <c r="E210" s="633"/>
      <c r="H210" s="632">
        <v>480500</v>
      </c>
      <c r="I210" s="589">
        <f t="shared" si="2"/>
        <v>1</v>
      </c>
      <c r="K210" s="589"/>
      <c r="L210" s="589"/>
      <c r="M210" s="589"/>
      <c r="N210" s="589"/>
      <c r="O210" s="589"/>
      <c r="P210" s="589"/>
      <c r="Q210" s="589"/>
      <c r="R210" s="589"/>
      <c r="S210" s="589"/>
      <c r="T210" s="589"/>
      <c r="U210" s="589"/>
      <c r="V210" s="589"/>
      <c r="W210" s="589"/>
      <c r="X210" s="589"/>
      <c r="Y210" s="589"/>
      <c r="AA210" s="589">
        <f>ROUND(AD210*$AE$211,-2)</f>
        <v>480500</v>
      </c>
      <c r="AB210" s="589"/>
      <c r="AC210" s="589"/>
      <c r="AD210" s="589">
        <v>2300</v>
      </c>
    </row>
    <row r="211" spans="1:31">
      <c r="A211" s="329" t="s">
        <v>3995</v>
      </c>
      <c r="B211" s="648">
        <v>30600081</v>
      </c>
      <c r="C211" s="655" t="s">
        <v>3996</v>
      </c>
      <c r="D211" s="656" t="s">
        <v>1307</v>
      </c>
      <c r="E211" s="776">
        <v>728000</v>
      </c>
      <c r="H211" s="632">
        <v>585000</v>
      </c>
      <c r="I211" s="589">
        <f t="shared" si="2"/>
        <v>1</v>
      </c>
      <c r="K211" s="589"/>
      <c r="L211" s="589"/>
      <c r="M211" s="589"/>
      <c r="N211" s="589"/>
      <c r="O211" s="589"/>
      <c r="P211" s="589"/>
      <c r="Q211" s="589"/>
      <c r="R211" s="589"/>
      <c r="S211" s="589"/>
      <c r="T211" s="589"/>
      <c r="U211" s="589"/>
      <c r="V211" s="589"/>
      <c r="W211" s="589"/>
      <c r="X211" s="589"/>
      <c r="Y211" s="589"/>
      <c r="AA211" s="589">
        <v>585000</v>
      </c>
      <c r="AB211" s="589"/>
      <c r="AC211" s="589"/>
      <c r="AD211" s="589">
        <f>2400+400</f>
        <v>2800</v>
      </c>
      <c r="AE211" s="329">
        <f>+AA211/AD211</f>
        <v>208.92857142857142</v>
      </c>
    </row>
    <row r="212" spans="1:31">
      <c r="B212" s="626"/>
      <c r="C212" s="643"/>
      <c r="D212" s="656"/>
      <c r="E212" s="633"/>
      <c r="H212" s="633"/>
      <c r="I212" s="589">
        <f t="shared" si="2"/>
        <v>0</v>
      </c>
      <c r="K212" s="589"/>
      <c r="L212" s="589"/>
      <c r="M212" s="589"/>
      <c r="N212" s="589"/>
      <c r="O212" s="589"/>
      <c r="P212" s="589"/>
      <c r="Q212" s="589"/>
      <c r="R212" s="589"/>
      <c r="S212" s="589"/>
      <c r="T212" s="589"/>
      <c r="U212" s="589"/>
      <c r="V212" s="589"/>
      <c r="W212" s="589"/>
      <c r="X212" s="589"/>
      <c r="Y212" s="589"/>
      <c r="AA212" s="589"/>
      <c r="AB212" s="589"/>
      <c r="AC212" s="589"/>
      <c r="AD212" s="589"/>
    </row>
    <row r="213" spans="1:31">
      <c r="A213" s="329" t="s">
        <v>3997</v>
      </c>
      <c r="B213" s="626">
        <v>0</v>
      </c>
      <c r="C213" s="650" t="s">
        <v>3998</v>
      </c>
      <c r="D213" s="571" t="s">
        <v>1307</v>
      </c>
      <c r="E213" s="633"/>
      <c r="H213" s="632">
        <v>167100</v>
      </c>
      <c r="I213" s="589">
        <f t="shared" si="2"/>
        <v>1</v>
      </c>
      <c r="K213" s="589"/>
      <c r="L213" s="589"/>
      <c r="M213" s="589"/>
      <c r="N213" s="589"/>
      <c r="O213" s="589"/>
      <c r="P213" s="589"/>
      <c r="Q213" s="589"/>
      <c r="R213" s="589"/>
      <c r="S213" s="589"/>
      <c r="T213" s="589"/>
      <c r="U213" s="589"/>
      <c r="V213" s="589"/>
      <c r="W213" s="589"/>
      <c r="X213" s="589"/>
      <c r="Y213" s="589"/>
      <c r="AA213" s="589">
        <f>ROUND(AD213*$AE$211,-2)</f>
        <v>167100</v>
      </c>
      <c r="AB213" s="589"/>
      <c r="AC213" s="589"/>
      <c r="AD213" s="589">
        <v>800</v>
      </c>
    </row>
    <row r="214" spans="1:31">
      <c r="A214" s="329" t="s">
        <v>3999</v>
      </c>
      <c r="B214" s="626">
        <v>0</v>
      </c>
      <c r="C214" s="650" t="s">
        <v>2498</v>
      </c>
      <c r="D214" s="571" t="s">
        <v>1307</v>
      </c>
      <c r="E214" s="776">
        <v>598000</v>
      </c>
      <c r="H214" s="632">
        <v>459600</v>
      </c>
      <c r="I214" s="589">
        <f t="shared" si="2"/>
        <v>1</v>
      </c>
      <c r="K214" s="589"/>
      <c r="L214" s="589"/>
      <c r="M214" s="589"/>
      <c r="N214" s="589"/>
      <c r="O214" s="589"/>
      <c r="P214" s="589"/>
      <c r="Q214" s="589"/>
      <c r="R214" s="589"/>
      <c r="S214" s="589"/>
      <c r="T214" s="589"/>
      <c r="U214" s="589"/>
      <c r="V214" s="589"/>
      <c r="W214" s="589"/>
      <c r="X214" s="589"/>
      <c r="Y214" s="589"/>
      <c r="AA214" s="589">
        <f>ROUND(AD214*$AE$211,-2)</f>
        <v>459600</v>
      </c>
      <c r="AB214" s="589"/>
      <c r="AC214" s="589"/>
      <c r="AD214" s="589">
        <v>2200</v>
      </c>
    </row>
    <row r="215" spans="1:31">
      <c r="A215" s="329" t="s">
        <v>2499</v>
      </c>
      <c r="B215" s="626">
        <v>0</v>
      </c>
      <c r="C215" s="650" t="s">
        <v>2500</v>
      </c>
      <c r="D215" s="571" t="s">
        <v>1307</v>
      </c>
      <c r="E215" s="776">
        <v>703000</v>
      </c>
      <c r="H215" s="632">
        <v>564100</v>
      </c>
      <c r="I215" s="589">
        <f t="shared" ref="I215:I278" si="3">IF(E215=H215,0,1)</f>
        <v>1</v>
      </c>
      <c r="K215" s="589"/>
      <c r="L215" s="589"/>
      <c r="M215" s="589"/>
      <c r="N215" s="589"/>
      <c r="O215" s="589"/>
      <c r="P215" s="589"/>
      <c r="Q215" s="589"/>
      <c r="R215" s="589"/>
      <c r="S215" s="589"/>
      <c r="T215" s="589"/>
      <c r="U215" s="589"/>
      <c r="V215" s="589"/>
      <c r="W215" s="589"/>
      <c r="X215" s="589"/>
      <c r="Y215" s="589"/>
      <c r="AA215" s="589">
        <f>ROUND(AD215*$AE$211,-2)</f>
        <v>564100</v>
      </c>
      <c r="AB215" s="589"/>
      <c r="AC215" s="589"/>
      <c r="AD215" s="589">
        <v>2700</v>
      </c>
    </row>
    <row r="216" spans="1:31">
      <c r="B216" s="654"/>
      <c r="C216" s="650"/>
      <c r="D216" s="231"/>
      <c r="E216" s="633"/>
      <c r="H216" s="633"/>
      <c r="I216" s="589">
        <f t="shared" si="3"/>
        <v>0</v>
      </c>
      <c r="K216" s="589"/>
      <c r="L216" s="589"/>
      <c r="M216" s="589"/>
      <c r="N216" s="589"/>
      <c r="O216" s="589"/>
      <c r="P216" s="589"/>
      <c r="Q216" s="589"/>
      <c r="R216" s="589"/>
      <c r="S216" s="589"/>
      <c r="T216" s="589"/>
      <c r="U216" s="589"/>
      <c r="V216" s="589"/>
      <c r="W216" s="589"/>
      <c r="X216" s="589"/>
      <c r="Y216" s="589"/>
      <c r="AA216" s="589"/>
      <c r="AB216" s="589"/>
      <c r="AC216" s="589"/>
      <c r="AD216" s="589"/>
    </row>
    <row r="217" spans="1:31">
      <c r="A217" s="329" t="s">
        <v>2501</v>
      </c>
      <c r="B217" s="626">
        <v>0</v>
      </c>
      <c r="C217" s="650" t="s">
        <v>2502</v>
      </c>
      <c r="D217" s="571" t="s">
        <v>1307</v>
      </c>
      <c r="E217" s="776">
        <v>728000</v>
      </c>
      <c r="H217" s="632">
        <v>501400</v>
      </c>
      <c r="I217" s="589">
        <f t="shared" si="3"/>
        <v>1</v>
      </c>
      <c r="K217" s="589"/>
      <c r="L217" s="589"/>
      <c r="M217" s="589"/>
      <c r="N217" s="589"/>
      <c r="O217" s="589"/>
      <c r="P217" s="589"/>
      <c r="Q217" s="589"/>
      <c r="R217" s="589"/>
      <c r="S217" s="589"/>
      <c r="T217" s="589"/>
      <c r="U217" s="589"/>
      <c r="V217" s="589"/>
      <c r="W217" s="589"/>
      <c r="X217" s="589"/>
      <c r="Y217" s="589"/>
      <c r="AA217" s="589">
        <f>ROUND(AD217*$AE$211,-2)</f>
        <v>501400</v>
      </c>
      <c r="AB217" s="589"/>
      <c r="AC217" s="589"/>
      <c r="AD217" s="589">
        <v>2400</v>
      </c>
    </row>
    <row r="218" spans="1:31">
      <c r="A218" s="329" t="s">
        <v>2503</v>
      </c>
      <c r="B218" s="626">
        <v>0</v>
      </c>
      <c r="C218" s="650" t="s">
        <v>5106</v>
      </c>
      <c r="D218" s="571" t="s">
        <v>1307</v>
      </c>
      <c r="E218" s="776">
        <v>728000</v>
      </c>
      <c r="H218" s="632">
        <v>501400</v>
      </c>
      <c r="I218" s="589">
        <f t="shared" si="3"/>
        <v>1</v>
      </c>
      <c r="K218" s="589"/>
      <c r="L218" s="589"/>
      <c r="M218" s="589"/>
      <c r="N218" s="589"/>
      <c r="O218" s="589"/>
      <c r="P218" s="589"/>
      <c r="Q218" s="589"/>
      <c r="R218" s="589"/>
      <c r="S218" s="589"/>
      <c r="T218" s="589"/>
      <c r="U218" s="589"/>
      <c r="V218" s="589"/>
      <c r="W218" s="589"/>
      <c r="X218" s="589"/>
      <c r="Y218" s="589"/>
      <c r="AA218" s="589">
        <f>ROUND(AD218*$AE$211,-2)</f>
        <v>501400</v>
      </c>
      <c r="AB218" s="589"/>
      <c r="AC218" s="589"/>
      <c r="AD218" s="589">
        <v>2400</v>
      </c>
    </row>
    <row r="219" spans="1:31">
      <c r="A219" s="329" t="s">
        <v>5107</v>
      </c>
      <c r="B219" s="626">
        <v>0</v>
      </c>
      <c r="C219" s="650" t="s">
        <v>2453</v>
      </c>
      <c r="D219" s="571" t="s">
        <v>1307</v>
      </c>
      <c r="E219" s="633"/>
      <c r="H219" s="632">
        <v>459600</v>
      </c>
      <c r="I219" s="589">
        <f t="shared" si="3"/>
        <v>1</v>
      </c>
      <c r="K219" s="589"/>
      <c r="L219" s="589"/>
      <c r="M219" s="589"/>
      <c r="N219" s="589"/>
      <c r="O219" s="589"/>
      <c r="P219" s="589"/>
      <c r="Q219" s="589"/>
      <c r="R219" s="589"/>
      <c r="S219" s="589"/>
      <c r="T219" s="589"/>
      <c r="U219" s="589"/>
      <c r="V219" s="589"/>
      <c r="W219" s="589"/>
      <c r="X219" s="589"/>
      <c r="Y219" s="589"/>
      <c r="AA219" s="589">
        <f>ROUND(AD219*$AE$211,-2)</f>
        <v>459600</v>
      </c>
      <c r="AB219" s="589"/>
      <c r="AC219" s="589"/>
      <c r="AD219" s="589">
        <v>2200</v>
      </c>
    </row>
    <row r="220" spans="1:31">
      <c r="A220" s="329" t="s">
        <v>2454</v>
      </c>
      <c r="B220" s="626">
        <v>0</v>
      </c>
      <c r="C220" s="650" t="s">
        <v>2455</v>
      </c>
      <c r="D220" s="571" t="s">
        <v>1307</v>
      </c>
      <c r="E220" s="633"/>
      <c r="H220" s="632">
        <v>564100</v>
      </c>
      <c r="I220" s="589">
        <f t="shared" si="3"/>
        <v>1</v>
      </c>
      <c r="K220" s="589"/>
      <c r="L220" s="589"/>
      <c r="M220" s="589"/>
      <c r="N220" s="589"/>
      <c r="O220" s="589"/>
      <c r="P220" s="589"/>
      <c r="Q220" s="589"/>
      <c r="R220" s="589"/>
      <c r="S220" s="589"/>
      <c r="T220" s="589"/>
      <c r="U220" s="589"/>
      <c r="V220" s="589"/>
      <c r="W220" s="589"/>
      <c r="X220" s="589"/>
      <c r="Y220" s="589"/>
      <c r="AA220" s="589">
        <f>ROUND(AD220*$AE$211,-2)</f>
        <v>564100</v>
      </c>
      <c r="AB220" s="589"/>
      <c r="AC220" s="589"/>
      <c r="AD220" s="589">
        <v>2700</v>
      </c>
    </row>
    <row r="221" spans="1:31">
      <c r="B221" s="654"/>
      <c r="C221" s="650"/>
      <c r="D221" s="231"/>
      <c r="E221" s="633"/>
      <c r="H221" s="633"/>
      <c r="I221" s="589">
        <f t="shared" si="3"/>
        <v>0</v>
      </c>
      <c r="K221" s="589"/>
      <c r="L221" s="589"/>
      <c r="M221" s="589"/>
      <c r="N221" s="589"/>
      <c r="O221" s="589"/>
      <c r="P221" s="589"/>
      <c r="Q221" s="589"/>
      <c r="R221" s="589"/>
      <c r="S221" s="589"/>
      <c r="T221" s="589"/>
      <c r="U221" s="589"/>
      <c r="V221" s="589"/>
      <c r="W221" s="589"/>
      <c r="X221" s="589"/>
      <c r="Y221" s="589"/>
      <c r="AA221" s="589"/>
      <c r="AB221" s="589"/>
      <c r="AC221" s="589"/>
      <c r="AD221" s="589"/>
    </row>
    <row r="222" spans="1:31">
      <c r="A222" s="329" t="s">
        <v>2456</v>
      </c>
      <c r="B222" s="589">
        <v>0</v>
      </c>
      <c r="C222" s="655" t="s">
        <v>2457</v>
      </c>
      <c r="D222" s="571" t="s">
        <v>1307</v>
      </c>
      <c r="E222" s="776">
        <v>806000</v>
      </c>
      <c r="H222" s="632">
        <v>585000</v>
      </c>
      <c r="I222" s="589">
        <f t="shared" si="3"/>
        <v>1</v>
      </c>
      <c r="K222" s="589"/>
      <c r="L222" s="589"/>
      <c r="M222" s="589"/>
      <c r="N222" s="589"/>
      <c r="O222" s="589"/>
      <c r="P222" s="589"/>
      <c r="Q222" s="589"/>
      <c r="R222" s="589"/>
      <c r="S222" s="589"/>
      <c r="T222" s="589"/>
      <c r="U222" s="589"/>
      <c r="V222" s="589"/>
      <c r="W222" s="589"/>
      <c r="X222" s="589"/>
      <c r="Y222" s="589"/>
      <c r="AA222" s="589">
        <f>ROUND(AD222*$AE$211,-2)</f>
        <v>585000</v>
      </c>
      <c r="AB222" s="589"/>
      <c r="AC222" s="589"/>
      <c r="AD222" s="589">
        <v>2800</v>
      </c>
    </row>
    <row r="223" spans="1:31">
      <c r="A223" s="329" t="s">
        <v>2458</v>
      </c>
      <c r="B223" s="589">
        <v>0</v>
      </c>
      <c r="C223" s="655" t="s">
        <v>2459</v>
      </c>
      <c r="D223" s="571" t="s">
        <v>1307</v>
      </c>
      <c r="E223" s="633">
        <v>350000</v>
      </c>
      <c r="H223" s="632">
        <v>290000</v>
      </c>
      <c r="I223" s="589">
        <f t="shared" si="3"/>
        <v>1</v>
      </c>
      <c r="K223" s="589"/>
      <c r="L223" s="589"/>
      <c r="M223" s="589"/>
      <c r="N223" s="589"/>
      <c r="O223" s="589"/>
      <c r="P223" s="589"/>
      <c r="Q223" s="589"/>
      <c r="R223" s="589"/>
      <c r="S223" s="589"/>
      <c r="T223" s="589"/>
      <c r="U223" s="589"/>
      <c r="V223" s="589"/>
      <c r="W223" s="589"/>
      <c r="X223" s="589"/>
      <c r="Y223" s="589"/>
      <c r="AA223" s="589"/>
      <c r="AB223" s="589"/>
      <c r="AC223" s="589"/>
      <c r="AD223" s="589"/>
    </row>
    <row r="224" spans="1:31">
      <c r="A224" s="329" t="s">
        <v>109</v>
      </c>
      <c r="B224" s="626">
        <v>59001113</v>
      </c>
      <c r="C224" s="575" t="s">
        <v>110</v>
      </c>
      <c r="D224" s="571" t="s">
        <v>111</v>
      </c>
      <c r="E224" s="633">
        <v>190000</v>
      </c>
      <c r="H224" s="632">
        <v>185000</v>
      </c>
      <c r="I224" s="589">
        <f t="shared" si="3"/>
        <v>1</v>
      </c>
      <c r="K224" s="589"/>
      <c r="L224" s="589"/>
      <c r="M224" s="589"/>
      <c r="N224" s="589"/>
      <c r="O224" s="589"/>
      <c r="P224" s="589"/>
      <c r="Q224" s="589"/>
      <c r="R224" s="589"/>
      <c r="S224" s="589"/>
      <c r="T224" s="589"/>
      <c r="U224" s="589"/>
      <c r="V224" s="589"/>
      <c r="W224" s="589"/>
      <c r="X224" s="589"/>
      <c r="Y224" s="589"/>
      <c r="AA224" s="589"/>
      <c r="AB224" s="589"/>
      <c r="AC224" s="589"/>
      <c r="AD224" s="589"/>
    </row>
    <row r="225" spans="1:30">
      <c r="B225" s="654"/>
      <c r="C225" s="650"/>
      <c r="D225" s="231"/>
      <c r="E225" s="633"/>
      <c r="H225" s="633"/>
      <c r="I225" s="589">
        <f t="shared" si="3"/>
        <v>0</v>
      </c>
      <c r="K225" s="589"/>
      <c r="L225" s="589"/>
      <c r="M225" s="589"/>
      <c r="N225" s="589"/>
      <c r="O225" s="589"/>
      <c r="P225" s="589"/>
      <c r="Q225" s="589"/>
      <c r="R225" s="589"/>
      <c r="S225" s="589"/>
      <c r="T225" s="589"/>
      <c r="U225" s="589"/>
      <c r="V225" s="589"/>
      <c r="W225" s="589"/>
      <c r="X225" s="589"/>
      <c r="Y225" s="589"/>
      <c r="AA225" s="589"/>
      <c r="AB225" s="589"/>
      <c r="AC225" s="589"/>
      <c r="AD225" s="589"/>
    </row>
    <row r="226" spans="1:30">
      <c r="A226" s="329" t="s">
        <v>112</v>
      </c>
      <c r="B226" s="654">
        <v>30603532</v>
      </c>
      <c r="C226" s="650" t="s">
        <v>113</v>
      </c>
      <c r="D226" s="231" t="s">
        <v>1307</v>
      </c>
      <c r="E226" s="633">
        <v>82500</v>
      </c>
      <c r="H226" s="633">
        <v>82500</v>
      </c>
      <c r="I226" s="589">
        <f t="shared" si="3"/>
        <v>0</v>
      </c>
      <c r="K226" s="589"/>
      <c r="L226" s="589"/>
      <c r="M226" s="589"/>
      <c r="N226" s="589"/>
      <c r="O226" s="589"/>
      <c r="P226" s="589"/>
      <c r="Q226" s="589"/>
      <c r="R226" s="589"/>
      <c r="S226" s="589"/>
      <c r="T226" s="589"/>
      <c r="U226" s="589"/>
      <c r="V226" s="589"/>
      <c r="W226" s="589"/>
      <c r="X226" s="589"/>
      <c r="Y226" s="589"/>
      <c r="AA226" s="589"/>
      <c r="AB226" s="589"/>
      <c r="AC226" s="589"/>
      <c r="AD226" s="589"/>
    </row>
    <row r="227" spans="1:30">
      <c r="A227" s="329" t="s">
        <v>114</v>
      </c>
      <c r="B227" s="648">
        <v>30660240</v>
      </c>
      <c r="C227" s="643" t="s">
        <v>101</v>
      </c>
      <c r="D227" s="644" t="s">
        <v>1307</v>
      </c>
      <c r="E227" s="633">
        <v>150000</v>
      </c>
      <c r="H227" s="633">
        <v>90000</v>
      </c>
      <c r="I227" s="589">
        <f t="shared" si="3"/>
        <v>1</v>
      </c>
      <c r="K227" s="589"/>
      <c r="L227" s="589"/>
      <c r="M227" s="589"/>
      <c r="N227" s="589"/>
      <c r="O227" s="589"/>
      <c r="P227" s="589"/>
      <c r="Q227" s="589"/>
      <c r="R227" s="589"/>
      <c r="S227" s="589"/>
      <c r="T227" s="589"/>
      <c r="U227" s="589"/>
      <c r="V227" s="589"/>
      <c r="W227" s="589"/>
      <c r="X227" s="589"/>
      <c r="Y227" s="589"/>
      <c r="AA227" s="589"/>
      <c r="AB227" s="589"/>
      <c r="AC227" s="589"/>
      <c r="AD227" s="589"/>
    </row>
    <row r="228" spans="1:30">
      <c r="A228" s="329" t="s">
        <v>102</v>
      </c>
      <c r="B228" s="648">
        <v>30660240</v>
      </c>
      <c r="C228" s="643" t="s">
        <v>5160</v>
      </c>
      <c r="D228" s="644" t="s">
        <v>1307</v>
      </c>
      <c r="E228" s="633"/>
      <c r="H228" s="633">
        <v>90000</v>
      </c>
      <c r="I228" s="589">
        <f t="shared" si="3"/>
        <v>1</v>
      </c>
      <c r="K228" s="589"/>
      <c r="L228" s="589"/>
      <c r="M228" s="589"/>
      <c r="N228" s="589"/>
      <c r="O228" s="589"/>
      <c r="P228" s="589"/>
      <c r="Q228" s="589"/>
      <c r="R228" s="589"/>
      <c r="S228" s="589"/>
      <c r="T228" s="589"/>
      <c r="U228" s="589"/>
      <c r="V228" s="589"/>
      <c r="W228" s="589"/>
      <c r="X228" s="589"/>
      <c r="Y228" s="589"/>
      <c r="AA228" s="589"/>
      <c r="AB228" s="589"/>
      <c r="AC228" s="589"/>
      <c r="AD228" s="589"/>
    </row>
    <row r="229" spans="1:30">
      <c r="B229" s="654"/>
      <c r="C229" s="643"/>
      <c r="D229" s="644"/>
      <c r="E229" s="633"/>
      <c r="H229" s="633"/>
      <c r="I229" s="589">
        <f t="shared" si="3"/>
        <v>0</v>
      </c>
      <c r="K229" s="589"/>
      <c r="L229" s="589"/>
      <c r="M229" s="589"/>
      <c r="N229" s="589"/>
      <c r="O229" s="589"/>
      <c r="P229" s="589"/>
      <c r="Q229" s="589"/>
      <c r="R229" s="589"/>
      <c r="S229" s="589"/>
      <c r="T229" s="589"/>
      <c r="U229" s="589"/>
      <c r="V229" s="589"/>
      <c r="W229" s="589"/>
      <c r="X229" s="589"/>
      <c r="Y229" s="589"/>
      <c r="AA229" s="589"/>
      <c r="AB229" s="589"/>
      <c r="AC229" s="589"/>
      <c r="AD229" s="589"/>
    </row>
    <row r="230" spans="1:30">
      <c r="A230" s="329" t="s">
        <v>4070</v>
      </c>
      <c r="B230" s="659">
        <v>30660237</v>
      </c>
      <c r="C230" s="660" t="s">
        <v>4071</v>
      </c>
      <c r="D230" s="656" t="s">
        <v>1307</v>
      </c>
      <c r="E230" s="776">
        <v>550000</v>
      </c>
      <c r="H230" s="633">
        <v>325000</v>
      </c>
      <c r="I230" s="589">
        <f t="shared" si="3"/>
        <v>1</v>
      </c>
      <c r="J230" s="30" t="s">
        <v>4072</v>
      </c>
      <c r="K230" s="589"/>
      <c r="L230" s="589"/>
      <c r="M230" s="589"/>
      <c r="N230" s="589"/>
      <c r="O230" s="589"/>
      <c r="P230" s="589"/>
      <c r="Q230" s="589"/>
      <c r="R230" s="589"/>
      <c r="S230" s="589"/>
      <c r="T230" s="589"/>
      <c r="U230" s="589"/>
      <c r="V230" s="589"/>
      <c r="W230" s="589"/>
      <c r="X230" s="589"/>
      <c r="Y230" s="589"/>
      <c r="AA230" s="589"/>
      <c r="AB230" s="589"/>
      <c r="AC230" s="589"/>
      <c r="AD230" s="589"/>
    </row>
    <row r="231" spans="1:30">
      <c r="A231" s="329" t="s">
        <v>4073</v>
      </c>
      <c r="B231" s="659">
        <v>30660238</v>
      </c>
      <c r="C231" s="647" t="s">
        <v>4074</v>
      </c>
      <c r="D231" s="231" t="s">
        <v>1307</v>
      </c>
      <c r="E231" s="776">
        <v>1265000</v>
      </c>
      <c r="H231" s="633">
        <v>708000</v>
      </c>
      <c r="I231" s="589">
        <f t="shared" si="3"/>
        <v>1</v>
      </c>
      <c r="J231" s="30" t="s">
        <v>4072</v>
      </c>
      <c r="K231" s="589"/>
      <c r="L231" s="589"/>
      <c r="M231" s="589"/>
      <c r="N231" s="589"/>
      <c r="O231" s="589"/>
      <c r="P231" s="589"/>
      <c r="Q231" s="589"/>
      <c r="R231" s="589"/>
      <c r="S231" s="589"/>
      <c r="T231" s="589"/>
      <c r="U231" s="589"/>
      <c r="V231" s="589"/>
      <c r="W231" s="589"/>
      <c r="X231" s="589"/>
      <c r="Y231" s="589"/>
      <c r="AA231" s="589"/>
      <c r="AB231" s="589"/>
      <c r="AC231" s="589"/>
      <c r="AD231" s="589"/>
    </row>
    <row r="232" spans="1:30">
      <c r="A232" s="329" t="s">
        <v>4075</v>
      </c>
      <c r="B232" s="589">
        <v>0</v>
      </c>
      <c r="C232" s="627" t="s">
        <v>5042</v>
      </c>
      <c r="D232" s="571" t="s">
        <v>1307</v>
      </c>
      <c r="E232" s="776">
        <v>1668000</v>
      </c>
      <c r="H232" s="632">
        <v>1156000</v>
      </c>
      <c r="I232" s="589">
        <f t="shared" si="3"/>
        <v>1</v>
      </c>
      <c r="K232" s="589"/>
      <c r="L232" s="589"/>
      <c r="M232" s="589"/>
      <c r="N232" s="589"/>
      <c r="O232" s="589"/>
      <c r="P232" s="589"/>
      <c r="Q232" s="589"/>
      <c r="R232" s="589"/>
      <c r="S232" s="589"/>
      <c r="T232" s="589"/>
      <c r="U232" s="589"/>
      <c r="V232" s="589"/>
      <c r="W232" s="589"/>
      <c r="X232" s="589"/>
      <c r="Y232" s="589"/>
      <c r="AA232" s="589"/>
      <c r="AB232" s="589"/>
      <c r="AC232" s="589"/>
      <c r="AD232" s="589"/>
    </row>
    <row r="233" spans="1:30">
      <c r="A233" s="329" t="s">
        <v>517</v>
      </c>
      <c r="B233" s="589">
        <v>0</v>
      </c>
      <c r="C233" s="627" t="s">
        <v>3022</v>
      </c>
      <c r="D233" s="571" t="s">
        <v>1307</v>
      </c>
      <c r="E233" s="632">
        <v>1556800</v>
      </c>
      <c r="H233" s="632">
        <v>1367200</v>
      </c>
      <c r="I233" s="589">
        <f t="shared" si="3"/>
        <v>1</v>
      </c>
      <c r="K233" s="589"/>
      <c r="L233" s="589"/>
      <c r="M233" s="589"/>
      <c r="N233" s="589"/>
      <c r="O233" s="589"/>
      <c r="P233" s="589"/>
      <c r="Q233" s="589"/>
      <c r="R233" s="589"/>
      <c r="S233" s="589"/>
      <c r="T233" s="589"/>
      <c r="U233" s="589"/>
      <c r="V233" s="589"/>
      <c r="W233" s="589"/>
      <c r="X233" s="589"/>
      <c r="Y233" s="589"/>
      <c r="AA233" s="589"/>
      <c r="AB233" s="589"/>
      <c r="AC233" s="589"/>
      <c r="AD233" s="589"/>
    </row>
    <row r="234" spans="1:30">
      <c r="A234" s="329" t="s">
        <v>2675</v>
      </c>
      <c r="B234" s="589">
        <v>0</v>
      </c>
      <c r="C234" s="627" t="s">
        <v>230</v>
      </c>
      <c r="D234" s="571" t="s">
        <v>1307</v>
      </c>
      <c r="E234" s="776">
        <v>208000</v>
      </c>
      <c r="H234" s="632">
        <v>160300</v>
      </c>
      <c r="I234" s="589">
        <f t="shared" si="3"/>
        <v>1</v>
      </c>
      <c r="K234" s="589"/>
      <c r="L234" s="589"/>
      <c r="M234" s="589"/>
      <c r="N234" s="589"/>
      <c r="O234" s="589"/>
      <c r="P234" s="589"/>
      <c r="Q234" s="589"/>
      <c r="R234" s="589"/>
      <c r="S234" s="589"/>
      <c r="T234" s="589"/>
      <c r="U234" s="589"/>
      <c r="V234" s="589"/>
      <c r="W234" s="589"/>
      <c r="X234" s="589"/>
      <c r="Y234" s="589"/>
      <c r="AA234" s="589"/>
      <c r="AB234" s="589"/>
      <c r="AC234" s="589"/>
      <c r="AD234" s="589"/>
    </row>
    <row r="235" spans="1:30">
      <c r="A235" s="329" t="s">
        <v>231</v>
      </c>
      <c r="B235" s="589">
        <v>0</v>
      </c>
      <c r="C235" s="627" t="s">
        <v>4902</v>
      </c>
      <c r="D235" s="571" t="s">
        <v>1307</v>
      </c>
      <c r="E235" s="776">
        <v>70000</v>
      </c>
      <c r="H235" s="632">
        <v>65303</v>
      </c>
      <c r="I235" s="589">
        <f t="shared" si="3"/>
        <v>1</v>
      </c>
      <c r="K235" s="589"/>
      <c r="L235" s="589"/>
      <c r="M235" s="589"/>
      <c r="N235" s="589"/>
      <c r="O235" s="589"/>
      <c r="P235" s="589"/>
      <c r="Q235" s="589"/>
      <c r="R235" s="589"/>
      <c r="S235" s="589"/>
      <c r="T235" s="589"/>
      <c r="U235" s="589"/>
      <c r="V235" s="589"/>
      <c r="W235" s="589"/>
      <c r="X235" s="589"/>
      <c r="Y235" s="589"/>
      <c r="AA235" s="589"/>
      <c r="AB235" s="589"/>
      <c r="AC235" s="589"/>
      <c r="AD235" s="589"/>
    </row>
    <row r="236" spans="1:30">
      <c r="A236" s="329" t="s">
        <v>4903</v>
      </c>
      <c r="B236" s="589">
        <v>0</v>
      </c>
      <c r="C236" s="627" t="s">
        <v>4904</v>
      </c>
      <c r="D236" s="571" t="s">
        <v>1307</v>
      </c>
      <c r="E236" s="776">
        <v>780000</v>
      </c>
      <c r="H236" s="632">
        <v>469643</v>
      </c>
      <c r="I236" s="589">
        <f t="shared" si="3"/>
        <v>1</v>
      </c>
      <c r="K236" s="589"/>
      <c r="L236" s="589"/>
      <c r="M236" s="589"/>
      <c r="N236" s="589"/>
      <c r="O236" s="589"/>
      <c r="P236" s="589"/>
      <c r="Q236" s="589"/>
      <c r="R236" s="589"/>
      <c r="S236" s="589"/>
      <c r="T236" s="589"/>
      <c r="U236" s="589"/>
      <c r="V236" s="589"/>
      <c r="W236" s="589"/>
      <c r="X236" s="589"/>
      <c r="Y236" s="589"/>
      <c r="AA236" s="589"/>
      <c r="AB236" s="589"/>
      <c r="AC236" s="589"/>
      <c r="AD236" s="589"/>
    </row>
    <row r="237" spans="1:30">
      <c r="A237" s="329" t="s">
        <v>4905</v>
      </c>
      <c r="B237" s="589">
        <v>0</v>
      </c>
      <c r="C237" s="627" t="s">
        <v>4906</v>
      </c>
      <c r="D237" s="571" t="s">
        <v>1307</v>
      </c>
      <c r="E237" s="776">
        <v>170300</v>
      </c>
      <c r="H237" s="632">
        <v>110355</v>
      </c>
      <c r="I237" s="589">
        <f t="shared" si="3"/>
        <v>1</v>
      </c>
      <c r="K237" s="589"/>
      <c r="L237" s="589"/>
      <c r="M237" s="589"/>
      <c r="N237" s="589"/>
      <c r="O237" s="589"/>
      <c r="P237" s="589"/>
      <c r="Q237" s="589"/>
      <c r="R237" s="589"/>
      <c r="S237" s="589"/>
      <c r="T237" s="589"/>
      <c r="U237" s="589"/>
      <c r="V237" s="589"/>
      <c r="W237" s="589"/>
      <c r="X237" s="589"/>
      <c r="Y237" s="589"/>
      <c r="AA237" s="589"/>
      <c r="AB237" s="589"/>
      <c r="AC237" s="589"/>
      <c r="AD237" s="589"/>
    </row>
    <row r="238" spans="1:30">
      <c r="A238" s="329" t="s">
        <v>4907</v>
      </c>
      <c r="B238" s="589">
        <v>0</v>
      </c>
      <c r="C238" s="655" t="s">
        <v>1057</v>
      </c>
      <c r="D238" s="571" t="s">
        <v>1307</v>
      </c>
      <c r="E238" s="776">
        <v>728000</v>
      </c>
      <c r="H238" s="632">
        <v>429000</v>
      </c>
      <c r="I238" s="589">
        <f t="shared" si="3"/>
        <v>1</v>
      </c>
      <c r="K238" s="589"/>
      <c r="L238" s="589"/>
      <c r="M238" s="589"/>
      <c r="N238" s="589"/>
      <c r="O238" s="589"/>
      <c r="P238" s="589"/>
      <c r="Q238" s="589"/>
      <c r="R238" s="589"/>
      <c r="S238" s="589"/>
      <c r="T238" s="589"/>
      <c r="U238" s="589"/>
      <c r="V238" s="589"/>
      <c r="W238" s="589"/>
      <c r="X238" s="589"/>
      <c r="Y238" s="589"/>
      <c r="AA238" s="589"/>
      <c r="AB238" s="589"/>
      <c r="AC238" s="589"/>
      <c r="AD238" s="589"/>
    </row>
    <row r="239" spans="1:30">
      <c r="B239" s="654"/>
      <c r="C239" s="650"/>
      <c r="D239" s="231"/>
      <c r="E239" s="633"/>
      <c r="H239" s="633"/>
      <c r="I239" s="589">
        <f t="shared" si="3"/>
        <v>0</v>
      </c>
      <c r="K239" s="589"/>
      <c r="L239" s="589"/>
      <c r="M239" s="589"/>
      <c r="N239" s="589"/>
      <c r="O239" s="589"/>
      <c r="P239" s="589"/>
      <c r="Q239" s="589"/>
      <c r="R239" s="589"/>
      <c r="S239" s="589"/>
      <c r="T239" s="589"/>
      <c r="U239" s="589"/>
      <c r="V239" s="589"/>
      <c r="W239" s="589"/>
      <c r="X239" s="589"/>
      <c r="Y239" s="589"/>
      <c r="AA239" s="589"/>
      <c r="AB239" s="589"/>
      <c r="AC239" s="589"/>
      <c r="AD239" s="589"/>
    </row>
    <row r="240" spans="1:30">
      <c r="A240" s="329" t="s">
        <v>1058</v>
      </c>
      <c r="B240" s="626">
        <v>0</v>
      </c>
      <c r="C240" s="575" t="s">
        <v>1059</v>
      </c>
      <c r="D240" s="571" t="s">
        <v>1307</v>
      </c>
      <c r="E240" s="776">
        <v>63100</v>
      </c>
      <c r="H240" s="632">
        <v>46350</v>
      </c>
      <c r="I240" s="589">
        <f t="shared" si="3"/>
        <v>1</v>
      </c>
      <c r="K240" s="589"/>
      <c r="L240" s="589"/>
      <c r="M240" s="589"/>
      <c r="N240" s="589"/>
      <c r="O240" s="589"/>
      <c r="P240" s="589"/>
      <c r="Q240" s="589"/>
      <c r="R240" s="589"/>
      <c r="S240" s="589"/>
      <c r="T240" s="589"/>
      <c r="U240" s="589"/>
      <c r="V240" s="589"/>
      <c r="W240" s="589"/>
      <c r="X240" s="589"/>
      <c r="Y240" s="589"/>
      <c r="AA240" s="589"/>
      <c r="AB240" s="589"/>
      <c r="AC240" s="589"/>
      <c r="AD240" s="589"/>
    </row>
    <row r="241" spans="1:30">
      <c r="A241" s="329" t="s">
        <v>1060</v>
      </c>
      <c r="B241" s="648">
        <v>30620920</v>
      </c>
      <c r="C241" s="575" t="s">
        <v>2399</v>
      </c>
      <c r="D241" s="571" t="s">
        <v>1307</v>
      </c>
      <c r="E241" s="776">
        <v>58800</v>
      </c>
      <c r="H241" s="632">
        <v>58900</v>
      </c>
      <c r="I241" s="589">
        <f t="shared" si="3"/>
        <v>1</v>
      </c>
      <c r="K241" s="589"/>
      <c r="L241" s="589"/>
      <c r="M241" s="589"/>
      <c r="N241" s="589"/>
      <c r="O241" s="589"/>
      <c r="P241" s="589"/>
      <c r="Q241" s="589"/>
      <c r="R241" s="589"/>
      <c r="S241" s="589"/>
      <c r="T241" s="589"/>
      <c r="U241" s="589"/>
      <c r="V241" s="589"/>
      <c r="W241" s="589"/>
      <c r="X241" s="589"/>
      <c r="Y241" s="589"/>
      <c r="AA241" s="589"/>
      <c r="AB241" s="589"/>
      <c r="AC241" s="589"/>
      <c r="AD241" s="589"/>
    </row>
    <row r="242" spans="1:30">
      <c r="A242" s="329" t="s">
        <v>2400</v>
      </c>
      <c r="B242" s="626">
        <v>30620617</v>
      </c>
      <c r="C242" s="575" t="s">
        <v>2401</v>
      </c>
      <c r="D242" s="571" t="s">
        <v>1307</v>
      </c>
      <c r="E242" s="776">
        <v>79000</v>
      </c>
      <c r="H242" s="632">
        <v>47550</v>
      </c>
      <c r="I242" s="589">
        <f t="shared" si="3"/>
        <v>1</v>
      </c>
      <c r="K242" s="589"/>
      <c r="L242" s="589"/>
      <c r="M242" s="589"/>
      <c r="N242" s="589"/>
      <c r="O242" s="589"/>
      <c r="P242" s="589"/>
      <c r="Q242" s="589"/>
      <c r="R242" s="589"/>
      <c r="S242" s="589"/>
      <c r="T242" s="589"/>
      <c r="U242" s="589"/>
      <c r="V242" s="589"/>
      <c r="W242" s="589"/>
      <c r="X242" s="589"/>
      <c r="Y242" s="589"/>
      <c r="AA242" s="589"/>
      <c r="AB242" s="589"/>
      <c r="AC242" s="589"/>
      <c r="AD242" s="589"/>
    </row>
    <row r="243" spans="1:30">
      <c r="A243" s="329" t="s">
        <v>2402</v>
      </c>
      <c r="B243" s="626">
        <v>0</v>
      </c>
      <c r="C243" s="575" t="s">
        <v>2555</v>
      </c>
      <c r="D243" s="571" t="s">
        <v>1307</v>
      </c>
      <c r="E243" s="776">
        <v>51130</v>
      </c>
      <c r="H243" s="632">
        <v>51750</v>
      </c>
      <c r="I243" s="589">
        <f t="shared" si="3"/>
        <v>1</v>
      </c>
      <c r="K243" s="589"/>
      <c r="L243" s="589"/>
      <c r="M243" s="589"/>
      <c r="N243" s="589"/>
      <c r="O243" s="589"/>
      <c r="P243" s="589"/>
      <c r="Q243" s="589"/>
      <c r="R243" s="589"/>
      <c r="S243" s="589"/>
      <c r="T243" s="589"/>
      <c r="U243" s="589"/>
      <c r="V243" s="589"/>
      <c r="W243" s="589"/>
      <c r="X243" s="589"/>
      <c r="Y243" s="589"/>
      <c r="AA243" s="589"/>
      <c r="AB243" s="589"/>
      <c r="AC243" s="589"/>
      <c r="AD243" s="589"/>
    </row>
    <row r="244" spans="1:30">
      <c r="A244" s="329" t="s">
        <v>2556</v>
      </c>
      <c r="B244" s="626">
        <v>0</v>
      </c>
      <c r="C244" s="575" t="s">
        <v>2557</v>
      </c>
      <c r="D244" s="571" t="s">
        <v>1307</v>
      </c>
      <c r="E244" s="776">
        <v>183750</v>
      </c>
      <c r="H244" s="632">
        <v>170150</v>
      </c>
      <c r="I244" s="589">
        <f t="shared" si="3"/>
        <v>1</v>
      </c>
      <c r="K244" s="589"/>
      <c r="L244" s="589"/>
      <c r="M244" s="589"/>
      <c r="N244" s="589"/>
      <c r="O244" s="589"/>
      <c r="P244" s="589"/>
      <c r="Q244" s="589"/>
      <c r="R244" s="589"/>
      <c r="S244" s="589"/>
      <c r="T244" s="589"/>
      <c r="U244" s="589"/>
      <c r="V244" s="589"/>
      <c r="W244" s="589"/>
      <c r="X244" s="589"/>
      <c r="Y244" s="589"/>
      <c r="AA244" s="589"/>
      <c r="AB244" s="589"/>
      <c r="AC244" s="589"/>
      <c r="AD244" s="589"/>
    </row>
    <row r="245" spans="1:30">
      <c r="A245" s="329" t="s">
        <v>2558</v>
      </c>
      <c r="B245" s="626">
        <v>0</v>
      </c>
      <c r="C245" s="575" t="s">
        <v>675</v>
      </c>
      <c r="D245" s="571" t="s">
        <v>1307</v>
      </c>
      <c r="E245" s="776">
        <v>218750</v>
      </c>
      <c r="H245" s="632">
        <v>198750</v>
      </c>
      <c r="I245" s="589">
        <f>IF(E245=H245,0,1)</f>
        <v>1</v>
      </c>
      <c r="K245" s="589"/>
      <c r="L245" s="589"/>
      <c r="M245" s="589"/>
      <c r="N245" s="589"/>
      <c r="O245" s="589"/>
      <c r="P245" s="589"/>
      <c r="Q245" s="589"/>
      <c r="R245" s="589"/>
      <c r="S245" s="589"/>
      <c r="T245" s="589"/>
      <c r="U245" s="589"/>
      <c r="V245" s="589"/>
      <c r="W245" s="589"/>
      <c r="X245" s="589"/>
      <c r="Y245" s="589"/>
      <c r="AA245" s="589"/>
      <c r="AB245" s="589"/>
      <c r="AC245" s="589"/>
      <c r="AD245" s="589"/>
    </row>
    <row r="246" spans="1:30">
      <c r="A246" s="329" t="s">
        <v>4856</v>
      </c>
      <c r="B246" s="626">
        <v>0</v>
      </c>
      <c r="C246" s="575" t="s">
        <v>4232</v>
      </c>
      <c r="D246" s="571" t="s">
        <v>1307</v>
      </c>
      <c r="E246" s="776">
        <v>61500</v>
      </c>
      <c r="H246" s="632">
        <v>198750</v>
      </c>
      <c r="I246" s="589">
        <f t="shared" si="3"/>
        <v>1</v>
      </c>
      <c r="K246" s="589"/>
      <c r="L246" s="589"/>
      <c r="M246" s="589"/>
      <c r="N246" s="589"/>
      <c r="O246" s="589"/>
      <c r="P246" s="589"/>
      <c r="Q246" s="589"/>
      <c r="R246" s="589"/>
      <c r="S246" s="589"/>
      <c r="T246" s="589"/>
      <c r="U246" s="589"/>
      <c r="V246" s="589"/>
      <c r="W246" s="589"/>
      <c r="X246" s="589"/>
      <c r="Y246" s="589"/>
      <c r="AA246" s="589"/>
      <c r="AB246" s="589"/>
      <c r="AC246" s="589"/>
      <c r="AD246" s="589"/>
    </row>
    <row r="247" spans="1:30">
      <c r="B247" s="654"/>
      <c r="C247" s="661"/>
      <c r="D247" s="644"/>
      <c r="E247" s="633"/>
      <c r="H247" s="633"/>
      <c r="I247" s="589">
        <f t="shared" si="3"/>
        <v>0</v>
      </c>
      <c r="K247" s="589"/>
      <c r="L247" s="589"/>
      <c r="M247" s="589"/>
      <c r="N247" s="589"/>
      <c r="O247" s="589"/>
      <c r="P247" s="589"/>
      <c r="Q247" s="589"/>
      <c r="R247" s="589"/>
      <c r="S247" s="589"/>
      <c r="T247" s="589"/>
      <c r="U247" s="589"/>
      <c r="V247" s="589"/>
      <c r="W247" s="589"/>
      <c r="X247" s="589"/>
      <c r="Y247" s="589"/>
      <c r="AA247" s="589"/>
      <c r="AB247" s="589"/>
      <c r="AC247" s="589"/>
      <c r="AD247" s="589"/>
    </row>
    <row r="248" spans="1:30">
      <c r="A248" s="329" t="s">
        <v>863</v>
      </c>
      <c r="B248" s="662">
        <v>30603514</v>
      </c>
      <c r="C248" s="575" t="s">
        <v>676</v>
      </c>
      <c r="D248" s="571" t="s">
        <v>1307</v>
      </c>
      <c r="E248" s="776">
        <v>9100</v>
      </c>
      <c r="H248" s="633">
        <v>1100</v>
      </c>
      <c r="I248" s="589">
        <f t="shared" si="3"/>
        <v>1</v>
      </c>
      <c r="K248" s="589"/>
      <c r="L248" s="589"/>
      <c r="M248" s="589"/>
      <c r="N248" s="589"/>
      <c r="O248" s="589"/>
      <c r="P248" s="589"/>
      <c r="Q248" s="589"/>
      <c r="R248" s="589"/>
      <c r="S248" s="589"/>
      <c r="T248" s="589"/>
      <c r="U248" s="589"/>
      <c r="V248" s="589"/>
      <c r="W248" s="589"/>
      <c r="X248" s="589"/>
      <c r="Y248" s="589"/>
      <c r="AA248" s="589"/>
      <c r="AB248" s="589"/>
      <c r="AC248" s="589"/>
      <c r="AD248" s="589"/>
    </row>
    <row r="249" spans="1:30">
      <c r="A249" s="329" t="s">
        <v>677</v>
      </c>
      <c r="B249" s="659">
        <v>30603517</v>
      </c>
      <c r="C249" s="575" t="s">
        <v>678</v>
      </c>
      <c r="D249" s="571" t="s">
        <v>1297</v>
      </c>
      <c r="E249" s="776">
        <v>51500</v>
      </c>
      <c r="H249" s="633">
        <v>38000</v>
      </c>
      <c r="I249" s="589">
        <f t="shared" si="3"/>
        <v>1</v>
      </c>
      <c r="K249" s="589"/>
      <c r="L249" s="589"/>
      <c r="M249" s="589"/>
      <c r="N249" s="589"/>
      <c r="O249" s="589"/>
      <c r="P249" s="589"/>
      <c r="Q249" s="589"/>
      <c r="R249" s="589"/>
      <c r="S249" s="589"/>
      <c r="T249" s="589"/>
      <c r="U249" s="589"/>
      <c r="V249" s="589"/>
      <c r="W249" s="589"/>
      <c r="X249" s="589"/>
      <c r="Y249" s="589"/>
      <c r="AA249" s="589"/>
      <c r="AB249" s="589"/>
      <c r="AC249" s="589"/>
      <c r="AD249" s="589"/>
    </row>
    <row r="250" spans="1:30">
      <c r="A250" s="329" t="s">
        <v>679</v>
      </c>
      <c r="B250" s="659">
        <v>30603518</v>
      </c>
      <c r="C250" s="575" t="s">
        <v>3393</v>
      </c>
      <c r="D250" s="571" t="s">
        <v>1297</v>
      </c>
      <c r="E250" s="776">
        <v>71500</v>
      </c>
      <c r="H250" s="633">
        <v>70000</v>
      </c>
      <c r="I250" s="589">
        <f t="shared" si="3"/>
        <v>1</v>
      </c>
      <c r="K250" s="589"/>
      <c r="L250" s="589"/>
      <c r="M250" s="589"/>
      <c r="N250" s="589"/>
      <c r="O250" s="589"/>
      <c r="P250" s="589"/>
      <c r="Q250" s="589"/>
      <c r="R250" s="589"/>
      <c r="S250" s="589"/>
      <c r="T250" s="589"/>
      <c r="U250" s="589"/>
      <c r="V250" s="589"/>
      <c r="W250" s="589"/>
      <c r="X250" s="589"/>
      <c r="Y250" s="589"/>
      <c r="AA250" s="589"/>
      <c r="AB250" s="589"/>
      <c r="AC250" s="589"/>
      <c r="AD250" s="589"/>
    </row>
    <row r="251" spans="1:30">
      <c r="A251" s="329" t="s">
        <v>3394</v>
      </c>
      <c r="B251" s="659">
        <v>30603519</v>
      </c>
      <c r="C251" s="575" t="s">
        <v>3395</v>
      </c>
      <c r="D251" s="571" t="s">
        <v>1297</v>
      </c>
      <c r="E251" s="776">
        <v>96500</v>
      </c>
      <c r="H251" s="633">
        <v>105000</v>
      </c>
      <c r="I251" s="589">
        <f t="shared" si="3"/>
        <v>1</v>
      </c>
      <c r="K251" s="589"/>
      <c r="L251" s="589"/>
      <c r="M251" s="589"/>
      <c r="N251" s="589"/>
      <c r="O251" s="589"/>
      <c r="P251" s="589"/>
      <c r="Q251" s="589"/>
      <c r="R251" s="589"/>
      <c r="S251" s="589"/>
      <c r="T251" s="589"/>
      <c r="U251" s="589"/>
      <c r="V251" s="589"/>
      <c r="W251" s="589"/>
      <c r="X251" s="589"/>
      <c r="Y251" s="589"/>
      <c r="AA251" s="589"/>
      <c r="AB251" s="589"/>
      <c r="AC251" s="589"/>
      <c r="AD251" s="589"/>
    </row>
    <row r="252" spans="1:30" ht="10.5" customHeight="1">
      <c r="B252" s="659"/>
      <c r="C252" s="575"/>
      <c r="D252" s="571"/>
      <c r="E252" s="633"/>
      <c r="H252" s="633"/>
      <c r="I252" s="589">
        <f t="shared" si="3"/>
        <v>0</v>
      </c>
      <c r="K252" s="589"/>
      <c r="L252" s="589"/>
      <c r="M252" s="589"/>
      <c r="N252" s="589"/>
      <c r="O252" s="589"/>
      <c r="P252" s="589"/>
      <c r="Q252" s="589"/>
      <c r="R252" s="589"/>
      <c r="S252" s="589"/>
      <c r="T252" s="589"/>
      <c r="U252" s="589"/>
      <c r="V252" s="589"/>
      <c r="W252" s="589"/>
      <c r="X252" s="589"/>
      <c r="Y252" s="589"/>
      <c r="AA252" s="589"/>
      <c r="AB252" s="589"/>
      <c r="AC252" s="589"/>
      <c r="AD252" s="589"/>
    </row>
    <row r="253" spans="1:30" ht="10.5" customHeight="1">
      <c r="A253" s="329" t="s">
        <v>1058</v>
      </c>
      <c r="B253" s="659">
        <v>30603064</v>
      </c>
      <c r="C253" s="627" t="s">
        <v>3396</v>
      </c>
      <c r="D253" s="571" t="s">
        <v>1307</v>
      </c>
      <c r="E253" s="633"/>
      <c r="H253" s="633"/>
      <c r="I253" s="589">
        <f t="shared" si="3"/>
        <v>0</v>
      </c>
      <c r="K253" s="589"/>
      <c r="L253" s="589"/>
      <c r="M253" s="589"/>
      <c r="N253" s="589"/>
      <c r="O253" s="589"/>
      <c r="P253" s="589"/>
      <c r="Q253" s="589"/>
      <c r="R253" s="589"/>
      <c r="S253" s="589"/>
      <c r="T253" s="589"/>
      <c r="U253" s="589"/>
      <c r="V253" s="589"/>
      <c r="W253" s="589"/>
      <c r="X253" s="589"/>
      <c r="Y253" s="589"/>
      <c r="AA253" s="589"/>
      <c r="AB253" s="589"/>
      <c r="AC253" s="589"/>
      <c r="AD253" s="589"/>
    </row>
    <row r="254" spans="1:30" ht="10.5" customHeight="1">
      <c r="A254" s="329" t="s">
        <v>1060</v>
      </c>
      <c r="B254" s="659">
        <v>30603061</v>
      </c>
      <c r="C254" s="627" t="s">
        <v>3397</v>
      </c>
      <c r="D254" s="571" t="s">
        <v>1307</v>
      </c>
      <c r="E254" s="633"/>
      <c r="H254" s="633"/>
      <c r="I254" s="589">
        <f t="shared" si="3"/>
        <v>0</v>
      </c>
      <c r="K254" s="589"/>
      <c r="L254" s="589"/>
      <c r="M254" s="589"/>
      <c r="N254" s="589"/>
      <c r="O254" s="589"/>
      <c r="P254" s="589"/>
      <c r="Q254" s="589"/>
      <c r="R254" s="589"/>
      <c r="S254" s="589"/>
      <c r="T254" s="589"/>
      <c r="U254" s="589"/>
      <c r="V254" s="589"/>
      <c r="W254" s="589"/>
      <c r="X254" s="589"/>
      <c r="Y254" s="589"/>
      <c r="AA254" s="589"/>
      <c r="AB254" s="589"/>
      <c r="AC254" s="589"/>
      <c r="AD254" s="589"/>
    </row>
    <row r="255" spans="1:30" ht="10.5" customHeight="1">
      <c r="A255" s="329" t="s">
        <v>2400</v>
      </c>
      <c r="B255" s="659">
        <v>30603062</v>
      </c>
      <c r="C255" s="627" t="s">
        <v>3398</v>
      </c>
      <c r="D255" s="571" t="s">
        <v>1307</v>
      </c>
      <c r="E255" s="633"/>
      <c r="H255" s="633"/>
      <c r="I255" s="589">
        <f t="shared" si="3"/>
        <v>0</v>
      </c>
      <c r="K255" s="589"/>
      <c r="L255" s="589"/>
      <c r="M255" s="589"/>
      <c r="N255" s="589"/>
      <c r="O255" s="589"/>
      <c r="P255" s="589"/>
      <c r="Q255" s="589"/>
      <c r="R255" s="589"/>
      <c r="S255" s="589"/>
      <c r="T255" s="589"/>
      <c r="U255" s="589"/>
      <c r="V255" s="589"/>
      <c r="W255" s="589"/>
      <c r="X255" s="589"/>
      <c r="Y255" s="589"/>
      <c r="AA255" s="589"/>
      <c r="AB255" s="589"/>
      <c r="AC255" s="589"/>
      <c r="AD255" s="589"/>
    </row>
    <row r="256" spans="1:30" ht="10.5" customHeight="1">
      <c r="A256" s="329" t="s">
        <v>2402</v>
      </c>
      <c r="B256" s="663">
        <v>30635064</v>
      </c>
      <c r="C256" s="628" t="s">
        <v>769</v>
      </c>
      <c r="D256" s="629" t="s">
        <v>1307</v>
      </c>
      <c r="E256" s="633"/>
      <c r="H256" s="633"/>
      <c r="I256" s="589">
        <f t="shared" si="3"/>
        <v>0</v>
      </c>
      <c r="K256" s="589"/>
      <c r="L256" s="589"/>
      <c r="M256" s="589"/>
      <c r="N256" s="589"/>
      <c r="O256" s="589"/>
      <c r="P256" s="589"/>
      <c r="Q256" s="589"/>
      <c r="R256" s="589"/>
      <c r="S256" s="589"/>
      <c r="T256" s="589"/>
      <c r="U256" s="589"/>
      <c r="V256" s="589"/>
      <c r="W256" s="589"/>
      <c r="X256" s="589"/>
      <c r="Y256" s="589"/>
      <c r="AA256" s="589"/>
      <c r="AB256" s="589"/>
      <c r="AC256" s="589"/>
      <c r="AD256" s="589"/>
    </row>
    <row r="257" spans="1:30" ht="10.5" customHeight="1">
      <c r="A257" s="329" t="s">
        <v>2556</v>
      </c>
      <c r="B257" s="626">
        <v>30603065</v>
      </c>
      <c r="C257" s="627" t="s">
        <v>770</v>
      </c>
      <c r="D257" s="571" t="s">
        <v>1307</v>
      </c>
      <c r="E257" s="633"/>
      <c r="H257" s="633"/>
      <c r="I257" s="589">
        <f t="shared" si="3"/>
        <v>0</v>
      </c>
      <c r="K257" s="589"/>
      <c r="L257" s="589"/>
      <c r="M257" s="589"/>
      <c r="N257" s="589"/>
      <c r="O257" s="589"/>
      <c r="P257" s="589"/>
      <c r="Q257" s="589"/>
      <c r="R257" s="589"/>
      <c r="S257" s="589"/>
      <c r="T257" s="589"/>
      <c r="U257" s="589"/>
      <c r="V257" s="589"/>
      <c r="W257" s="589"/>
      <c r="X257" s="589"/>
      <c r="Y257" s="589"/>
      <c r="AA257" s="589"/>
      <c r="AB257" s="589"/>
      <c r="AC257" s="589"/>
      <c r="AD257" s="589"/>
    </row>
    <row r="258" spans="1:30" ht="10.5" customHeight="1">
      <c r="A258" s="329" t="s">
        <v>2558</v>
      </c>
      <c r="B258" s="626">
        <v>30603066</v>
      </c>
      <c r="C258" s="627" t="s">
        <v>771</v>
      </c>
      <c r="D258" s="571" t="s">
        <v>1307</v>
      </c>
      <c r="E258" s="633"/>
      <c r="H258" s="633"/>
      <c r="I258" s="589">
        <f t="shared" si="3"/>
        <v>0</v>
      </c>
      <c r="K258" s="589"/>
      <c r="L258" s="589"/>
      <c r="M258" s="589"/>
      <c r="N258" s="589"/>
      <c r="O258" s="589"/>
      <c r="P258" s="589"/>
      <c r="Q258" s="589"/>
      <c r="R258" s="589"/>
      <c r="S258" s="589"/>
      <c r="T258" s="589"/>
      <c r="U258" s="589"/>
      <c r="V258" s="589"/>
      <c r="W258" s="589"/>
      <c r="X258" s="589"/>
      <c r="Y258" s="589"/>
      <c r="AA258" s="589"/>
      <c r="AB258" s="589"/>
      <c r="AC258" s="589"/>
      <c r="AD258" s="589"/>
    </row>
    <row r="259" spans="1:30" ht="10.5" customHeight="1">
      <c r="A259" s="329" t="s">
        <v>4856</v>
      </c>
      <c r="B259" s="626">
        <v>30603068</v>
      </c>
      <c r="C259" s="627" t="s">
        <v>4857</v>
      </c>
      <c r="D259" s="571" t="s">
        <v>1307</v>
      </c>
      <c r="E259" s="633"/>
      <c r="H259" s="633"/>
      <c r="I259" s="589">
        <f t="shared" si="3"/>
        <v>0</v>
      </c>
      <c r="K259" s="589"/>
      <c r="L259" s="589"/>
      <c r="M259" s="589"/>
      <c r="N259" s="589"/>
      <c r="O259" s="589"/>
      <c r="P259" s="589"/>
      <c r="Q259" s="589"/>
      <c r="R259" s="589"/>
      <c r="S259" s="589"/>
      <c r="T259" s="589"/>
      <c r="U259" s="589"/>
      <c r="V259" s="589"/>
      <c r="W259" s="589"/>
      <c r="X259" s="589"/>
      <c r="Y259" s="589"/>
      <c r="AA259" s="589"/>
      <c r="AB259" s="589"/>
      <c r="AC259" s="589"/>
      <c r="AD259" s="589"/>
    </row>
    <row r="260" spans="1:30" ht="10.5" customHeight="1">
      <c r="B260" s="626"/>
      <c r="C260" s="627"/>
      <c r="D260" s="571"/>
      <c r="E260" s="633"/>
      <c r="H260" s="633"/>
      <c r="I260" s="589">
        <f t="shared" si="3"/>
        <v>0</v>
      </c>
      <c r="K260" s="589"/>
      <c r="L260" s="589"/>
      <c r="M260" s="589"/>
      <c r="N260" s="589"/>
      <c r="O260" s="589"/>
      <c r="P260" s="589"/>
      <c r="Q260" s="589"/>
      <c r="R260" s="589"/>
      <c r="S260" s="589"/>
      <c r="T260" s="589"/>
      <c r="U260" s="589"/>
      <c r="V260" s="589"/>
      <c r="W260" s="589"/>
      <c r="X260" s="589"/>
      <c r="Y260" s="589"/>
      <c r="AA260" s="589"/>
      <c r="AB260" s="589"/>
      <c r="AC260" s="589"/>
      <c r="AD260" s="589"/>
    </row>
    <row r="261" spans="1:30" ht="10.5" customHeight="1">
      <c r="A261" s="329" t="s">
        <v>4858</v>
      </c>
      <c r="B261" s="626">
        <v>0</v>
      </c>
      <c r="C261" s="627" t="s">
        <v>2748</v>
      </c>
      <c r="D261" s="571" t="s">
        <v>1307</v>
      </c>
      <c r="E261" s="776">
        <v>80000</v>
      </c>
      <c r="H261" s="633">
        <v>40000</v>
      </c>
      <c r="I261" s="589">
        <f t="shared" si="3"/>
        <v>1</v>
      </c>
      <c r="K261" s="589"/>
      <c r="L261" s="589"/>
      <c r="M261" s="589"/>
      <c r="N261" s="589"/>
      <c r="O261" s="589"/>
      <c r="P261" s="589"/>
      <c r="Q261" s="589"/>
      <c r="R261" s="589"/>
      <c r="S261" s="589"/>
      <c r="T261" s="589"/>
      <c r="U261" s="589"/>
      <c r="V261" s="589"/>
      <c r="W261" s="589"/>
      <c r="X261" s="589"/>
      <c r="Y261" s="589"/>
      <c r="AA261" s="589"/>
      <c r="AB261" s="589"/>
      <c r="AC261" s="589"/>
      <c r="AD261" s="589"/>
    </row>
    <row r="262" spans="1:30">
      <c r="A262" s="329" t="s">
        <v>2749</v>
      </c>
      <c r="B262" s="626">
        <v>0</v>
      </c>
      <c r="C262" s="627" t="s">
        <v>2750</v>
      </c>
      <c r="D262" s="571" t="s">
        <v>1307</v>
      </c>
      <c r="E262" s="776">
        <v>80000</v>
      </c>
      <c r="H262" s="633">
        <v>40000</v>
      </c>
      <c r="I262" s="589">
        <f t="shared" si="3"/>
        <v>1</v>
      </c>
      <c r="K262" s="589"/>
      <c r="L262" s="589"/>
      <c r="M262" s="589"/>
      <c r="N262" s="589"/>
      <c r="O262" s="589"/>
      <c r="P262" s="589"/>
      <c r="Q262" s="589"/>
      <c r="R262" s="589"/>
      <c r="S262" s="589"/>
      <c r="T262" s="589"/>
      <c r="U262" s="589"/>
      <c r="V262" s="589"/>
      <c r="W262" s="589"/>
      <c r="X262" s="589"/>
      <c r="Y262" s="589"/>
      <c r="AA262" s="589"/>
      <c r="AB262" s="589"/>
      <c r="AC262" s="589"/>
      <c r="AD262" s="589"/>
    </row>
    <row r="263" spans="1:30">
      <c r="A263" s="329" t="s">
        <v>2751</v>
      </c>
      <c r="B263" s="626">
        <v>0</v>
      </c>
      <c r="C263" s="627" t="s">
        <v>2752</v>
      </c>
      <c r="D263" s="571" t="s">
        <v>1307</v>
      </c>
      <c r="E263" s="776">
        <v>80000</v>
      </c>
      <c r="H263" s="633">
        <v>50000</v>
      </c>
      <c r="I263" s="589">
        <f t="shared" si="3"/>
        <v>1</v>
      </c>
      <c r="K263" s="589"/>
      <c r="L263" s="589"/>
      <c r="M263" s="589"/>
      <c r="N263" s="589"/>
      <c r="O263" s="589"/>
      <c r="P263" s="589"/>
      <c r="Q263" s="589"/>
      <c r="R263" s="589"/>
      <c r="S263" s="589"/>
      <c r="T263" s="589"/>
      <c r="U263" s="589"/>
      <c r="V263" s="589"/>
      <c r="W263" s="589"/>
      <c r="X263" s="589"/>
      <c r="Y263" s="589"/>
      <c r="AA263" s="589"/>
      <c r="AB263" s="589"/>
      <c r="AC263" s="589"/>
      <c r="AD263" s="589"/>
    </row>
    <row r="264" spans="1:30">
      <c r="A264" s="329" t="s">
        <v>2753</v>
      </c>
      <c r="B264" s="626">
        <v>0</v>
      </c>
      <c r="C264" s="627" t="s">
        <v>2754</v>
      </c>
      <c r="D264" s="571" t="s">
        <v>1307</v>
      </c>
      <c r="E264" s="776">
        <v>100000</v>
      </c>
      <c r="H264" s="633">
        <v>60000</v>
      </c>
      <c r="I264" s="589">
        <f t="shared" si="3"/>
        <v>1</v>
      </c>
      <c r="K264" s="589"/>
      <c r="L264" s="589"/>
      <c r="M264" s="589"/>
      <c r="N264" s="589"/>
      <c r="O264" s="589"/>
      <c r="P264" s="589"/>
      <c r="Q264" s="589"/>
      <c r="R264" s="589"/>
      <c r="S264" s="589"/>
      <c r="T264" s="589"/>
      <c r="U264" s="589"/>
      <c r="V264" s="589"/>
      <c r="W264" s="589"/>
      <c r="X264" s="589"/>
      <c r="Y264" s="589"/>
      <c r="AA264" s="589"/>
      <c r="AB264" s="589"/>
      <c r="AC264" s="589"/>
      <c r="AD264" s="589"/>
    </row>
    <row r="265" spans="1:30">
      <c r="A265" s="329" t="s">
        <v>2755</v>
      </c>
      <c r="B265" s="626">
        <v>0</v>
      </c>
      <c r="C265" s="627" t="s">
        <v>2756</v>
      </c>
      <c r="D265" s="571" t="s">
        <v>1307</v>
      </c>
      <c r="E265" s="776">
        <v>90000</v>
      </c>
      <c r="H265" s="633">
        <v>50000</v>
      </c>
      <c r="I265" s="589">
        <f t="shared" si="3"/>
        <v>1</v>
      </c>
      <c r="K265" s="589"/>
      <c r="L265" s="589"/>
      <c r="M265" s="589"/>
      <c r="N265" s="589"/>
      <c r="O265" s="589"/>
      <c r="P265" s="589"/>
      <c r="Q265" s="589"/>
      <c r="R265" s="589"/>
      <c r="S265" s="589"/>
      <c r="T265" s="589"/>
      <c r="U265" s="589"/>
      <c r="V265" s="589"/>
      <c r="W265" s="589"/>
      <c r="X265" s="589"/>
      <c r="Y265" s="589"/>
      <c r="AA265" s="589"/>
      <c r="AB265" s="589"/>
      <c r="AC265" s="589"/>
      <c r="AD265" s="589"/>
    </row>
    <row r="266" spans="1:30">
      <c r="A266" s="329" t="s">
        <v>2757</v>
      </c>
      <c r="B266" s="626">
        <v>0</v>
      </c>
      <c r="C266" s="627" t="s">
        <v>3755</v>
      </c>
      <c r="D266" s="571" t="s">
        <v>1307</v>
      </c>
      <c r="E266" s="776">
        <v>90000</v>
      </c>
      <c r="H266" s="633">
        <v>50000</v>
      </c>
      <c r="I266" s="589">
        <f t="shared" si="3"/>
        <v>1</v>
      </c>
      <c r="K266" s="589"/>
      <c r="L266" s="589"/>
      <c r="M266" s="589"/>
      <c r="N266" s="589"/>
      <c r="O266" s="589"/>
      <c r="P266" s="589"/>
      <c r="Q266" s="589"/>
      <c r="R266" s="589"/>
      <c r="S266" s="589"/>
      <c r="T266" s="589"/>
      <c r="U266" s="589"/>
      <c r="V266" s="589"/>
      <c r="W266" s="589"/>
      <c r="X266" s="589"/>
      <c r="Y266" s="589"/>
      <c r="AA266" s="589"/>
      <c r="AB266" s="589"/>
      <c r="AC266" s="589"/>
      <c r="AD266" s="589"/>
    </row>
    <row r="267" spans="1:30">
      <c r="A267" s="329" t="s">
        <v>3756</v>
      </c>
      <c r="B267" s="626">
        <v>0</v>
      </c>
      <c r="C267" s="627" t="s">
        <v>3442</v>
      </c>
      <c r="D267" s="571" t="s">
        <v>1307</v>
      </c>
      <c r="E267" s="776">
        <v>90000</v>
      </c>
      <c r="H267" s="633">
        <v>50000</v>
      </c>
      <c r="I267" s="589">
        <f t="shared" si="3"/>
        <v>1</v>
      </c>
      <c r="K267" s="589"/>
      <c r="L267" s="589"/>
      <c r="M267" s="589"/>
      <c r="N267" s="589"/>
      <c r="O267" s="589"/>
      <c r="P267" s="589"/>
      <c r="Q267" s="589"/>
      <c r="R267" s="589"/>
      <c r="S267" s="589"/>
      <c r="T267" s="589"/>
      <c r="U267" s="589"/>
      <c r="V267" s="589"/>
      <c r="W267" s="589"/>
      <c r="X267" s="589"/>
      <c r="Y267" s="589"/>
      <c r="AA267" s="589"/>
      <c r="AB267" s="589"/>
      <c r="AC267" s="589"/>
      <c r="AD267" s="589"/>
    </row>
    <row r="268" spans="1:30">
      <c r="B268" s="626"/>
      <c r="C268" s="627"/>
      <c r="D268" s="571"/>
      <c r="E268" s="633"/>
      <c r="H268" s="633"/>
      <c r="I268" s="589">
        <f t="shared" si="3"/>
        <v>0</v>
      </c>
      <c r="K268" s="589"/>
      <c r="L268" s="589"/>
      <c r="M268" s="589"/>
      <c r="N268" s="589"/>
      <c r="O268" s="589"/>
      <c r="P268" s="589"/>
      <c r="Q268" s="589"/>
      <c r="R268" s="589"/>
      <c r="S268" s="589"/>
      <c r="T268" s="589"/>
      <c r="U268" s="589"/>
      <c r="V268" s="589"/>
      <c r="W268" s="589"/>
      <c r="X268" s="589"/>
      <c r="Y268" s="589"/>
      <c r="AA268" s="589"/>
      <c r="AB268" s="589"/>
      <c r="AC268" s="589"/>
      <c r="AD268" s="589"/>
    </row>
    <row r="269" spans="1:30">
      <c r="A269" s="329" t="s">
        <v>3443</v>
      </c>
      <c r="B269" s="626">
        <v>0</v>
      </c>
      <c r="C269" s="627" t="s">
        <v>3444</v>
      </c>
      <c r="D269" s="571" t="s">
        <v>1307</v>
      </c>
      <c r="E269" s="776">
        <v>50000</v>
      </c>
      <c r="H269" s="633">
        <v>30000</v>
      </c>
      <c r="I269" s="589">
        <f t="shared" si="3"/>
        <v>1</v>
      </c>
      <c r="K269" s="589"/>
      <c r="L269" s="589"/>
      <c r="M269" s="589"/>
      <c r="N269" s="589"/>
      <c r="O269" s="589"/>
      <c r="P269" s="589"/>
      <c r="Q269" s="589"/>
      <c r="R269" s="589"/>
      <c r="S269" s="589"/>
      <c r="T269" s="589"/>
      <c r="U269" s="589"/>
      <c r="V269" s="589"/>
      <c r="W269" s="589"/>
      <c r="X269" s="589"/>
      <c r="Y269" s="589"/>
      <c r="AA269" s="589"/>
      <c r="AB269" s="589"/>
      <c r="AC269" s="589"/>
      <c r="AD269" s="589"/>
    </row>
    <row r="270" spans="1:30">
      <c r="A270" s="329" t="s">
        <v>3445</v>
      </c>
      <c r="B270" s="626">
        <v>0</v>
      </c>
      <c r="C270" s="627" t="s">
        <v>3446</v>
      </c>
      <c r="D270" s="571" t="s">
        <v>1307</v>
      </c>
      <c r="E270" s="776">
        <v>50000</v>
      </c>
      <c r="H270" s="633">
        <v>30000</v>
      </c>
      <c r="I270" s="589">
        <f t="shared" si="3"/>
        <v>1</v>
      </c>
      <c r="K270" s="589"/>
      <c r="L270" s="589"/>
      <c r="M270" s="589"/>
      <c r="N270" s="589"/>
      <c r="O270" s="589"/>
      <c r="P270" s="589"/>
      <c r="Q270" s="589"/>
      <c r="R270" s="589"/>
      <c r="S270" s="589"/>
      <c r="T270" s="589"/>
      <c r="U270" s="589"/>
      <c r="V270" s="589"/>
      <c r="W270" s="589"/>
      <c r="X270" s="589"/>
      <c r="Y270" s="589"/>
      <c r="AA270" s="589"/>
      <c r="AB270" s="589"/>
      <c r="AC270" s="589"/>
      <c r="AD270" s="589"/>
    </row>
    <row r="271" spans="1:30">
      <c r="A271" s="329" t="s">
        <v>3447</v>
      </c>
      <c r="B271" s="626">
        <v>0</v>
      </c>
      <c r="C271" s="627" t="s">
        <v>5563</v>
      </c>
      <c r="D271" s="571" t="s">
        <v>1307</v>
      </c>
      <c r="E271" s="776">
        <v>50000</v>
      </c>
      <c r="H271" s="633">
        <v>30000</v>
      </c>
      <c r="I271" s="589">
        <f t="shared" si="3"/>
        <v>1</v>
      </c>
      <c r="K271" s="589"/>
      <c r="L271" s="589"/>
      <c r="M271" s="589"/>
      <c r="N271" s="589"/>
      <c r="O271" s="589"/>
      <c r="P271" s="589"/>
      <c r="Q271" s="589"/>
      <c r="R271" s="589"/>
      <c r="S271" s="589"/>
      <c r="T271" s="589"/>
      <c r="U271" s="589"/>
      <c r="V271" s="589"/>
      <c r="W271" s="589"/>
      <c r="X271" s="589"/>
      <c r="Y271" s="589"/>
      <c r="AA271" s="589"/>
      <c r="AB271" s="589"/>
      <c r="AC271" s="589"/>
      <c r="AD271" s="589"/>
    </row>
    <row r="272" spans="1:30">
      <c r="B272" s="626"/>
      <c r="C272" s="627"/>
      <c r="D272" s="571"/>
      <c r="E272" s="633"/>
      <c r="H272" s="633"/>
      <c r="I272" s="589">
        <f t="shared" si="3"/>
        <v>0</v>
      </c>
      <c r="K272" s="589"/>
      <c r="L272" s="589"/>
      <c r="M272" s="589"/>
      <c r="N272" s="589"/>
      <c r="O272" s="589"/>
      <c r="P272" s="589"/>
      <c r="Q272" s="589"/>
      <c r="R272" s="589"/>
      <c r="S272" s="589"/>
      <c r="T272" s="589"/>
      <c r="U272" s="589"/>
      <c r="V272" s="589"/>
      <c r="W272" s="589"/>
      <c r="X272" s="589"/>
      <c r="Y272" s="589"/>
      <c r="AA272" s="589"/>
      <c r="AB272" s="589"/>
      <c r="AC272" s="589"/>
      <c r="AD272" s="589"/>
    </row>
    <row r="273" spans="1:30">
      <c r="A273" s="329" t="s">
        <v>411</v>
      </c>
      <c r="B273" s="626">
        <v>0</v>
      </c>
      <c r="C273" s="627" t="s">
        <v>412</v>
      </c>
      <c r="D273" s="571" t="s">
        <v>1307</v>
      </c>
      <c r="E273" s="776">
        <v>50000</v>
      </c>
      <c r="H273" s="633">
        <v>30000</v>
      </c>
      <c r="I273" s="589">
        <f t="shared" si="3"/>
        <v>1</v>
      </c>
      <c r="K273" s="589"/>
      <c r="L273" s="589"/>
      <c r="M273" s="589"/>
      <c r="N273" s="589"/>
      <c r="O273" s="589"/>
      <c r="P273" s="589"/>
      <c r="Q273" s="589"/>
      <c r="R273" s="589"/>
      <c r="S273" s="589"/>
      <c r="T273" s="589"/>
      <c r="U273" s="589"/>
      <c r="V273" s="589"/>
      <c r="W273" s="589"/>
      <c r="X273" s="589"/>
      <c r="Y273" s="589"/>
      <c r="AA273" s="589"/>
      <c r="AB273" s="589"/>
      <c r="AC273" s="589"/>
      <c r="AD273" s="589"/>
    </row>
    <row r="274" spans="1:30">
      <c r="A274" s="329" t="s">
        <v>413</v>
      </c>
      <c r="B274" s="626">
        <v>0</v>
      </c>
      <c r="C274" s="627" t="s">
        <v>414</v>
      </c>
      <c r="D274" s="571" t="s">
        <v>1307</v>
      </c>
      <c r="E274" s="776">
        <v>50000</v>
      </c>
      <c r="H274" s="633">
        <v>30000</v>
      </c>
      <c r="I274" s="589">
        <f t="shared" si="3"/>
        <v>1</v>
      </c>
      <c r="K274" s="589"/>
      <c r="L274" s="589"/>
      <c r="M274" s="589"/>
      <c r="N274" s="589"/>
      <c r="O274" s="589"/>
      <c r="P274" s="589"/>
      <c r="Q274" s="589"/>
      <c r="R274" s="589"/>
      <c r="S274" s="589"/>
      <c r="T274" s="589"/>
      <c r="U274" s="589"/>
      <c r="V274" s="589"/>
      <c r="W274" s="589"/>
      <c r="X274" s="589"/>
      <c r="Y274" s="589"/>
      <c r="AA274" s="589"/>
      <c r="AB274" s="589"/>
      <c r="AC274" s="589"/>
      <c r="AD274" s="589"/>
    </row>
    <row r="275" spans="1:30">
      <c r="A275" s="329" t="s">
        <v>415</v>
      </c>
      <c r="B275" s="626">
        <v>0</v>
      </c>
      <c r="C275" s="627" t="s">
        <v>416</v>
      </c>
      <c r="D275" s="571" t="s">
        <v>1307</v>
      </c>
      <c r="E275" s="776">
        <v>50000</v>
      </c>
      <c r="H275" s="633">
        <v>30000</v>
      </c>
      <c r="I275" s="589">
        <f t="shared" si="3"/>
        <v>1</v>
      </c>
      <c r="K275" s="589"/>
      <c r="L275" s="589"/>
      <c r="M275" s="589"/>
      <c r="N275" s="589"/>
      <c r="O275" s="589"/>
      <c r="P275" s="589"/>
      <c r="Q275" s="589"/>
      <c r="R275" s="589"/>
      <c r="S275" s="589"/>
      <c r="T275" s="589"/>
      <c r="U275" s="589"/>
      <c r="V275" s="589"/>
      <c r="W275" s="589"/>
      <c r="X275" s="589"/>
      <c r="Y275" s="589"/>
      <c r="AA275" s="589"/>
      <c r="AB275" s="589"/>
      <c r="AC275" s="589"/>
      <c r="AD275" s="589"/>
    </row>
    <row r="276" spans="1:30">
      <c r="B276" s="626"/>
      <c r="C276" s="627"/>
      <c r="D276" s="571"/>
      <c r="E276" s="633"/>
      <c r="H276" s="633"/>
      <c r="I276" s="589">
        <f t="shared" si="3"/>
        <v>0</v>
      </c>
      <c r="K276" s="589"/>
      <c r="L276" s="589"/>
      <c r="M276" s="589"/>
      <c r="N276" s="589"/>
      <c r="O276" s="589"/>
      <c r="P276" s="589"/>
      <c r="Q276" s="589"/>
      <c r="R276" s="589"/>
      <c r="S276" s="589"/>
      <c r="T276" s="589"/>
      <c r="U276" s="589"/>
      <c r="V276" s="589"/>
      <c r="W276" s="589"/>
      <c r="X276" s="589"/>
      <c r="Y276" s="589"/>
      <c r="AA276" s="589"/>
      <c r="AB276" s="589"/>
      <c r="AC276" s="589"/>
      <c r="AD276" s="589"/>
    </row>
    <row r="277" spans="1:30">
      <c r="A277" s="329" t="s">
        <v>417</v>
      </c>
      <c r="B277" s="626">
        <v>0</v>
      </c>
      <c r="C277" s="627" t="s">
        <v>2676</v>
      </c>
      <c r="D277" s="571" t="s">
        <v>1307</v>
      </c>
      <c r="E277" s="776">
        <v>50000</v>
      </c>
      <c r="H277" s="633">
        <v>30000</v>
      </c>
      <c r="I277" s="589">
        <f t="shared" si="3"/>
        <v>1</v>
      </c>
      <c r="K277" s="589"/>
      <c r="L277" s="589"/>
      <c r="M277" s="589"/>
      <c r="N277" s="589"/>
      <c r="O277" s="589"/>
      <c r="P277" s="589"/>
      <c r="Q277" s="589"/>
      <c r="R277" s="589"/>
      <c r="S277" s="589"/>
      <c r="T277" s="589"/>
      <c r="U277" s="589"/>
      <c r="V277" s="589"/>
      <c r="W277" s="589"/>
      <c r="X277" s="589"/>
      <c r="Y277" s="589"/>
      <c r="AA277" s="589"/>
      <c r="AB277" s="589"/>
      <c r="AC277" s="589"/>
      <c r="AD277" s="589"/>
    </row>
    <row r="278" spans="1:30">
      <c r="A278" s="329" t="s">
        <v>219</v>
      </c>
      <c r="B278" s="626">
        <v>0</v>
      </c>
      <c r="C278" s="627" t="s">
        <v>220</v>
      </c>
      <c r="D278" s="571" t="s">
        <v>1307</v>
      </c>
      <c r="E278" s="776">
        <v>50000</v>
      </c>
      <c r="H278" s="633">
        <v>30000</v>
      </c>
      <c r="I278" s="589">
        <f t="shared" si="3"/>
        <v>1</v>
      </c>
      <c r="K278" s="589"/>
      <c r="L278" s="589"/>
      <c r="M278" s="589"/>
      <c r="N278" s="589"/>
      <c r="O278" s="589"/>
      <c r="P278" s="589"/>
      <c r="Q278" s="589"/>
      <c r="R278" s="589"/>
      <c r="S278" s="589"/>
      <c r="T278" s="589"/>
      <c r="U278" s="589"/>
      <c r="V278" s="589"/>
      <c r="W278" s="589"/>
      <c r="X278" s="589"/>
      <c r="Y278" s="589"/>
      <c r="AA278" s="589"/>
      <c r="AB278" s="589"/>
      <c r="AC278" s="589"/>
      <c r="AD278" s="589"/>
    </row>
    <row r="279" spans="1:30">
      <c r="A279" s="329" t="s">
        <v>221</v>
      </c>
      <c r="B279" s="626">
        <v>0</v>
      </c>
      <c r="C279" s="627" t="s">
        <v>222</v>
      </c>
      <c r="D279" s="571" t="s">
        <v>1307</v>
      </c>
      <c r="E279" s="776">
        <v>50000</v>
      </c>
      <c r="H279" s="633">
        <v>30000</v>
      </c>
      <c r="I279" s="589">
        <f t="shared" ref="I279:I342" si="4">IF(E279=H279,0,1)</f>
        <v>1</v>
      </c>
      <c r="K279" s="589"/>
      <c r="L279" s="589"/>
      <c r="M279" s="589"/>
      <c r="N279" s="589"/>
      <c r="O279" s="589"/>
      <c r="P279" s="589"/>
      <c r="Q279" s="589"/>
      <c r="R279" s="589"/>
      <c r="S279" s="589"/>
      <c r="T279" s="589"/>
      <c r="U279" s="589"/>
      <c r="V279" s="589"/>
      <c r="W279" s="589"/>
      <c r="X279" s="589"/>
      <c r="Y279" s="589"/>
      <c r="AA279" s="589"/>
      <c r="AB279" s="589"/>
      <c r="AC279" s="589"/>
      <c r="AD279" s="589"/>
    </row>
    <row r="280" spans="1:30">
      <c r="B280" s="626"/>
      <c r="C280" s="627"/>
      <c r="D280" s="571"/>
      <c r="E280" s="633"/>
      <c r="H280" s="633"/>
      <c r="I280" s="589">
        <f>IF(E280=H280,0,1)</f>
        <v>0</v>
      </c>
      <c r="K280" s="589"/>
      <c r="L280" s="589"/>
      <c r="M280" s="589"/>
      <c r="N280" s="589"/>
      <c r="O280" s="589"/>
      <c r="P280" s="589"/>
      <c r="Q280" s="589"/>
      <c r="R280" s="589"/>
      <c r="S280" s="589"/>
      <c r="T280" s="589"/>
      <c r="U280" s="589"/>
      <c r="V280" s="589"/>
      <c r="W280" s="589"/>
      <c r="X280" s="589"/>
      <c r="Y280" s="589"/>
      <c r="AA280" s="589"/>
      <c r="AB280" s="589"/>
      <c r="AC280" s="589"/>
      <c r="AD280" s="589"/>
    </row>
    <row r="281" spans="1:30">
      <c r="A281" s="329" t="s">
        <v>4233</v>
      </c>
      <c r="B281" s="626">
        <v>0</v>
      </c>
      <c r="C281" s="627" t="s">
        <v>4234</v>
      </c>
      <c r="D281" s="571" t="s">
        <v>1307</v>
      </c>
      <c r="E281" s="776">
        <v>47500</v>
      </c>
      <c r="H281" s="633">
        <v>30000</v>
      </c>
      <c r="I281" s="589">
        <f>IF(E281=H281,0,1)</f>
        <v>1</v>
      </c>
      <c r="K281" s="589"/>
      <c r="L281" s="589"/>
      <c r="M281" s="589"/>
      <c r="N281" s="589"/>
      <c r="O281" s="589"/>
      <c r="P281" s="589"/>
      <c r="Q281" s="589"/>
      <c r="R281" s="589"/>
      <c r="S281" s="589"/>
      <c r="T281" s="589"/>
      <c r="U281" s="589"/>
      <c r="V281" s="589"/>
      <c r="W281" s="589"/>
      <c r="X281" s="589"/>
      <c r="Y281" s="589"/>
      <c r="AA281" s="589"/>
      <c r="AB281" s="589"/>
      <c r="AC281" s="589"/>
      <c r="AD281" s="589"/>
    </row>
    <row r="282" spans="1:30">
      <c r="A282" s="329" t="s">
        <v>4235</v>
      </c>
      <c r="B282" s="626">
        <v>0</v>
      </c>
      <c r="C282" s="627" t="s">
        <v>4236</v>
      </c>
      <c r="D282" s="571" t="s">
        <v>1307</v>
      </c>
      <c r="E282" s="776">
        <v>47500</v>
      </c>
      <c r="H282" s="633">
        <v>30000</v>
      </c>
      <c r="I282" s="589">
        <f>IF(E282=H282,0,1)</f>
        <v>1</v>
      </c>
      <c r="K282" s="589"/>
      <c r="L282" s="589"/>
      <c r="M282" s="589"/>
      <c r="N282" s="589"/>
      <c r="O282" s="589"/>
      <c r="P282" s="589"/>
      <c r="Q282" s="589"/>
      <c r="R282" s="589"/>
      <c r="S282" s="589"/>
      <c r="T282" s="589"/>
      <c r="U282" s="589"/>
      <c r="V282" s="589"/>
      <c r="W282" s="589"/>
      <c r="X282" s="589"/>
      <c r="Y282" s="589"/>
      <c r="AA282" s="589"/>
      <c r="AB282" s="589"/>
      <c r="AC282" s="589"/>
      <c r="AD282" s="589"/>
    </row>
    <row r="283" spans="1:30">
      <c r="A283" s="329" t="s">
        <v>4237</v>
      </c>
      <c r="B283" s="626">
        <v>0</v>
      </c>
      <c r="C283" s="627" t="s">
        <v>4238</v>
      </c>
      <c r="D283" s="571" t="s">
        <v>1307</v>
      </c>
      <c r="E283" s="776">
        <v>47500</v>
      </c>
      <c r="H283" s="633">
        <v>30000</v>
      </c>
      <c r="I283" s="589">
        <f>IF(E283=H283,0,1)</f>
        <v>1</v>
      </c>
      <c r="K283" s="589"/>
      <c r="L283" s="589"/>
      <c r="M283" s="589"/>
      <c r="N283" s="589"/>
      <c r="O283" s="589"/>
      <c r="P283" s="589"/>
      <c r="Q283" s="589"/>
      <c r="R283" s="589"/>
      <c r="S283" s="589"/>
      <c r="T283" s="589"/>
      <c r="U283" s="589"/>
      <c r="V283" s="589"/>
      <c r="W283" s="589"/>
      <c r="X283" s="589"/>
      <c r="Y283" s="589"/>
      <c r="AA283" s="589"/>
      <c r="AB283" s="589"/>
      <c r="AC283" s="589"/>
      <c r="AD283" s="589"/>
    </row>
    <row r="284" spans="1:30">
      <c r="A284" s="610" t="s">
        <v>223</v>
      </c>
      <c r="B284" s="611"/>
      <c r="C284" s="612"/>
      <c r="D284" s="613"/>
      <c r="E284" s="614"/>
      <c r="F284" s="329"/>
      <c r="H284" s="614"/>
      <c r="I284" s="589">
        <f t="shared" si="4"/>
        <v>0</v>
      </c>
      <c r="K284" s="589"/>
      <c r="L284" s="589"/>
      <c r="M284" s="589"/>
      <c r="N284" s="589"/>
      <c r="O284" s="589"/>
      <c r="P284" s="589"/>
      <c r="Q284" s="589"/>
      <c r="R284" s="589"/>
      <c r="S284" s="589"/>
      <c r="T284" s="589"/>
      <c r="U284" s="589"/>
      <c r="V284" s="589"/>
      <c r="W284" s="589"/>
      <c r="X284" s="589"/>
      <c r="Y284" s="589"/>
      <c r="AA284" s="589"/>
      <c r="AB284" s="589"/>
      <c r="AC284" s="589"/>
      <c r="AD284" s="589"/>
    </row>
    <row r="285" spans="1:30">
      <c r="A285" s="329" t="s">
        <v>224</v>
      </c>
      <c r="B285" s="648">
        <v>0</v>
      </c>
      <c r="C285" s="643" t="s">
        <v>225</v>
      </c>
      <c r="D285" s="644" t="s">
        <v>1307</v>
      </c>
      <c r="E285" s="633">
        <v>164022</v>
      </c>
      <c r="H285" s="633">
        <v>134022</v>
      </c>
      <c r="I285" s="589">
        <f t="shared" si="4"/>
        <v>1</v>
      </c>
      <c r="K285" s="589"/>
      <c r="L285" s="589"/>
      <c r="M285" s="589"/>
      <c r="N285" s="589"/>
      <c r="O285" s="589"/>
      <c r="P285" s="589"/>
      <c r="Q285" s="589"/>
      <c r="R285" s="589"/>
      <c r="S285" s="589"/>
      <c r="T285" s="589"/>
      <c r="U285" s="589"/>
      <c r="V285" s="589"/>
      <c r="W285" s="589"/>
      <c r="X285" s="589"/>
      <c r="Y285" s="589"/>
      <c r="AA285" s="589"/>
      <c r="AB285" s="589"/>
      <c r="AC285" s="589"/>
      <c r="AD285" s="589"/>
    </row>
    <row r="286" spans="1:30">
      <c r="A286" s="329" t="s">
        <v>226</v>
      </c>
      <c r="B286" s="648">
        <v>30603620</v>
      </c>
      <c r="C286" s="643" t="s">
        <v>3448</v>
      </c>
      <c r="D286" s="644" t="s">
        <v>1307</v>
      </c>
      <c r="E286" s="776">
        <v>280000</v>
      </c>
      <c r="H286" s="633">
        <v>140202</v>
      </c>
      <c r="I286" s="589">
        <f t="shared" si="4"/>
        <v>1</v>
      </c>
      <c r="J286" s="30" t="s">
        <v>4072</v>
      </c>
      <c r="K286" s="589"/>
      <c r="L286" s="589"/>
      <c r="M286" s="589"/>
      <c r="N286" s="589"/>
      <c r="O286" s="589"/>
      <c r="P286" s="589"/>
      <c r="Q286" s="589"/>
      <c r="R286" s="589"/>
      <c r="S286" s="589"/>
      <c r="T286" s="589"/>
      <c r="U286" s="589"/>
      <c r="V286" s="589"/>
      <c r="W286" s="589"/>
      <c r="X286" s="589"/>
      <c r="Y286" s="589"/>
      <c r="AA286" s="589"/>
      <c r="AB286" s="589"/>
      <c r="AC286" s="589"/>
      <c r="AD286" s="589"/>
    </row>
    <row r="287" spans="1:30">
      <c r="B287" s="648"/>
      <c r="C287" s="643"/>
      <c r="D287" s="644"/>
      <c r="E287" s="641"/>
      <c r="H287" s="641"/>
      <c r="I287" s="589">
        <f t="shared" si="4"/>
        <v>0</v>
      </c>
      <c r="K287" s="589"/>
      <c r="L287" s="589"/>
      <c r="M287" s="589"/>
      <c r="N287" s="589"/>
      <c r="O287" s="589"/>
      <c r="P287" s="589"/>
      <c r="Q287" s="589"/>
      <c r="R287" s="589"/>
      <c r="S287" s="589"/>
      <c r="T287" s="589"/>
      <c r="U287" s="589"/>
      <c r="V287" s="589"/>
      <c r="W287" s="589"/>
      <c r="X287" s="589"/>
      <c r="Y287" s="589"/>
      <c r="AA287" s="589"/>
      <c r="AB287" s="589"/>
      <c r="AC287" s="589"/>
      <c r="AD287" s="589"/>
    </row>
    <row r="288" spans="1:30">
      <c r="A288" s="329" t="s">
        <v>3449</v>
      </c>
      <c r="B288" s="654">
        <v>32043755</v>
      </c>
      <c r="C288" s="575" t="s">
        <v>3450</v>
      </c>
      <c r="D288" s="571" t="s">
        <v>1307</v>
      </c>
      <c r="E288" s="633">
        <v>135000</v>
      </c>
      <c r="H288" s="633">
        <v>115000</v>
      </c>
      <c r="I288" s="589">
        <f t="shared" si="4"/>
        <v>1</v>
      </c>
      <c r="K288" s="589"/>
      <c r="L288" s="589"/>
      <c r="M288" s="589"/>
      <c r="N288" s="589"/>
      <c r="O288" s="589"/>
      <c r="P288" s="589"/>
      <c r="Q288" s="589"/>
      <c r="R288" s="589"/>
      <c r="S288" s="589"/>
      <c r="T288" s="589"/>
      <c r="U288" s="589"/>
      <c r="V288" s="589"/>
      <c r="W288" s="589"/>
      <c r="X288" s="589"/>
      <c r="Y288" s="589"/>
      <c r="AA288" s="589"/>
      <c r="AB288" s="589"/>
      <c r="AC288" s="589"/>
      <c r="AD288" s="589"/>
    </row>
    <row r="289" spans="1:38">
      <c r="A289" s="329" t="s">
        <v>3451</v>
      </c>
      <c r="B289" s="648">
        <v>32043754</v>
      </c>
      <c r="C289" s="575" t="s">
        <v>5433</v>
      </c>
      <c r="D289" s="571" t="s">
        <v>1307</v>
      </c>
      <c r="E289" s="633">
        <v>270000</v>
      </c>
      <c r="H289" s="633">
        <v>250000</v>
      </c>
      <c r="I289" s="589">
        <f t="shared" si="4"/>
        <v>1</v>
      </c>
      <c r="K289" s="589"/>
      <c r="L289" s="589"/>
      <c r="M289" s="589"/>
      <c r="N289" s="589"/>
      <c r="O289" s="589"/>
      <c r="P289" s="589"/>
      <c r="Q289" s="589"/>
      <c r="R289" s="589"/>
      <c r="S289" s="589"/>
      <c r="T289" s="589"/>
      <c r="U289" s="589"/>
      <c r="V289" s="589"/>
      <c r="W289" s="589"/>
      <c r="X289" s="589"/>
      <c r="Y289" s="589"/>
      <c r="AA289" s="589"/>
      <c r="AB289" s="589"/>
      <c r="AC289" s="589"/>
      <c r="AD289" s="589"/>
    </row>
    <row r="290" spans="1:38">
      <c r="A290" s="329" t="s">
        <v>5434</v>
      </c>
      <c r="B290" s="626">
        <v>32043752</v>
      </c>
      <c r="C290" s="575" t="s">
        <v>5435</v>
      </c>
      <c r="D290" s="571" t="s">
        <v>1307</v>
      </c>
      <c r="E290" s="633">
        <v>295000</v>
      </c>
      <c r="H290" s="633">
        <v>280000</v>
      </c>
      <c r="I290" s="589">
        <f t="shared" si="4"/>
        <v>1</v>
      </c>
      <c r="K290" s="589"/>
      <c r="L290" s="589"/>
      <c r="M290" s="589"/>
      <c r="N290" s="589"/>
      <c r="O290" s="589"/>
      <c r="P290" s="589"/>
      <c r="Q290" s="589"/>
      <c r="R290" s="589"/>
      <c r="S290" s="589"/>
      <c r="T290" s="589"/>
      <c r="U290" s="589"/>
      <c r="V290" s="589"/>
      <c r="W290" s="589"/>
      <c r="X290" s="589"/>
      <c r="Y290" s="589"/>
      <c r="AA290" s="589"/>
      <c r="AB290" s="589"/>
      <c r="AC290" s="589"/>
      <c r="AD290" s="589"/>
    </row>
    <row r="291" spans="1:38">
      <c r="B291" s="626"/>
      <c r="C291" s="655"/>
      <c r="D291" s="656"/>
      <c r="E291" s="641"/>
      <c r="H291" s="641"/>
      <c r="I291" s="589">
        <f t="shared" si="4"/>
        <v>0</v>
      </c>
      <c r="K291" s="589"/>
      <c r="L291" s="589"/>
      <c r="M291" s="589"/>
      <c r="N291" s="589"/>
      <c r="O291" s="589"/>
      <c r="P291" s="589"/>
      <c r="Q291" s="589"/>
      <c r="R291" s="589"/>
      <c r="S291" s="589"/>
      <c r="T291" s="589"/>
      <c r="U291" s="589"/>
      <c r="V291" s="589"/>
      <c r="W291" s="589"/>
      <c r="X291" s="589"/>
      <c r="Y291" s="589"/>
      <c r="AA291" s="589"/>
      <c r="AB291" s="589"/>
      <c r="AC291" s="589"/>
      <c r="AD291" s="589"/>
    </row>
    <row r="292" spans="1:38">
      <c r="A292" s="329" t="s">
        <v>5880</v>
      </c>
      <c r="B292" s="659">
        <v>89020202</v>
      </c>
      <c r="C292" s="655" t="s">
        <v>5881</v>
      </c>
      <c r="D292" s="656" t="s">
        <v>1307</v>
      </c>
      <c r="E292" s="633">
        <v>56926</v>
      </c>
      <c r="H292" s="633">
        <v>56926</v>
      </c>
      <c r="I292" s="589">
        <f t="shared" si="4"/>
        <v>0</v>
      </c>
      <c r="K292" s="589"/>
      <c r="L292" s="589"/>
      <c r="M292" s="589"/>
      <c r="N292" s="589"/>
      <c r="O292" s="589"/>
      <c r="P292" s="589"/>
      <c r="Q292" s="589"/>
      <c r="R292" s="589"/>
      <c r="S292" s="589"/>
      <c r="T292" s="589"/>
      <c r="U292" s="589"/>
      <c r="V292" s="589"/>
      <c r="W292" s="589"/>
      <c r="X292" s="589"/>
      <c r="Y292" s="589"/>
      <c r="AA292" s="589"/>
      <c r="AB292" s="589"/>
      <c r="AC292" s="589"/>
      <c r="AD292" s="589"/>
    </row>
    <row r="293" spans="1:38">
      <c r="B293" s="626"/>
      <c r="C293" s="655"/>
      <c r="D293" s="656"/>
      <c r="E293" s="641"/>
      <c r="H293" s="641"/>
      <c r="I293" s="589">
        <f t="shared" si="4"/>
        <v>0</v>
      </c>
      <c r="K293" s="589"/>
      <c r="L293" s="589"/>
      <c r="M293" s="589"/>
      <c r="N293" s="589"/>
      <c r="O293" s="589"/>
      <c r="P293" s="589"/>
      <c r="Q293" s="589"/>
      <c r="R293" s="589"/>
      <c r="S293" s="589"/>
      <c r="T293" s="589"/>
      <c r="U293" s="589"/>
      <c r="V293" s="589"/>
      <c r="W293" s="589"/>
      <c r="X293" s="589"/>
      <c r="Y293" s="589"/>
      <c r="AA293" s="589"/>
      <c r="AB293" s="589"/>
      <c r="AC293" s="589"/>
      <c r="AD293" s="589"/>
    </row>
    <row r="294" spans="1:38">
      <c r="A294" s="329" t="s">
        <v>5882</v>
      </c>
      <c r="B294" s="626">
        <v>32074828</v>
      </c>
      <c r="C294" s="655" t="s">
        <v>5883</v>
      </c>
      <c r="D294" s="656" t="s">
        <v>1297</v>
      </c>
      <c r="E294" s="776">
        <v>106000</v>
      </c>
      <c r="H294" s="633">
        <v>135300</v>
      </c>
      <c r="I294" s="589">
        <f t="shared" si="4"/>
        <v>1</v>
      </c>
      <c r="K294" s="589"/>
      <c r="L294" s="589"/>
      <c r="M294" s="589"/>
      <c r="N294" s="589"/>
      <c r="O294" s="589"/>
      <c r="P294" s="589"/>
      <c r="Q294" s="589"/>
      <c r="R294" s="589"/>
      <c r="S294" s="589"/>
      <c r="T294" s="589"/>
      <c r="U294" s="589"/>
      <c r="V294" s="589"/>
      <c r="W294" s="589"/>
      <c r="X294" s="589"/>
      <c r="Y294" s="589"/>
      <c r="AA294" s="589"/>
      <c r="AB294" s="589"/>
      <c r="AC294" s="589"/>
      <c r="AD294" s="589"/>
    </row>
    <row r="295" spans="1:38">
      <c r="A295" s="610" t="s">
        <v>5884</v>
      </c>
      <c r="B295" s="611"/>
      <c r="C295" s="612"/>
      <c r="D295" s="613"/>
      <c r="E295" s="614"/>
      <c r="F295" s="329"/>
      <c r="H295" s="614"/>
      <c r="I295" s="589">
        <f t="shared" si="4"/>
        <v>0</v>
      </c>
      <c r="K295" s="589"/>
      <c r="L295" s="589"/>
      <c r="M295" s="589"/>
      <c r="N295" s="589"/>
      <c r="O295" s="589"/>
      <c r="P295" s="589"/>
      <c r="Q295" s="589"/>
      <c r="R295" s="589"/>
      <c r="S295" s="589"/>
      <c r="T295" s="589"/>
      <c r="U295" s="589"/>
      <c r="V295" s="589"/>
      <c r="W295" s="589"/>
      <c r="X295" s="589"/>
      <c r="Y295" s="589"/>
      <c r="AA295" s="589"/>
      <c r="AB295" s="589"/>
      <c r="AC295" s="589"/>
      <c r="AD295" s="589"/>
    </row>
    <row r="296" spans="1:38" s="30" customFormat="1" ht="17.100000000000001" customHeight="1">
      <c r="A296" s="329" t="s">
        <v>5885</v>
      </c>
      <c r="B296" s="664"/>
      <c r="C296" s="655" t="s">
        <v>5886</v>
      </c>
      <c r="D296" s="656" t="s">
        <v>2660</v>
      </c>
      <c r="E296" s="776">
        <v>336490</v>
      </c>
      <c r="H296" s="646">
        <v>175347</v>
      </c>
      <c r="I296" s="589">
        <f t="shared" si="4"/>
        <v>1</v>
      </c>
      <c r="J296" s="30" t="s">
        <v>2661</v>
      </c>
      <c r="K296" s="589"/>
      <c r="L296" s="589"/>
      <c r="M296" s="589"/>
      <c r="N296" s="589"/>
      <c r="O296" s="589"/>
      <c r="P296" s="589"/>
      <c r="Q296" s="589"/>
      <c r="R296" s="589"/>
      <c r="S296" s="589"/>
      <c r="T296" s="589"/>
      <c r="U296" s="589"/>
      <c r="V296" s="589"/>
      <c r="W296" s="589"/>
      <c r="X296" s="589"/>
      <c r="Y296" s="589"/>
      <c r="Z296" s="589"/>
      <c r="AA296" s="589"/>
      <c r="AB296" s="589"/>
      <c r="AC296" s="589"/>
      <c r="AD296" s="589"/>
      <c r="AE296" s="329"/>
      <c r="AF296" s="329"/>
      <c r="AG296" s="329"/>
      <c r="AH296" s="329"/>
      <c r="AI296" s="329"/>
      <c r="AJ296" s="329"/>
      <c r="AK296" s="329"/>
      <c r="AL296" s="329"/>
    </row>
    <row r="297" spans="1:38" s="30" customFormat="1" ht="17.100000000000001" customHeight="1">
      <c r="A297" s="329" t="s">
        <v>2662</v>
      </c>
      <c r="B297" s="664"/>
      <c r="C297" s="655" t="s">
        <v>2663</v>
      </c>
      <c r="D297" s="656" t="s">
        <v>2660</v>
      </c>
      <c r="E297" s="776">
        <v>333960</v>
      </c>
      <c r="H297" s="646">
        <v>175347</v>
      </c>
      <c r="I297" s="589">
        <f t="shared" si="4"/>
        <v>1</v>
      </c>
      <c r="J297" s="30" t="s">
        <v>2661</v>
      </c>
      <c r="K297" s="589"/>
      <c r="L297" s="589"/>
      <c r="M297" s="589"/>
      <c r="N297" s="589"/>
      <c r="O297" s="589"/>
      <c r="P297" s="589"/>
      <c r="Q297" s="589"/>
      <c r="R297" s="589"/>
      <c r="S297" s="589"/>
      <c r="T297" s="589"/>
      <c r="U297" s="589"/>
      <c r="V297" s="589"/>
      <c r="W297" s="589"/>
      <c r="X297" s="589"/>
      <c r="Y297" s="589"/>
      <c r="Z297" s="589"/>
      <c r="AA297" s="589"/>
      <c r="AB297" s="589"/>
      <c r="AC297" s="589"/>
      <c r="AD297" s="589"/>
      <c r="AE297" s="329"/>
      <c r="AF297" s="329"/>
      <c r="AG297" s="329"/>
      <c r="AH297" s="329"/>
      <c r="AI297" s="329"/>
      <c r="AJ297" s="329"/>
      <c r="AK297" s="329"/>
      <c r="AL297" s="329"/>
    </row>
    <row r="298" spans="1:38" s="30" customFormat="1" ht="17.100000000000001" customHeight="1">
      <c r="A298" s="329" t="s">
        <v>2664</v>
      </c>
      <c r="B298" s="664"/>
      <c r="C298" s="655" t="s">
        <v>2665</v>
      </c>
      <c r="D298" s="656" t="s">
        <v>2660</v>
      </c>
      <c r="E298" s="776">
        <v>333960</v>
      </c>
      <c r="H298" s="646">
        <v>175347</v>
      </c>
      <c r="I298" s="589">
        <f t="shared" si="4"/>
        <v>1</v>
      </c>
      <c r="J298" s="30" t="s">
        <v>2661</v>
      </c>
      <c r="K298" s="589"/>
      <c r="L298" s="589"/>
      <c r="M298" s="589"/>
      <c r="N298" s="589"/>
      <c r="O298" s="589"/>
      <c r="P298" s="589"/>
      <c r="Q298" s="589"/>
      <c r="R298" s="589"/>
      <c r="S298" s="589"/>
      <c r="T298" s="589"/>
      <c r="U298" s="589"/>
      <c r="V298" s="589"/>
      <c r="W298" s="589"/>
      <c r="X298" s="589"/>
      <c r="Y298" s="589"/>
      <c r="Z298" s="589"/>
      <c r="AA298" s="589"/>
      <c r="AB298" s="589"/>
      <c r="AC298" s="589"/>
      <c r="AD298" s="589"/>
      <c r="AE298" s="329"/>
      <c r="AF298" s="329"/>
      <c r="AG298" s="329"/>
      <c r="AH298" s="329"/>
      <c r="AI298" s="329"/>
      <c r="AJ298" s="329"/>
      <c r="AK298" s="329"/>
      <c r="AL298" s="329"/>
    </row>
    <row r="299" spans="1:38" s="30" customFormat="1" ht="17.100000000000001" customHeight="1">
      <c r="A299" s="329" t="s">
        <v>2666</v>
      </c>
      <c r="B299" s="664"/>
      <c r="C299" s="655" t="s">
        <v>2667</v>
      </c>
      <c r="D299" s="656" t="s">
        <v>2660</v>
      </c>
      <c r="E299" s="776">
        <v>333960</v>
      </c>
      <c r="H299" s="646">
        <v>175347</v>
      </c>
      <c r="I299" s="589">
        <f t="shared" si="4"/>
        <v>1</v>
      </c>
      <c r="J299" s="30" t="s">
        <v>2661</v>
      </c>
      <c r="K299" s="589"/>
      <c r="L299" s="589"/>
      <c r="M299" s="589"/>
      <c r="N299" s="589"/>
      <c r="O299" s="589"/>
      <c r="P299" s="589"/>
      <c r="Q299" s="589"/>
      <c r="R299" s="589"/>
      <c r="S299" s="589"/>
      <c r="T299" s="589"/>
      <c r="U299" s="589"/>
      <c r="V299" s="589"/>
      <c r="W299" s="589"/>
      <c r="X299" s="589"/>
      <c r="Y299" s="589"/>
      <c r="Z299" s="589"/>
      <c r="AA299" s="589"/>
      <c r="AB299" s="589"/>
      <c r="AC299" s="589"/>
      <c r="AD299" s="589"/>
      <c r="AE299" s="329"/>
      <c r="AF299" s="329"/>
      <c r="AG299" s="329"/>
      <c r="AH299" s="329"/>
      <c r="AI299" s="329"/>
      <c r="AJ299" s="329"/>
      <c r="AK299" s="329"/>
      <c r="AL299" s="329"/>
    </row>
    <row r="300" spans="1:38" s="30" customFormat="1" ht="17.100000000000001" customHeight="1">
      <c r="A300" s="329" t="s">
        <v>2668</v>
      </c>
      <c r="B300" s="664"/>
      <c r="C300" s="655" t="s">
        <v>2669</v>
      </c>
      <c r="D300" s="656" t="s">
        <v>2660</v>
      </c>
      <c r="E300" s="776">
        <v>333960</v>
      </c>
      <c r="H300" s="646">
        <v>175347</v>
      </c>
      <c r="I300" s="589">
        <f t="shared" si="4"/>
        <v>1</v>
      </c>
      <c r="J300" s="30" t="s">
        <v>2661</v>
      </c>
      <c r="K300" s="589"/>
      <c r="L300" s="589"/>
      <c r="M300" s="589"/>
      <c r="N300" s="589"/>
      <c r="O300" s="589"/>
      <c r="P300" s="589"/>
      <c r="Q300" s="589"/>
      <c r="R300" s="589"/>
      <c r="S300" s="589"/>
      <c r="T300" s="589"/>
      <c r="U300" s="589"/>
      <c r="V300" s="589"/>
      <c r="W300" s="589"/>
      <c r="X300" s="589"/>
      <c r="Y300" s="589"/>
      <c r="Z300" s="589"/>
      <c r="AA300" s="589"/>
      <c r="AB300" s="589"/>
      <c r="AC300" s="589"/>
      <c r="AD300" s="589"/>
      <c r="AE300" s="329"/>
      <c r="AF300" s="329"/>
      <c r="AG300" s="329"/>
      <c r="AH300" s="329"/>
      <c r="AI300" s="329"/>
      <c r="AJ300" s="329"/>
      <c r="AK300" s="329"/>
      <c r="AL300" s="329"/>
    </row>
    <row r="301" spans="1:38" s="30" customFormat="1" ht="17.100000000000001" customHeight="1">
      <c r="A301" s="329" t="s">
        <v>2670</v>
      </c>
      <c r="B301" s="664"/>
      <c r="C301" s="655" t="s">
        <v>2671</v>
      </c>
      <c r="D301" s="656" t="s">
        <v>2660</v>
      </c>
      <c r="E301" s="776">
        <v>334510</v>
      </c>
      <c r="H301" s="646">
        <v>175347</v>
      </c>
      <c r="I301" s="589">
        <f t="shared" si="4"/>
        <v>1</v>
      </c>
      <c r="J301" s="30" t="s">
        <v>2661</v>
      </c>
      <c r="K301" s="589"/>
      <c r="L301" s="589"/>
      <c r="M301" s="589"/>
      <c r="N301" s="589"/>
      <c r="O301" s="589"/>
      <c r="P301" s="589"/>
      <c r="Q301" s="589"/>
      <c r="R301" s="589"/>
      <c r="S301" s="589"/>
      <c r="T301" s="589"/>
      <c r="U301" s="589"/>
      <c r="V301" s="589"/>
      <c r="W301" s="589"/>
      <c r="X301" s="589"/>
      <c r="Y301" s="589"/>
      <c r="Z301" s="589"/>
      <c r="AA301" s="589"/>
      <c r="AB301" s="589"/>
      <c r="AC301" s="589"/>
      <c r="AD301" s="589"/>
      <c r="AE301" s="329"/>
      <c r="AF301" s="329"/>
      <c r="AG301" s="329"/>
      <c r="AH301" s="329"/>
      <c r="AI301" s="329"/>
      <c r="AJ301" s="329"/>
      <c r="AK301" s="329"/>
      <c r="AL301" s="329"/>
    </row>
    <row r="302" spans="1:38" s="30" customFormat="1" ht="17.100000000000001" customHeight="1">
      <c r="A302" s="329" t="s">
        <v>2672</v>
      </c>
      <c r="B302" s="664"/>
      <c r="C302" s="655" t="s">
        <v>2673</v>
      </c>
      <c r="D302" s="656" t="s">
        <v>2660</v>
      </c>
      <c r="E302" s="776">
        <v>334510</v>
      </c>
      <c r="H302" s="646">
        <v>175347</v>
      </c>
      <c r="I302" s="589">
        <f t="shared" si="4"/>
        <v>1</v>
      </c>
      <c r="J302" s="30" t="s">
        <v>2661</v>
      </c>
      <c r="K302" s="589"/>
      <c r="L302" s="589"/>
      <c r="M302" s="589"/>
      <c r="N302" s="589"/>
      <c r="O302" s="589"/>
      <c r="P302" s="589"/>
      <c r="Q302" s="589"/>
      <c r="R302" s="589"/>
      <c r="S302" s="589"/>
      <c r="T302" s="589"/>
      <c r="U302" s="589"/>
      <c r="V302" s="589"/>
      <c r="W302" s="589"/>
      <c r="X302" s="589"/>
      <c r="Y302" s="589"/>
      <c r="Z302" s="589"/>
      <c r="AA302" s="589"/>
      <c r="AB302" s="589"/>
      <c r="AC302" s="589"/>
      <c r="AD302" s="589"/>
      <c r="AE302" s="329"/>
      <c r="AF302" s="329"/>
      <c r="AG302" s="329"/>
      <c r="AH302" s="329"/>
      <c r="AI302" s="329"/>
      <c r="AJ302" s="329"/>
      <c r="AK302" s="329"/>
      <c r="AL302" s="329"/>
    </row>
    <row r="303" spans="1:38" s="30" customFormat="1" ht="17.100000000000001" customHeight="1">
      <c r="A303" s="329" t="s">
        <v>2674</v>
      </c>
      <c r="B303" s="664"/>
      <c r="C303" s="655" t="s">
        <v>227</v>
      </c>
      <c r="D303" s="656" t="s">
        <v>2660</v>
      </c>
      <c r="E303" s="776">
        <v>334510</v>
      </c>
      <c r="H303" s="646">
        <v>175347</v>
      </c>
      <c r="I303" s="589">
        <f t="shared" si="4"/>
        <v>1</v>
      </c>
      <c r="J303" s="30" t="s">
        <v>2661</v>
      </c>
      <c r="K303" s="589"/>
      <c r="L303" s="589"/>
      <c r="M303" s="589"/>
      <c r="N303" s="589"/>
      <c r="O303" s="589"/>
      <c r="P303" s="589"/>
      <c r="Q303" s="589"/>
      <c r="R303" s="589"/>
      <c r="S303" s="589"/>
      <c r="T303" s="589"/>
      <c r="U303" s="589"/>
      <c r="V303" s="589"/>
      <c r="W303" s="589"/>
      <c r="X303" s="589"/>
      <c r="Y303" s="589"/>
      <c r="Z303" s="589"/>
      <c r="AA303" s="589"/>
      <c r="AB303" s="589"/>
      <c r="AC303" s="589"/>
      <c r="AD303" s="589"/>
      <c r="AE303" s="329"/>
      <c r="AF303" s="329"/>
      <c r="AG303" s="329"/>
      <c r="AH303" s="329"/>
      <c r="AI303" s="329"/>
      <c r="AJ303" s="329"/>
      <c r="AK303" s="329"/>
      <c r="AL303" s="329"/>
    </row>
    <row r="304" spans="1:38" s="30" customFormat="1" ht="17.100000000000001" customHeight="1">
      <c r="A304" s="329" t="s">
        <v>228</v>
      </c>
      <c r="B304" s="664"/>
      <c r="C304" s="655" t="s">
        <v>229</v>
      </c>
      <c r="D304" s="656" t="s">
        <v>2660</v>
      </c>
      <c r="E304" s="776">
        <v>334510</v>
      </c>
      <c r="H304" s="646">
        <v>175347</v>
      </c>
      <c r="I304" s="589">
        <f t="shared" si="4"/>
        <v>1</v>
      </c>
      <c r="J304" s="30" t="s">
        <v>2661</v>
      </c>
      <c r="K304" s="589"/>
      <c r="L304" s="589"/>
      <c r="M304" s="589"/>
      <c r="N304" s="589"/>
      <c r="O304" s="589"/>
      <c r="P304" s="589"/>
      <c r="Q304" s="589"/>
      <c r="R304" s="589"/>
      <c r="S304" s="589"/>
      <c r="T304" s="589"/>
      <c r="U304" s="589"/>
      <c r="V304" s="589"/>
      <c r="W304" s="589"/>
      <c r="X304" s="589"/>
      <c r="Y304" s="589"/>
      <c r="Z304" s="589"/>
      <c r="AA304" s="589"/>
      <c r="AB304" s="589"/>
      <c r="AC304" s="589"/>
      <c r="AD304" s="589"/>
      <c r="AE304" s="329"/>
      <c r="AF304" s="329"/>
      <c r="AG304" s="329"/>
      <c r="AH304" s="329"/>
      <c r="AI304" s="329"/>
      <c r="AJ304" s="329"/>
      <c r="AK304" s="329"/>
      <c r="AL304" s="329"/>
    </row>
    <row r="305" spans="1:38" s="30" customFormat="1" ht="17.100000000000001" customHeight="1">
      <c r="A305" s="665"/>
      <c r="B305" s="664"/>
      <c r="C305" s="655"/>
      <c r="D305" s="656"/>
      <c r="E305" s="646"/>
      <c r="H305" s="646"/>
      <c r="I305" s="589">
        <f t="shared" si="4"/>
        <v>0</v>
      </c>
      <c r="K305" s="589"/>
      <c r="L305" s="589"/>
      <c r="M305" s="589"/>
      <c r="N305" s="589"/>
      <c r="O305" s="589"/>
      <c r="P305" s="589"/>
      <c r="Q305" s="589"/>
      <c r="R305" s="589"/>
      <c r="S305" s="589"/>
      <c r="T305" s="589"/>
      <c r="U305" s="589"/>
      <c r="V305" s="589"/>
      <c r="W305" s="589"/>
      <c r="X305" s="589"/>
      <c r="Y305" s="589"/>
      <c r="Z305" s="589"/>
      <c r="AA305" s="589"/>
      <c r="AB305" s="589"/>
      <c r="AC305" s="589"/>
      <c r="AD305" s="589"/>
      <c r="AE305" s="329"/>
      <c r="AF305" s="329"/>
      <c r="AG305" s="329"/>
      <c r="AH305" s="329"/>
      <c r="AI305" s="329"/>
      <c r="AJ305" s="329"/>
      <c r="AK305" s="329"/>
      <c r="AL305" s="329"/>
    </row>
    <row r="306" spans="1:38" s="30" customFormat="1" ht="17.100000000000001" customHeight="1">
      <c r="A306" s="329" t="s">
        <v>282</v>
      </c>
      <c r="B306" s="664"/>
      <c r="C306" s="666" t="s">
        <v>283</v>
      </c>
      <c r="D306" s="656" t="s">
        <v>2660</v>
      </c>
      <c r="E306" s="645">
        <v>78650</v>
      </c>
      <c r="H306" s="646"/>
      <c r="I306" s="589">
        <f t="shared" si="4"/>
        <v>1</v>
      </c>
      <c r="K306" s="589"/>
      <c r="L306" s="589"/>
      <c r="M306" s="589"/>
      <c r="N306" s="589"/>
      <c r="O306" s="589"/>
      <c r="P306" s="589"/>
      <c r="Q306" s="589"/>
      <c r="R306" s="589"/>
      <c r="S306" s="589"/>
      <c r="T306" s="589"/>
      <c r="U306" s="589"/>
      <c r="V306" s="589"/>
      <c r="W306" s="589"/>
      <c r="X306" s="589"/>
      <c r="Y306" s="589"/>
      <c r="Z306" s="589"/>
      <c r="AA306" s="589"/>
      <c r="AB306" s="589"/>
      <c r="AC306" s="589"/>
      <c r="AD306" s="589"/>
      <c r="AE306" s="329"/>
      <c r="AF306" s="329"/>
      <c r="AG306" s="329"/>
      <c r="AH306" s="329"/>
      <c r="AI306" s="329"/>
      <c r="AJ306" s="329"/>
      <c r="AK306" s="329"/>
      <c r="AL306" s="329"/>
    </row>
    <row r="307" spans="1:38" s="30" customFormat="1" ht="17.100000000000001" customHeight="1">
      <c r="A307" s="329" t="s">
        <v>169</v>
      </c>
      <c r="B307" s="664"/>
      <c r="C307" s="655" t="s">
        <v>284</v>
      </c>
      <c r="D307" s="656" t="s">
        <v>2660</v>
      </c>
      <c r="E307" s="645">
        <v>78650</v>
      </c>
      <c r="H307" s="646">
        <v>71070</v>
      </c>
      <c r="I307" s="589">
        <f t="shared" si="4"/>
        <v>1</v>
      </c>
      <c r="J307" s="30" t="s">
        <v>2661</v>
      </c>
      <c r="K307" s="589"/>
      <c r="L307" s="589"/>
      <c r="M307" s="589"/>
      <c r="N307" s="589"/>
      <c r="O307" s="589"/>
      <c r="P307" s="589"/>
      <c r="Q307" s="589"/>
      <c r="R307" s="589"/>
      <c r="S307" s="589"/>
      <c r="T307" s="589"/>
      <c r="U307" s="589"/>
      <c r="V307" s="589"/>
      <c r="W307" s="589"/>
      <c r="X307" s="589"/>
      <c r="Y307" s="589"/>
      <c r="Z307" s="589"/>
      <c r="AA307" s="589"/>
      <c r="AB307" s="589"/>
      <c r="AC307" s="589"/>
      <c r="AD307" s="589"/>
      <c r="AE307" s="329"/>
      <c r="AF307" s="329"/>
      <c r="AG307" s="329"/>
      <c r="AH307" s="329"/>
      <c r="AI307" s="329"/>
      <c r="AJ307" s="329"/>
      <c r="AK307" s="329"/>
      <c r="AL307" s="329"/>
    </row>
    <row r="308" spans="1:38" s="30" customFormat="1" ht="17.100000000000001" customHeight="1">
      <c r="A308" s="329" t="s">
        <v>285</v>
      </c>
      <c r="B308" s="664"/>
      <c r="C308" s="655" t="s">
        <v>286</v>
      </c>
      <c r="D308" s="656" t="s">
        <v>2660</v>
      </c>
      <c r="E308" s="645">
        <v>77440</v>
      </c>
      <c r="H308" s="646">
        <v>71070</v>
      </c>
      <c r="I308" s="589">
        <f t="shared" si="4"/>
        <v>1</v>
      </c>
      <c r="J308" s="30" t="s">
        <v>2661</v>
      </c>
      <c r="K308" s="589"/>
      <c r="L308" s="589"/>
      <c r="M308" s="589"/>
      <c r="N308" s="589"/>
      <c r="O308" s="589"/>
      <c r="P308" s="589"/>
      <c r="Q308" s="589"/>
      <c r="R308" s="589"/>
      <c r="S308" s="589"/>
      <c r="T308" s="589"/>
      <c r="U308" s="589"/>
      <c r="V308" s="589"/>
      <c r="W308" s="589"/>
      <c r="X308" s="589"/>
      <c r="Y308" s="589"/>
      <c r="Z308" s="589"/>
      <c r="AA308" s="589"/>
      <c r="AB308" s="589"/>
      <c r="AC308" s="589"/>
      <c r="AD308" s="589"/>
      <c r="AE308" s="329"/>
      <c r="AF308" s="329"/>
      <c r="AG308" s="329"/>
      <c r="AH308" s="329"/>
      <c r="AI308" s="329"/>
      <c r="AJ308" s="329"/>
      <c r="AK308" s="329"/>
      <c r="AL308" s="329"/>
    </row>
    <row r="309" spans="1:38" s="30" customFormat="1" ht="17.100000000000001" customHeight="1">
      <c r="A309" s="329" t="s">
        <v>2523</v>
      </c>
      <c r="B309" s="664"/>
      <c r="C309" s="655" t="s">
        <v>2524</v>
      </c>
      <c r="D309" s="656" t="s">
        <v>2660</v>
      </c>
      <c r="E309" s="645">
        <v>79200</v>
      </c>
      <c r="H309" s="646">
        <v>71070</v>
      </c>
      <c r="I309" s="589">
        <f t="shared" si="4"/>
        <v>1</v>
      </c>
      <c r="J309" s="30" t="s">
        <v>2661</v>
      </c>
      <c r="K309" s="589"/>
      <c r="L309" s="589"/>
      <c r="M309" s="589"/>
      <c r="N309" s="589"/>
      <c r="O309" s="589"/>
      <c r="P309" s="589"/>
      <c r="Q309" s="589"/>
      <c r="R309" s="589"/>
      <c r="S309" s="589"/>
      <c r="T309" s="589"/>
      <c r="U309" s="589"/>
      <c r="V309" s="589"/>
      <c r="W309" s="589"/>
      <c r="X309" s="589"/>
      <c r="Y309" s="589"/>
      <c r="Z309" s="589"/>
      <c r="AA309" s="589"/>
      <c r="AB309" s="589"/>
      <c r="AC309" s="589"/>
      <c r="AD309" s="589"/>
      <c r="AE309" s="329"/>
      <c r="AF309" s="329"/>
      <c r="AG309" s="329"/>
      <c r="AH309" s="329"/>
      <c r="AI309" s="329"/>
      <c r="AJ309" s="329"/>
      <c r="AK309" s="329"/>
      <c r="AL309" s="329"/>
    </row>
    <row r="310" spans="1:38" s="30" customFormat="1" ht="17.100000000000001" customHeight="1">
      <c r="A310" s="329" t="s">
        <v>2525</v>
      </c>
      <c r="B310" s="664"/>
      <c r="C310" s="655" t="s">
        <v>4239</v>
      </c>
      <c r="D310" s="656" t="s">
        <v>2660</v>
      </c>
      <c r="E310" s="645">
        <v>79200</v>
      </c>
      <c r="H310" s="646">
        <v>62000</v>
      </c>
      <c r="I310" s="589">
        <f t="shared" si="4"/>
        <v>1</v>
      </c>
      <c r="J310" s="30" t="s">
        <v>2661</v>
      </c>
      <c r="K310" s="589"/>
      <c r="L310" s="589"/>
      <c r="M310" s="589"/>
      <c r="N310" s="589"/>
      <c r="O310" s="589"/>
      <c r="P310" s="589"/>
      <c r="Q310" s="589"/>
      <c r="R310" s="589"/>
      <c r="S310" s="589"/>
      <c r="T310" s="589"/>
      <c r="U310" s="589"/>
      <c r="V310" s="589"/>
      <c r="W310" s="589"/>
      <c r="X310" s="589"/>
      <c r="Y310" s="589"/>
      <c r="Z310" s="589"/>
      <c r="AA310" s="589"/>
      <c r="AB310" s="589"/>
      <c r="AC310" s="589"/>
      <c r="AD310" s="589"/>
      <c r="AE310" s="329"/>
      <c r="AF310" s="329"/>
      <c r="AG310" s="329"/>
      <c r="AH310" s="329"/>
      <c r="AI310" s="329"/>
      <c r="AJ310" s="329"/>
      <c r="AK310" s="329"/>
      <c r="AL310" s="329"/>
    </row>
    <row r="311" spans="1:38" s="30" customFormat="1" ht="17.100000000000001" customHeight="1">
      <c r="A311" s="329" t="s">
        <v>6308</v>
      </c>
      <c r="B311" s="664"/>
      <c r="C311" s="655" t="s">
        <v>1694</v>
      </c>
      <c r="D311" s="656" t="s">
        <v>2660</v>
      </c>
      <c r="E311" s="645">
        <v>79200</v>
      </c>
      <c r="H311" s="646">
        <v>62000</v>
      </c>
      <c r="I311" s="589">
        <f t="shared" si="4"/>
        <v>1</v>
      </c>
      <c r="J311" s="30" t="s">
        <v>2661</v>
      </c>
      <c r="K311" s="589"/>
      <c r="L311" s="589"/>
      <c r="M311" s="589"/>
      <c r="N311" s="589"/>
      <c r="O311" s="589"/>
      <c r="P311" s="589"/>
      <c r="Q311" s="589"/>
      <c r="R311" s="589"/>
      <c r="S311" s="589"/>
      <c r="T311" s="589"/>
      <c r="U311" s="589"/>
      <c r="V311" s="589"/>
      <c r="W311" s="589"/>
      <c r="X311" s="589"/>
      <c r="Y311" s="589"/>
      <c r="Z311" s="589"/>
      <c r="AA311" s="589"/>
      <c r="AB311" s="589"/>
      <c r="AC311" s="589"/>
      <c r="AD311" s="589"/>
      <c r="AE311" s="329"/>
      <c r="AF311" s="329"/>
      <c r="AG311" s="329"/>
      <c r="AH311" s="329"/>
      <c r="AI311" s="329"/>
      <c r="AJ311" s="329"/>
      <c r="AK311" s="329"/>
      <c r="AL311" s="329"/>
    </row>
    <row r="312" spans="1:38" s="30" customFormat="1" ht="17.100000000000001" customHeight="1">
      <c r="A312" s="329" t="s">
        <v>6309</v>
      </c>
      <c r="B312" s="664"/>
      <c r="C312" s="655" t="s">
        <v>6310</v>
      </c>
      <c r="D312" s="656" t="s">
        <v>2660</v>
      </c>
      <c r="E312" s="645">
        <v>79200</v>
      </c>
      <c r="H312" s="646">
        <v>62000</v>
      </c>
      <c r="I312" s="589">
        <f t="shared" si="4"/>
        <v>1</v>
      </c>
      <c r="J312" s="30" t="s">
        <v>2661</v>
      </c>
      <c r="K312" s="589"/>
      <c r="L312" s="589"/>
      <c r="M312" s="589"/>
      <c r="N312" s="589"/>
      <c r="O312" s="589"/>
      <c r="P312" s="589"/>
      <c r="Q312" s="589"/>
      <c r="R312" s="589"/>
      <c r="S312" s="589"/>
      <c r="T312" s="589"/>
      <c r="U312" s="589"/>
      <c r="V312" s="589"/>
      <c r="W312" s="589"/>
      <c r="X312" s="589"/>
      <c r="Y312" s="589"/>
      <c r="Z312" s="589"/>
      <c r="AA312" s="589"/>
      <c r="AB312" s="589"/>
      <c r="AC312" s="589"/>
      <c r="AD312" s="589"/>
      <c r="AE312" s="329"/>
      <c r="AF312" s="329"/>
      <c r="AG312" s="329"/>
      <c r="AH312" s="329"/>
      <c r="AI312" s="329"/>
      <c r="AJ312" s="329"/>
      <c r="AK312" s="329"/>
      <c r="AL312" s="329"/>
    </row>
    <row r="313" spans="1:38" s="30" customFormat="1" ht="17.100000000000001" customHeight="1">
      <c r="A313" s="329" t="s">
        <v>6311</v>
      </c>
      <c r="B313" s="664"/>
      <c r="C313" s="655" t="s">
        <v>4738</v>
      </c>
      <c r="D313" s="656" t="s">
        <v>2660</v>
      </c>
      <c r="E313" s="645">
        <v>79200</v>
      </c>
      <c r="H313" s="646">
        <v>62000</v>
      </c>
      <c r="I313" s="589">
        <f t="shared" si="4"/>
        <v>1</v>
      </c>
      <c r="J313" s="30" t="s">
        <v>2661</v>
      </c>
      <c r="K313" s="589"/>
      <c r="L313" s="589"/>
      <c r="M313" s="589"/>
      <c r="N313" s="589"/>
      <c r="O313" s="589"/>
      <c r="P313" s="589"/>
      <c r="Q313" s="589"/>
      <c r="R313" s="589"/>
      <c r="S313" s="589"/>
      <c r="T313" s="589"/>
      <c r="U313" s="589"/>
      <c r="V313" s="589"/>
      <c r="W313" s="589"/>
      <c r="X313" s="589"/>
      <c r="Y313" s="589"/>
      <c r="Z313" s="589"/>
      <c r="AA313" s="589"/>
      <c r="AB313" s="589"/>
      <c r="AC313" s="589"/>
      <c r="AD313" s="589"/>
      <c r="AE313" s="329"/>
      <c r="AF313" s="329"/>
      <c r="AG313" s="329"/>
      <c r="AH313" s="329"/>
      <c r="AI313" s="329"/>
      <c r="AJ313" s="329"/>
      <c r="AK313" s="329"/>
      <c r="AL313" s="329"/>
    </row>
    <row r="314" spans="1:38" s="30" customFormat="1" ht="17.100000000000001" customHeight="1">
      <c r="A314" s="329" t="s">
        <v>4739</v>
      </c>
      <c r="B314" s="664"/>
      <c r="C314" s="655" t="s">
        <v>1695</v>
      </c>
      <c r="D314" s="656" t="s">
        <v>2660</v>
      </c>
      <c r="E314" s="645">
        <v>79200</v>
      </c>
      <c r="H314" s="646">
        <v>62000</v>
      </c>
      <c r="I314" s="589">
        <f t="shared" si="4"/>
        <v>1</v>
      </c>
      <c r="J314" s="30" t="s">
        <v>2661</v>
      </c>
      <c r="K314" s="589"/>
      <c r="L314" s="589"/>
      <c r="M314" s="589"/>
      <c r="N314" s="589"/>
      <c r="O314" s="589"/>
      <c r="P314" s="589"/>
      <c r="Q314" s="589"/>
      <c r="R314" s="589"/>
      <c r="S314" s="589"/>
      <c r="T314" s="589"/>
      <c r="U314" s="589"/>
      <c r="V314" s="589"/>
      <c r="W314" s="589"/>
      <c r="X314" s="589"/>
      <c r="Y314" s="589"/>
      <c r="Z314" s="589"/>
      <c r="AA314" s="589"/>
      <c r="AB314" s="589"/>
      <c r="AC314" s="589"/>
      <c r="AD314" s="589"/>
      <c r="AE314" s="329"/>
      <c r="AF314" s="329"/>
      <c r="AG314" s="329"/>
      <c r="AH314" s="329"/>
      <c r="AI314" s="329"/>
      <c r="AJ314" s="329"/>
      <c r="AK314" s="329"/>
      <c r="AL314" s="329"/>
    </row>
    <row r="315" spans="1:38" s="30" customFormat="1" ht="17.100000000000001" customHeight="1">
      <c r="A315" s="665"/>
      <c r="B315" s="664"/>
      <c r="C315" s="655"/>
      <c r="D315" s="656"/>
      <c r="E315" s="646"/>
      <c r="H315" s="646"/>
      <c r="I315" s="589">
        <f t="shared" si="4"/>
        <v>0</v>
      </c>
      <c r="K315" s="589"/>
      <c r="L315" s="589"/>
      <c r="M315" s="589"/>
      <c r="N315" s="589"/>
      <c r="O315" s="589"/>
      <c r="P315" s="589"/>
      <c r="Q315" s="589"/>
      <c r="R315" s="589"/>
      <c r="S315" s="589"/>
      <c r="T315" s="589"/>
      <c r="U315" s="589"/>
      <c r="V315" s="589"/>
      <c r="W315" s="589"/>
      <c r="X315" s="589"/>
      <c r="Y315" s="589"/>
      <c r="Z315" s="589"/>
      <c r="AA315" s="589"/>
      <c r="AB315" s="589"/>
      <c r="AC315" s="589"/>
      <c r="AD315" s="589"/>
      <c r="AE315" s="329"/>
      <c r="AF315" s="329"/>
      <c r="AG315" s="329"/>
      <c r="AH315" s="329"/>
      <c r="AI315" s="329"/>
      <c r="AJ315" s="329"/>
      <c r="AK315" s="329"/>
      <c r="AL315" s="329"/>
    </row>
    <row r="316" spans="1:38" s="30" customFormat="1" ht="17.100000000000001" customHeight="1">
      <c r="A316" s="329" t="s">
        <v>4740</v>
      </c>
      <c r="B316" s="664"/>
      <c r="C316" s="666" t="s">
        <v>4741</v>
      </c>
      <c r="D316" s="656"/>
      <c r="E316" s="646"/>
      <c r="H316" s="646"/>
      <c r="I316" s="589">
        <f t="shared" si="4"/>
        <v>0</v>
      </c>
      <c r="K316" s="589"/>
      <c r="L316" s="589"/>
      <c r="M316" s="589"/>
      <c r="N316" s="589"/>
      <c r="O316" s="589"/>
      <c r="P316" s="589"/>
      <c r="Q316" s="589"/>
      <c r="R316" s="589"/>
      <c r="S316" s="589"/>
      <c r="T316" s="589"/>
      <c r="U316" s="589"/>
      <c r="V316" s="589"/>
      <c r="W316" s="589"/>
      <c r="X316" s="589"/>
      <c r="Y316" s="589"/>
      <c r="Z316" s="589"/>
      <c r="AA316" s="589"/>
      <c r="AB316" s="589"/>
      <c r="AC316" s="589"/>
      <c r="AD316" s="589"/>
      <c r="AE316" s="329"/>
      <c r="AF316" s="329"/>
      <c r="AG316" s="329"/>
      <c r="AH316" s="329"/>
      <c r="AI316" s="329"/>
      <c r="AJ316" s="329"/>
      <c r="AK316" s="329"/>
      <c r="AL316" s="329"/>
    </row>
    <row r="317" spans="1:38" s="30" customFormat="1" ht="17.100000000000001" customHeight="1">
      <c r="A317" s="329" t="s">
        <v>4742</v>
      </c>
      <c r="B317" s="664"/>
      <c r="C317" s="655" t="s">
        <v>4743</v>
      </c>
      <c r="D317" s="656"/>
      <c r="E317" s="646"/>
      <c r="H317" s="646"/>
      <c r="I317" s="589">
        <f t="shared" si="4"/>
        <v>0</v>
      </c>
      <c r="K317" s="589"/>
      <c r="L317" s="589"/>
      <c r="M317" s="589"/>
      <c r="N317" s="589"/>
      <c r="O317" s="589"/>
      <c r="P317" s="589"/>
      <c r="Q317" s="589"/>
      <c r="R317" s="589"/>
      <c r="S317" s="589"/>
      <c r="T317" s="589"/>
      <c r="U317" s="589"/>
      <c r="V317" s="589"/>
      <c r="W317" s="589"/>
      <c r="X317" s="589"/>
      <c r="Y317" s="589"/>
      <c r="Z317" s="589"/>
      <c r="AA317" s="589"/>
      <c r="AB317" s="589"/>
      <c r="AC317" s="589"/>
      <c r="AD317" s="589"/>
      <c r="AE317" s="329"/>
      <c r="AF317" s="329"/>
      <c r="AG317" s="329"/>
      <c r="AH317" s="329"/>
      <c r="AI317" s="329"/>
      <c r="AJ317" s="329"/>
      <c r="AK317" s="329"/>
      <c r="AL317" s="329"/>
    </row>
    <row r="318" spans="1:38" s="30" customFormat="1" ht="17.100000000000001" customHeight="1">
      <c r="A318" s="329" t="s">
        <v>4744</v>
      </c>
      <c r="B318" s="664"/>
      <c r="C318" s="655" t="s">
        <v>2099</v>
      </c>
      <c r="D318" s="656"/>
      <c r="E318" s="646"/>
      <c r="H318" s="646"/>
      <c r="I318" s="589">
        <f t="shared" si="4"/>
        <v>0</v>
      </c>
      <c r="K318" s="589"/>
      <c r="L318" s="589"/>
      <c r="M318" s="589"/>
      <c r="N318" s="589"/>
      <c r="O318" s="589"/>
      <c r="P318" s="589"/>
      <c r="Q318" s="589"/>
      <c r="R318" s="589"/>
      <c r="S318" s="589"/>
      <c r="T318" s="589"/>
      <c r="U318" s="589"/>
      <c r="V318" s="589"/>
      <c r="W318" s="589"/>
      <c r="X318" s="589"/>
      <c r="Y318" s="589"/>
      <c r="Z318" s="589"/>
      <c r="AA318" s="589"/>
      <c r="AB318" s="589"/>
      <c r="AC318" s="589"/>
      <c r="AD318" s="589"/>
      <c r="AE318" s="329"/>
      <c r="AF318" s="329"/>
      <c r="AG318" s="329"/>
      <c r="AH318" s="329"/>
      <c r="AI318" s="329"/>
      <c r="AJ318" s="329"/>
      <c r="AK318" s="329"/>
      <c r="AL318" s="329"/>
    </row>
    <row r="319" spans="1:38" s="30" customFormat="1" ht="17.100000000000001" customHeight="1">
      <c r="A319" s="329" t="s">
        <v>2100</v>
      </c>
      <c r="B319" s="664"/>
      <c r="C319" s="655" t="s">
        <v>2123</v>
      </c>
      <c r="D319" s="656"/>
      <c r="E319" s="646"/>
      <c r="H319" s="646"/>
      <c r="I319" s="589">
        <f t="shared" si="4"/>
        <v>0</v>
      </c>
      <c r="K319" s="589"/>
      <c r="L319" s="589"/>
      <c r="M319" s="589"/>
      <c r="N319" s="589"/>
      <c r="O319" s="589"/>
      <c r="P319" s="589"/>
      <c r="Q319" s="589"/>
      <c r="R319" s="589"/>
      <c r="S319" s="589"/>
      <c r="T319" s="589"/>
      <c r="U319" s="589"/>
      <c r="V319" s="589"/>
      <c r="W319" s="589"/>
      <c r="X319" s="589"/>
      <c r="Y319" s="589"/>
      <c r="Z319" s="589"/>
      <c r="AA319" s="589"/>
      <c r="AB319" s="589"/>
      <c r="AC319" s="589"/>
      <c r="AD319" s="589"/>
      <c r="AE319" s="329"/>
      <c r="AF319" s="329"/>
      <c r="AG319" s="329"/>
      <c r="AH319" s="329"/>
      <c r="AI319" s="329"/>
      <c r="AJ319" s="329"/>
      <c r="AK319" s="329"/>
      <c r="AL319" s="329"/>
    </row>
    <row r="320" spans="1:38" s="30" customFormat="1" ht="17.100000000000001" customHeight="1">
      <c r="A320" s="329" t="s">
        <v>2124</v>
      </c>
      <c r="B320" s="664"/>
      <c r="C320" s="655" t="s">
        <v>4937</v>
      </c>
      <c r="D320" s="656"/>
      <c r="E320" s="646"/>
      <c r="H320" s="646"/>
      <c r="I320" s="589">
        <f t="shared" si="4"/>
        <v>0</v>
      </c>
      <c r="K320" s="589"/>
      <c r="L320" s="589"/>
      <c r="M320" s="589"/>
      <c r="N320" s="589"/>
      <c r="O320" s="589"/>
      <c r="P320" s="589"/>
      <c r="Q320" s="589"/>
      <c r="R320" s="589"/>
      <c r="S320" s="589"/>
      <c r="T320" s="589"/>
      <c r="U320" s="589"/>
      <c r="V320" s="589"/>
      <c r="W320" s="589"/>
      <c r="X320" s="589"/>
      <c r="Y320" s="589"/>
      <c r="Z320" s="589"/>
      <c r="AA320" s="589"/>
      <c r="AB320" s="589"/>
      <c r="AC320" s="589"/>
      <c r="AD320" s="589"/>
      <c r="AE320" s="329"/>
      <c r="AF320" s="329"/>
      <c r="AG320" s="329"/>
      <c r="AH320" s="329"/>
      <c r="AI320" s="329"/>
      <c r="AJ320" s="329"/>
      <c r="AK320" s="329"/>
      <c r="AL320" s="329"/>
    </row>
    <row r="321" spans="1:38" s="30" customFormat="1" ht="17.100000000000001" customHeight="1">
      <c r="A321" s="329" t="s">
        <v>4938</v>
      </c>
      <c r="B321" s="664"/>
      <c r="C321" s="655" t="s">
        <v>4939</v>
      </c>
      <c r="D321" s="656"/>
      <c r="E321" s="646"/>
      <c r="H321" s="646"/>
      <c r="I321" s="589">
        <f t="shared" si="4"/>
        <v>0</v>
      </c>
      <c r="K321" s="589"/>
      <c r="L321" s="589"/>
      <c r="M321" s="589"/>
      <c r="N321" s="589"/>
      <c r="O321" s="589"/>
      <c r="P321" s="589"/>
      <c r="Q321" s="589"/>
      <c r="R321" s="589"/>
      <c r="S321" s="589"/>
      <c r="T321" s="589"/>
      <c r="U321" s="589"/>
      <c r="V321" s="589"/>
      <c r="W321" s="589"/>
      <c r="X321" s="589"/>
      <c r="Y321" s="589"/>
      <c r="Z321" s="589"/>
      <c r="AA321" s="589"/>
      <c r="AB321" s="589"/>
      <c r="AC321" s="589"/>
      <c r="AD321" s="589"/>
      <c r="AE321" s="329"/>
      <c r="AF321" s="329"/>
      <c r="AG321" s="329"/>
      <c r="AH321" s="329"/>
      <c r="AI321" s="329"/>
      <c r="AJ321" s="329"/>
      <c r="AK321" s="329"/>
      <c r="AL321" s="329"/>
    </row>
    <row r="322" spans="1:38" s="30" customFormat="1" ht="17.100000000000001" customHeight="1">
      <c r="A322" s="329" t="s">
        <v>4940</v>
      </c>
      <c r="B322" s="664"/>
      <c r="C322" s="655" t="s">
        <v>4941</v>
      </c>
      <c r="D322" s="656"/>
      <c r="E322" s="646"/>
      <c r="H322" s="646"/>
      <c r="I322" s="589">
        <f t="shared" si="4"/>
        <v>0</v>
      </c>
      <c r="K322" s="589"/>
      <c r="L322" s="589"/>
      <c r="M322" s="589"/>
      <c r="N322" s="589"/>
      <c r="O322" s="589"/>
      <c r="P322" s="589"/>
      <c r="Q322" s="589"/>
      <c r="R322" s="589"/>
      <c r="S322" s="589"/>
      <c r="T322" s="589"/>
      <c r="U322" s="589"/>
      <c r="V322" s="589"/>
      <c r="W322" s="589"/>
      <c r="X322" s="589"/>
      <c r="Y322" s="589"/>
      <c r="Z322" s="589"/>
      <c r="AA322" s="589"/>
      <c r="AB322" s="589"/>
      <c r="AC322" s="589"/>
      <c r="AD322" s="589"/>
      <c r="AE322" s="329"/>
      <c r="AF322" s="329"/>
      <c r="AG322" s="329"/>
      <c r="AH322" s="329"/>
      <c r="AI322" s="329"/>
      <c r="AJ322" s="329"/>
      <c r="AK322" s="329"/>
      <c r="AL322" s="329"/>
    </row>
    <row r="323" spans="1:38" s="30" customFormat="1" ht="17.100000000000001" customHeight="1">
      <c r="A323" s="329" t="s">
        <v>4942</v>
      </c>
      <c r="B323" s="664"/>
      <c r="C323" s="655" t="s">
        <v>3634</v>
      </c>
      <c r="D323" s="656"/>
      <c r="E323" s="646"/>
      <c r="H323" s="646"/>
      <c r="I323" s="589">
        <f t="shared" si="4"/>
        <v>0</v>
      </c>
      <c r="K323" s="589"/>
      <c r="L323" s="589"/>
      <c r="M323" s="589"/>
      <c r="N323" s="589"/>
      <c r="O323" s="589"/>
      <c r="P323" s="589"/>
      <c r="Q323" s="589"/>
      <c r="R323" s="589"/>
      <c r="S323" s="589"/>
      <c r="T323" s="589"/>
      <c r="U323" s="589"/>
      <c r="V323" s="589"/>
      <c r="W323" s="589"/>
      <c r="X323" s="589"/>
      <c r="Y323" s="589"/>
      <c r="Z323" s="589"/>
      <c r="AA323" s="589"/>
      <c r="AB323" s="589"/>
      <c r="AC323" s="589"/>
      <c r="AD323" s="589"/>
      <c r="AE323" s="329"/>
      <c r="AF323" s="329"/>
      <c r="AG323" s="329"/>
      <c r="AH323" s="329"/>
      <c r="AI323" s="329"/>
      <c r="AJ323" s="329"/>
      <c r="AK323" s="329"/>
      <c r="AL323" s="329"/>
    </row>
    <row r="324" spans="1:38" s="30" customFormat="1" ht="17.100000000000001" customHeight="1">
      <c r="A324" s="329" t="s">
        <v>2481</v>
      </c>
      <c r="B324" s="664"/>
      <c r="C324" s="655" t="s">
        <v>4677</v>
      </c>
      <c r="D324" s="656"/>
      <c r="E324" s="646"/>
      <c r="H324" s="646"/>
      <c r="I324" s="589">
        <f t="shared" si="4"/>
        <v>0</v>
      </c>
      <c r="K324" s="589"/>
      <c r="L324" s="589"/>
      <c r="M324" s="589"/>
      <c r="N324" s="589"/>
      <c r="O324" s="589"/>
      <c r="P324" s="589"/>
      <c r="Q324" s="589"/>
      <c r="R324" s="589"/>
      <c r="S324" s="589"/>
      <c r="T324" s="589"/>
      <c r="U324" s="589"/>
      <c r="V324" s="589"/>
      <c r="W324" s="589"/>
      <c r="X324" s="589"/>
      <c r="Y324" s="589"/>
      <c r="Z324" s="589"/>
      <c r="AA324" s="589"/>
      <c r="AB324" s="589"/>
      <c r="AC324" s="589"/>
      <c r="AD324" s="589"/>
      <c r="AE324" s="329"/>
      <c r="AF324" s="329"/>
      <c r="AG324" s="329"/>
      <c r="AH324" s="329"/>
      <c r="AI324" s="329"/>
      <c r="AJ324" s="329"/>
      <c r="AK324" s="329"/>
      <c r="AL324" s="329"/>
    </row>
    <row r="325" spans="1:38" s="30" customFormat="1" ht="17.100000000000001" customHeight="1">
      <c r="A325" s="665"/>
      <c r="B325" s="664"/>
      <c r="C325" s="655"/>
      <c r="D325" s="656"/>
      <c r="E325" s="646"/>
      <c r="H325" s="646"/>
      <c r="I325" s="589">
        <f t="shared" si="4"/>
        <v>0</v>
      </c>
      <c r="K325" s="589"/>
      <c r="L325" s="589"/>
      <c r="M325" s="589"/>
      <c r="N325" s="589"/>
      <c r="O325" s="589"/>
      <c r="P325" s="589"/>
      <c r="Q325" s="589"/>
      <c r="R325" s="589"/>
      <c r="S325" s="589"/>
      <c r="T325" s="589"/>
      <c r="U325" s="589"/>
      <c r="V325" s="589"/>
      <c r="W325" s="589"/>
      <c r="X325" s="589"/>
      <c r="Y325" s="589"/>
      <c r="Z325" s="589"/>
      <c r="AA325" s="589"/>
      <c r="AB325" s="589"/>
      <c r="AC325" s="589"/>
      <c r="AD325" s="589"/>
      <c r="AE325" s="329"/>
      <c r="AF325" s="329"/>
      <c r="AG325" s="329"/>
      <c r="AH325" s="329"/>
      <c r="AI325" s="329"/>
      <c r="AJ325" s="329"/>
      <c r="AK325" s="329"/>
      <c r="AL325" s="329"/>
    </row>
    <row r="326" spans="1:38" s="30" customFormat="1" ht="17.100000000000001" customHeight="1">
      <c r="A326" s="329" t="s">
        <v>4678</v>
      </c>
      <c r="B326" s="664"/>
      <c r="C326" s="666" t="s">
        <v>4741</v>
      </c>
      <c r="D326" s="656"/>
      <c r="E326" s="646"/>
      <c r="H326" s="646"/>
      <c r="I326" s="589">
        <f t="shared" si="4"/>
        <v>0</v>
      </c>
      <c r="K326" s="589"/>
      <c r="L326" s="589"/>
      <c r="M326" s="589"/>
      <c r="N326" s="589"/>
      <c r="O326" s="589"/>
      <c r="P326" s="589"/>
      <c r="Q326" s="589"/>
      <c r="R326" s="589"/>
      <c r="S326" s="589"/>
      <c r="T326" s="589"/>
      <c r="U326" s="589"/>
      <c r="V326" s="589"/>
      <c r="W326" s="589"/>
      <c r="X326" s="589"/>
      <c r="Y326" s="589"/>
      <c r="Z326" s="589"/>
      <c r="AA326" s="589"/>
      <c r="AB326" s="589"/>
      <c r="AC326" s="589"/>
      <c r="AD326" s="589"/>
      <c r="AE326" s="329"/>
      <c r="AF326" s="329"/>
      <c r="AG326" s="329"/>
      <c r="AH326" s="329"/>
      <c r="AI326" s="329"/>
      <c r="AJ326" s="329"/>
      <c r="AK326" s="329"/>
      <c r="AL326" s="329"/>
    </row>
    <row r="327" spans="1:38" s="30" customFormat="1" ht="17.100000000000001" customHeight="1">
      <c r="A327" s="329" t="s">
        <v>4679</v>
      </c>
      <c r="B327" s="664"/>
      <c r="C327" s="655" t="s">
        <v>4743</v>
      </c>
      <c r="D327" s="656"/>
      <c r="E327" s="646"/>
      <c r="H327" s="646"/>
      <c r="I327" s="589">
        <f t="shared" si="4"/>
        <v>0</v>
      </c>
      <c r="K327" s="589"/>
      <c r="L327" s="589"/>
      <c r="M327" s="589"/>
      <c r="N327" s="589"/>
      <c r="O327" s="589"/>
      <c r="P327" s="589"/>
      <c r="Q327" s="589"/>
      <c r="R327" s="589"/>
      <c r="S327" s="589"/>
      <c r="T327" s="589"/>
      <c r="U327" s="589"/>
      <c r="V327" s="589"/>
      <c r="W327" s="589"/>
      <c r="X327" s="589"/>
      <c r="Y327" s="589"/>
      <c r="Z327" s="589"/>
      <c r="AA327" s="589"/>
      <c r="AB327" s="589"/>
      <c r="AC327" s="589"/>
      <c r="AD327" s="589"/>
      <c r="AE327" s="329"/>
      <c r="AF327" s="329"/>
      <c r="AG327" s="329"/>
      <c r="AH327" s="329"/>
      <c r="AI327" s="329"/>
      <c r="AJ327" s="329"/>
      <c r="AK327" s="329"/>
      <c r="AL327" s="329"/>
    </row>
    <row r="328" spans="1:38" s="30" customFormat="1" ht="17.100000000000001" customHeight="1">
      <c r="A328" s="329" t="s">
        <v>4680</v>
      </c>
      <c r="B328" s="664"/>
      <c r="C328" s="655" t="s">
        <v>2099</v>
      </c>
      <c r="D328" s="656"/>
      <c r="E328" s="646"/>
      <c r="H328" s="646"/>
      <c r="I328" s="589">
        <f t="shared" si="4"/>
        <v>0</v>
      </c>
      <c r="K328" s="589"/>
      <c r="L328" s="589"/>
      <c r="M328" s="589"/>
      <c r="N328" s="589"/>
      <c r="O328" s="589"/>
      <c r="P328" s="589"/>
      <c r="Q328" s="589"/>
      <c r="R328" s="589"/>
      <c r="S328" s="589"/>
      <c r="T328" s="589"/>
      <c r="U328" s="589"/>
      <c r="V328" s="589"/>
      <c r="W328" s="589"/>
      <c r="X328" s="589"/>
      <c r="Y328" s="589"/>
      <c r="Z328" s="589"/>
      <c r="AA328" s="589"/>
      <c r="AB328" s="589"/>
      <c r="AC328" s="589"/>
      <c r="AD328" s="589"/>
      <c r="AE328" s="329"/>
      <c r="AF328" s="329"/>
      <c r="AG328" s="329"/>
      <c r="AH328" s="329"/>
      <c r="AI328" s="329"/>
      <c r="AJ328" s="329"/>
      <c r="AK328" s="329"/>
      <c r="AL328" s="329"/>
    </row>
    <row r="329" spans="1:38" s="30" customFormat="1" ht="17.100000000000001" customHeight="1">
      <c r="A329" s="329" t="s">
        <v>4681</v>
      </c>
      <c r="B329" s="664"/>
      <c r="C329" s="655" t="s">
        <v>2123</v>
      </c>
      <c r="D329" s="656"/>
      <c r="E329" s="646"/>
      <c r="H329" s="646"/>
      <c r="I329" s="589">
        <f t="shared" si="4"/>
        <v>0</v>
      </c>
      <c r="K329" s="589"/>
      <c r="L329" s="589"/>
      <c r="M329" s="589"/>
      <c r="N329" s="589"/>
      <c r="O329" s="589"/>
      <c r="P329" s="589"/>
      <c r="Q329" s="589"/>
      <c r="R329" s="589"/>
      <c r="S329" s="589"/>
      <c r="T329" s="589"/>
      <c r="U329" s="589"/>
      <c r="V329" s="589"/>
      <c r="W329" s="589"/>
      <c r="X329" s="589"/>
      <c r="Y329" s="589"/>
      <c r="Z329" s="589"/>
      <c r="AA329" s="589"/>
      <c r="AB329" s="589"/>
      <c r="AC329" s="589"/>
      <c r="AD329" s="589"/>
      <c r="AE329" s="329"/>
      <c r="AF329" s="329"/>
      <c r="AG329" s="329"/>
      <c r="AH329" s="329"/>
      <c r="AI329" s="329"/>
      <c r="AJ329" s="329"/>
      <c r="AK329" s="329"/>
      <c r="AL329" s="329"/>
    </row>
    <row r="330" spans="1:38" s="30" customFormat="1" ht="17.100000000000001" customHeight="1">
      <c r="A330" s="329" t="s">
        <v>4682</v>
      </c>
      <c r="B330" s="664"/>
      <c r="C330" s="655" t="s">
        <v>4937</v>
      </c>
      <c r="D330" s="656"/>
      <c r="E330" s="646"/>
      <c r="H330" s="646"/>
      <c r="I330" s="589">
        <f t="shared" si="4"/>
        <v>0</v>
      </c>
      <c r="K330" s="589"/>
      <c r="L330" s="589"/>
      <c r="M330" s="589"/>
      <c r="N330" s="589"/>
      <c r="O330" s="589"/>
      <c r="P330" s="589"/>
      <c r="Q330" s="589"/>
      <c r="R330" s="589"/>
      <c r="S330" s="589"/>
      <c r="T330" s="589"/>
      <c r="U330" s="589"/>
      <c r="V330" s="589"/>
      <c r="W330" s="589"/>
      <c r="X330" s="589"/>
      <c r="Y330" s="589"/>
      <c r="Z330" s="589"/>
      <c r="AA330" s="589"/>
      <c r="AB330" s="589"/>
      <c r="AC330" s="589"/>
      <c r="AD330" s="589"/>
      <c r="AE330" s="329"/>
      <c r="AF330" s="329"/>
      <c r="AG330" s="329"/>
      <c r="AH330" s="329"/>
      <c r="AI330" s="329"/>
      <c r="AJ330" s="329"/>
      <c r="AK330" s="329"/>
      <c r="AL330" s="329"/>
    </row>
    <row r="331" spans="1:38" s="30" customFormat="1" ht="17.100000000000001" customHeight="1">
      <c r="A331" s="329" t="s">
        <v>4683</v>
      </c>
      <c r="B331" s="664"/>
      <c r="C331" s="655" t="s">
        <v>4939</v>
      </c>
      <c r="D331" s="656"/>
      <c r="E331" s="646"/>
      <c r="H331" s="646"/>
      <c r="I331" s="589">
        <f t="shared" si="4"/>
        <v>0</v>
      </c>
      <c r="K331" s="589"/>
      <c r="L331" s="589"/>
      <c r="M331" s="589"/>
      <c r="N331" s="589"/>
      <c r="O331" s="589"/>
      <c r="P331" s="589"/>
      <c r="Q331" s="589"/>
      <c r="R331" s="589"/>
      <c r="S331" s="589"/>
      <c r="T331" s="589"/>
      <c r="U331" s="589"/>
      <c r="V331" s="589"/>
      <c r="W331" s="589"/>
      <c r="X331" s="589"/>
      <c r="Y331" s="589"/>
      <c r="Z331" s="589"/>
      <c r="AA331" s="589"/>
      <c r="AB331" s="589"/>
      <c r="AC331" s="589"/>
      <c r="AD331" s="589"/>
      <c r="AE331" s="329"/>
      <c r="AF331" s="329"/>
      <c r="AG331" s="329"/>
      <c r="AH331" s="329"/>
      <c r="AI331" s="329"/>
      <c r="AJ331" s="329"/>
      <c r="AK331" s="329"/>
      <c r="AL331" s="329"/>
    </row>
    <row r="332" spans="1:38" s="30" customFormat="1" ht="17.100000000000001" customHeight="1">
      <c r="A332" s="329" t="s">
        <v>4684</v>
      </c>
      <c r="B332" s="664"/>
      <c r="C332" s="655" t="s">
        <v>4941</v>
      </c>
      <c r="D332" s="656"/>
      <c r="E332" s="646"/>
      <c r="H332" s="646"/>
      <c r="I332" s="589">
        <f t="shared" si="4"/>
        <v>0</v>
      </c>
      <c r="K332" s="589"/>
      <c r="L332" s="589"/>
      <c r="M332" s="589"/>
      <c r="N332" s="589"/>
      <c r="O332" s="589"/>
      <c r="P332" s="589"/>
      <c r="Q332" s="589"/>
      <c r="R332" s="589"/>
      <c r="S332" s="589"/>
      <c r="T332" s="589"/>
      <c r="U332" s="589"/>
      <c r="V332" s="589"/>
      <c r="W332" s="589"/>
      <c r="X332" s="589"/>
      <c r="Y332" s="589"/>
      <c r="Z332" s="589"/>
      <c r="AA332" s="589"/>
      <c r="AB332" s="589"/>
      <c r="AC332" s="589"/>
      <c r="AD332" s="589"/>
      <c r="AE332" s="329"/>
      <c r="AF332" s="329"/>
      <c r="AG332" s="329"/>
      <c r="AH332" s="329"/>
      <c r="AI332" s="329"/>
      <c r="AJ332" s="329"/>
      <c r="AK332" s="329"/>
      <c r="AL332" s="329"/>
    </row>
    <row r="333" spans="1:38" s="30" customFormat="1" ht="17.100000000000001" customHeight="1">
      <c r="A333" s="329" t="s">
        <v>4685</v>
      </c>
      <c r="B333" s="664"/>
      <c r="C333" s="655" t="s">
        <v>3634</v>
      </c>
      <c r="D333" s="656"/>
      <c r="E333" s="646"/>
      <c r="H333" s="646"/>
      <c r="I333" s="589">
        <f t="shared" si="4"/>
        <v>0</v>
      </c>
      <c r="K333" s="589"/>
      <c r="L333" s="589"/>
      <c r="M333" s="589"/>
      <c r="N333" s="589"/>
      <c r="O333" s="589"/>
      <c r="P333" s="589"/>
      <c r="Q333" s="589"/>
      <c r="R333" s="589"/>
      <c r="S333" s="589"/>
      <c r="T333" s="589"/>
      <c r="U333" s="589"/>
      <c r="V333" s="589"/>
      <c r="W333" s="589"/>
      <c r="X333" s="589"/>
      <c r="Y333" s="589"/>
      <c r="Z333" s="589"/>
      <c r="AA333" s="589"/>
      <c r="AB333" s="589"/>
      <c r="AC333" s="589"/>
      <c r="AD333" s="589"/>
      <c r="AE333" s="329"/>
      <c r="AF333" s="329"/>
      <c r="AG333" s="329"/>
      <c r="AH333" s="329"/>
      <c r="AI333" s="329"/>
      <c r="AJ333" s="329"/>
      <c r="AK333" s="329"/>
      <c r="AL333" s="329"/>
    </row>
    <row r="334" spans="1:38" s="30" customFormat="1" ht="17.100000000000001" customHeight="1">
      <c r="A334" s="329" t="s">
        <v>4686</v>
      </c>
      <c r="B334" s="664"/>
      <c r="C334" s="655" t="s">
        <v>4677</v>
      </c>
      <c r="D334" s="656"/>
      <c r="E334" s="646"/>
      <c r="H334" s="646"/>
      <c r="I334" s="589">
        <f t="shared" si="4"/>
        <v>0</v>
      </c>
      <c r="K334" s="589"/>
      <c r="L334" s="589"/>
      <c r="M334" s="589"/>
      <c r="N334" s="589"/>
      <c r="O334" s="589"/>
      <c r="P334" s="589"/>
      <c r="Q334" s="589"/>
      <c r="R334" s="589"/>
      <c r="S334" s="589"/>
      <c r="T334" s="589"/>
      <c r="U334" s="589"/>
      <c r="V334" s="589"/>
      <c r="W334" s="589"/>
      <c r="X334" s="589"/>
      <c r="Y334" s="589"/>
      <c r="Z334" s="589"/>
      <c r="AA334" s="589"/>
      <c r="AB334" s="589"/>
      <c r="AC334" s="589"/>
      <c r="AD334" s="589"/>
      <c r="AE334" s="329"/>
      <c r="AF334" s="329"/>
      <c r="AG334" s="329"/>
      <c r="AH334" s="329"/>
      <c r="AI334" s="329"/>
      <c r="AJ334" s="329"/>
      <c r="AK334" s="329"/>
      <c r="AL334" s="329"/>
    </row>
    <row r="335" spans="1:38" s="30" customFormat="1" ht="17.100000000000001" customHeight="1">
      <c r="A335" s="665"/>
      <c r="B335" s="664"/>
      <c r="C335" s="655"/>
      <c r="D335" s="656"/>
      <c r="E335" s="646"/>
      <c r="H335" s="646"/>
      <c r="I335" s="589">
        <f t="shared" si="4"/>
        <v>0</v>
      </c>
      <c r="K335" s="589"/>
      <c r="L335" s="589"/>
      <c r="M335" s="589"/>
      <c r="N335" s="589"/>
      <c r="O335" s="589"/>
      <c r="P335" s="589"/>
      <c r="Q335" s="589"/>
      <c r="R335" s="589"/>
      <c r="S335" s="589"/>
      <c r="T335" s="589"/>
      <c r="U335" s="589"/>
      <c r="V335" s="589"/>
      <c r="W335" s="589"/>
      <c r="X335" s="589"/>
      <c r="Y335" s="589"/>
      <c r="Z335" s="589"/>
      <c r="AA335" s="589"/>
      <c r="AB335" s="589"/>
      <c r="AC335" s="589"/>
      <c r="AD335" s="589"/>
      <c r="AE335" s="329"/>
      <c r="AF335" s="329"/>
      <c r="AG335" s="329"/>
      <c r="AH335" s="329"/>
      <c r="AI335" s="329"/>
      <c r="AJ335" s="329"/>
      <c r="AK335" s="329"/>
      <c r="AL335" s="329"/>
    </row>
    <row r="336" spans="1:38" s="30" customFormat="1" ht="17.100000000000001" customHeight="1">
      <c r="A336" s="329" t="s">
        <v>4687</v>
      </c>
      <c r="B336" s="664"/>
      <c r="C336" s="655" t="s">
        <v>4688</v>
      </c>
      <c r="D336" s="656" t="s">
        <v>2660</v>
      </c>
      <c r="E336" s="776">
        <v>40700</v>
      </c>
      <c r="H336" s="646">
        <v>18000</v>
      </c>
      <c r="I336" s="589">
        <f t="shared" si="4"/>
        <v>1</v>
      </c>
      <c r="J336" s="30" t="s">
        <v>2661</v>
      </c>
      <c r="K336" s="589"/>
      <c r="L336" s="589"/>
      <c r="M336" s="589"/>
      <c r="N336" s="589"/>
      <c r="O336" s="589"/>
      <c r="P336" s="589"/>
      <c r="Q336" s="589"/>
      <c r="R336" s="589"/>
      <c r="S336" s="589"/>
      <c r="T336" s="589"/>
      <c r="U336" s="589"/>
      <c r="V336" s="589"/>
      <c r="W336" s="589"/>
      <c r="X336" s="589"/>
      <c r="Y336" s="589"/>
      <c r="Z336" s="589"/>
      <c r="AA336" s="589"/>
      <c r="AB336" s="589"/>
      <c r="AC336" s="589"/>
      <c r="AD336" s="589"/>
      <c r="AE336" s="329"/>
      <c r="AF336" s="329"/>
      <c r="AG336" s="329"/>
      <c r="AH336" s="329"/>
      <c r="AI336" s="329"/>
      <c r="AJ336" s="329"/>
      <c r="AK336" s="329"/>
      <c r="AL336" s="329"/>
    </row>
    <row r="337" spans="1:38" s="30" customFormat="1" ht="17.100000000000001" customHeight="1">
      <c r="A337" s="329" t="s">
        <v>4689</v>
      </c>
      <c r="B337" s="664"/>
      <c r="C337" s="655" t="s">
        <v>4690</v>
      </c>
      <c r="D337" s="656" t="s">
        <v>2660</v>
      </c>
      <c r="E337" s="776">
        <v>40700</v>
      </c>
      <c r="H337" s="646">
        <v>20000</v>
      </c>
      <c r="I337" s="589">
        <f t="shared" si="4"/>
        <v>1</v>
      </c>
      <c r="J337" s="30" t="s">
        <v>2661</v>
      </c>
      <c r="K337" s="589"/>
      <c r="L337" s="589"/>
      <c r="M337" s="589"/>
      <c r="N337" s="589"/>
      <c r="O337" s="589"/>
      <c r="P337" s="589"/>
      <c r="Q337" s="589"/>
      <c r="R337" s="589"/>
      <c r="S337" s="589"/>
      <c r="T337" s="589"/>
      <c r="U337" s="589"/>
      <c r="V337" s="589"/>
      <c r="W337" s="589"/>
      <c r="X337" s="589"/>
      <c r="Y337" s="589"/>
      <c r="Z337" s="589"/>
      <c r="AA337" s="589"/>
      <c r="AB337" s="589"/>
      <c r="AC337" s="589"/>
      <c r="AD337" s="589"/>
      <c r="AE337" s="329"/>
      <c r="AF337" s="329"/>
      <c r="AG337" s="329"/>
      <c r="AH337" s="329"/>
      <c r="AI337" s="329"/>
      <c r="AJ337" s="329"/>
      <c r="AK337" s="329"/>
      <c r="AL337" s="329"/>
    </row>
    <row r="338" spans="1:38" s="30" customFormat="1" ht="17.100000000000001" customHeight="1">
      <c r="A338" s="329" t="s">
        <v>4691</v>
      </c>
      <c r="B338" s="664"/>
      <c r="C338" s="655" t="s">
        <v>4692</v>
      </c>
      <c r="D338" s="656" t="s">
        <v>2660</v>
      </c>
      <c r="E338" s="646"/>
      <c r="H338" s="646"/>
      <c r="I338" s="589">
        <f t="shared" si="4"/>
        <v>0</v>
      </c>
      <c r="K338" s="589"/>
      <c r="L338" s="589"/>
      <c r="M338" s="589"/>
      <c r="N338" s="589"/>
      <c r="O338" s="589"/>
      <c r="P338" s="589"/>
      <c r="Q338" s="589"/>
      <c r="R338" s="589"/>
      <c r="S338" s="589"/>
      <c r="T338" s="589"/>
      <c r="U338" s="589"/>
      <c r="V338" s="589"/>
      <c r="W338" s="589"/>
      <c r="X338" s="589"/>
      <c r="Y338" s="589"/>
      <c r="Z338" s="589"/>
      <c r="AA338" s="589"/>
      <c r="AB338" s="589"/>
      <c r="AC338" s="589"/>
      <c r="AD338" s="589"/>
      <c r="AE338" s="329"/>
      <c r="AF338" s="329"/>
      <c r="AG338" s="329"/>
      <c r="AH338" s="329"/>
      <c r="AI338" s="329"/>
      <c r="AJ338" s="329"/>
      <c r="AK338" s="329"/>
      <c r="AL338" s="329"/>
    </row>
    <row r="339" spans="1:38" s="30" customFormat="1" ht="17.100000000000001" customHeight="1">
      <c r="A339" s="329" t="s">
        <v>4693</v>
      </c>
      <c r="B339" s="664"/>
      <c r="C339" s="655" t="s">
        <v>2465</v>
      </c>
      <c r="D339" s="656" t="s">
        <v>2660</v>
      </c>
      <c r="E339" s="646"/>
      <c r="H339" s="646"/>
      <c r="I339" s="589">
        <f t="shared" si="4"/>
        <v>0</v>
      </c>
      <c r="K339" s="589"/>
      <c r="L339" s="589"/>
      <c r="M339" s="589"/>
      <c r="N339" s="589"/>
      <c r="O339" s="589"/>
      <c r="P339" s="589"/>
      <c r="Q339" s="589"/>
      <c r="R339" s="589"/>
      <c r="S339" s="589"/>
      <c r="T339" s="589"/>
      <c r="U339" s="589"/>
      <c r="V339" s="589"/>
      <c r="W339" s="589"/>
      <c r="X339" s="589"/>
      <c r="Y339" s="589"/>
      <c r="Z339" s="589"/>
      <c r="AA339" s="589"/>
      <c r="AB339" s="589"/>
      <c r="AC339" s="589"/>
      <c r="AD339" s="589"/>
      <c r="AE339" s="329"/>
      <c r="AF339" s="329"/>
      <c r="AG339" s="329"/>
      <c r="AH339" s="329"/>
      <c r="AI339" s="329"/>
      <c r="AJ339" s="329"/>
      <c r="AK339" s="329"/>
      <c r="AL339" s="329"/>
    </row>
    <row r="340" spans="1:38" s="30" customFormat="1" ht="17.100000000000001" customHeight="1">
      <c r="A340" s="665"/>
      <c r="B340" s="664"/>
      <c r="C340" s="655"/>
      <c r="D340" s="656"/>
      <c r="E340" s="646"/>
      <c r="H340" s="646"/>
      <c r="I340" s="589">
        <f t="shared" si="4"/>
        <v>0</v>
      </c>
      <c r="K340" s="589"/>
      <c r="L340" s="589"/>
      <c r="M340" s="589"/>
      <c r="N340" s="589"/>
      <c r="O340" s="589"/>
      <c r="P340" s="589"/>
      <c r="Q340" s="589"/>
      <c r="R340" s="589"/>
      <c r="S340" s="589"/>
      <c r="T340" s="589"/>
      <c r="U340" s="589"/>
      <c r="V340" s="589"/>
      <c r="W340" s="589"/>
      <c r="X340" s="589"/>
      <c r="Y340" s="589"/>
      <c r="Z340" s="589"/>
      <c r="AA340" s="589"/>
      <c r="AB340" s="589"/>
      <c r="AC340" s="589"/>
      <c r="AD340" s="589"/>
      <c r="AE340" s="329"/>
      <c r="AF340" s="329"/>
      <c r="AG340" s="329"/>
      <c r="AH340" s="329"/>
      <c r="AI340" s="329"/>
      <c r="AJ340" s="329"/>
      <c r="AK340" s="329"/>
      <c r="AL340" s="329"/>
    </row>
    <row r="341" spans="1:38" s="30" customFormat="1" ht="17.100000000000001" customHeight="1">
      <c r="A341" s="329" t="s">
        <v>2466</v>
      </c>
      <c r="B341" s="664"/>
      <c r="C341" s="655" t="s">
        <v>2467</v>
      </c>
      <c r="D341" s="656" t="s">
        <v>639</v>
      </c>
      <c r="E341" s="776">
        <v>25600</v>
      </c>
      <c r="H341" s="646">
        <v>20600</v>
      </c>
      <c r="I341" s="589">
        <f t="shared" si="4"/>
        <v>1</v>
      </c>
      <c r="J341" s="30" t="s">
        <v>2661</v>
      </c>
      <c r="K341" s="589"/>
      <c r="L341" s="589"/>
      <c r="M341" s="589"/>
      <c r="N341" s="589"/>
      <c r="O341" s="589"/>
      <c r="P341" s="589"/>
      <c r="Q341" s="589"/>
      <c r="R341" s="589"/>
      <c r="S341" s="589"/>
      <c r="T341" s="589"/>
      <c r="U341" s="589"/>
      <c r="V341" s="589"/>
      <c r="W341" s="589"/>
      <c r="X341" s="589"/>
      <c r="Y341" s="589"/>
      <c r="Z341" s="589"/>
      <c r="AA341" s="589"/>
      <c r="AB341" s="589"/>
      <c r="AC341" s="589"/>
      <c r="AD341" s="589"/>
      <c r="AE341" s="329"/>
      <c r="AF341" s="329"/>
      <c r="AG341" s="329"/>
      <c r="AH341" s="329"/>
      <c r="AI341" s="329"/>
      <c r="AJ341" s="329"/>
      <c r="AK341" s="329"/>
      <c r="AL341" s="329"/>
    </row>
    <row r="342" spans="1:38" s="30" customFormat="1" ht="17.100000000000001" customHeight="1">
      <c r="A342" s="329" t="s">
        <v>2468</v>
      </c>
      <c r="B342" s="664"/>
      <c r="C342" s="655" t="s">
        <v>2469</v>
      </c>
      <c r="D342" s="656" t="s">
        <v>639</v>
      </c>
      <c r="E342" s="776">
        <v>37160</v>
      </c>
      <c r="H342" s="646">
        <v>25600</v>
      </c>
      <c r="I342" s="589">
        <f t="shared" si="4"/>
        <v>1</v>
      </c>
      <c r="J342" s="30" t="s">
        <v>2661</v>
      </c>
      <c r="K342" s="589"/>
      <c r="L342" s="589"/>
      <c r="M342" s="589"/>
      <c r="N342" s="589"/>
      <c r="O342" s="589"/>
      <c r="P342" s="589"/>
      <c r="Q342" s="589"/>
      <c r="R342" s="589"/>
      <c r="S342" s="589"/>
      <c r="T342" s="589"/>
      <c r="U342" s="589"/>
      <c r="V342" s="589"/>
      <c r="W342" s="589"/>
      <c r="X342" s="589"/>
      <c r="Y342" s="589"/>
      <c r="Z342" s="589"/>
      <c r="AA342" s="589"/>
      <c r="AB342" s="589"/>
      <c r="AC342" s="589"/>
      <c r="AD342" s="589"/>
      <c r="AE342" s="329"/>
      <c r="AF342" s="329"/>
      <c r="AG342" s="329"/>
      <c r="AH342" s="329"/>
      <c r="AI342" s="329"/>
      <c r="AJ342" s="329"/>
      <c r="AK342" s="329"/>
      <c r="AL342" s="329"/>
    </row>
    <row r="343" spans="1:38" s="30" customFormat="1" ht="17.100000000000001" customHeight="1">
      <c r="A343" s="329" t="s">
        <v>2470</v>
      </c>
      <c r="B343" s="664"/>
      <c r="C343" s="667" t="s">
        <v>2471</v>
      </c>
      <c r="D343" s="656" t="s">
        <v>639</v>
      </c>
      <c r="E343" s="776">
        <v>58580</v>
      </c>
      <c r="H343" s="646">
        <v>40000</v>
      </c>
      <c r="I343" s="589">
        <f t="shared" ref="I343:I406" si="5">IF(E343=H343,0,1)</f>
        <v>1</v>
      </c>
      <c r="J343" s="30" t="s">
        <v>2661</v>
      </c>
      <c r="K343" s="589"/>
      <c r="L343" s="589"/>
      <c r="M343" s="589"/>
      <c r="N343" s="589"/>
      <c r="O343" s="589"/>
      <c r="P343" s="589"/>
      <c r="Q343" s="589"/>
      <c r="R343" s="589"/>
      <c r="S343" s="589"/>
      <c r="T343" s="589"/>
      <c r="U343" s="589"/>
      <c r="V343" s="589"/>
      <c r="W343" s="589"/>
      <c r="X343" s="589"/>
      <c r="Y343" s="589"/>
      <c r="Z343" s="589"/>
      <c r="AA343" s="589"/>
      <c r="AB343" s="589"/>
      <c r="AC343" s="589"/>
      <c r="AD343" s="589"/>
      <c r="AE343" s="329"/>
      <c r="AF343" s="329"/>
      <c r="AG343" s="329"/>
      <c r="AH343" s="329"/>
      <c r="AI343" s="329"/>
      <c r="AJ343" s="329"/>
      <c r="AK343" s="329"/>
      <c r="AL343" s="329"/>
    </row>
    <row r="344" spans="1:38" s="30" customFormat="1" ht="17.100000000000001" customHeight="1">
      <c r="A344" s="329" t="s">
        <v>2472</v>
      </c>
      <c r="B344" s="664"/>
      <c r="C344" s="655" t="s">
        <v>1141</v>
      </c>
      <c r="D344" s="656" t="s">
        <v>639</v>
      </c>
      <c r="E344" s="776">
        <v>80860</v>
      </c>
      <c r="H344" s="646">
        <v>56000</v>
      </c>
      <c r="I344" s="589">
        <f t="shared" si="5"/>
        <v>1</v>
      </c>
      <c r="J344" s="30" t="s">
        <v>2661</v>
      </c>
      <c r="K344" s="589"/>
      <c r="L344" s="589"/>
      <c r="M344" s="589"/>
      <c r="N344" s="589"/>
      <c r="O344" s="589"/>
      <c r="P344" s="589"/>
      <c r="Q344" s="589"/>
      <c r="R344" s="589"/>
      <c r="S344" s="589"/>
      <c r="T344" s="589"/>
      <c r="U344" s="589"/>
      <c r="V344" s="589"/>
      <c r="W344" s="589"/>
      <c r="X344" s="589"/>
      <c r="Y344" s="589"/>
      <c r="Z344" s="589"/>
      <c r="AA344" s="589"/>
      <c r="AB344" s="589"/>
      <c r="AC344" s="589"/>
      <c r="AD344" s="589"/>
      <c r="AE344" s="329"/>
      <c r="AF344" s="329"/>
      <c r="AG344" s="329"/>
      <c r="AH344" s="329"/>
      <c r="AI344" s="329"/>
      <c r="AJ344" s="329"/>
      <c r="AK344" s="329"/>
      <c r="AL344" s="329"/>
    </row>
    <row r="345" spans="1:38" s="30" customFormat="1" ht="17.100000000000001" customHeight="1">
      <c r="A345" s="329" t="s">
        <v>1142</v>
      </c>
      <c r="B345" s="664"/>
      <c r="C345" s="667" t="s">
        <v>1143</v>
      </c>
      <c r="D345" s="656" t="s">
        <v>639</v>
      </c>
      <c r="E345" s="776">
        <v>112210</v>
      </c>
      <c r="H345" s="646">
        <v>80000</v>
      </c>
      <c r="I345" s="589">
        <f t="shared" si="5"/>
        <v>1</v>
      </c>
      <c r="J345" s="30" t="s">
        <v>2661</v>
      </c>
      <c r="K345" s="589"/>
      <c r="L345" s="589"/>
      <c r="M345" s="589"/>
      <c r="N345" s="589"/>
      <c r="O345" s="589"/>
      <c r="P345" s="589"/>
      <c r="Q345" s="589"/>
      <c r="R345" s="589"/>
      <c r="S345" s="589"/>
      <c r="T345" s="589"/>
      <c r="U345" s="589"/>
      <c r="V345" s="589"/>
      <c r="W345" s="589"/>
      <c r="X345" s="589"/>
      <c r="Y345" s="589"/>
      <c r="Z345" s="589"/>
      <c r="AA345" s="589"/>
      <c r="AB345" s="589"/>
      <c r="AC345" s="589"/>
      <c r="AD345" s="589"/>
      <c r="AE345" s="329"/>
      <c r="AF345" s="329"/>
      <c r="AG345" s="329"/>
      <c r="AH345" s="329"/>
      <c r="AI345" s="329"/>
      <c r="AJ345" s="329"/>
      <c r="AK345" s="329"/>
      <c r="AL345" s="329"/>
    </row>
    <row r="346" spans="1:38" s="30" customFormat="1" ht="17.100000000000001" customHeight="1">
      <c r="A346" s="329" t="s">
        <v>1144</v>
      </c>
      <c r="B346" s="664"/>
      <c r="C346" s="655" t="s">
        <v>1145</v>
      </c>
      <c r="D346" s="656" t="s">
        <v>639</v>
      </c>
      <c r="E346" s="776">
        <v>155720</v>
      </c>
      <c r="H346" s="646">
        <v>112000</v>
      </c>
      <c r="I346" s="589">
        <f t="shared" si="5"/>
        <v>1</v>
      </c>
      <c r="J346" s="30" t="s">
        <v>2661</v>
      </c>
      <c r="K346" s="589"/>
      <c r="L346" s="589"/>
      <c r="M346" s="589"/>
      <c r="N346" s="589"/>
      <c r="O346" s="589"/>
      <c r="P346" s="589"/>
      <c r="Q346" s="589"/>
      <c r="R346" s="589"/>
      <c r="S346" s="589"/>
      <c r="T346" s="589"/>
      <c r="U346" s="589"/>
      <c r="V346" s="589"/>
      <c r="W346" s="589"/>
      <c r="X346" s="589"/>
      <c r="Y346" s="589"/>
      <c r="Z346" s="589"/>
      <c r="AA346" s="589"/>
      <c r="AB346" s="589"/>
      <c r="AC346" s="589"/>
      <c r="AD346" s="589"/>
      <c r="AE346" s="329"/>
      <c r="AF346" s="329"/>
      <c r="AG346" s="329"/>
      <c r="AH346" s="329"/>
      <c r="AI346" s="329"/>
      <c r="AJ346" s="329"/>
      <c r="AK346" s="329"/>
      <c r="AL346" s="329"/>
    </row>
    <row r="347" spans="1:38" s="30" customFormat="1" ht="17.100000000000001" customHeight="1">
      <c r="A347" s="329" t="s">
        <v>1146</v>
      </c>
      <c r="B347" s="664"/>
      <c r="C347" s="667" t="s">
        <v>1147</v>
      </c>
      <c r="D347" s="656" t="s">
        <v>639</v>
      </c>
      <c r="E347" s="776">
        <v>216070</v>
      </c>
      <c r="H347" s="646">
        <v>152000</v>
      </c>
      <c r="I347" s="589">
        <f t="shared" si="5"/>
        <v>1</v>
      </c>
      <c r="J347" s="30" t="s">
        <v>2661</v>
      </c>
      <c r="K347" s="589"/>
      <c r="L347" s="589"/>
      <c r="M347" s="589"/>
      <c r="N347" s="589"/>
      <c r="O347" s="589"/>
      <c r="P347" s="589"/>
      <c r="Q347" s="589"/>
      <c r="R347" s="589"/>
      <c r="S347" s="589"/>
      <c r="T347" s="589"/>
      <c r="U347" s="589"/>
      <c r="V347" s="589"/>
      <c r="W347" s="589"/>
      <c r="X347" s="589"/>
      <c r="Y347" s="589"/>
      <c r="Z347" s="589"/>
      <c r="AA347" s="589"/>
      <c r="AB347" s="589"/>
      <c r="AC347" s="589"/>
      <c r="AD347" s="589"/>
      <c r="AE347" s="329"/>
      <c r="AF347" s="329"/>
      <c r="AG347" s="329"/>
      <c r="AH347" s="329"/>
      <c r="AI347" s="329"/>
      <c r="AJ347" s="329"/>
      <c r="AK347" s="329"/>
      <c r="AL347" s="329"/>
    </row>
    <row r="348" spans="1:38" s="30" customFormat="1" ht="17.100000000000001" customHeight="1">
      <c r="A348" s="329" t="s">
        <v>1148</v>
      </c>
      <c r="B348" s="664"/>
      <c r="C348" s="667" t="s">
        <v>2765</v>
      </c>
      <c r="D348" s="656" t="s">
        <v>639</v>
      </c>
      <c r="E348" s="776">
        <v>269890</v>
      </c>
      <c r="H348" s="646">
        <v>192000</v>
      </c>
      <c r="I348" s="589">
        <f t="shared" si="5"/>
        <v>1</v>
      </c>
      <c r="J348" s="30" t="s">
        <v>2661</v>
      </c>
      <c r="K348" s="589"/>
      <c r="L348" s="589"/>
      <c r="M348" s="589"/>
      <c r="N348" s="589"/>
      <c r="O348" s="589"/>
      <c r="P348" s="589"/>
      <c r="Q348" s="589"/>
      <c r="R348" s="589"/>
      <c r="S348" s="589"/>
      <c r="T348" s="589"/>
      <c r="U348" s="589"/>
      <c r="V348" s="589"/>
      <c r="W348" s="589"/>
      <c r="X348" s="589"/>
      <c r="Y348" s="589"/>
      <c r="Z348" s="589"/>
      <c r="AA348" s="589"/>
      <c r="AB348" s="589"/>
      <c r="AC348" s="589"/>
      <c r="AD348" s="589"/>
      <c r="AE348" s="329"/>
      <c r="AF348" s="329"/>
      <c r="AG348" s="329"/>
      <c r="AH348" s="329"/>
      <c r="AI348" s="329"/>
      <c r="AJ348" s="329"/>
      <c r="AK348" s="329"/>
      <c r="AL348" s="329"/>
    </row>
    <row r="349" spans="1:38" s="30" customFormat="1" ht="17.100000000000001" customHeight="1">
      <c r="A349" s="329" t="s">
        <v>1905</v>
      </c>
      <c r="B349" s="664"/>
      <c r="C349" s="655" t="s">
        <v>6274</v>
      </c>
      <c r="D349" s="656" t="s">
        <v>639</v>
      </c>
      <c r="E349" s="776">
        <v>336720</v>
      </c>
      <c r="H349" s="646">
        <v>240000</v>
      </c>
      <c r="I349" s="589">
        <f t="shared" si="5"/>
        <v>1</v>
      </c>
      <c r="J349" s="30" t="s">
        <v>2661</v>
      </c>
      <c r="K349" s="589"/>
      <c r="L349" s="589"/>
      <c r="M349" s="589"/>
      <c r="N349" s="589"/>
      <c r="O349" s="589"/>
      <c r="P349" s="589"/>
      <c r="Q349" s="589"/>
      <c r="R349" s="589"/>
      <c r="S349" s="589"/>
      <c r="T349" s="589"/>
      <c r="U349" s="589"/>
      <c r="V349" s="589"/>
      <c r="W349" s="589"/>
      <c r="X349" s="589"/>
      <c r="Y349" s="589"/>
      <c r="Z349" s="589"/>
      <c r="AA349" s="589"/>
      <c r="AB349" s="589"/>
      <c r="AC349" s="589"/>
      <c r="AD349" s="589"/>
      <c r="AE349" s="329"/>
      <c r="AF349" s="329"/>
      <c r="AG349" s="329"/>
      <c r="AH349" s="329"/>
      <c r="AI349" s="329"/>
      <c r="AJ349" s="329"/>
      <c r="AK349" s="329"/>
      <c r="AL349" s="329"/>
    </row>
    <row r="350" spans="1:38" s="30" customFormat="1" ht="17.100000000000001" customHeight="1">
      <c r="A350" s="329" t="s">
        <v>6275</v>
      </c>
      <c r="B350" s="664"/>
      <c r="C350" s="655" t="s">
        <v>6276</v>
      </c>
      <c r="D350" s="656" t="s">
        <v>639</v>
      </c>
      <c r="E350" s="776">
        <v>421080</v>
      </c>
      <c r="H350" s="646">
        <v>296000</v>
      </c>
      <c r="I350" s="589">
        <f t="shared" si="5"/>
        <v>1</v>
      </c>
      <c r="J350" s="30" t="s">
        <v>2661</v>
      </c>
      <c r="K350" s="589"/>
      <c r="L350" s="589"/>
      <c r="M350" s="589"/>
      <c r="N350" s="589"/>
      <c r="O350" s="589"/>
      <c r="P350" s="589"/>
      <c r="Q350" s="589"/>
      <c r="R350" s="589"/>
      <c r="S350" s="589"/>
      <c r="T350" s="589"/>
      <c r="U350" s="589"/>
      <c r="V350" s="589"/>
      <c r="W350" s="589"/>
      <c r="X350" s="589"/>
      <c r="Y350" s="589"/>
      <c r="Z350" s="589"/>
      <c r="AA350" s="589"/>
      <c r="AB350" s="589"/>
      <c r="AC350" s="589"/>
      <c r="AD350" s="589"/>
      <c r="AE350" s="329"/>
      <c r="AF350" s="329"/>
      <c r="AG350" s="329"/>
      <c r="AH350" s="329"/>
      <c r="AI350" s="329"/>
      <c r="AJ350" s="329"/>
      <c r="AK350" s="329"/>
      <c r="AL350" s="329"/>
    </row>
    <row r="351" spans="1:38" s="30" customFormat="1" ht="17.100000000000001" customHeight="1">
      <c r="A351" s="329" t="s">
        <v>6277</v>
      </c>
      <c r="B351" s="664"/>
      <c r="C351" s="655" t="s">
        <v>6278</v>
      </c>
      <c r="D351" s="656" t="s">
        <v>639</v>
      </c>
      <c r="E351" s="776">
        <v>448610</v>
      </c>
      <c r="H351" s="646">
        <v>320000</v>
      </c>
      <c r="I351" s="589">
        <f t="shared" si="5"/>
        <v>1</v>
      </c>
      <c r="J351" s="30" t="s">
        <v>2661</v>
      </c>
      <c r="K351" s="589"/>
      <c r="L351" s="589"/>
      <c r="M351" s="589"/>
      <c r="N351" s="589"/>
      <c r="O351" s="589"/>
      <c r="P351" s="589"/>
      <c r="Q351" s="589"/>
      <c r="R351" s="589"/>
      <c r="S351" s="589"/>
      <c r="T351" s="589"/>
      <c r="U351" s="589"/>
      <c r="V351" s="589"/>
      <c r="W351" s="589"/>
      <c r="X351" s="589"/>
      <c r="Y351" s="589"/>
      <c r="Z351" s="589"/>
      <c r="AA351" s="589"/>
      <c r="AB351" s="589"/>
      <c r="AC351" s="589"/>
      <c r="AD351" s="589"/>
      <c r="AE351" s="329"/>
      <c r="AF351" s="329"/>
      <c r="AG351" s="329"/>
      <c r="AH351" s="329"/>
      <c r="AI351" s="329"/>
      <c r="AJ351" s="329"/>
      <c r="AK351" s="329"/>
      <c r="AL351" s="329"/>
    </row>
    <row r="352" spans="1:38" s="30" customFormat="1" ht="17.100000000000001" customHeight="1">
      <c r="A352" s="329" t="s">
        <v>6279</v>
      </c>
      <c r="B352" s="664"/>
      <c r="C352" s="655" t="s">
        <v>6280</v>
      </c>
      <c r="D352" s="656" t="s">
        <v>639</v>
      </c>
      <c r="E352" s="776">
        <v>557200</v>
      </c>
      <c r="H352" s="646">
        <v>384000</v>
      </c>
      <c r="I352" s="589">
        <f t="shared" si="5"/>
        <v>1</v>
      </c>
      <c r="J352" s="30" t="s">
        <v>2661</v>
      </c>
      <c r="K352" s="589"/>
      <c r="L352" s="589"/>
      <c r="M352" s="589"/>
      <c r="N352" s="589"/>
      <c r="O352" s="589"/>
      <c r="P352" s="589"/>
      <c r="Q352" s="589"/>
      <c r="R352" s="589"/>
      <c r="S352" s="589"/>
      <c r="T352" s="589"/>
      <c r="U352" s="589"/>
      <c r="V352" s="589"/>
      <c r="W352" s="589"/>
      <c r="X352" s="589"/>
      <c r="Y352" s="589"/>
      <c r="Z352" s="589"/>
      <c r="AA352" s="589"/>
      <c r="AB352" s="589"/>
      <c r="AC352" s="589"/>
      <c r="AD352" s="589"/>
      <c r="AE352" s="329"/>
      <c r="AF352" s="329"/>
      <c r="AG352" s="329"/>
      <c r="AH352" s="329"/>
      <c r="AI352" s="329"/>
      <c r="AJ352" s="329"/>
      <c r="AK352" s="329"/>
      <c r="AL352" s="329"/>
    </row>
    <row r="353" spans="1:38" s="30" customFormat="1" ht="17.100000000000001" customHeight="1">
      <c r="A353" s="329" t="s">
        <v>3768</v>
      </c>
      <c r="B353" s="664"/>
      <c r="C353" s="655" t="s">
        <v>3769</v>
      </c>
      <c r="D353" s="656" t="s">
        <v>639</v>
      </c>
      <c r="E353" s="776">
        <v>678050</v>
      </c>
      <c r="H353" s="646">
        <v>480000</v>
      </c>
      <c r="I353" s="589">
        <f t="shared" si="5"/>
        <v>1</v>
      </c>
      <c r="J353" s="30" t="s">
        <v>2661</v>
      </c>
      <c r="K353" s="589"/>
      <c r="L353" s="589"/>
      <c r="M353" s="589"/>
      <c r="N353" s="589"/>
      <c r="O353" s="589"/>
      <c r="P353" s="589"/>
      <c r="Q353" s="589"/>
      <c r="R353" s="589"/>
      <c r="S353" s="589"/>
      <c r="T353" s="589"/>
      <c r="U353" s="589"/>
      <c r="V353" s="589"/>
      <c r="W353" s="589"/>
      <c r="X353" s="589"/>
      <c r="Y353" s="589"/>
      <c r="Z353" s="589"/>
      <c r="AA353" s="589"/>
      <c r="AB353" s="589"/>
      <c r="AC353" s="589"/>
      <c r="AD353" s="589"/>
      <c r="AE353" s="329"/>
      <c r="AF353" s="329"/>
      <c r="AG353" s="329"/>
      <c r="AH353" s="329"/>
      <c r="AI353" s="329"/>
      <c r="AJ353" s="329"/>
      <c r="AK353" s="329"/>
      <c r="AL353" s="329"/>
    </row>
    <row r="354" spans="1:38" s="30" customFormat="1" ht="17.100000000000001" customHeight="1">
      <c r="A354" s="329" t="s">
        <v>3770</v>
      </c>
      <c r="B354" s="664"/>
      <c r="C354" s="655" t="s">
        <v>3771</v>
      </c>
      <c r="D354" s="656" t="s">
        <v>639</v>
      </c>
      <c r="E354" s="776">
        <v>918480</v>
      </c>
      <c r="H354" s="646">
        <v>640000</v>
      </c>
      <c r="I354" s="589">
        <f t="shared" si="5"/>
        <v>1</v>
      </c>
      <c r="J354" s="30" t="s">
        <v>2661</v>
      </c>
      <c r="K354" s="589"/>
      <c r="L354" s="589"/>
      <c r="M354" s="589"/>
      <c r="N354" s="589"/>
      <c r="O354" s="589"/>
      <c r="P354" s="589"/>
      <c r="Q354" s="589"/>
      <c r="R354" s="589"/>
      <c r="S354" s="589"/>
      <c r="T354" s="589"/>
      <c r="U354" s="589"/>
      <c r="V354" s="589"/>
      <c r="W354" s="589"/>
      <c r="X354" s="589"/>
      <c r="Y354" s="589"/>
      <c r="Z354" s="589"/>
      <c r="AA354" s="589"/>
      <c r="AB354" s="589"/>
      <c r="AC354" s="589"/>
      <c r="AD354" s="589"/>
      <c r="AE354" s="329"/>
      <c r="AF354" s="329"/>
      <c r="AG354" s="329"/>
      <c r="AH354" s="329"/>
      <c r="AI354" s="329"/>
      <c r="AJ354" s="329"/>
      <c r="AK354" s="329"/>
      <c r="AL354" s="329"/>
    </row>
    <row r="355" spans="1:38" s="30" customFormat="1" ht="17.100000000000001" customHeight="1">
      <c r="A355" s="665"/>
      <c r="B355" s="664"/>
      <c r="C355" s="655"/>
      <c r="D355" s="656"/>
      <c r="E355" s="646"/>
      <c r="H355" s="646"/>
      <c r="I355" s="589">
        <f t="shared" si="5"/>
        <v>0</v>
      </c>
      <c r="K355" s="589"/>
      <c r="L355" s="589"/>
      <c r="M355" s="589"/>
      <c r="N355" s="589"/>
      <c r="O355" s="589"/>
      <c r="P355" s="589"/>
      <c r="Q355" s="589"/>
      <c r="R355" s="589"/>
      <c r="S355" s="589"/>
      <c r="T355" s="589"/>
      <c r="U355" s="589"/>
      <c r="V355" s="589"/>
      <c r="W355" s="589"/>
      <c r="X355" s="589"/>
      <c r="Y355" s="589"/>
      <c r="Z355" s="589"/>
      <c r="AA355" s="589"/>
      <c r="AB355" s="589"/>
      <c r="AC355" s="589"/>
      <c r="AD355" s="589"/>
      <c r="AE355" s="329"/>
      <c r="AF355" s="329"/>
      <c r="AG355" s="329"/>
      <c r="AH355" s="329"/>
      <c r="AI355" s="329"/>
      <c r="AJ355" s="329"/>
      <c r="AK355" s="329"/>
      <c r="AL355" s="329"/>
    </row>
    <row r="356" spans="1:38" s="30" customFormat="1" ht="17.100000000000001" customHeight="1">
      <c r="A356" s="329" t="s">
        <v>3772</v>
      </c>
      <c r="B356" s="664"/>
      <c r="C356" s="655" t="s">
        <v>3773</v>
      </c>
      <c r="D356" s="656" t="s">
        <v>639</v>
      </c>
      <c r="E356" s="776">
        <v>10320</v>
      </c>
      <c r="H356" s="646">
        <v>8000</v>
      </c>
      <c r="I356" s="589">
        <f t="shared" si="5"/>
        <v>1</v>
      </c>
      <c r="J356" s="30" t="s">
        <v>2661</v>
      </c>
      <c r="K356" s="589"/>
      <c r="L356" s="589"/>
      <c r="M356" s="589"/>
      <c r="N356" s="589"/>
      <c r="O356" s="589"/>
      <c r="P356" s="589"/>
      <c r="Q356" s="589"/>
      <c r="R356" s="589"/>
      <c r="S356" s="589"/>
      <c r="T356" s="589"/>
      <c r="U356" s="589"/>
      <c r="V356" s="589"/>
      <c r="W356" s="589"/>
      <c r="X356" s="589"/>
      <c r="Y356" s="589"/>
      <c r="Z356" s="589"/>
      <c r="AA356" s="589"/>
      <c r="AB356" s="589"/>
      <c r="AC356" s="589"/>
      <c r="AD356" s="589"/>
      <c r="AE356" s="329"/>
      <c r="AF356" s="329"/>
      <c r="AG356" s="329"/>
      <c r="AH356" s="329"/>
      <c r="AI356" s="329"/>
      <c r="AJ356" s="329"/>
      <c r="AK356" s="329"/>
      <c r="AL356" s="329"/>
    </row>
    <row r="357" spans="1:38" s="30" customFormat="1" ht="17.100000000000001" customHeight="1">
      <c r="A357" s="329" t="s">
        <v>3774</v>
      </c>
      <c r="B357" s="664"/>
      <c r="C357" s="655" t="s">
        <v>3775</v>
      </c>
      <c r="D357" s="656" t="s">
        <v>639</v>
      </c>
      <c r="E357" s="776">
        <v>14340</v>
      </c>
      <c r="H357" s="646">
        <v>11000</v>
      </c>
      <c r="I357" s="589">
        <f t="shared" si="5"/>
        <v>1</v>
      </c>
      <c r="J357" s="30" t="s">
        <v>2661</v>
      </c>
      <c r="K357" s="589"/>
      <c r="L357" s="589"/>
      <c r="M357" s="589"/>
      <c r="N357" s="589"/>
      <c r="O357" s="589"/>
      <c r="P357" s="589"/>
      <c r="Q357" s="589"/>
      <c r="R357" s="589"/>
      <c r="S357" s="589"/>
      <c r="T357" s="589"/>
      <c r="U357" s="589"/>
      <c r="V357" s="589"/>
      <c r="W357" s="589"/>
      <c r="X357" s="589"/>
      <c r="Y357" s="589"/>
      <c r="Z357" s="589"/>
      <c r="AA357" s="589"/>
      <c r="AB357" s="589"/>
      <c r="AC357" s="589"/>
      <c r="AD357" s="589"/>
      <c r="AE357" s="329"/>
      <c r="AF357" s="329"/>
      <c r="AG357" s="329"/>
      <c r="AH357" s="329"/>
      <c r="AI357" s="329"/>
      <c r="AJ357" s="329"/>
      <c r="AK357" s="329"/>
      <c r="AL357" s="329"/>
    </row>
    <row r="358" spans="1:38" s="30" customFormat="1" ht="17.100000000000001" customHeight="1">
      <c r="A358" s="329" t="s">
        <v>3776</v>
      </c>
      <c r="B358" s="664"/>
      <c r="C358" s="655" t="s">
        <v>2652</v>
      </c>
      <c r="D358" s="656" t="s">
        <v>639</v>
      </c>
      <c r="E358" s="776">
        <v>19450</v>
      </c>
      <c r="H358" s="646">
        <v>18000</v>
      </c>
      <c r="I358" s="589">
        <f t="shared" si="5"/>
        <v>1</v>
      </c>
      <c r="J358" s="30" t="s">
        <v>2661</v>
      </c>
      <c r="K358" s="589"/>
      <c r="L358" s="589"/>
      <c r="M358" s="589"/>
      <c r="N358" s="589"/>
      <c r="O358" s="589"/>
      <c r="P358" s="589"/>
      <c r="Q358" s="589"/>
      <c r="R358" s="589"/>
      <c r="S358" s="589"/>
      <c r="T358" s="589"/>
      <c r="U358" s="589"/>
      <c r="V358" s="589"/>
      <c r="W358" s="589"/>
      <c r="X358" s="589"/>
      <c r="Y358" s="589"/>
      <c r="Z358" s="589"/>
      <c r="AA358" s="589"/>
      <c r="AB358" s="589"/>
      <c r="AC358" s="589"/>
      <c r="AD358" s="589"/>
      <c r="AE358" s="329"/>
      <c r="AF358" s="329"/>
      <c r="AG358" s="329"/>
      <c r="AH358" s="329"/>
      <c r="AI358" s="329"/>
      <c r="AJ358" s="329"/>
      <c r="AK358" s="329"/>
      <c r="AL358" s="329"/>
    </row>
    <row r="359" spans="1:38" s="30" customFormat="1" ht="17.100000000000001" customHeight="1">
      <c r="A359" s="329" t="s">
        <v>2653</v>
      </c>
      <c r="B359" s="664"/>
      <c r="C359" s="655" t="s">
        <v>2654</v>
      </c>
      <c r="D359" s="656" t="s">
        <v>639</v>
      </c>
      <c r="E359" s="776">
        <v>26700</v>
      </c>
      <c r="H359" s="646">
        <v>21740</v>
      </c>
      <c r="I359" s="589">
        <f t="shared" si="5"/>
        <v>1</v>
      </c>
      <c r="J359" s="30" t="s">
        <v>2661</v>
      </c>
      <c r="K359" s="589"/>
      <c r="L359" s="589"/>
      <c r="M359" s="589"/>
      <c r="N359" s="589"/>
      <c r="O359" s="589"/>
      <c r="P359" s="589"/>
      <c r="Q359" s="589"/>
      <c r="R359" s="589"/>
      <c r="S359" s="589"/>
      <c r="T359" s="589"/>
      <c r="U359" s="589"/>
      <c r="V359" s="589"/>
      <c r="W359" s="589"/>
      <c r="X359" s="589"/>
      <c r="Y359" s="589"/>
      <c r="Z359" s="589"/>
      <c r="AA359" s="589"/>
      <c r="AB359" s="589"/>
      <c r="AC359" s="589"/>
      <c r="AD359" s="589"/>
      <c r="AE359" s="329"/>
      <c r="AF359" s="329"/>
      <c r="AG359" s="329"/>
      <c r="AH359" s="329"/>
      <c r="AI359" s="329"/>
      <c r="AJ359" s="329"/>
      <c r="AK359" s="329"/>
      <c r="AL359" s="329"/>
    </row>
    <row r="360" spans="1:38" s="30" customFormat="1" ht="17.100000000000001" customHeight="1">
      <c r="A360" s="329" t="s">
        <v>2655</v>
      </c>
      <c r="B360" s="664"/>
      <c r="C360" s="655" t="s">
        <v>2626</v>
      </c>
      <c r="D360" s="656" t="s">
        <v>639</v>
      </c>
      <c r="E360" s="776">
        <v>32840</v>
      </c>
      <c r="H360" s="646">
        <v>25800</v>
      </c>
      <c r="I360" s="589">
        <f t="shared" si="5"/>
        <v>1</v>
      </c>
      <c r="J360" s="30" t="s">
        <v>2661</v>
      </c>
      <c r="K360" s="589"/>
      <c r="L360" s="589"/>
      <c r="M360" s="589"/>
      <c r="N360" s="589"/>
      <c r="O360" s="589"/>
      <c r="P360" s="589"/>
      <c r="Q360" s="589"/>
      <c r="R360" s="589"/>
      <c r="S360" s="589"/>
      <c r="T360" s="589"/>
      <c r="U360" s="589"/>
      <c r="V360" s="589"/>
      <c r="W360" s="589"/>
      <c r="X360" s="589"/>
      <c r="Y360" s="589"/>
      <c r="Z360" s="589"/>
      <c r="AA360" s="589"/>
      <c r="AB360" s="589"/>
      <c r="AC360" s="589"/>
      <c r="AD360" s="589"/>
      <c r="AE360" s="329"/>
      <c r="AF360" s="329"/>
      <c r="AG360" s="329"/>
      <c r="AH360" s="329"/>
      <c r="AI360" s="329"/>
      <c r="AJ360" s="329"/>
      <c r="AK360" s="329"/>
      <c r="AL360" s="329"/>
    </row>
    <row r="361" spans="1:38" s="30" customFormat="1" ht="17.100000000000001" customHeight="1">
      <c r="A361" s="665"/>
      <c r="B361" s="664"/>
      <c r="C361" s="655"/>
      <c r="D361" s="656"/>
      <c r="E361" s="646"/>
      <c r="H361" s="646"/>
      <c r="I361" s="589">
        <f t="shared" si="5"/>
        <v>0</v>
      </c>
      <c r="K361" s="589"/>
      <c r="L361" s="589"/>
      <c r="M361" s="589"/>
      <c r="N361" s="589"/>
      <c r="O361" s="589"/>
      <c r="P361" s="589"/>
      <c r="Q361" s="589"/>
      <c r="R361" s="589"/>
      <c r="S361" s="589"/>
      <c r="T361" s="589"/>
      <c r="U361" s="589"/>
      <c r="V361" s="589"/>
      <c r="W361" s="589"/>
      <c r="X361" s="589"/>
      <c r="Y361" s="589"/>
      <c r="Z361" s="589"/>
      <c r="AA361" s="589"/>
      <c r="AB361" s="589"/>
      <c r="AC361" s="589"/>
      <c r="AD361" s="589"/>
      <c r="AE361" s="329"/>
      <c r="AF361" s="329"/>
      <c r="AG361" s="329"/>
      <c r="AH361" s="329"/>
      <c r="AI361" s="329"/>
      <c r="AJ361" s="329"/>
      <c r="AK361" s="329"/>
      <c r="AL361" s="329"/>
    </row>
    <row r="362" spans="1:38" s="30" customFormat="1" ht="17.100000000000001" customHeight="1">
      <c r="A362" s="329" t="s">
        <v>1696</v>
      </c>
      <c r="B362" s="664"/>
      <c r="C362" s="655" t="s">
        <v>6297</v>
      </c>
      <c r="D362" s="656" t="s">
        <v>639</v>
      </c>
      <c r="E362" s="776">
        <v>39270</v>
      </c>
      <c r="H362" s="646">
        <v>20790</v>
      </c>
      <c r="I362" s="589">
        <f>IF(E362=H362,0,1)</f>
        <v>1</v>
      </c>
      <c r="J362" s="30" t="s">
        <v>2661</v>
      </c>
      <c r="K362" s="589"/>
      <c r="L362" s="589"/>
      <c r="M362" s="589"/>
      <c r="N362" s="589"/>
      <c r="O362" s="589"/>
      <c r="P362" s="589"/>
      <c r="Q362" s="589"/>
      <c r="R362" s="589"/>
      <c r="S362" s="589"/>
      <c r="T362" s="589"/>
      <c r="U362" s="589"/>
      <c r="V362" s="589"/>
      <c r="W362" s="589"/>
      <c r="X362" s="589"/>
      <c r="Y362" s="589"/>
      <c r="Z362" s="589"/>
      <c r="AA362" s="589"/>
      <c r="AB362" s="589"/>
      <c r="AC362" s="589"/>
      <c r="AD362" s="589"/>
      <c r="AE362" s="329"/>
      <c r="AF362" s="329"/>
      <c r="AG362" s="329"/>
      <c r="AH362" s="329"/>
      <c r="AI362" s="329"/>
      <c r="AJ362" s="329"/>
      <c r="AK362" s="329"/>
      <c r="AL362" s="329"/>
    </row>
    <row r="363" spans="1:38" s="30" customFormat="1" ht="17.100000000000001" customHeight="1">
      <c r="A363" s="329" t="s">
        <v>2627</v>
      </c>
      <c r="B363" s="664"/>
      <c r="C363" s="655" t="s">
        <v>69</v>
      </c>
      <c r="D363" s="656" t="s">
        <v>639</v>
      </c>
      <c r="E363" s="776">
        <v>45980</v>
      </c>
      <c r="H363" s="646">
        <v>20790</v>
      </c>
      <c r="I363" s="589">
        <f t="shared" si="5"/>
        <v>1</v>
      </c>
      <c r="J363" s="30" t="s">
        <v>2661</v>
      </c>
      <c r="K363" s="589"/>
      <c r="L363" s="589"/>
      <c r="M363" s="589"/>
      <c r="N363" s="589"/>
      <c r="O363" s="589"/>
      <c r="P363" s="589"/>
      <c r="Q363" s="589"/>
      <c r="R363" s="589"/>
      <c r="S363" s="589"/>
      <c r="T363" s="589"/>
      <c r="U363" s="589"/>
      <c r="V363" s="589"/>
      <c r="W363" s="589"/>
      <c r="X363" s="589"/>
      <c r="Y363" s="589"/>
      <c r="Z363" s="589"/>
      <c r="AA363" s="589"/>
      <c r="AB363" s="589"/>
      <c r="AC363" s="589"/>
      <c r="AD363" s="589"/>
      <c r="AE363" s="329"/>
      <c r="AF363" s="329"/>
      <c r="AG363" s="329"/>
      <c r="AH363" s="329"/>
      <c r="AI363" s="329"/>
      <c r="AJ363" s="329"/>
      <c r="AK363" s="329"/>
      <c r="AL363" s="329"/>
    </row>
    <row r="364" spans="1:38" s="30" customFormat="1" ht="17.100000000000001" customHeight="1">
      <c r="A364" s="329" t="s">
        <v>70</v>
      </c>
      <c r="B364" s="664"/>
      <c r="C364" s="655" t="s">
        <v>4350</v>
      </c>
      <c r="D364" s="656" t="s">
        <v>639</v>
      </c>
      <c r="E364" s="776">
        <v>66330</v>
      </c>
      <c r="H364" s="646">
        <v>29700</v>
      </c>
      <c r="I364" s="589">
        <f t="shared" si="5"/>
        <v>1</v>
      </c>
      <c r="J364" s="30" t="s">
        <v>2661</v>
      </c>
      <c r="K364" s="589"/>
      <c r="L364" s="589"/>
      <c r="M364" s="589"/>
      <c r="N364" s="589"/>
      <c r="O364" s="589"/>
      <c r="P364" s="589"/>
      <c r="Q364" s="589"/>
      <c r="R364" s="589"/>
      <c r="S364" s="589"/>
      <c r="T364" s="589"/>
      <c r="U364" s="589"/>
      <c r="V364" s="589"/>
      <c r="W364" s="589"/>
      <c r="X364" s="589"/>
      <c r="Y364" s="589"/>
      <c r="Z364" s="589"/>
      <c r="AA364" s="589"/>
      <c r="AB364" s="589"/>
      <c r="AC364" s="589"/>
      <c r="AD364" s="589"/>
      <c r="AE364" s="329"/>
      <c r="AF364" s="329"/>
      <c r="AG364" s="329"/>
      <c r="AH364" s="329"/>
      <c r="AI364" s="329"/>
      <c r="AJ364" s="329"/>
      <c r="AK364" s="329"/>
      <c r="AL364" s="329"/>
    </row>
    <row r="365" spans="1:38" s="30" customFormat="1" ht="17.100000000000001" customHeight="1">
      <c r="A365" s="329" t="s">
        <v>4351</v>
      </c>
      <c r="B365" s="664"/>
      <c r="C365" s="655" t="s">
        <v>4352</v>
      </c>
      <c r="D365" s="656" t="s">
        <v>639</v>
      </c>
      <c r="E365" s="776">
        <v>71060</v>
      </c>
      <c r="H365" s="646">
        <v>32670</v>
      </c>
      <c r="I365" s="589">
        <f t="shared" si="5"/>
        <v>1</v>
      </c>
      <c r="J365" s="30" t="s">
        <v>2661</v>
      </c>
      <c r="K365" s="589"/>
      <c r="L365" s="589"/>
      <c r="M365" s="589"/>
      <c r="N365" s="589"/>
      <c r="O365" s="589"/>
      <c r="P365" s="589"/>
      <c r="Q365" s="589"/>
      <c r="R365" s="589"/>
      <c r="S365" s="589"/>
      <c r="T365" s="589"/>
      <c r="U365" s="589"/>
      <c r="V365" s="589"/>
      <c r="W365" s="589"/>
      <c r="X365" s="589"/>
      <c r="Y365" s="589"/>
      <c r="Z365" s="589"/>
      <c r="AA365" s="589"/>
      <c r="AB365" s="589"/>
      <c r="AC365" s="589"/>
      <c r="AD365" s="589"/>
      <c r="AE365" s="329"/>
      <c r="AF365" s="329"/>
      <c r="AG365" s="329"/>
      <c r="AH365" s="329"/>
      <c r="AI365" s="329"/>
      <c r="AJ365" s="329"/>
      <c r="AK365" s="329"/>
      <c r="AL365" s="329"/>
    </row>
    <row r="366" spans="1:38" s="30" customFormat="1" ht="17.100000000000001" customHeight="1">
      <c r="A366" s="329" t="s">
        <v>4353</v>
      </c>
      <c r="B366" s="664"/>
      <c r="C366" s="655" t="s">
        <v>3060</v>
      </c>
      <c r="D366" s="656" t="s">
        <v>639</v>
      </c>
      <c r="E366" s="776">
        <v>106150</v>
      </c>
      <c r="H366" s="646">
        <v>47520</v>
      </c>
      <c r="I366" s="589">
        <f t="shared" si="5"/>
        <v>1</v>
      </c>
      <c r="J366" s="30" t="s">
        <v>2661</v>
      </c>
      <c r="K366" s="589"/>
      <c r="L366" s="589"/>
      <c r="M366" s="589"/>
      <c r="N366" s="589"/>
      <c r="O366" s="589"/>
      <c r="P366" s="589"/>
      <c r="Q366" s="589"/>
      <c r="R366" s="589"/>
      <c r="S366" s="589"/>
      <c r="T366" s="589"/>
      <c r="U366" s="589"/>
      <c r="V366" s="589"/>
      <c r="W366" s="589"/>
      <c r="X366" s="589"/>
      <c r="Y366" s="589"/>
      <c r="Z366" s="589"/>
      <c r="AA366" s="589"/>
      <c r="AB366" s="589"/>
      <c r="AC366" s="589"/>
      <c r="AD366" s="589"/>
      <c r="AE366" s="329"/>
      <c r="AF366" s="329"/>
      <c r="AG366" s="329"/>
      <c r="AH366" s="329"/>
      <c r="AI366" s="329"/>
      <c r="AJ366" s="329"/>
      <c r="AK366" s="329"/>
      <c r="AL366" s="329"/>
    </row>
    <row r="367" spans="1:38" s="30" customFormat="1" ht="17.100000000000001" customHeight="1">
      <c r="A367" s="329" t="s">
        <v>3061</v>
      </c>
      <c r="B367" s="664"/>
      <c r="C367" s="655" t="s">
        <v>3062</v>
      </c>
      <c r="D367" s="656" t="s">
        <v>639</v>
      </c>
      <c r="E367" s="776">
        <v>164010</v>
      </c>
      <c r="H367" s="646">
        <v>74250</v>
      </c>
      <c r="I367" s="589">
        <f t="shared" si="5"/>
        <v>1</v>
      </c>
      <c r="J367" s="30" t="s">
        <v>2661</v>
      </c>
      <c r="K367" s="589"/>
      <c r="L367" s="589"/>
      <c r="M367" s="589"/>
      <c r="N367" s="589"/>
      <c r="O367" s="589"/>
      <c r="P367" s="589"/>
      <c r="Q367" s="589"/>
      <c r="R367" s="589"/>
      <c r="S367" s="589"/>
      <c r="T367" s="589"/>
      <c r="U367" s="589"/>
      <c r="V367" s="589"/>
      <c r="W367" s="589"/>
      <c r="X367" s="589"/>
      <c r="Y367" s="589"/>
      <c r="Z367" s="589"/>
      <c r="AA367" s="589"/>
      <c r="AB367" s="589"/>
      <c r="AC367" s="589"/>
      <c r="AD367" s="589"/>
      <c r="AE367" s="329"/>
      <c r="AF367" s="329"/>
      <c r="AG367" s="329"/>
      <c r="AH367" s="329"/>
      <c r="AI367" s="329"/>
      <c r="AJ367" s="329"/>
      <c r="AK367" s="329"/>
      <c r="AL367" s="329"/>
    </row>
    <row r="368" spans="1:38" s="30" customFormat="1" ht="17.100000000000001" customHeight="1">
      <c r="A368" s="329" t="s">
        <v>5550</v>
      </c>
      <c r="B368" s="664"/>
      <c r="C368" s="655" t="s">
        <v>5551</v>
      </c>
      <c r="D368" s="656" t="s">
        <v>639</v>
      </c>
      <c r="E368" s="776">
        <v>224180</v>
      </c>
      <c r="H368" s="646">
        <v>103950</v>
      </c>
      <c r="I368" s="589">
        <f t="shared" si="5"/>
        <v>1</v>
      </c>
      <c r="J368" s="30" t="s">
        <v>2661</v>
      </c>
      <c r="K368" s="589"/>
      <c r="L368" s="589"/>
      <c r="M368" s="589"/>
      <c r="N368" s="589"/>
      <c r="O368" s="589"/>
      <c r="P368" s="589"/>
      <c r="Q368" s="589"/>
      <c r="R368" s="589"/>
      <c r="S368" s="589"/>
      <c r="T368" s="589"/>
      <c r="U368" s="589"/>
      <c r="V368" s="589"/>
      <c r="W368" s="589"/>
      <c r="X368" s="589"/>
      <c r="Y368" s="589"/>
      <c r="Z368" s="589"/>
      <c r="AA368" s="589"/>
      <c r="AB368" s="589"/>
      <c r="AC368" s="589"/>
      <c r="AD368" s="589"/>
      <c r="AE368" s="329"/>
      <c r="AF368" s="329"/>
      <c r="AG368" s="329"/>
      <c r="AH368" s="329"/>
      <c r="AI368" s="329"/>
      <c r="AJ368" s="329"/>
      <c r="AK368" s="329"/>
      <c r="AL368" s="329"/>
    </row>
    <row r="369" spans="1:38" s="30" customFormat="1" ht="17.100000000000001" customHeight="1">
      <c r="A369" s="329" t="s">
        <v>5552</v>
      </c>
      <c r="B369" s="664"/>
      <c r="C369" s="655" t="s">
        <v>5579</v>
      </c>
      <c r="D369" s="656" t="s">
        <v>639</v>
      </c>
      <c r="E369" s="646"/>
      <c r="H369" s="646">
        <v>148500</v>
      </c>
      <c r="I369" s="589">
        <f t="shared" si="5"/>
        <v>1</v>
      </c>
      <c r="K369" s="589"/>
      <c r="L369" s="589"/>
      <c r="M369" s="589"/>
      <c r="N369" s="589"/>
      <c r="O369" s="589"/>
      <c r="P369" s="589"/>
      <c r="Q369" s="589"/>
      <c r="R369" s="589"/>
      <c r="S369" s="589"/>
      <c r="T369" s="589"/>
      <c r="U369" s="589"/>
      <c r="V369" s="589"/>
      <c r="W369" s="589"/>
      <c r="X369" s="589"/>
      <c r="Y369" s="589"/>
      <c r="Z369" s="589"/>
      <c r="AA369" s="589"/>
      <c r="AB369" s="589"/>
      <c r="AC369" s="589"/>
      <c r="AD369" s="589"/>
      <c r="AE369" s="329"/>
      <c r="AF369" s="329"/>
      <c r="AG369" s="329"/>
      <c r="AH369" s="329"/>
      <c r="AI369" s="329"/>
      <c r="AJ369" s="329"/>
      <c r="AK369" s="329"/>
      <c r="AL369" s="329"/>
    </row>
    <row r="370" spans="1:38" s="30" customFormat="1" ht="17.100000000000001" customHeight="1">
      <c r="A370" s="329" t="s">
        <v>5580</v>
      </c>
      <c r="B370" s="664"/>
      <c r="C370" s="655" t="s">
        <v>5581</v>
      </c>
      <c r="D370" s="656" t="s">
        <v>639</v>
      </c>
      <c r="E370" s="646"/>
      <c r="H370" s="646">
        <v>207900</v>
      </c>
      <c r="I370" s="589">
        <f t="shared" si="5"/>
        <v>1</v>
      </c>
      <c r="K370" s="589"/>
      <c r="L370" s="589"/>
      <c r="M370" s="589"/>
      <c r="N370" s="589"/>
      <c r="O370" s="589"/>
      <c r="P370" s="589"/>
      <c r="Q370" s="589"/>
      <c r="R370" s="589"/>
      <c r="S370" s="589"/>
      <c r="T370" s="589"/>
      <c r="U370" s="589"/>
      <c r="V370" s="589"/>
      <c r="W370" s="589"/>
      <c r="X370" s="589"/>
      <c r="Y370" s="589"/>
      <c r="Z370" s="589"/>
      <c r="AA370" s="589"/>
      <c r="AB370" s="589"/>
      <c r="AC370" s="589"/>
      <c r="AD370" s="589"/>
      <c r="AE370" s="329"/>
      <c r="AF370" s="329"/>
      <c r="AG370" s="329"/>
      <c r="AH370" s="329"/>
      <c r="AI370" s="329"/>
      <c r="AJ370" s="329"/>
      <c r="AK370" s="329"/>
      <c r="AL370" s="329"/>
    </row>
    <row r="371" spans="1:38" s="30" customFormat="1" ht="17.100000000000001" customHeight="1">
      <c r="A371" s="665"/>
      <c r="B371" s="664"/>
      <c r="C371" s="655"/>
      <c r="D371" s="656"/>
      <c r="E371" s="646"/>
      <c r="H371" s="646"/>
      <c r="I371" s="589">
        <f t="shared" si="5"/>
        <v>0</v>
      </c>
      <c r="K371" s="589"/>
      <c r="L371" s="589"/>
      <c r="M371" s="589"/>
      <c r="N371" s="589"/>
      <c r="O371" s="589"/>
      <c r="P371" s="589"/>
      <c r="Q371" s="589"/>
      <c r="R371" s="589"/>
      <c r="S371" s="589"/>
      <c r="T371" s="589"/>
      <c r="U371" s="589"/>
      <c r="V371" s="589"/>
      <c r="W371" s="589"/>
      <c r="X371" s="589"/>
      <c r="Y371" s="589"/>
      <c r="Z371" s="589"/>
      <c r="AA371" s="589"/>
      <c r="AB371" s="589"/>
      <c r="AC371" s="589"/>
      <c r="AD371" s="589"/>
      <c r="AE371" s="329"/>
      <c r="AF371" s="329"/>
      <c r="AG371" s="329"/>
      <c r="AH371" s="329"/>
      <c r="AI371" s="329"/>
      <c r="AJ371" s="329"/>
      <c r="AK371" s="329"/>
      <c r="AL371" s="329"/>
    </row>
    <row r="372" spans="1:38" s="30" customFormat="1" ht="17.100000000000001" customHeight="1">
      <c r="A372" s="329" t="s">
        <v>5582</v>
      </c>
      <c r="B372" s="664"/>
      <c r="C372" s="655" t="s">
        <v>5583</v>
      </c>
      <c r="D372" s="656" t="s">
        <v>639</v>
      </c>
      <c r="E372" s="776">
        <v>53300</v>
      </c>
      <c r="H372" s="646">
        <v>39480</v>
      </c>
      <c r="I372" s="589">
        <f t="shared" si="5"/>
        <v>1</v>
      </c>
      <c r="J372" s="30" t="s">
        <v>2661</v>
      </c>
      <c r="K372" s="589"/>
      <c r="L372" s="589"/>
      <c r="M372" s="589"/>
      <c r="N372" s="589"/>
      <c r="O372" s="589"/>
      <c r="P372" s="589"/>
      <c r="Q372" s="589"/>
      <c r="R372" s="589"/>
      <c r="S372" s="589"/>
      <c r="T372" s="589"/>
      <c r="U372" s="589"/>
      <c r="V372" s="589"/>
      <c r="W372" s="589"/>
      <c r="X372" s="589"/>
      <c r="Y372" s="589"/>
      <c r="Z372" s="589"/>
      <c r="AA372" s="589"/>
      <c r="AB372" s="589"/>
      <c r="AC372" s="589"/>
      <c r="AD372" s="589"/>
      <c r="AE372" s="329"/>
      <c r="AF372" s="329"/>
      <c r="AG372" s="329"/>
      <c r="AH372" s="329"/>
      <c r="AI372" s="329"/>
      <c r="AJ372" s="329"/>
      <c r="AK372" s="329"/>
      <c r="AL372" s="329"/>
    </row>
    <row r="373" spans="1:38" s="30" customFormat="1" ht="17.100000000000001" customHeight="1">
      <c r="A373" s="329" t="s">
        <v>5584</v>
      </c>
      <c r="B373" s="664"/>
      <c r="C373" s="655" t="s">
        <v>5585</v>
      </c>
      <c r="D373" s="656" t="s">
        <v>639</v>
      </c>
      <c r="E373" s="776">
        <v>76500</v>
      </c>
      <c r="H373" s="646">
        <v>56400</v>
      </c>
      <c r="I373" s="589">
        <f t="shared" si="5"/>
        <v>1</v>
      </c>
      <c r="J373" s="30" t="s">
        <v>2661</v>
      </c>
      <c r="K373" s="589"/>
      <c r="L373" s="589"/>
      <c r="M373" s="589"/>
      <c r="N373" s="589"/>
      <c r="O373" s="589"/>
      <c r="P373" s="589"/>
      <c r="Q373" s="589"/>
      <c r="R373" s="589"/>
      <c r="S373" s="589"/>
      <c r="T373" s="589"/>
      <c r="U373" s="589"/>
      <c r="V373" s="589"/>
      <c r="W373" s="589"/>
      <c r="X373" s="589"/>
      <c r="Y373" s="589"/>
      <c r="Z373" s="589"/>
      <c r="AA373" s="589"/>
      <c r="AB373" s="589"/>
      <c r="AC373" s="589"/>
      <c r="AD373" s="589"/>
      <c r="AE373" s="329"/>
      <c r="AF373" s="329"/>
      <c r="AG373" s="329"/>
      <c r="AH373" s="329"/>
      <c r="AI373" s="329"/>
      <c r="AJ373" s="329"/>
      <c r="AK373" s="329"/>
      <c r="AL373" s="329"/>
    </row>
    <row r="374" spans="1:38" s="30" customFormat="1" ht="17.100000000000001" customHeight="1">
      <c r="A374" s="329" t="s">
        <v>5340</v>
      </c>
      <c r="B374" s="664"/>
      <c r="C374" s="655" t="s">
        <v>5341</v>
      </c>
      <c r="D374" s="656" t="s">
        <v>639</v>
      </c>
      <c r="E374" s="776">
        <v>82000</v>
      </c>
      <c r="H374" s="646">
        <v>62040</v>
      </c>
      <c r="I374" s="589">
        <f t="shared" si="5"/>
        <v>1</v>
      </c>
      <c r="J374" s="30" t="s">
        <v>2661</v>
      </c>
      <c r="K374" s="589"/>
      <c r="L374" s="589"/>
      <c r="M374" s="589"/>
      <c r="N374" s="589"/>
      <c r="O374" s="589"/>
      <c r="P374" s="589"/>
      <c r="Q374" s="589"/>
      <c r="R374" s="589"/>
      <c r="S374" s="589"/>
      <c r="T374" s="589"/>
      <c r="U374" s="589"/>
      <c r="V374" s="589"/>
      <c r="W374" s="589"/>
      <c r="X374" s="589"/>
      <c r="Y374" s="589"/>
      <c r="Z374" s="589"/>
      <c r="AA374" s="589"/>
      <c r="AB374" s="589"/>
      <c r="AC374" s="589"/>
      <c r="AD374" s="589"/>
      <c r="AE374" s="329"/>
      <c r="AF374" s="329"/>
      <c r="AG374" s="329"/>
      <c r="AH374" s="329"/>
      <c r="AI374" s="329"/>
      <c r="AJ374" s="329"/>
      <c r="AK374" s="329"/>
      <c r="AL374" s="329"/>
    </row>
    <row r="375" spans="1:38" s="30" customFormat="1" ht="17.100000000000001" customHeight="1">
      <c r="A375" s="329" t="s">
        <v>5342</v>
      </c>
      <c r="B375" s="664"/>
      <c r="C375" s="655" t="s">
        <v>5264</v>
      </c>
      <c r="D375" s="656" t="s">
        <v>639</v>
      </c>
      <c r="E375" s="776">
        <v>120600</v>
      </c>
      <c r="H375" s="646">
        <v>90240</v>
      </c>
      <c r="I375" s="589">
        <f t="shared" si="5"/>
        <v>1</v>
      </c>
      <c r="J375" s="30" t="s">
        <v>2661</v>
      </c>
      <c r="K375" s="589"/>
      <c r="L375" s="589"/>
      <c r="M375" s="589"/>
      <c r="N375" s="589"/>
      <c r="O375" s="589"/>
      <c r="P375" s="589"/>
      <c r="Q375" s="589"/>
      <c r="R375" s="589"/>
      <c r="S375" s="589"/>
      <c r="T375" s="589"/>
      <c r="U375" s="589"/>
      <c r="V375" s="589"/>
      <c r="W375" s="589"/>
      <c r="X375" s="589"/>
      <c r="Y375" s="589"/>
      <c r="Z375" s="589"/>
      <c r="AA375" s="589"/>
      <c r="AB375" s="589"/>
      <c r="AC375" s="589"/>
      <c r="AD375" s="589"/>
      <c r="AE375" s="329"/>
      <c r="AF375" s="329"/>
      <c r="AG375" s="329"/>
      <c r="AH375" s="329"/>
      <c r="AI375" s="329"/>
      <c r="AJ375" s="329"/>
      <c r="AK375" s="329"/>
      <c r="AL375" s="329"/>
    </row>
    <row r="376" spans="1:38" s="30" customFormat="1" ht="17.100000000000001" customHeight="1">
      <c r="A376" s="329" t="s">
        <v>5265</v>
      </c>
      <c r="B376" s="664"/>
      <c r="C376" s="655" t="s">
        <v>5266</v>
      </c>
      <c r="D376" s="656" t="s">
        <v>639</v>
      </c>
      <c r="E376" s="776">
        <v>188200</v>
      </c>
      <c r="H376" s="646">
        <v>141000</v>
      </c>
      <c r="I376" s="589">
        <f t="shared" si="5"/>
        <v>1</v>
      </c>
      <c r="J376" s="30" t="s">
        <v>2661</v>
      </c>
      <c r="K376" s="589"/>
      <c r="L376" s="589"/>
      <c r="M376" s="589"/>
      <c r="N376" s="589"/>
      <c r="O376" s="589"/>
      <c r="P376" s="589"/>
      <c r="Q376" s="589"/>
      <c r="R376" s="589"/>
      <c r="S376" s="589"/>
      <c r="T376" s="589"/>
      <c r="U376" s="589"/>
      <c r="V376" s="589"/>
      <c r="W376" s="589"/>
      <c r="X376" s="589"/>
      <c r="Y376" s="589"/>
      <c r="Z376" s="589"/>
      <c r="AA376" s="589"/>
      <c r="AB376" s="589"/>
      <c r="AC376" s="589"/>
      <c r="AD376" s="589"/>
      <c r="AE376" s="329"/>
      <c r="AF376" s="329"/>
      <c r="AG376" s="329"/>
      <c r="AH376" s="329"/>
      <c r="AI376" s="329"/>
      <c r="AJ376" s="329"/>
      <c r="AK376" s="329"/>
      <c r="AL376" s="329"/>
    </row>
    <row r="377" spans="1:38" s="30" customFormat="1" ht="17.100000000000001" customHeight="1">
      <c r="A377" s="329" t="s">
        <v>5267</v>
      </c>
      <c r="B377" s="664"/>
      <c r="C377" s="655" t="s">
        <v>4764</v>
      </c>
      <c r="D377" s="656" t="s">
        <v>639</v>
      </c>
      <c r="E377" s="776">
        <v>258400</v>
      </c>
      <c r="H377" s="646">
        <v>197400</v>
      </c>
      <c r="I377" s="589">
        <f t="shared" si="5"/>
        <v>1</v>
      </c>
      <c r="J377" s="30" t="s">
        <v>2661</v>
      </c>
      <c r="K377" s="589"/>
      <c r="L377" s="589"/>
      <c r="M377" s="589"/>
      <c r="N377" s="589"/>
      <c r="O377" s="589"/>
      <c r="P377" s="589"/>
      <c r="Q377" s="589"/>
      <c r="R377" s="589"/>
      <c r="S377" s="589"/>
      <c r="T377" s="589"/>
      <c r="U377" s="589"/>
      <c r="V377" s="589"/>
      <c r="W377" s="589"/>
      <c r="X377" s="589"/>
      <c r="Y377" s="589"/>
      <c r="Z377" s="589"/>
      <c r="AA377" s="589"/>
      <c r="AB377" s="589"/>
      <c r="AC377" s="589"/>
      <c r="AD377" s="589"/>
      <c r="AE377" s="329"/>
      <c r="AF377" s="329"/>
      <c r="AG377" s="329"/>
      <c r="AH377" s="329"/>
      <c r="AI377" s="329"/>
      <c r="AJ377" s="329"/>
      <c r="AK377" s="329"/>
      <c r="AL377" s="329"/>
    </row>
    <row r="378" spans="1:38" s="30" customFormat="1" ht="17.100000000000001" customHeight="1">
      <c r="A378" s="329" t="s">
        <v>4765</v>
      </c>
      <c r="B378" s="664"/>
      <c r="C378" s="655" t="s">
        <v>4766</v>
      </c>
      <c r="D378" s="656" t="s">
        <v>639</v>
      </c>
      <c r="E378" s="646">
        <v>282000</v>
      </c>
      <c r="H378" s="646">
        <v>282000</v>
      </c>
      <c r="I378" s="589">
        <f t="shared" si="5"/>
        <v>0</v>
      </c>
      <c r="K378" s="589"/>
      <c r="L378" s="589"/>
      <c r="M378" s="589"/>
      <c r="N378" s="589"/>
      <c r="O378" s="589"/>
      <c r="P378" s="589"/>
      <c r="Q378" s="589"/>
      <c r="R378" s="589"/>
      <c r="S378" s="589"/>
      <c r="T378" s="589"/>
      <c r="U378" s="589"/>
      <c r="V378" s="589"/>
      <c r="W378" s="589"/>
      <c r="X378" s="589"/>
      <c r="Y378" s="589"/>
      <c r="Z378" s="589"/>
      <c r="AA378" s="589"/>
      <c r="AB378" s="589"/>
      <c r="AC378" s="589"/>
      <c r="AD378" s="589"/>
      <c r="AE378" s="329"/>
      <c r="AF378" s="329"/>
      <c r="AG378" s="329"/>
      <c r="AH378" s="329"/>
      <c r="AI378" s="329"/>
      <c r="AJ378" s="329"/>
      <c r="AK378" s="329"/>
      <c r="AL378" s="329"/>
    </row>
    <row r="379" spans="1:38" s="30" customFormat="1" ht="17.100000000000001" customHeight="1">
      <c r="A379" s="329" t="s">
        <v>4767</v>
      </c>
      <c r="B379" s="664"/>
      <c r="C379" s="655" t="s">
        <v>2580</v>
      </c>
      <c r="D379" s="656" t="s">
        <v>639</v>
      </c>
      <c r="E379" s="646">
        <v>394800</v>
      </c>
      <c r="H379" s="646">
        <v>394800</v>
      </c>
      <c r="I379" s="589">
        <f t="shared" si="5"/>
        <v>0</v>
      </c>
      <c r="K379" s="589"/>
      <c r="L379" s="589"/>
      <c r="M379" s="589"/>
      <c r="N379" s="589"/>
      <c r="O379" s="589"/>
      <c r="P379" s="589"/>
      <c r="Q379" s="589"/>
      <c r="R379" s="589"/>
      <c r="S379" s="589"/>
      <c r="T379" s="589"/>
      <c r="U379" s="589"/>
      <c r="V379" s="589"/>
      <c r="W379" s="589"/>
      <c r="X379" s="589"/>
      <c r="Y379" s="589"/>
      <c r="Z379" s="589"/>
      <c r="AA379" s="589"/>
      <c r="AB379" s="589"/>
      <c r="AC379" s="589"/>
      <c r="AD379" s="589"/>
      <c r="AE379" s="329"/>
      <c r="AF379" s="329"/>
      <c r="AG379" s="329"/>
      <c r="AH379" s="329"/>
      <c r="AI379" s="329"/>
      <c r="AJ379" s="329"/>
      <c r="AK379" s="329"/>
      <c r="AL379" s="329"/>
    </row>
    <row r="380" spans="1:38" s="30" customFormat="1" ht="17.100000000000001" customHeight="1">
      <c r="A380" s="665"/>
      <c r="B380" s="664"/>
      <c r="C380" s="655"/>
      <c r="D380" s="656"/>
      <c r="E380" s="646"/>
      <c r="H380" s="646"/>
      <c r="I380" s="589">
        <f t="shared" si="5"/>
        <v>0</v>
      </c>
      <c r="K380" s="589"/>
      <c r="L380" s="589"/>
      <c r="M380" s="589"/>
      <c r="N380" s="589"/>
      <c r="O380" s="589"/>
      <c r="P380" s="589"/>
      <c r="Q380" s="589"/>
      <c r="R380" s="589"/>
      <c r="S380" s="589"/>
      <c r="T380" s="589"/>
      <c r="U380" s="589"/>
      <c r="V380" s="589"/>
      <c r="W380" s="589"/>
      <c r="X380" s="589"/>
      <c r="Y380" s="589"/>
      <c r="Z380" s="589"/>
      <c r="AA380" s="589"/>
      <c r="AB380" s="589"/>
      <c r="AC380" s="589"/>
      <c r="AD380" s="589"/>
      <c r="AE380" s="329"/>
      <c r="AF380" s="329"/>
      <c r="AG380" s="329"/>
      <c r="AH380" s="329"/>
      <c r="AI380" s="329"/>
      <c r="AJ380" s="329"/>
      <c r="AK380" s="329"/>
      <c r="AL380" s="329"/>
    </row>
    <row r="381" spans="1:38" s="30" customFormat="1" ht="17.100000000000001" customHeight="1">
      <c r="A381" s="329" t="s">
        <v>6298</v>
      </c>
      <c r="B381" s="664"/>
      <c r="C381" s="655" t="s">
        <v>3807</v>
      </c>
      <c r="D381" s="656" t="s">
        <v>639</v>
      </c>
      <c r="E381" s="776">
        <v>52800</v>
      </c>
      <c r="H381" s="646">
        <v>26901</v>
      </c>
      <c r="I381" s="589">
        <f>IF(E381=H381,0,1)</f>
        <v>1</v>
      </c>
      <c r="J381" s="30" t="s">
        <v>2661</v>
      </c>
      <c r="K381" s="589"/>
      <c r="L381" s="589"/>
      <c r="M381" s="589"/>
      <c r="N381" s="589"/>
      <c r="O381" s="589"/>
      <c r="P381" s="589"/>
      <c r="Q381" s="589"/>
      <c r="R381" s="589"/>
      <c r="S381" s="589"/>
      <c r="T381" s="589"/>
      <c r="U381" s="589"/>
      <c r="V381" s="589"/>
      <c r="W381" s="589"/>
      <c r="X381" s="589"/>
      <c r="Y381" s="589"/>
      <c r="Z381" s="589"/>
      <c r="AA381" s="589"/>
      <c r="AB381" s="589"/>
      <c r="AC381" s="589"/>
      <c r="AD381" s="589"/>
      <c r="AE381" s="329"/>
      <c r="AF381" s="329"/>
      <c r="AG381" s="329"/>
      <c r="AH381" s="329"/>
      <c r="AI381" s="329"/>
      <c r="AJ381" s="329"/>
      <c r="AK381" s="329"/>
      <c r="AL381" s="329"/>
    </row>
    <row r="382" spans="1:38" s="30" customFormat="1" ht="17.100000000000001" customHeight="1">
      <c r="A382" s="329" t="s">
        <v>2581</v>
      </c>
      <c r="B382" s="664"/>
      <c r="C382" s="655" t="s">
        <v>2582</v>
      </c>
      <c r="D382" s="656" t="s">
        <v>639</v>
      </c>
      <c r="E382" s="776">
        <v>60390</v>
      </c>
      <c r="H382" s="646">
        <v>26901</v>
      </c>
      <c r="I382" s="589">
        <f t="shared" si="5"/>
        <v>1</v>
      </c>
      <c r="J382" s="30" t="s">
        <v>2661</v>
      </c>
      <c r="K382" s="589"/>
      <c r="L382" s="589"/>
      <c r="M382" s="589"/>
      <c r="N382" s="589"/>
      <c r="O382" s="589"/>
      <c r="P382" s="589"/>
      <c r="Q382" s="589"/>
      <c r="R382" s="589"/>
      <c r="S382" s="589"/>
      <c r="T382" s="589"/>
      <c r="U382" s="589"/>
      <c r="V382" s="589"/>
      <c r="W382" s="589"/>
      <c r="X382" s="589"/>
      <c r="Y382" s="589"/>
      <c r="Z382" s="589"/>
      <c r="AA382" s="589"/>
      <c r="AB382" s="589"/>
      <c r="AC382" s="589"/>
      <c r="AD382" s="589"/>
      <c r="AE382" s="329"/>
      <c r="AF382" s="329"/>
      <c r="AG382" s="329"/>
      <c r="AH382" s="329"/>
      <c r="AI382" s="329"/>
      <c r="AJ382" s="329"/>
      <c r="AK382" s="329"/>
      <c r="AL382" s="329"/>
    </row>
    <row r="383" spans="1:38" s="30" customFormat="1" ht="17.100000000000001" customHeight="1">
      <c r="A383" s="329" t="s">
        <v>2583</v>
      </c>
      <c r="B383" s="664"/>
      <c r="C383" s="655" t="s">
        <v>2584</v>
      </c>
      <c r="D383" s="656" t="s">
        <v>639</v>
      </c>
      <c r="E383" s="776">
        <v>81840</v>
      </c>
      <c r="H383" s="646">
        <v>38430</v>
      </c>
      <c r="I383" s="589">
        <f t="shared" si="5"/>
        <v>1</v>
      </c>
      <c r="J383" s="30" t="s">
        <v>2661</v>
      </c>
      <c r="K383" s="589"/>
      <c r="L383" s="589"/>
      <c r="M383" s="589"/>
      <c r="N383" s="589"/>
      <c r="O383" s="589"/>
      <c r="P383" s="589"/>
      <c r="Q383" s="589"/>
      <c r="R383" s="589"/>
      <c r="S383" s="589"/>
      <c r="T383" s="589"/>
      <c r="U383" s="589"/>
      <c r="V383" s="589"/>
      <c r="W383" s="589"/>
      <c r="X383" s="589"/>
      <c r="Y383" s="589"/>
      <c r="Z383" s="589"/>
      <c r="AA383" s="589"/>
      <c r="AB383" s="589"/>
      <c r="AC383" s="589"/>
      <c r="AD383" s="589"/>
      <c r="AE383" s="329"/>
      <c r="AF383" s="329"/>
      <c r="AG383" s="329"/>
      <c r="AH383" s="329"/>
      <c r="AI383" s="329"/>
      <c r="AJ383" s="329"/>
      <c r="AK383" s="329"/>
      <c r="AL383" s="329"/>
    </row>
    <row r="384" spans="1:38" s="30" customFormat="1" ht="17.100000000000001" customHeight="1">
      <c r="A384" s="329" t="s">
        <v>2585</v>
      </c>
      <c r="B384" s="664"/>
      <c r="C384" s="655" t="s">
        <v>2586</v>
      </c>
      <c r="D384" s="656" t="s">
        <v>639</v>
      </c>
      <c r="E384" s="776">
        <v>85140</v>
      </c>
      <c r="H384" s="646">
        <v>42273</v>
      </c>
      <c r="I384" s="589">
        <f t="shared" si="5"/>
        <v>1</v>
      </c>
      <c r="J384" s="30" t="s">
        <v>2661</v>
      </c>
      <c r="K384" s="589"/>
      <c r="L384" s="589"/>
      <c r="M384" s="589"/>
      <c r="N384" s="589"/>
      <c r="O384" s="589"/>
      <c r="P384" s="589"/>
      <c r="Q384" s="589"/>
      <c r="R384" s="589"/>
      <c r="S384" s="589"/>
      <c r="T384" s="589"/>
      <c r="U384" s="589"/>
      <c r="V384" s="589"/>
      <c r="W384" s="589"/>
      <c r="X384" s="589"/>
      <c r="Y384" s="589"/>
      <c r="Z384" s="589"/>
      <c r="AA384" s="589"/>
      <c r="AB384" s="589"/>
      <c r="AC384" s="589"/>
      <c r="AD384" s="589"/>
      <c r="AE384" s="329"/>
      <c r="AF384" s="329"/>
      <c r="AG384" s="329"/>
      <c r="AH384" s="329"/>
      <c r="AI384" s="329"/>
      <c r="AJ384" s="329"/>
      <c r="AK384" s="329"/>
      <c r="AL384" s="329"/>
    </row>
    <row r="385" spans="1:38" s="30" customFormat="1" ht="17.100000000000001" customHeight="1">
      <c r="A385" s="329" t="s">
        <v>2587</v>
      </c>
      <c r="B385" s="664"/>
      <c r="C385" s="655" t="s">
        <v>3298</v>
      </c>
      <c r="D385" s="656" t="s">
        <v>639</v>
      </c>
      <c r="E385" s="776">
        <v>115830</v>
      </c>
      <c r="H385" s="646">
        <v>61488</v>
      </c>
      <c r="I385" s="589">
        <f t="shared" si="5"/>
        <v>1</v>
      </c>
      <c r="J385" s="30" t="s">
        <v>2661</v>
      </c>
      <c r="K385" s="589"/>
      <c r="L385" s="589"/>
      <c r="M385" s="589"/>
      <c r="N385" s="589"/>
      <c r="O385" s="589"/>
      <c r="P385" s="589"/>
      <c r="Q385" s="589"/>
      <c r="R385" s="589"/>
      <c r="S385" s="589"/>
      <c r="T385" s="589"/>
      <c r="U385" s="589"/>
      <c r="V385" s="589"/>
      <c r="W385" s="589"/>
      <c r="X385" s="589"/>
      <c r="Y385" s="589"/>
      <c r="Z385" s="589"/>
      <c r="AA385" s="589"/>
      <c r="AB385" s="589"/>
      <c r="AC385" s="589"/>
      <c r="AD385" s="589"/>
      <c r="AE385" s="329"/>
      <c r="AF385" s="329"/>
      <c r="AG385" s="329"/>
      <c r="AH385" s="329"/>
      <c r="AI385" s="329"/>
      <c r="AJ385" s="329"/>
      <c r="AK385" s="329"/>
      <c r="AL385" s="329"/>
    </row>
    <row r="386" spans="1:38" s="30" customFormat="1" ht="17.100000000000001" customHeight="1">
      <c r="A386" s="329" t="s">
        <v>3299</v>
      </c>
      <c r="B386" s="664"/>
      <c r="C386" s="655" t="s">
        <v>6021</v>
      </c>
      <c r="D386" s="656" t="s">
        <v>639</v>
      </c>
      <c r="E386" s="776">
        <v>177320</v>
      </c>
      <c r="H386" s="646">
        <v>96075</v>
      </c>
      <c r="I386" s="589">
        <f t="shared" si="5"/>
        <v>1</v>
      </c>
      <c r="J386" s="30" t="s">
        <v>2661</v>
      </c>
      <c r="K386" s="589"/>
      <c r="L386" s="589"/>
      <c r="M386" s="589"/>
      <c r="N386" s="589"/>
      <c r="O386" s="589"/>
      <c r="P386" s="589"/>
      <c r="Q386" s="589"/>
      <c r="R386" s="589"/>
      <c r="S386" s="589"/>
      <c r="T386" s="589"/>
      <c r="U386" s="589"/>
      <c r="V386" s="589"/>
      <c r="W386" s="589"/>
      <c r="X386" s="589"/>
      <c r="Y386" s="589"/>
      <c r="Z386" s="589"/>
      <c r="AA386" s="589"/>
      <c r="AB386" s="589"/>
      <c r="AC386" s="589"/>
      <c r="AD386" s="589"/>
      <c r="AE386" s="329"/>
      <c r="AF386" s="329"/>
      <c r="AG386" s="329"/>
      <c r="AH386" s="329"/>
      <c r="AI386" s="329"/>
      <c r="AJ386" s="329"/>
      <c r="AK386" s="329"/>
      <c r="AL386" s="329"/>
    </row>
    <row r="387" spans="1:38" s="30" customFormat="1" ht="17.100000000000001" customHeight="1">
      <c r="A387" s="329" t="s">
        <v>6022</v>
      </c>
      <c r="B387" s="664"/>
      <c r="C387" s="655" t="s">
        <v>6023</v>
      </c>
      <c r="D387" s="656" t="s">
        <v>639</v>
      </c>
      <c r="E387" s="776">
        <v>237270</v>
      </c>
      <c r="H387" s="646">
        <v>134505</v>
      </c>
      <c r="I387" s="589">
        <f t="shared" si="5"/>
        <v>1</v>
      </c>
      <c r="J387" s="30" t="s">
        <v>2661</v>
      </c>
      <c r="K387" s="589"/>
      <c r="L387" s="589"/>
      <c r="M387" s="589"/>
      <c r="N387" s="589"/>
      <c r="O387" s="589"/>
      <c r="P387" s="589"/>
      <c r="Q387" s="589"/>
      <c r="R387" s="589"/>
      <c r="S387" s="589"/>
      <c r="T387" s="589"/>
      <c r="U387" s="589"/>
      <c r="V387" s="589"/>
      <c r="W387" s="589"/>
      <c r="X387" s="589"/>
      <c r="Y387" s="589"/>
      <c r="Z387" s="589"/>
      <c r="AA387" s="589"/>
      <c r="AB387" s="589"/>
      <c r="AC387" s="589"/>
      <c r="AD387" s="589"/>
      <c r="AE387" s="329"/>
      <c r="AF387" s="329"/>
      <c r="AG387" s="329"/>
      <c r="AH387" s="329"/>
      <c r="AI387" s="329"/>
      <c r="AJ387" s="329"/>
      <c r="AK387" s="329"/>
      <c r="AL387" s="329"/>
    </row>
    <row r="388" spans="1:38" s="30" customFormat="1" ht="17.100000000000001" customHeight="1">
      <c r="A388" s="329" t="s">
        <v>6024</v>
      </c>
      <c r="B388" s="664"/>
      <c r="C388" s="655" t="s">
        <v>4595</v>
      </c>
      <c r="D388" s="656" t="s">
        <v>639</v>
      </c>
      <c r="E388" s="646"/>
      <c r="H388" s="646">
        <v>192150</v>
      </c>
      <c r="I388" s="589">
        <f t="shared" si="5"/>
        <v>1</v>
      </c>
      <c r="K388" s="589"/>
      <c r="L388" s="589"/>
      <c r="M388" s="589"/>
      <c r="N388" s="589"/>
      <c r="O388" s="589"/>
      <c r="P388" s="589"/>
      <c r="Q388" s="589"/>
      <c r="R388" s="589"/>
      <c r="S388" s="589"/>
      <c r="T388" s="589"/>
      <c r="U388" s="589"/>
      <c r="V388" s="589"/>
      <c r="W388" s="589"/>
      <c r="X388" s="589"/>
      <c r="Y388" s="589"/>
      <c r="Z388" s="589"/>
      <c r="AA388" s="589"/>
      <c r="AB388" s="589"/>
      <c r="AC388" s="589"/>
      <c r="AD388" s="589"/>
      <c r="AE388" s="329"/>
      <c r="AF388" s="329"/>
      <c r="AG388" s="329"/>
      <c r="AH388" s="329"/>
      <c r="AI388" s="329"/>
      <c r="AJ388" s="329"/>
      <c r="AK388" s="329"/>
      <c r="AL388" s="329"/>
    </row>
    <row r="389" spans="1:38" s="30" customFormat="1" ht="17.100000000000001" customHeight="1">
      <c r="A389" s="329" t="s">
        <v>4596</v>
      </c>
      <c r="B389" s="664"/>
      <c r="C389" s="655" t="s">
        <v>4597</v>
      </c>
      <c r="D389" s="656" t="s">
        <v>639</v>
      </c>
      <c r="E389" s="646"/>
      <c r="H389" s="646">
        <v>269010</v>
      </c>
      <c r="I389" s="589">
        <f t="shared" si="5"/>
        <v>1</v>
      </c>
      <c r="K389" s="589"/>
      <c r="L389" s="589"/>
      <c r="M389" s="589"/>
      <c r="N389" s="589"/>
      <c r="O389" s="589"/>
      <c r="P389" s="589"/>
      <c r="Q389" s="589"/>
      <c r="R389" s="589"/>
      <c r="S389" s="589"/>
      <c r="T389" s="589"/>
      <c r="U389" s="589"/>
      <c r="V389" s="589"/>
      <c r="W389" s="589"/>
      <c r="X389" s="589"/>
      <c r="Y389" s="589"/>
      <c r="Z389" s="589"/>
      <c r="AA389" s="589"/>
      <c r="AB389" s="589"/>
      <c r="AC389" s="589"/>
      <c r="AD389" s="589"/>
      <c r="AE389" s="329"/>
      <c r="AF389" s="329"/>
      <c r="AG389" s="329"/>
      <c r="AH389" s="329"/>
      <c r="AI389" s="329"/>
      <c r="AJ389" s="329"/>
      <c r="AK389" s="329"/>
      <c r="AL389" s="329"/>
    </row>
    <row r="390" spans="1:38" s="30" customFormat="1" ht="17.100000000000001" customHeight="1">
      <c r="A390" s="665"/>
      <c r="B390" s="664"/>
      <c r="C390" s="655"/>
      <c r="D390" s="656"/>
      <c r="E390" s="646"/>
      <c r="H390" s="646"/>
      <c r="I390" s="589">
        <f t="shared" si="5"/>
        <v>0</v>
      </c>
      <c r="K390" s="589"/>
      <c r="L390" s="589"/>
      <c r="M390" s="589"/>
      <c r="N390" s="589"/>
      <c r="O390" s="589"/>
      <c r="P390" s="589"/>
      <c r="Q390" s="589"/>
      <c r="R390" s="589"/>
      <c r="S390" s="589"/>
      <c r="T390" s="589"/>
      <c r="U390" s="589"/>
      <c r="V390" s="589"/>
      <c r="W390" s="589"/>
      <c r="X390" s="589"/>
      <c r="Y390" s="589"/>
      <c r="Z390" s="589"/>
      <c r="AA390" s="589"/>
      <c r="AB390" s="589"/>
      <c r="AC390" s="589"/>
      <c r="AD390" s="589"/>
      <c r="AE390" s="329"/>
      <c r="AF390" s="329"/>
      <c r="AG390" s="329"/>
      <c r="AH390" s="329"/>
      <c r="AI390" s="329"/>
      <c r="AJ390" s="329"/>
      <c r="AK390" s="329"/>
      <c r="AL390" s="329"/>
    </row>
    <row r="391" spans="1:38" s="30" customFormat="1" ht="17.100000000000001" customHeight="1">
      <c r="A391" s="329" t="s">
        <v>4598</v>
      </c>
      <c r="B391" s="664"/>
      <c r="C391" s="655" t="s">
        <v>2054</v>
      </c>
      <c r="D391" s="656"/>
      <c r="E391" s="646"/>
      <c r="H391" s="646"/>
      <c r="I391" s="589">
        <f t="shared" si="5"/>
        <v>0</v>
      </c>
      <c r="K391" s="589"/>
      <c r="L391" s="589"/>
      <c r="M391" s="589"/>
      <c r="N391" s="589"/>
      <c r="O391" s="589"/>
      <c r="P391" s="589"/>
      <c r="Q391" s="589"/>
      <c r="R391" s="589"/>
      <c r="S391" s="589"/>
      <c r="T391" s="589"/>
      <c r="U391" s="589"/>
      <c r="V391" s="589"/>
      <c r="W391" s="589"/>
      <c r="X391" s="589"/>
      <c r="Y391" s="589"/>
      <c r="Z391" s="589"/>
      <c r="AA391" s="589"/>
      <c r="AB391" s="589"/>
      <c r="AC391" s="589"/>
      <c r="AD391" s="589"/>
      <c r="AE391" s="329"/>
      <c r="AF391" s="329"/>
      <c r="AG391" s="329"/>
      <c r="AH391" s="329"/>
      <c r="AI391" s="329"/>
      <c r="AJ391" s="329"/>
      <c r="AK391" s="329"/>
      <c r="AL391" s="329"/>
    </row>
    <row r="392" spans="1:38" s="30" customFormat="1" ht="17.100000000000001" customHeight="1">
      <c r="A392" s="329" t="s">
        <v>2055</v>
      </c>
      <c r="B392" s="664"/>
      <c r="C392" s="655" t="s">
        <v>5153</v>
      </c>
      <c r="D392" s="656"/>
      <c r="E392" s="646"/>
      <c r="H392" s="646"/>
      <c r="I392" s="589">
        <f t="shared" si="5"/>
        <v>0</v>
      </c>
      <c r="K392" s="589"/>
      <c r="L392" s="589"/>
      <c r="M392" s="589"/>
      <c r="N392" s="589"/>
      <c r="O392" s="589"/>
      <c r="P392" s="589"/>
      <c r="Q392" s="589"/>
      <c r="R392" s="589"/>
      <c r="S392" s="589"/>
      <c r="T392" s="589"/>
      <c r="U392" s="589"/>
      <c r="V392" s="589"/>
      <c r="W392" s="589"/>
      <c r="X392" s="589"/>
      <c r="Y392" s="589"/>
      <c r="Z392" s="589"/>
      <c r="AA392" s="589"/>
      <c r="AB392" s="589"/>
      <c r="AC392" s="589"/>
      <c r="AD392" s="589"/>
      <c r="AE392" s="329"/>
      <c r="AF392" s="329"/>
      <c r="AG392" s="329"/>
      <c r="AH392" s="329"/>
      <c r="AI392" s="329"/>
      <c r="AJ392" s="329"/>
      <c r="AK392" s="329"/>
      <c r="AL392" s="329"/>
    </row>
    <row r="393" spans="1:38" s="30" customFormat="1" ht="17.100000000000001" customHeight="1">
      <c r="A393" s="329" t="s">
        <v>5154</v>
      </c>
      <c r="B393" s="664"/>
      <c r="C393" s="655" t="s">
        <v>5155</v>
      </c>
      <c r="D393" s="656"/>
      <c r="E393" s="646"/>
      <c r="H393" s="646"/>
      <c r="I393" s="589">
        <f t="shared" si="5"/>
        <v>0</v>
      </c>
      <c r="K393" s="589"/>
      <c r="L393" s="589"/>
      <c r="M393" s="589"/>
      <c r="N393" s="589"/>
      <c r="O393" s="589"/>
      <c r="P393" s="589"/>
      <c r="Q393" s="589"/>
      <c r="R393" s="589"/>
      <c r="S393" s="589"/>
      <c r="T393" s="589"/>
      <c r="U393" s="589"/>
      <c r="V393" s="589"/>
      <c r="W393" s="589"/>
      <c r="X393" s="589"/>
      <c r="Y393" s="589"/>
      <c r="Z393" s="589"/>
      <c r="AA393" s="589"/>
      <c r="AB393" s="589"/>
      <c r="AC393" s="589"/>
      <c r="AD393" s="589"/>
      <c r="AE393" s="329"/>
      <c r="AF393" s="329"/>
      <c r="AG393" s="329"/>
      <c r="AH393" s="329"/>
      <c r="AI393" s="329"/>
      <c r="AJ393" s="329"/>
      <c r="AK393" s="329"/>
      <c r="AL393" s="329"/>
    </row>
    <row r="394" spans="1:38" s="30" customFormat="1" ht="17.100000000000001" customHeight="1">
      <c r="A394" s="329" t="s">
        <v>5156</v>
      </c>
      <c r="B394" s="664"/>
      <c r="C394" s="655" t="s">
        <v>5157</v>
      </c>
      <c r="D394" s="656"/>
      <c r="E394" s="646"/>
      <c r="H394" s="646"/>
      <c r="I394" s="589">
        <f t="shared" si="5"/>
        <v>0</v>
      </c>
      <c r="K394" s="589"/>
      <c r="L394" s="589"/>
      <c r="M394" s="589"/>
      <c r="N394" s="589"/>
      <c r="O394" s="589"/>
      <c r="P394" s="589"/>
      <c r="Q394" s="589"/>
      <c r="R394" s="589"/>
      <c r="S394" s="589"/>
      <c r="T394" s="589"/>
      <c r="U394" s="589"/>
      <c r="V394" s="589"/>
      <c r="W394" s="589"/>
      <c r="X394" s="589"/>
      <c r="Y394" s="589"/>
      <c r="Z394" s="589"/>
      <c r="AA394" s="589"/>
      <c r="AB394" s="589"/>
      <c r="AC394" s="589"/>
      <c r="AD394" s="589"/>
      <c r="AE394" s="329"/>
      <c r="AF394" s="329"/>
      <c r="AG394" s="329"/>
      <c r="AH394" s="329"/>
      <c r="AI394" s="329"/>
      <c r="AJ394" s="329"/>
      <c r="AK394" s="329"/>
      <c r="AL394" s="329"/>
    </row>
    <row r="395" spans="1:38" s="30" customFormat="1" ht="17.100000000000001" customHeight="1">
      <c r="A395" s="329" t="s">
        <v>5158</v>
      </c>
      <c r="B395" s="664"/>
      <c r="C395" s="655" t="s">
        <v>706</v>
      </c>
      <c r="D395" s="656"/>
      <c r="E395" s="646"/>
      <c r="H395" s="646"/>
      <c r="I395" s="589">
        <f t="shared" si="5"/>
        <v>0</v>
      </c>
      <c r="K395" s="589"/>
      <c r="L395" s="589"/>
      <c r="M395" s="589"/>
      <c r="N395" s="589"/>
      <c r="O395" s="589"/>
      <c r="P395" s="589"/>
      <c r="Q395" s="589"/>
      <c r="R395" s="589"/>
      <c r="S395" s="589"/>
      <c r="T395" s="589"/>
      <c r="U395" s="589"/>
      <c r="V395" s="589"/>
      <c r="W395" s="589"/>
      <c r="X395" s="589"/>
      <c r="Y395" s="589"/>
      <c r="Z395" s="589"/>
      <c r="AA395" s="589"/>
      <c r="AB395" s="589"/>
      <c r="AC395" s="589"/>
      <c r="AD395" s="589"/>
      <c r="AE395" s="329"/>
      <c r="AF395" s="329"/>
      <c r="AG395" s="329"/>
      <c r="AH395" s="329"/>
      <c r="AI395" s="329"/>
      <c r="AJ395" s="329"/>
      <c r="AK395" s="329"/>
      <c r="AL395" s="329"/>
    </row>
    <row r="396" spans="1:38" s="30" customFormat="1" ht="17.100000000000001" customHeight="1">
      <c r="A396" s="329" t="s">
        <v>707</v>
      </c>
      <c r="B396" s="664"/>
      <c r="C396" s="655" t="s">
        <v>749</v>
      </c>
      <c r="D396" s="656"/>
      <c r="E396" s="646"/>
      <c r="H396" s="646"/>
      <c r="I396" s="589">
        <f t="shared" si="5"/>
        <v>0</v>
      </c>
      <c r="K396" s="589"/>
      <c r="L396" s="589"/>
      <c r="M396" s="589"/>
      <c r="N396" s="589"/>
      <c r="O396" s="589"/>
      <c r="P396" s="589"/>
      <c r="Q396" s="589"/>
      <c r="R396" s="589"/>
      <c r="S396" s="589"/>
      <c r="T396" s="589"/>
      <c r="U396" s="589"/>
      <c r="V396" s="589"/>
      <c r="W396" s="589"/>
      <c r="X396" s="589"/>
      <c r="Y396" s="589"/>
      <c r="Z396" s="589"/>
      <c r="AA396" s="589"/>
      <c r="AB396" s="589"/>
      <c r="AC396" s="589"/>
      <c r="AD396" s="589"/>
      <c r="AE396" s="329"/>
      <c r="AF396" s="329"/>
      <c r="AG396" s="329"/>
      <c r="AH396" s="329"/>
      <c r="AI396" s="329"/>
      <c r="AJ396" s="329"/>
      <c r="AK396" s="329"/>
      <c r="AL396" s="329"/>
    </row>
    <row r="397" spans="1:38" s="30" customFormat="1" ht="17.100000000000001" customHeight="1">
      <c r="A397" s="329" t="s">
        <v>750</v>
      </c>
      <c r="B397" s="664"/>
      <c r="C397" s="655" t="s">
        <v>751</v>
      </c>
      <c r="D397" s="656"/>
      <c r="E397" s="646"/>
      <c r="H397" s="646"/>
      <c r="I397" s="589">
        <f t="shared" si="5"/>
        <v>0</v>
      </c>
      <c r="K397" s="589"/>
      <c r="L397" s="589"/>
      <c r="M397" s="589"/>
      <c r="N397" s="589"/>
      <c r="O397" s="589"/>
      <c r="P397" s="589"/>
      <c r="Q397" s="589"/>
      <c r="R397" s="589"/>
      <c r="S397" s="589"/>
      <c r="T397" s="589"/>
      <c r="U397" s="589"/>
      <c r="V397" s="589"/>
      <c r="W397" s="589"/>
      <c r="X397" s="589"/>
      <c r="Y397" s="589"/>
      <c r="Z397" s="589"/>
      <c r="AA397" s="589"/>
      <c r="AB397" s="589"/>
      <c r="AC397" s="589"/>
      <c r="AD397" s="589"/>
      <c r="AE397" s="329"/>
      <c r="AF397" s="329"/>
      <c r="AG397" s="329"/>
      <c r="AH397" s="329"/>
      <c r="AI397" s="329"/>
      <c r="AJ397" s="329"/>
      <c r="AK397" s="329"/>
      <c r="AL397" s="329"/>
    </row>
    <row r="398" spans="1:38" s="30" customFormat="1" ht="17.100000000000001" customHeight="1">
      <c r="A398" s="329" t="s">
        <v>752</v>
      </c>
      <c r="B398" s="664"/>
      <c r="C398" s="655" t="s">
        <v>753</v>
      </c>
      <c r="D398" s="656"/>
      <c r="E398" s="646"/>
      <c r="H398" s="646"/>
      <c r="I398" s="589">
        <f t="shared" si="5"/>
        <v>0</v>
      </c>
      <c r="K398" s="589"/>
      <c r="L398" s="589"/>
      <c r="M398" s="589"/>
      <c r="N398" s="589"/>
      <c r="O398" s="589"/>
      <c r="P398" s="589"/>
      <c r="Q398" s="589"/>
      <c r="R398" s="589"/>
      <c r="S398" s="589"/>
      <c r="T398" s="589"/>
      <c r="U398" s="589"/>
      <c r="V398" s="589"/>
      <c r="W398" s="589"/>
      <c r="X398" s="589"/>
      <c r="Y398" s="589"/>
      <c r="Z398" s="589"/>
      <c r="AA398" s="589"/>
      <c r="AB398" s="589"/>
      <c r="AC398" s="589"/>
      <c r="AD398" s="589"/>
      <c r="AE398" s="329"/>
      <c r="AF398" s="329"/>
      <c r="AG398" s="329"/>
      <c r="AH398" s="329"/>
      <c r="AI398" s="329"/>
      <c r="AJ398" s="329"/>
      <c r="AK398" s="329"/>
      <c r="AL398" s="329"/>
    </row>
    <row r="399" spans="1:38" s="30" customFormat="1" ht="17.100000000000001" customHeight="1">
      <c r="A399" s="665"/>
      <c r="B399" s="664"/>
      <c r="C399" s="643"/>
      <c r="D399" s="656"/>
      <c r="E399" s="646"/>
      <c r="H399" s="646"/>
      <c r="I399" s="589">
        <f t="shared" si="5"/>
        <v>0</v>
      </c>
      <c r="K399" s="589"/>
      <c r="L399" s="589"/>
      <c r="M399" s="589"/>
      <c r="N399" s="589"/>
      <c r="O399" s="589"/>
      <c r="P399" s="589"/>
      <c r="Q399" s="589"/>
      <c r="R399" s="589"/>
      <c r="S399" s="589"/>
      <c r="T399" s="589"/>
      <c r="U399" s="589"/>
      <c r="V399" s="589"/>
      <c r="W399" s="589"/>
      <c r="X399" s="589"/>
      <c r="Y399" s="589"/>
      <c r="Z399" s="589"/>
      <c r="AA399" s="589"/>
      <c r="AB399" s="589"/>
      <c r="AC399" s="589"/>
      <c r="AD399" s="589"/>
      <c r="AE399" s="329"/>
      <c r="AF399" s="329"/>
      <c r="AG399" s="329"/>
      <c r="AH399" s="329"/>
      <c r="AI399" s="329"/>
      <c r="AJ399" s="329"/>
      <c r="AK399" s="329"/>
      <c r="AL399" s="329"/>
    </row>
    <row r="400" spans="1:38" s="30" customFormat="1" ht="17.100000000000001" customHeight="1">
      <c r="A400" s="329" t="s">
        <v>754</v>
      </c>
      <c r="B400" s="659">
        <v>31511803</v>
      </c>
      <c r="C400" s="575" t="s">
        <v>3641</v>
      </c>
      <c r="D400" s="571" t="s">
        <v>3642</v>
      </c>
      <c r="E400" s="645">
        <v>40500</v>
      </c>
      <c r="H400" s="646">
        <v>33918</v>
      </c>
      <c r="I400" s="589">
        <f t="shared" si="5"/>
        <v>1</v>
      </c>
      <c r="J400" s="30" t="s">
        <v>4072</v>
      </c>
      <c r="K400" s="589"/>
      <c r="L400" s="589"/>
      <c r="M400" s="589"/>
      <c r="N400" s="589"/>
      <c r="O400" s="589"/>
      <c r="P400" s="589"/>
      <c r="Q400" s="589"/>
      <c r="R400" s="589"/>
      <c r="S400" s="589"/>
      <c r="T400" s="589"/>
      <c r="U400" s="589"/>
      <c r="V400" s="589"/>
      <c r="W400" s="589"/>
      <c r="X400" s="589"/>
      <c r="Y400" s="589"/>
      <c r="Z400" s="589"/>
      <c r="AA400" s="589"/>
      <c r="AB400" s="589"/>
      <c r="AC400" s="589"/>
      <c r="AD400" s="589"/>
      <c r="AE400" s="329"/>
      <c r="AF400" s="329"/>
      <c r="AG400" s="329"/>
      <c r="AH400" s="329"/>
      <c r="AI400" s="329"/>
      <c r="AJ400" s="329"/>
      <c r="AK400" s="329"/>
      <c r="AL400" s="329"/>
    </row>
    <row r="401" spans="1:38" s="30" customFormat="1" ht="17.100000000000001" customHeight="1">
      <c r="A401" s="329" t="s">
        <v>3643</v>
      </c>
      <c r="B401" s="659">
        <v>31511804</v>
      </c>
      <c r="C401" s="575" t="s">
        <v>3644</v>
      </c>
      <c r="D401" s="571" t="s">
        <v>3642</v>
      </c>
      <c r="E401" s="645">
        <v>40500</v>
      </c>
      <c r="H401" s="646">
        <v>33918</v>
      </c>
      <c r="I401" s="589">
        <f t="shared" si="5"/>
        <v>1</v>
      </c>
      <c r="J401" s="30" t="s">
        <v>4072</v>
      </c>
      <c r="K401" s="589"/>
      <c r="L401" s="589"/>
      <c r="M401" s="589"/>
      <c r="N401" s="589"/>
      <c r="O401" s="589"/>
      <c r="P401" s="589"/>
      <c r="Q401" s="589"/>
      <c r="R401" s="589"/>
      <c r="S401" s="589"/>
      <c r="T401" s="589"/>
      <c r="U401" s="589"/>
      <c r="V401" s="589"/>
      <c r="W401" s="589"/>
      <c r="X401" s="589"/>
      <c r="Y401" s="589"/>
      <c r="Z401" s="589"/>
      <c r="AA401" s="589"/>
      <c r="AB401" s="589"/>
      <c r="AC401" s="589"/>
      <c r="AD401" s="589"/>
      <c r="AE401" s="329"/>
      <c r="AF401" s="329"/>
      <c r="AG401" s="329"/>
      <c r="AH401" s="329"/>
      <c r="AI401" s="329"/>
      <c r="AJ401" s="329"/>
      <c r="AK401" s="329"/>
      <c r="AL401" s="329"/>
    </row>
    <row r="402" spans="1:38" s="30" customFormat="1" ht="17.100000000000001" customHeight="1">
      <c r="A402" s="329" t="s">
        <v>3645</v>
      </c>
      <c r="B402" s="659">
        <v>31511805</v>
      </c>
      <c r="C402" s="575" t="s">
        <v>507</v>
      </c>
      <c r="D402" s="571" t="s">
        <v>3642</v>
      </c>
      <c r="E402" s="645">
        <v>40500</v>
      </c>
      <c r="H402" s="646">
        <v>33918</v>
      </c>
      <c r="I402" s="589">
        <f t="shared" si="5"/>
        <v>1</v>
      </c>
      <c r="J402" s="30" t="s">
        <v>4072</v>
      </c>
      <c r="K402" s="589"/>
      <c r="L402" s="589"/>
      <c r="M402" s="589"/>
      <c r="N402" s="589"/>
      <c r="O402" s="589"/>
      <c r="P402" s="589"/>
      <c r="Q402" s="589"/>
      <c r="R402" s="589"/>
      <c r="S402" s="589"/>
      <c r="T402" s="589"/>
      <c r="U402" s="589"/>
      <c r="V402" s="589"/>
      <c r="W402" s="589"/>
      <c r="X402" s="589"/>
      <c r="Y402" s="589"/>
      <c r="Z402" s="589"/>
      <c r="AA402" s="589"/>
      <c r="AB402" s="589"/>
      <c r="AC402" s="589"/>
      <c r="AD402" s="589"/>
      <c r="AE402" s="329"/>
      <c r="AF402" s="329"/>
      <c r="AG402" s="329"/>
      <c r="AH402" s="329"/>
      <c r="AI402" s="329"/>
      <c r="AJ402" s="329"/>
      <c r="AK402" s="329"/>
      <c r="AL402" s="329"/>
    </row>
    <row r="403" spans="1:38" s="30" customFormat="1" ht="17.100000000000001" customHeight="1">
      <c r="A403" s="665"/>
      <c r="B403" s="664"/>
      <c r="C403" s="643"/>
      <c r="D403" s="656"/>
      <c r="E403" s="646"/>
      <c r="H403" s="646"/>
      <c r="I403" s="589">
        <f t="shared" si="5"/>
        <v>0</v>
      </c>
      <c r="K403" s="589"/>
      <c r="L403" s="589"/>
      <c r="M403" s="589"/>
      <c r="N403" s="589"/>
      <c r="O403" s="589"/>
      <c r="P403" s="589"/>
      <c r="Q403" s="589"/>
      <c r="R403" s="589"/>
      <c r="S403" s="589"/>
      <c r="T403" s="589"/>
      <c r="U403" s="589"/>
      <c r="V403" s="589"/>
      <c r="W403" s="589"/>
      <c r="X403" s="589"/>
      <c r="Y403" s="589"/>
      <c r="Z403" s="589"/>
      <c r="AA403" s="589"/>
      <c r="AB403" s="589"/>
      <c r="AC403" s="589"/>
      <c r="AD403" s="589"/>
      <c r="AE403" s="329"/>
      <c r="AF403" s="329"/>
      <c r="AG403" s="329"/>
      <c r="AH403" s="329"/>
      <c r="AI403" s="329"/>
      <c r="AJ403" s="329"/>
      <c r="AK403" s="329"/>
      <c r="AL403" s="329"/>
    </row>
    <row r="404" spans="1:38" s="30" customFormat="1" ht="17.100000000000001" customHeight="1">
      <c r="A404" s="329" t="s">
        <v>508</v>
      </c>
      <c r="B404" s="659"/>
      <c r="C404" s="668" t="s">
        <v>509</v>
      </c>
      <c r="D404" s="571" t="s">
        <v>3642</v>
      </c>
      <c r="E404" s="646">
        <v>65508</v>
      </c>
      <c r="H404" s="646">
        <v>65508</v>
      </c>
      <c r="I404" s="589">
        <f t="shared" si="5"/>
        <v>0</v>
      </c>
      <c r="K404" s="589"/>
      <c r="L404" s="589"/>
      <c r="M404" s="589"/>
      <c r="N404" s="589"/>
      <c r="O404" s="589"/>
      <c r="P404" s="589"/>
      <c r="Q404" s="589"/>
      <c r="R404" s="589"/>
      <c r="S404" s="589"/>
      <c r="T404" s="589"/>
      <c r="U404" s="589"/>
      <c r="V404" s="589"/>
      <c r="W404" s="589"/>
      <c r="X404" s="589"/>
      <c r="Y404" s="589"/>
      <c r="Z404" s="589"/>
      <c r="AA404" s="589"/>
      <c r="AB404" s="589"/>
      <c r="AC404" s="589"/>
      <c r="AD404" s="589"/>
      <c r="AE404" s="329"/>
      <c r="AF404" s="329"/>
      <c r="AG404" s="329"/>
      <c r="AH404" s="329"/>
      <c r="AI404" s="329"/>
      <c r="AJ404" s="329"/>
      <c r="AK404" s="329"/>
      <c r="AL404" s="329"/>
    </row>
    <row r="405" spans="1:38" s="30" customFormat="1" ht="17.100000000000001" customHeight="1">
      <c r="A405" s="329" t="s">
        <v>510</v>
      </c>
      <c r="B405" s="659"/>
      <c r="C405" s="668" t="s">
        <v>6223</v>
      </c>
      <c r="D405" s="571" t="s">
        <v>3642</v>
      </c>
      <c r="E405" s="646">
        <v>65508</v>
      </c>
      <c r="H405" s="646">
        <v>65508</v>
      </c>
      <c r="I405" s="589">
        <f t="shared" si="5"/>
        <v>0</v>
      </c>
      <c r="K405" s="589"/>
      <c r="L405" s="589"/>
      <c r="M405" s="589"/>
      <c r="N405" s="589"/>
      <c r="O405" s="589"/>
      <c r="P405" s="589"/>
      <c r="Q405" s="589"/>
      <c r="R405" s="589"/>
      <c r="S405" s="589"/>
      <c r="T405" s="589"/>
      <c r="U405" s="589"/>
      <c r="V405" s="589"/>
      <c r="W405" s="589"/>
      <c r="X405" s="589"/>
      <c r="Y405" s="589"/>
      <c r="Z405" s="589"/>
      <c r="AA405" s="589"/>
      <c r="AB405" s="589"/>
      <c r="AC405" s="589"/>
      <c r="AD405" s="589"/>
      <c r="AE405" s="329"/>
      <c r="AF405" s="329"/>
      <c r="AG405" s="329"/>
      <c r="AH405" s="329"/>
      <c r="AI405" s="329"/>
      <c r="AJ405" s="329"/>
      <c r="AK405" s="329"/>
      <c r="AL405" s="329"/>
    </row>
    <row r="406" spans="1:38" s="30" customFormat="1" ht="17.100000000000001" customHeight="1">
      <c r="A406" s="329" t="s">
        <v>6224</v>
      </c>
      <c r="B406" s="659"/>
      <c r="C406" s="668" t="s">
        <v>6225</v>
      </c>
      <c r="D406" s="571" t="s">
        <v>3642</v>
      </c>
      <c r="E406" s="646">
        <v>65508</v>
      </c>
      <c r="H406" s="646">
        <v>65508</v>
      </c>
      <c r="I406" s="589">
        <f t="shared" si="5"/>
        <v>0</v>
      </c>
      <c r="K406" s="589"/>
      <c r="L406" s="589"/>
      <c r="M406" s="589"/>
      <c r="N406" s="589"/>
      <c r="O406" s="589"/>
      <c r="P406" s="589"/>
      <c r="Q406" s="589"/>
      <c r="R406" s="589"/>
      <c r="S406" s="589"/>
      <c r="T406" s="589"/>
      <c r="U406" s="589"/>
      <c r="V406" s="589"/>
      <c r="W406" s="589"/>
      <c r="X406" s="589"/>
      <c r="Y406" s="589"/>
      <c r="Z406" s="589"/>
      <c r="AA406" s="589"/>
      <c r="AB406" s="589"/>
      <c r="AC406" s="589"/>
      <c r="AD406" s="589"/>
      <c r="AE406" s="329"/>
      <c r="AF406" s="329"/>
      <c r="AG406" s="329"/>
      <c r="AH406" s="329"/>
      <c r="AI406" s="329"/>
      <c r="AJ406" s="329"/>
      <c r="AK406" s="329"/>
      <c r="AL406" s="329"/>
    </row>
    <row r="407" spans="1:38" s="30" customFormat="1" ht="17.100000000000001" customHeight="1">
      <c r="A407" s="665"/>
      <c r="B407" s="664"/>
      <c r="C407" s="643"/>
      <c r="D407" s="656"/>
      <c r="E407" s="646"/>
      <c r="H407" s="646"/>
      <c r="I407" s="589">
        <f t="shared" ref="I407:I470" si="6">IF(E407=H407,0,1)</f>
        <v>0</v>
      </c>
      <c r="K407" s="589"/>
      <c r="L407" s="589"/>
      <c r="M407" s="589"/>
      <c r="N407" s="589"/>
      <c r="O407" s="589"/>
      <c r="P407" s="589"/>
      <c r="Q407" s="589"/>
      <c r="R407" s="589"/>
      <c r="S407" s="589"/>
      <c r="T407" s="589"/>
      <c r="U407" s="589"/>
      <c r="V407" s="589"/>
      <c r="W407" s="589"/>
      <c r="X407" s="589"/>
      <c r="Y407" s="589"/>
      <c r="Z407" s="589"/>
      <c r="AA407" s="589"/>
      <c r="AB407" s="589"/>
      <c r="AC407" s="589"/>
      <c r="AD407" s="589"/>
      <c r="AE407" s="329"/>
      <c r="AF407" s="329"/>
      <c r="AG407" s="329"/>
      <c r="AH407" s="329"/>
      <c r="AI407" s="329"/>
      <c r="AJ407" s="329"/>
      <c r="AK407" s="329"/>
      <c r="AL407" s="329"/>
    </row>
    <row r="408" spans="1:38" s="30" customFormat="1" ht="17.100000000000001" customHeight="1">
      <c r="A408" s="329" t="s">
        <v>6226</v>
      </c>
      <c r="B408" s="664"/>
      <c r="C408" s="643" t="s">
        <v>6227</v>
      </c>
      <c r="D408" s="656" t="s">
        <v>639</v>
      </c>
      <c r="E408" s="645">
        <v>27390</v>
      </c>
      <c r="H408" s="646">
        <v>14400</v>
      </c>
      <c r="I408" s="589">
        <f t="shared" si="6"/>
        <v>1</v>
      </c>
      <c r="J408" s="30" t="s">
        <v>2661</v>
      </c>
      <c r="K408" s="589"/>
      <c r="L408" s="589"/>
      <c r="M408" s="589"/>
      <c r="N408" s="589"/>
      <c r="O408" s="589"/>
      <c r="P408" s="589"/>
      <c r="Q408" s="589"/>
      <c r="R408" s="589"/>
      <c r="S408" s="589"/>
      <c r="T408" s="589"/>
      <c r="U408" s="589"/>
      <c r="V408" s="589"/>
      <c r="W408" s="589"/>
      <c r="X408" s="589"/>
      <c r="Y408" s="589"/>
      <c r="Z408" s="589"/>
      <c r="AA408" s="589"/>
      <c r="AB408" s="589"/>
      <c r="AC408" s="589"/>
      <c r="AD408" s="589"/>
      <c r="AE408" s="329"/>
      <c r="AF408" s="329"/>
      <c r="AG408" s="329"/>
      <c r="AH408" s="329"/>
      <c r="AI408" s="329"/>
      <c r="AJ408" s="329"/>
      <c r="AK408" s="329"/>
      <c r="AL408" s="329"/>
    </row>
    <row r="409" spans="1:38" s="30" customFormat="1" ht="17.100000000000001" customHeight="1">
      <c r="A409" s="329" t="s">
        <v>6228</v>
      </c>
      <c r="B409" s="664"/>
      <c r="C409" s="643" t="s">
        <v>6229</v>
      </c>
      <c r="D409" s="656" t="s">
        <v>639</v>
      </c>
      <c r="E409" s="645">
        <v>37400</v>
      </c>
      <c r="H409" s="646">
        <v>22500</v>
      </c>
      <c r="I409" s="589">
        <f t="shared" si="6"/>
        <v>1</v>
      </c>
      <c r="J409" s="30" t="s">
        <v>2661</v>
      </c>
      <c r="K409" s="589"/>
      <c r="L409" s="589"/>
      <c r="M409" s="589"/>
      <c r="N409" s="589"/>
      <c r="O409" s="589"/>
      <c r="P409" s="589"/>
      <c r="Q409" s="589"/>
      <c r="R409" s="589"/>
      <c r="S409" s="589"/>
      <c r="T409" s="589"/>
      <c r="U409" s="589"/>
      <c r="V409" s="589"/>
      <c r="W409" s="589"/>
      <c r="X409" s="589"/>
      <c r="Y409" s="589"/>
      <c r="Z409" s="589"/>
      <c r="AA409" s="589"/>
      <c r="AB409" s="589"/>
      <c r="AC409" s="589"/>
      <c r="AD409" s="589"/>
      <c r="AE409" s="329"/>
      <c r="AF409" s="329"/>
      <c r="AG409" s="329"/>
      <c r="AH409" s="329"/>
      <c r="AI409" s="329"/>
      <c r="AJ409" s="329"/>
      <c r="AK409" s="329"/>
      <c r="AL409" s="329"/>
    </row>
    <row r="410" spans="1:38" s="30" customFormat="1" ht="17.100000000000001" customHeight="1">
      <c r="A410" s="329" t="s">
        <v>6230</v>
      </c>
      <c r="B410" s="664"/>
      <c r="C410" s="643" t="s">
        <v>4452</v>
      </c>
      <c r="D410" s="656" t="s">
        <v>639</v>
      </c>
      <c r="E410" s="645">
        <v>48070</v>
      </c>
      <c r="H410" s="646">
        <v>31500</v>
      </c>
      <c r="I410" s="589">
        <f t="shared" si="6"/>
        <v>1</v>
      </c>
      <c r="J410" s="30" t="s">
        <v>2661</v>
      </c>
      <c r="K410" s="589"/>
      <c r="L410" s="589"/>
      <c r="M410" s="589"/>
      <c r="N410" s="589"/>
      <c r="O410" s="589"/>
      <c r="P410" s="589"/>
      <c r="Q410" s="589"/>
      <c r="R410" s="589"/>
      <c r="S410" s="589"/>
      <c r="T410" s="589"/>
      <c r="U410" s="589"/>
      <c r="V410" s="589"/>
      <c r="W410" s="589"/>
      <c r="X410" s="589"/>
      <c r="Y410" s="589"/>
      <c r="Z410" s="589"/>
      <c r="AA410" s="589"/>
      <c r="AB410" s="589"/>
      <c r="AC410" s="589"/>
      <c r="AD410" s="589"/>
      <c r="AE410" s="329"/>
      <c r="AF410" s="329"/>
      <c r="AG410" s="329"/>
      <c r="AH410" s="329"/>
      <c r="AI410" s="329"/>
      <c r="AJ410" s="329"/>
      <c r="AK410" s="329"/>
      <c r="AL410" s="329"/>
    </row>
    <row r="411" spans="1:38" s="30" customFormat="1" ht="17.100000000000001" customHeight="1">
      <c r="A411" s="329" t="s">
        <v>4453</v>
      </c>
      <c r="B411" s="664"/>
      <c r="C411" s="643" t="s">
        <v>4454</v>
      </c>
      <c r="D411" s="656" t="s">
        <v>639</v>
      </c>
      <c r="E411" s="645">
        <v>68860</v>
      </c>
      <c r="H411" s="646">
        <v>45000</v>
      </c>
      <c r="I411" s="589">
        <f t="shared" si="6"/>
        <v>1</v>
      </c>
      <c r="J411" s="30" t="s">
        <v>2661</v>
      </c>
      <c r="K411" s="589"/>
      <c r="L411" s="589"/>
      <c r="M411" s="589"/>
      <c r="N411" s="589"/>
      <c r="O411" s="589"/>
      <c r="P411" s="589"/>
      <c r="Q411" s="589"/>
      <c r="R411" s="589"/>
      <c r="S411" s="589"/>
      <c r="T411" s="589"/>
      <c r="U411" s="589"/>
      <c r="V411" s="589"/>
      <c r="W411" s="589"/>
      <c r="X411" s="589"/>
      <c r="Y411" s="589"/>
      <c r="Z411" s="589"/>
      <c r="AA411" s="589"/>
      <c r="AB411" s="589"/>
      <c r="AC411" s="589"/>
      <c r="AD411" s="589"/>
      <c r="AE411" s="329"/>
      <c r="AF411" s="329"/>
      <c r="AG411" s="329"/>
      <c r="AH411" s="329"/>
      <c r="AI411" s="329"/>
      <c r="AJ411" s="329"/>
      <c r="AK411" s="329"/>
      <c r="AL411" s="329"/>
    </row>
    <row r="412" spans="1:38" s="30" customFormat="1" ht="17.100000000000001" customHeight="1">
      <c r="A412" s="329" t="s">
        <v>4455</v>
      </c>
      <c r="B412" s="664"/>
      <c r="C412" s="643" t="s">
        <v>5006</v>
      </c>
      <c r="D412" s="656" t="s">
        <v>639</v>
      </c>
      <c r="E412" s="645">
        <v>89430</v>
      </c>
      <c r="H412" s="646">
        <v>63000</v>
      </c>
      <c r="I412" s="589">
        <f t="shared" si="6"/>
        <v>1</v>
      </c>
      <c r="J412" s="30" t="s">
        <v>2661</v>
      </c>
      <c r="K412" s="589"/>
      <c r="L412" s="589"/>
      <c r="M412" s="589"/>
      <c r="N412" s="589"/>
      <c r="O412" s="589"/>
      <c r="P412" s="589"/>
      <c r="Q412" s="589"/>
      <c r="R412" s="589"/>
      <c r="S412" s="589"/>
      <c r="T412" s="589"/>
      <c r="U412" s="589"/>
      <c r="V412" s="589"/>
      <c r="W412" s="589"/>
      <c r="X412" s="589"/>
      <c r="Y412" s="589"/>
      <c r="Z412" s="589"/>
      <c r="AA412" s="589"/>
      <c r="AB412" s="589"/>
      <c r="AC412" s="589"/>
      <c r="AD412" s="589"/>
      <c r="AE412" s="329"/>
      <c r="AF412" s="329"/>
      <c r="AG412" s="329"/>
      <c r="AH412" s="329"/>
      <c r="AI412" s="329"/>
      <c r="AJ412" s="329"/>
      <c r="AK412" s="329"/>
      <c r="AL412" s="329"/>
    </row>
    <row r="413" spans="1:38" s="30" customFormat="1" ht="17.100000000000001" customHeight="1">
      <c r="A413" s="329" t="s">
        <v>3209</v>
      </c>
      <c r="B413" s="664"/>
      <c r="C413" s="643" t="s">
        <v>3210</v>
      </c>
      <c r="D413" s="656" t="s">
        <v>639</v>
      </c>
      <c r="E413" s="645">
        <v>121440</v>
      </c>
      <c r="H413" s="646">
        <v>85500</v>
      </c>
      <c r="I413" s="589">
        <f t="shared" si="6"/>
        <v>1</v>
      </c>
      <c r="J413" s="30" t="s">
        <v>2661</v>
      </c>
      <c r="K413" s="589"/>
      <c r="L413" s="589"/>
      <c r="M413" s="589"/>
      <c r="N413" s="589"/>
      <c r="O413" s="589"/>
      <c r="P413" s="589"/>
      <c r="Q413" s="589"/>
      <c r="R413" s="589"/>
      <c r="S413" s="589"/>
      <c r="T413" s="589"/>
      <c r="U413" s="589"/>
      <c r="V413" s="589"/>
      <c r="W413" s="589"/>
      <c r="X413" s="589"/>
      <c r="Y413" s="589"/>
      <c r="Z413" s="589"/>
      <c r="AA413" s="589"/>
      <c r="AB413" s="589"/>
      <c r="AC413" s="589"/>
      <c r="AD413" s="589"/>
      <c r="AE413" s="329"/>
      <c r="AF413" s="329"/>
      <c r="AG413" s="329"/>
      <c r="AH413" s="329"/>
      <c r="AI413" s="329"/>
      <c r="AJ413" s="329"/>
      <c r="AK413" s="329"/>
      <c r="AL413" s="329"/>
    </row>
    <row r="414" spans="1:38" s="30" customFormat="1" ht="17.100000000000001" customHeight="1">
      <c r="A414" s="329" t="s">
        <v>5726</v>
      </c>
      <c r="B414" s="664"/>
      <c r="C414" s="643" t="s">
        <v>5727</v>
      </c>
      <c r="D414" s="656" t="s">
        <v>639</v>
      </c>
      <c r="E414" s="645">
        <v>144870</v>
      </c>
      <c r="H414" s="646">
        <v>108000</v>
      </c>
      <c r="I414" s="589">
        <f t="shared" si="6"/>
        <v>1</v>
      </c>
      <c r="J414" s="30" t="s">
        <v>2661</v>
      </c>
      <c r="K414" s="589"/>
      <c r="L414" s="589"/>
      <c r="M414" s="589"/>
      <c r="N414" s="589"/>
      <c r="O414" s="589"/>
      <c r="P414" s="589"/>
      <c r="Q414" s="589"/>
      <c r="R414" s="589"/>
      <c r="S414" s="589"/>
      <c r="T414" s="589"/>
      <c r="U414" s="589"/>
      <c r="V414" s="589"/>
      <c r="W414" s="589"/>
      <c r="X414" s="589"/>
      <c r="Y414" s="589"/>
      <c r="Z414" s="589"/>
      <c r="AA414" s="589"/>
      <c r="AB414" s="589"/>
      <c r="AC414" s="589"/>
      <c r="AD414" s="589"/>
      <c r="AE414" s="329"/>
      <c r="AF414" s="329"/>
      <c r="AG414" s="329"/>
      <c r="AH414" s="329"/>
      <c r="AI414" s="329"/>
      <c r="AJ414" s="329"/>
      <c r="AK414" s="329"/>
      <c r="AL414" s="329"/>
    </row>
    <row r="415" spans="1:38" s="30" customFormat="1" ht="17.100000000000001" customHeight="1">
      <c r="A415" s="329" t="s">
        <v>5728</v>
      </c>
      <c r="B415" s="664"/>
      <c r="C415" s="643" t="s">
        <v>4387</v>
      </c>
      <c r="D415" s="656" t="s">
        <v>639</v>
      </c>
      <c r="E415" s="645">
        <v>186670</v>
      </c>
      <c r="H415" s="646">
        <v>135000</v>
      </c>
      <c r="I415" s="589">
        <f t="shared" si="6"/>
        <v>1</v>
      </c>
      <c r="J415" s="30" t="s">
        <v>2661</v>
      </c>
      <c r="K415" s="589"/>
      <c r="L415" s="589"/>
      <c r="M415" s="589"/>
      <c r="N415" s="589"/>
      <c r="O415" s="589"/>
      <c r="P415" s="589"/>
      <c r="Q415" s="589"/>
      <c r="R415" s="589"/>
      <c r="S415" s="589"/>
      <c r="T415" s="589"/>
      <c r="U415" s="589"/>
      <c r="V415" s="589"/>
      <c r="W415" s="589"/>
      <c r="X415" s="589"/>
      <c r="Y415" s="589"/>
      <c r="Z415" s="589"/>
      <c r="AA415" s="589"/>
      <c r="AB415" s="589"/>
      <c r="AC415" s="589"/>
      <c r="AD415" s="589"/>
      <c r="AE415" s="329"/>
      <c r="AF415" s="329"/>
      <c r="AG415" s="329"/>
      <c r="AH415" s="329"/>
      <c r="AI415" s="329"/>
      <c r="AJ415" s="329"/>
      <c r="AK415" s="329"/>
      <c r="AL415" s="329"/>
    </row>
    <row r="416" spans="1:38" s="30" customFormat="1" ht="17.100000000000001" customHeight="1">
      <c r="A416" s="665"/>
      <c r="B416" s="664"/>
      <c r="C416" s="643"/>
      <c r="D416" s="656"/>
      <c r="E416" s="646"/>
      <c r="H416" s="646"/>
      <c r="I416" s="589">
        <f t="shared" si="6"/>
        <v>0</v>
      </c>
      <c r="K416" s="589"/>
      <c r="L416" s="589"/>
      <c r="M416" s="589"/>
      <c r="N416" s="589"/>
      <c r="O416" s="589"/>
      <c r="P416" s="589"/>
      <c r="Q416" s="589"/>
      <c r="R416" s="589"/>
      <c r="S416" s="589"/>
      <c r="T416" s="589"/>
      <c r="U416" s="589"/>
      <c r="V416" s="589"/>
      <c r="W416" s="589"/>
      <c r="X416" s="589"/>
      <c r="Y416" s="589"/>
      <c r="Z416" s="589"/>
      <c r="AA416" s="589"/>
      <c r="AB416" s="589"/>
      <c r="AC416" s="589"/>
      <c r="AD416" s="589"/>
      <c r="AE416" s="329"/>
      <c r="AF416" s="329"/>
      <c r="AG416" s="329"/>
      <c r="AH416" s="329"/>
      <c r="AI416" s="329"/>
      <c r="AJ416" s="329"/>
      <c r="AK416" s="329"/>
      <c r="AL416" s="329"/>
    </row>
    <row r="417" spans="1:38" s="30" customFormat="1" ht="17.100000000000001" customHeight="1">
      <c r="A417" s="329" t="s">
        <v>3808</v>
      </c>
      <c r="B417" s="664"/>
      <c r="C417" s="643" t="s">
        <v>3809</v>
      </c>
      <c r="D417" s="656" t="s">
        <v>639</v>
      </c>
      <c r="E417" s="645">
        <v>21186</v>
      </c>
      <c r="H417" s="646">
        <v>14400</v>
      </c>
      <c r="I417" s="589">
        <f t="shared" si="6"/>
        <v>1</v>
      </c>
      <c r="J417" s="30" t="s">
        <v>2661</v>
      </c>
      <c r="K417" s="589"/>
      <c r="L417" s="589"/>
      <c r="M417" s="589"/>
      <c r="N417" s="589"/>
      <c r="O417" s="589"/>
      <c r="P417" s="589"/>
      <c r="Q417" s="589"/>
      <c r="R417" s="589"/>
      <c r="S417" s="589"/>
      <c r="T417" s="589"/>
      <c r="U417" s="589"/>
      <c r="V417" s="589"/>
      <c r="W417" s="589"/>
      <c r="X417" s="589"/>
      <c r="Y417" s="589"/>
      <c r="Z417" s="589"/>
      <c r="AA417" s="589"/>
      <c r="AB417" s="589"/>
      <c r="AC417" s="589"/>
      <c r="AD417" s="589"/>
      <c r="AE417" s="329"/>
      <c r="AF417" s="329"/>
      <c r="AG417" s="329"/>
      <c r="AH417" s="329"/>
      <c r="AI417" s="329"/>
      <c r="AJ417" s="329"/>
      <c r="AK417" s="329"/>
      <c r="AL417" s="329"/>
    </row>
    <row r="418" spans="1:38" s="30" customFormat="1" ht="17.100000000000001" customHeight="1">
      <c r="A418" s="329" t="s">
        <v>3810</v>
      </c>
      <c r="B418" s="664"/>
      <c r="C418" s="643" t="s">
        <v>3910</v>
      </c>
      <c r="D418" s="656" t="s">
        <v>639</v>
      </c>
      <c r="E418" s="645">
        <v>28600</v>
      </c>
      <c r="H418" s="646">
        <v>22500</v>
      </c>
      <c r="I418" s="589">
        <f t="shared" si="6"/>
        <v>1</v>
      </c>
      <c r="J418" s="30" t="s">
        <v>2661</v>
      </c>
      <c r="K418" s="589"/>
      <c r="L418" s="589"/>
      <c r="M418" s="589"/>
      <c r="N418" s="589"/>
      <c r="O418" s="589"/>
      <c r="P418" s="589"/>
      <c r="Q418" s="589"/>
      <c r="R418" s="589"/>
      <c r="S418" s="589"/>
      <c r="T418" s="589"/>
      <c r="U418" s="589"/>
      <c r="V418" s="589"/>
      <c r="W418" s="589"/>
      <c r="X418" s="589"/>
      <c r="Y418" s="589"/>
      <c r="Z418" s="589"/>
      <c r="AA418" s="589"/>
      <c r="AB418" s="589"/>
      <c r="AC418" s="589"/>
      <c r="AD418" s="589"/>
      <c r="AE418" s="329"/>
      <c r="AF418" s="329"/>
      <c r="AG418" s="329"/>
      <c r="AH418" s="329"/>
      <c r="AI418" s="329"/>
      <c r="AJ418" s="329"/>
      <c r="AK418" s="329"/>
      <c r="AL418" s="329"/>
    </row>
    <row r="419" spans="1:38" s="30" customFormat="1" ht="17.100000000000001" customHeight="1">
      <c r="A419" s="329" t="s">
        <v>3911</v>
      </c>
      <c r="B419" s="664"/>
      <c r="C419" s="643" t="s">
        <v>3912</v>
      </c>
      <c r="D419" s="656" t="s">
        <v>639</v>
      </c>
      <c r="E419" s="645">
        <v>36520</v>
      </c>
      <c r="H419" s="646">
        <v>31500</v>
      </c>
      <c r="I419" s="589">
        <f t="shared" si="6"/>
        <v>1</v>
      </c>
      <c r="J419" s="30" t="s">
        <v>2661</v>
      </c>
      <c r="K419" s="589"/>
      <c r="L419" s="589"/>
      <c r="M419" s="589"/>
      <c r="N419" s="589"/>
      <c r="O419" s="589"/>
      <c r="P419" s="589"/>
      <c r="Q419" s="589"/>
      <c r="R419" s="589"/>
      <c r="S419" s="589"/>
      <c r="T419" s="589"/>
      <c r="U419" s="589"/>
      <c r="V419" s="589"/>
      <c r="W419" s="589"/>
      <c r="X419" s="589"/>
      <c r="Y419" s="589"/>
      <c r="Z419" s="589"/>
      <c r="AA419" s="589"/>
      <c r="AB419" s="589"/>
      <c r="AC419" s="589"/>
      <c r="AD419" s="589"/>
      <c r="AE419" s="329"/>
      <c r="AF419" s="329"/>
      <c r="AG419" s="329"/>
      <c r="AH419" s="329"/>
      <c r="AI419" s="329"/>
      <c r="AJ419" s="329"/>
      <c r="AK419" s="329"/>
      <c r="AL419" s="329"/>
    </row>
    <row r="420" spans="1:38" s="30" customFormat="1" ht="17.100000000000001" customHeight="1">
      <c r="A420" s="329" t="s">
        <v>3913</v>
      </c>
      <c r="B420" s="664"/>
      <c r="C420" s="643" t="s">
        <v>3914</v>
      </c>
      <c r="D420" s="656" t="s">
        <v>639</v>
      </c>
      <c r="E420" s="645">
        <v>52520</v>
      </c>
      <c r="H420" s="646">
        <v>45000</v>
      </c>
      <c r="I420" s="589">
        <f t="shared" si="6"/>
        <v>1</v>
      </c>
      <c r="J420" s="30" t="s">
        <v>2661</v>
      </c>
      <c r="K420" s="589"/>
      <c r="L420" s="589"/>
      <c r="M420" s="589"/>
      <c r="N420" s="589"/>
      <c r="O420" s="589"/>
      <c r="P420" s="589"/>
      <c r="Q420" s="589"/>
      <c r="R420" s="589"/>
      <c r="S420" s="589"/>
      <c r="T420" s="589"/>
      <c r="U420" s="589"/>
      <c r="V420" s="589"/>
      <c r="W420" s="589"/>
      <c r="X420" s="589"/>
      <c r="Y420" s="589"/>
      <c r="Z420" s="589"/>
      <c r="AA420" s="589"/>
      <c r="AB420" s="589"/>
      <c r="AC420" s="589"/>
      <c r="AD420" s="589"/>
      <c r="AE420" s="329"/>
      <c r="AF420" s="329"/>
      <c r="AG420" s="329"/>
      <c r="AH420" s="329"/>
      <c r="AI420" s="329"/>
      <c r="AJ420" s="329"/>
      <c r="AK420" s="329"/>
      <c r="AL420" s="329"/>
    </row>
    <row r="421" spans="1:38" s="30" customFormat="1" ht="17.100000000000001" customHeight="1">
      <c r="A421" s="329" t="s">
        <v>3915</v>
      </c>
      <c r="B421" s="664"/>
      <c r="C421" s="643" t="s">
        <v>3916</v>
      </c>
      <c r="D421" s="656" t="s">
        <v>639</v>
      </c>
      <c r="E421" s="645">
        <v>67650</v>
      </c>
      <c r="H421" s="646">
        <v>63000</v>
      </c>
      <c r="I421" s="589">
        <f t="shared" si="6"/>
        <v>1</v>
      </c>
      <c r="J421" s="30" t="s">
        <v>2661</v>
      </c>
      <c r="K421" s="589"/>
      <c r="L421" s="589"/>
      <c r="M421" s="589"/>
      <c r="N421" s="589"/>
      <c r="O421" s="589"/>
      <c r="P421" s="589"/>
      <c r="Q421" s="589"/>
      <c r="R421" s="589"/>
      <c r="S421" s="589"/>
      <c r="T421" s="589"/>
      <c r="U421" s="589"/>
      <c r="V421" s="589"/>
      <c r="W421" s="589"/>
      <c r="X421" s="589"/>
      <c r="Y421" s="589"/>
      <c r="Z421" s="589"/>
      <c r="AA421" s="589"/>
      <c r="AB421" s="589"/>
      <c r="AC421" s="589"/>
      <c r="AD421" s="589"/>
      <c r="AE421" s="329"/>
      <c r="AF421" s="329"/>
      <c r="AG421" s="329"/>
      <c r="AH421" s="329"/>
      <c r="AI421" s="329"/>
      <c r="AJ421" s="329"/>
      <c r="AK421" s="329"/>
      <c r="AL421" s="329"/>
    </row>
    <row r="422" spans="1:38" s="30" customFormat="1" ht="17.100000000000001" customHeight="1">
      <c r="A422" s="329" t="s">
        <v>535</v>
      </c>
      <c r="B422" s="664"/>
      <c r="C422" s="643" t="s">
        <v>536</v>
      </c>
      <c r="D422" s="656" t="s">
        <v>639</v>
      </c>
      <c r="E422" s="645">
        <v>91850</v>
      </c>
      <c r="H422" s="646">
        <v>85500</v>
      </c>
      <c r="I422" s="589">
        <f t="shared" si="6"/>
        <v>1</v>
      </c>
      <c r="J422" s="30" t="s">
        <v>2661</v>
      </c>
      <c r="K422" s="589"/>
      <c r="L422" s="589"/>
      <c r="M422" s="589"/>
      <c r="N422" s="589"/>
      <c r="O422" s="589"/>
      <c r="P422" s="589"/>
      <c r="Q422" s="589"/>
      <c r="R422" s="589"/>
      <c r="S422" s="589"/>
      <c r="T422" s="589"/>
      <c r="U422" s="589"/>
      <c r="V422" s="589"/>
      <c r="W422" s="589"/>
      <c r="X422" s="589"/>
      <c r="Y422" s="589"/>
      <c r="Z422" s="589"/>
      <c r="AA422" s="589"/>
      <c r="AB422" s="589"/>
      <c r="AC422" s="589"/>
      <c r="AD422" s="589"/>
      <c r="AE422" s="329"/>
      <c r="AF422" s="329"/>
      <c r="AG422" s="329"/>
      <c r="AH422" s="329"/>
      <c r="AI422" s="329"/>
      <c r="AJ422" s="329"/>
      <c r="AK422" s="329"/>
      <c r="AL422" s="329"/>
    </row>
    <row r="423" spans="1:38" s="30" customFormat="1" ht="17.100000000000001" customHeight="1">
      <c r="A423" s="329" t="s">
        <v>537</v>
      </c>
      <c r="B423" s="664"/>
      <c r="C423" s="643" t="s">
        <v>6318</v>
      </c>
      <c r="D423" s="656" t="s">
        <v>639</v>
      </c>
      <c r="E423" s="645">
        <v>109340</v>
      </c>
      <c r="H423" s="646">
        <v>108000</v>
      </c>
      <c r="I423" s="589">
        <f t="shared" si="6"/>
        <v>1</v>
      </c>
      <c r="J423" s="30" t="s">
        <v>2661</v>
      </c>
      <c r="K423" s="589"/>
      <c r="L423" s="589"/>
      <c r="M423" s="589"/>
      <c r="N423" s="589"/>
      <c r="O423" s="589"/>
      <c r="P423" s="589"/>
      <c r="Q423" s="589"/>
      <c r="R423" s="589"/>
      <c r="S423" s="589"/>
      <c r="T423" s="589"/>
      <c r="U423" s="589"/>
      <c r="V423" s="589"/>
      <c r="W423" s="589"/>
      <c r="X423" s="589"/>
      <c r="Y423" s="589"/>
      <c r="Z423" s="589"/>
      <c r="AA423" s="589"/>
      <c r="AB423" s="589"/>
      <c r="AC423" s="589"/>
      <c r="AD423" s="589"/>
      <c r="AE423" s="329"/>
      <c r="AF423" s="329"/>
      <c r="AG423" s="329"/>
      <c r="AH423" s="329"/>
      <c r="AI423" s="329"/>
      <c r="AJ423" s="329"/>
      <c r="AK423" s="329"/>
      <c r="AL423" s="329"/>
    </row>
    <row r="424" spans="1:38" s="30" customFormat="1" ht="17.100000000000001" customHeight="1">
      <c r="A424" s="329" t="s">
        <v>6319</v>
      </c>
      <c r="B424" s="664"/>
      <c r="C424" s="643" t="s">
        <v>4849</v>
      </c>
      <c r="D424" s="656" t="s">
        <v>639</v>
      </c>
      <c r="E424" s="645">
        <v>141020</v>
      </c>
      <c r="H424" s="646">
        <v>135000</v>
      </c>
      <c r="I424" s="589">
        <f t="shared" si="6"/>
        <v>1</v>
      </c>
      <c r="J424" s="30" t="s">
        <v>2661</v>
      </c>
      <c r="K424" s="589"/>
      <c r="L424" s="589"/>
      <c r="M424" s="589"/>
      <c r="N424" s="589"/>
      <c r="O424" s="589"/>
      <c r="P424" s="589"/>
      <c r="Q424" s="589"/>
      <c r="R424" s="589"/>
      <c r="S424" s="589"/>
      <c r="T424" s="589"/>
      <c r="U424" s="589"/>
      <c r="V424" s="589"/>
      <c r="W424" s="589"/>
      <c r="X424" s="589"/>
      <c r="Y424" s="589"/>
      <c r="Z424" s="589"/>
      <c r="AA424" s="589"/>
      <c r="AB424" s="589"/>
      <c r="AC424" s="589"/>
      <c r="AD424" s="589"/>
      <c r="AE424" s="329"/>
      <c r="AF424" s="329"/>
      <c r="AG424" s="329"/>
      <c r="AH424" s="329"/>
      <c r="AI424" s="329"/>
      <c r="AJ424" s="329"/>
      <c r="AK424" s="329"/>
      <c r="AL424" s="329"/>
    </row>
    <row r="425" spans="1:38" s="30" customFormat="1" ht="17.100000000000001" customHeight="1">
      <c r="A425" s="665"/>
      <c r="B425" s="664"/>
      <c r="C425" s="643"/>
      <c r="D425" s="656"/>
      <c r="E425" s="646"/>
      <c r="H425" s="646"/>
      <c r="I425" s="589">
        <f t="shared" si="6"/>
        <v>0</v>
      </c>
      <c r="K425" s="589"/>
      <c r="L425" s="589"/>
      <c r="M425" s="589"/>
      <c r="N425" s="589"/>
      <c r="O425" s="589"/>
      <c r="P425" s="589"/>
      <c r="Q425" s="589"/>
      <c r="R425" s="589"/>
      <c r="S425" s="589"/>
      <c r="T425" s="589"/>
      <c r="U425" s="589"/>
      <c r="V425" s="589"/>
      <c r="W425" s="589"/>
      <c r="X425" s="589"/>
      <c r="Y425" s="589"/>
      <c r="Z425" s="589"/>
      <c r="AA425" s="589"/>
      <c r="AB425" s="589"/>
      <c r="AC425" s="589"/>
      <c r="AD425" s="589"/>
      <c r="AE425" s="329"/>
      <c r="AF425" s="329"/>
      <c r="AG425" s="329"/>
      <c r="AH425" s="329"/>
      <c r="AI425" s="329"/>
      <c r="AJ425" s="329"/>
      <c r="AK425" s="329"/>
      <c r="AL425" s="329"/>
    </row>
    <row r="426" spans="1:38" s="30" customFormat="1" ht="17.100000000000001" customHeight="1">
      <c r="A426" s="329" t="s">
        <v>170</v>
      </c>
      <c r="B426" s="664"/>
      <c r="C426" s="655" t="s">
        <v>4976</v>
      </c>
      <c r="D426" s="656" t="s">
        <v>639</v>
      </c>
      <c r="E426" s="645">
        <v>106480</v>
      </c>
      <c r="H426" s="646">
        <v>76500</v>
      </c>
      <c r="I426" s="589">
        <f t="shared" si="6"/>
        <v>1</v>
      </c>
      <c r="J426" s="30" t="s">
        <v>2661</v>
      </c>
      <c r="K426" s="589"/>
      <c r="L426" s="589"/>
      <c r="M426" s="589"/>
      <c r="N426" s="589"/>
      <c r="O426" s="589"/>
      <c r="P426" s="589"/>
      <c r="Q426" s="589"/>
      <c r="R426" s="589"/>
      <c r="S426" s="589"/>
      <c r="T426" s="589"/>
      <c r="U426" s="589"/>
      <c r="V426" s="589"/>
      <c r="W426" s="589"/>
      <c r="X426" s="589"/>
      <c r="Y426" s="589"/>
      <c r="Z426" s="589"/>
      <c r="AA426" s="589"/>
      <c r="AB426" s="589"/>
      <c r="AC426" s="589"/>
      <c r="AD426" s="589"/>
      <c r="AE426" s="329"/>
      <c r="AF426" s="329"/>
      <c r="AG426" s="329"/>
      <c r="AH426" s="329"/>
      <c r="AI426" s="329"/>
      <c r="AJ426" s="329"/>
      <c r="AK426" s="329"/>
      <c r="AL426" s="329"/>
    </row>
    <row r="427" spans="1:38" s="30" customFormat="1" ht="17.100000000000001" customHeight="1">
      <c r="A427" s="329" t="s">
        <v>4977</v>
      </c>
      <c r="B427" s="664"/>
      <c r="C427" s="655" t="s">
        <v>4978</v>
      </c>
      <c r="D427" s="656" t="s">
        <v>639</v>
      </c>
      <c r="E427" s="645">
        <v>140250</v>
      </c>
      <c r="H427" s="646">
        <v>91900</v>
      </c>
      <c r="I427" s="589">
        <f t="shared" si="6"/>
        <v>1</v>
      </c>
      <c r="J427" s="30" t="s">
        <v>2661</v>
      </c>
      <c r="K427" s="589"/>
      <c r="L427" s="589"/>
      <c r="M427" s="589"/>
      <c r="N427" s="589"/>
      <c r="O427" s="589"/>
      <c r="P427" s="589"/>
      <c r="Q427" s="589"/>
      <c r="R427" s="589"/>
      <c r="S427" s="589"/>
      <c r="T427" s="589"/>
      <c r="U427" s="589"/>
      <c r="V427" s="589"/>
      <c r="W427" s="589"/>
      <c r="X427" s="589"/>
      <c r="Y427" s="589"/>
      <c r="Z427" s="589"/>
      <c r="AA427" s="589"/>
      <c r="AB427" s="589"/>
      <c r="AC427" s="589"/>
      <c r="AD427" s="589"/>
      <c r="AE427" s="329"/>
      <c r="AF427" s="329"/>
      <c r="AG427" s="329"/>
      <c r="AH427" s="329"/>
      <c r="AI427" s="329"/>
      <c r="AJ427" s="329"/>
      <c r="AK427" s="329"/>
      <c r="AL427" s="329"/>
    </row>
    <row r="428" spans="1:38" s="30" customFormat="1" ht="17.100000000000001" customHeight="1">
      <c r="A428" s="329" t="s">
        <v>4979</v>
      </c>
      <c r="B428" s="664"/>
      <c r="C428" s="655" t="s">
        <v>4964</v>
      </c>
      <c r="D428" s="656" t="s">
        <v>639</v>
      </c>
      <c r="E428" s="645">
        <v>188210</v>
      </c>
      <c r="H428" s="646">
        <v>113700</v>
      </c>
      <c r="I428" s="589">
        <f t="shared" si="6"/>
        <v>1</v>
      </c>
      <c r="J428" s="30" t="s">
        <v>2661</v>
      </c>
      <c r="K428" s="589"/>
      <c r="L428" s="589"/>
      <c r="M428" s="589"/>
      <c r="N428" s="589"/>
      <c r="O428" s="589"/>
      <c r="P428" s="589"/>
      <c r="Q428" s="589"/>
      <c r="R428" s="589"/>
      <c r="S428" s="589"/>
      <c r="T428" s="589"/>
      <c r="U428" s="589"/>
      <c r="V428" s="589"/>
      <c r="W428" s="589"/>
      <c r="X428" s="589"/>
      <c r="Y428" s="589"/>
      <c r="Z428" s="589"/>
      <c r="AA428" s="589"/>
      <c r="AB428" s="589"/>
      <c r="AC428" s="589"/>
      <c r="AD428" s="589"/>
      <c r="AE428" s="329"/>
      <c r="AF428" s="329"/>
      <c r="AG428" s="329"/>
      <c r="AH428" s="329"/>
      <c r="AI428" s="329"/>
      <c r="AJ428" s="329"/>
      <c r="AK428" s="329"/>
      <c r="AL428" s="329"/>
    </row>
    <row r="429" spans="1:38" s="30" customFormat="1" ht="17.100000000000001" customHeight="1">
      <c r="A429" s="329" t="s">
        <v>4965</v>
      </c>
      <c r="B429" s="664"/>
      <c r="C429" s="655" t="s">
        <v>236</v>
      </c>
      <c r="D429" s="656" t="s">
        <v>639</v>
      </c>
      <c r="E429" s="645">
        <v>257180</v>
      </c>
      <c r="H429" s="646">
        <v>145700</v>
      </c>
      <c r="I429" s="589">
        <f t="shared" si="6"/>
        <v>1</v>
      </c>
      <c r="J429" s="30" t="s">
        <v>2661</v>
      </c>
      <c r="K429" s="589"/>
      <c r="L429" s="589"/>
      <c r="M429" s="589"/>
      <c r="N429" s="589"/>
      <c r="O429" s="589"/>
      <c r="P429" s="589"/>
      <c r="Q429" s="589"/>
      <c r="R429" s="589"/>
      <c r="S429" s="589"/>
      <c r="T429" s="589"/>
      <c r="U429" s="589"/>
      <c r="V429" s="589"/>
      <c r="W429" s="589"/>
      <c r="X429" s="589"/>
      <c r="Y429" s="589"/>
      <c r="Z429" s="589"/>
      <c r="AA429" s="589"/>
      <c r="AB429" s="589"/>
      <c r="AC429" s="589"/>
      <c r="AD429" s="589"/>
      <c r="AE429" s="329"/>
      <c r="AF429" s="329"/>
      <c r="AG429" s="329"/>
      <c r="AH429" s="329"/>
      <c r="AI429" s="329"/>
      <c r="AJ429" s="329"/>
      <c r="AK429" s="329"/>
      <c r="AL429" s="329"/>
    </row>
    <row r="430" spans="1:38" s="30" customFormat="1" ht="17.100000000000001" customHeight="1">
      <c r="A430" s="329" t="s">
        <v>237</v>
      </c>
      <c r="B430" s="664"/>
      <c r="C430" s="655" t="s">
        <v>2857</v>
      </c>
      <c r="D430" s="656" t="s">
        <v>639</v>
      </c>
      <c r="E430" s="645">
        <v>347270</v>
      </c>
      <c r="H430" s="646">
        <v>184700</v>
      </c>
      <c r="I430" s="589">
        <f t="shared" si="6"/>
        <v>1</v>
      </c>
      <c r="J430" s="30" t="s">
        <v>2661</v>
      </c>
      <c r="K430" s="589"/>
      <c r="L430" s="589"/>
      <c r="M430" s="589"/>
      <c r="N430" s="589"/>
      <c r="O430" s="589"/>
      <c r="P430" s="589"/>
      <c r="Q430" s="589"/>
      <c r="R430" s="589"/>
      <c r="S430" s="589"/>
      <c r="T430" s="589"/>
      <c r="U430" s="589"/>
      <c r="V430" s="589"/>
      <c r="W430" s="589"/>
      <c r="X430" s="589"/>
      <c r="Y430" s="589"/>
      <c r="Z430" s="589"/>
      <c r="AA430" s="589"/>
      <c r="AB430" s="589"/>
      <c r="AC430" s="589"/>
      <c r="AD430" s="589"/>
      <c r="AE430" s="329"/>
      <c r="AF430" s="329"/>
      <c r="AG430" s="329"/>
      <c r="AH430" s="329"/>
      <c r="AI430" s="329"/>
      <c r="AJ430" s="329"/>
      <c r="AK430" s="329"/>
      <c r="AL430" s="329"/>
    </row>
    <row r="431" spans="1:38" s="30" customFormat="1" ht="17.100000000000001" customHeight="1">
      <c r="A431" s="329" t="s">
        <v>2858</v>
      </c>
      <c r="B431" s="664"/>
      <c r="C431" s="655" t="s">
        <v>1611</v>
      </c>
      <c r="D431" s="656" t="s">
        <v>639</v>
      </c>
      <c r="E431" s="645">
        <v>422180</v>
      </c>
      <c r="H431" s="646">
        <v>217900</v>
      </c>
      <c r="I431" s="589">
        <f t="shared" si="6"/>
        <v>1</v>
      </c>
      <c r="J431" s="30" t="s">
        <v>2661</v>
      </c>
      <c r="K431" s="589"/>
      <c r="L431" s="589"/>
      <c r="M431" s="589"/>
      <c r="N431" s="589"/>
      <c r="O431" s="589"/>
      <c r="P431" s="589"/>
      <c r="Q431" s="589"/>
      <c r="R431" s="589"/>
      <c r="S431" s="589"/>
      <c r="T431" s="589"/>
      <c r="U431" s="589"/>
      <c r="V431" s="589"/>
      <c r="W431" s="589"/>
      <c r="X431" s="589"/>
      <c r="Y431" s="589"/>
      <c r="Z431" s="589"/>
      <c r="AA431" s="589"/>
      <c r="AB431" s="589"/>
      <c r="AC431" s="589"/>
      <c r="AD431" s="589"/>
      <c r="AE431" s="329"/>
      <c r="AF431" s="329"/>
      <c r="AG431" s="329"/>
      <c r="AH431" s="329"/>
      <c r="AI431" s="329"/>
      <c r="AJ431" s="329"/>
      <c r="AK431" s="329"/>
      <c r="AL431" s="329"/>
    </row>
    <row r="432" spans="1:38" s="30" customFormat="1" ht="17.100000000000001" customHeight="1">
      <c r="A432" s="329" t="s">
        <v>1612</v>
      </c>
      <c r="B432" s="664"/>
      <c r="C432" s="655" t="s">
        <v>1613</v>
      </c>
      <c r="D432" s="656" t="s">
        <v>639</v>
      </c>
      <c r="E432" s="645">
        <v>547580</v>
      </c>
      <c r="H432" s="646">
        <v>276300</v>
      </c>
      <c r="I432" s="589">
        <f t="shared" si="6"/>
        <v>1</v>
      </c>
      <c r="J432" s="30" t="s">
        <v>2661</v>
      </c>
      <c r="K432" s="589"/>
      <c r="L432" s="589"/>
      <c r="M432" s="589"/>
      <c r="N432" s="589"/>
      <c r="O432" s="589"/>
      <c r="P432" s="589"/>
      <c r="Q432" s="589"/>
      <c r="R432" s="589"/>
      <c r="S432" s="589"/>
      <c r="T432" s="589"/>
      <c r="U432" s="589"/>
      <c r="V432" s="589"/>
      <c r="W432" s="589"/>
      <c r="X432" s="589"/>
      <c r="Y432" s="589"/>
      <c r="Z432" s="589"/>
      <c r="AA432" s="589"/>
      <c r="AB432" s="589"/>
      <c r="AC432" s="589"/>
      <c r="AD432" s="589"/>
      <c r="AE432" s="329"/>
      <c r="AF432" s="329"/>
      <c r="AG432" s="329"/>
      <c r="AH432" s="329"/>
      <c r="AI432" s="329"/>
      <c r="AJ432" s="329"/>
      <c r="AK432" s="329"/>
      <c r="AL432" s="329"/>
    </row>
    <row r="433" spans="1:38" s="30" customFormat="1" ht="17.100000000000001" customHeight="1">
      <c r="A433" s="329" t="s">
        <v>1614</v>
      </c>
      <c r="B433" s="664"/>
      <c r="C433" s="655" t="s">
        <v>1615</v>
      </c>
      <c r="D433" s="656" t="s">
        <v>639</v>
      </c>
      <c r="E433" s="645">
        <v>651750</v>
      </c>
      <c r="H433" s="646">
        <v>319500</v>
      </c>
      <c r="I433" s="589">
        <f t="shared" si="6"/>
        <v>1</v>
      </c>
      <c r="J433" s="30" t="s">
        <v>2661</v>
      </c>
      <c r="K433" s="589"/>
      <c r="L433" s="589"/>
      <c r="M433" s="589"/>
      <c r="N433" s="589"/>
      <c r="O433" s="589"/>
      <c r="P433" s="589"/>
      <c r="Q433" s="589"/>
      <c r="R433" s="589"/>
      <c r="S433" s="589"/>
      <c r="T433" s="589"/>
      <c r="U433" s="589"/>
      <c r="V433" s="589"/>
      <c r="W433" s="589"/>
      <c r="X433" s="589"/>
      <c r="Y433" s="589"/>
      <c r="Z433" s="589"/>
      <c r="AA433" s="589"/>
      <c r="AB433" s="589"/>
      <c r="AC433" s="589"/>
      <c r="AD433" s="589"/>
      <c r="AE433" s="329"/>
      <c r="AF433" s="329"/>
      <c r="AG433" s="329"/>
      <c r="AH433" s="329"/>
      <c r="AI433" s="329"/>
      <c r="AJ433" s="329"/>
      <c r="AK433" s="329"/>
      <c r="AL433" s="329"/>
    </row>
    <row r="434" spans="1:38" s="30" customFormat="1" ht="17.100000000000001" customHeight="1">
      <c r="A434" s="329" t="s">
        <v>1616</v>
      </c>
      <c r="B434" s="664"/>
      <c r="C434" s="655" t="s">
        <v>1617</v>
      </c>
      <c r="D434" s="656" t="s">
        <v>639</v>
      </c>
      <c r="E434" s="645">
        <v>848650</v>
      </c>
      <c r="H434" s="646">
        <v>404300</v>
      </c>
      <c r="I434" s="589">
        <f t="shared" si="6"/>
        <v>1</v>
      </c>
      <c r="J434" s="30" t="s">
        <v>2661</v>
      </c>
      <c r="K434" s="589"/>
      <c r="L434" s="589"/>
      <c r="M434" s="589"/>
      <c r="N434" s="589"/>
      <c r="O434" s="589"/>
      <c r="P434" s="589"/>
      <c r="Q434" s="589"/>
      <c r="R434" s="589"/>
      <c r="S434" s="589"/>
      <c r="T434" s="589"/>
      <c r="U434" s="589"/>
      <c r="V434" s="589"/>
      <c r="W434" s="589"/>
      <c r="X434" s="589"/>
      <c r="Y434" s="589"/>
      <c r="Z434" s="589"/>
      <c r="AA434" s="589"/>
      <c r="AB434" s="589"/>
      <c r="AC434" s="589"/>
      <c r="AD434" s="589"/>
      <c r="AE434" s="329"/>
      <c r="AF434" s="329"/>
      <c r="AG434" s="329"/>
      <c r="AH434" s="329"/>
      <c r="AI434" s="329"/>
      <c r="AJ434" s="329"/>
      <c r="AK434" s="329"/>
      <c r="AL434" s="329"/>
    </row>
    <row r="435" spans="1:38" s="30" customFormat="1" ht="17.100000000000001" customHeight="1">
      <c r="A435" s="665"/>
      <c r="B435" s="664"/>
      <c r="C435" s="655"/>
      <c r="D435" s="656"/>
      <c r="E435" s="646"/>
      <c r="H435" s="646"/>
      <c r="I435" s="589">
        <f t="shared" si="6"/>
        <v>0</v>
      </c>
      <c r="K435" s="589"/>
      <c r="L435" s="589"/>
      <c r="M435" s="589"/>
      <c r="N435" s="589"/>
      <c r="O435" s="589"/>
      <c r="P435" s="589"/>
      <c r="Q435" s="589"/>
      <c r="R435" s="589"/>
      <c r="S435" s="589"/>
      <c r="T435" s="589"/>
      <c r="U435" s="589"/>
      <c r="V435" s="589"/>
      <c r="W435" s="589"/>
      <c r="X435" s="589"/>
      <c r="Y435" s="589"/>
      <c r="Z435" s="589"/>
      <c r="AA435" s="589"/>
      <c r="AB435" s="589"/>
      <c r="AC435" s="589"/>
      <c r="AD435" s="589"/>
      <c r="AE435" s="329"/>
      <c r="AF435" s="329"/>
      <c r="AG435" s="329"/>
      <c r="AH435" s="329"/>
      <c r="AI435" s="329"/>
      <c r="AJ435" s="329"/>
      <c r="AK435" s="329"/>
      <c r="AL435" s="329"/>
    </row>
    <row r="436" spans="1:38" s="30" customFormat="1" ht="17.100000000000001" customHeight="1">
      <c r="A436" s="329" t="s">
        <v>1618</v>
      </c>
      <c r="B436" s="664"/>
      <c r="C436" s="655" t="s">
        <v>921</v>
      </c>
      <c r="D436" s="656" t="s">
        <v>639</v>
      </c>
      <c r="E436" s="645">
        <v>31500</v>
      </c>
      <c r="H436" s="646">
        <v>44900</v>
      </c>
      <c r="I436" s="589">
        <f t="shared" si="6"/>
        <v>1</v>
      </c>
      <c r="J436" s="30" t="s">
        <v>2661</v>
      </c>
      <c r="K436" s="589"/>
      <c r="L436" s="589"/>
      <c r="M436" s="589"/>
      <c r="N436" s="589"/>
      <c r="O436" s="589"/>
      <c r="P436" s="589"/>
      <c r="Q436" s="589"/>
      <c r="R436" s="589"/>
      <c r="S436" s="589"/>
      <c r="T436" s="589"/>
      <c r="U436" s="589"/>
      <c r="V436" s="589"/>
      <c r="W436" s="589"/>
      <c r="X436" s="589"/>
      <c r="Y436" s="589"/>
      <c r="Z436" s="589"/>
      <c r="AA436" s="589"/>
      <c r="AB436" s="589"/>
      <c r="AC436" s="589"/>
      <c r="AD436" s="589"/>
      <c r="AE436" s="329"/>
      <c r="AF436" s="329"/>
      <c r="AG436" s="329"/>
      <c r="AH436" s="329"/>
      <c r="AI436" s="329"/>
      <c r="AJ436" s="329"/>
      <c r="AK436" s="329"/>
      <c r="AL436" s="329"/>
    </row>
    <row r="437" spans="1:38" s="30" customFormat="1" ht="17.100000000000001" customHeight="1">
      <c r="A437" s="329" t="s">
        <v>922</v>
      </c>
      <c r="B437" s="664"/>
      <c r="C437" s="655" t="s">
        <v>923</v>
      </c>
      <c r="D437" s="656" t="s">
        <v>639</v>
      </c>
      <c r="E437" s="645">
        <v>36520</v>
      </c>
      <c r="H437" s="646">
        <v>49900</v>
      </c>
      <c r="I437" s="589">
        <f t="shared" si="6"/>
        <v>1</v>
      </c>
      <c r="J437" s="30" t="s">
        <v>2661</v>
      </c>
      <c r="K437" s="589"/>
      <c r="L437" s="589"/>
      <c r="M437" s="589"/>
      <c r="N437" s="589"/>
      <c r="O437" s="589"/>
      <c r="P437" s="589"/>
      <c r="Q437" s="589"/>
      <c r="R437" s="589"/>
      <c r="S437" s="589"/>
      <c r="T437" s="589"/>
      <c r="U437" s="589"/>
      <c r="V437" s="589"/>
      <c r="W437" s="589"/>
      <c r="X437" s="589"/>
      <c r="Y437" s="589"/>
      <c r="Z437" s="589"/>
      <c r="AA437" s="589"/>
      <c r="AB437" s="589"/>
      <c r="AC437" s="589"/>
      <c r="AD437" s="589"/>
      <c r="AE437" s="329"/>
      <c r="AF437" s="329"/>
      <c r="AG437" s="329"/>
      <c r="AH437" s="329"/>
      <c r="AI437" s="329"/>
      <c r="AJ437" s="329"/>
      <c r="AK437" s="329"/>
      <c r="AL437" s="329"/>
    </row>
    <row r="438" spans="1:38" s="30" customFormat="1" ht="17.100000000000001" customHeight="1">
      <c r="A438" s="329" t="s">
        <v>924</v>
      </c>
      <c r="B438" s="664"/>
      <c r="C438" s="655" t="s">
        <v>5312</v>
      </c>
      <c r="D438" s="656" t="s">
        <v>639</v>
      </c>
      <c r="E438" s="645">
        <v>44220</v>
      </c>
      <c r="H438" s="646">
        <v>56500</v>
      </c>
      <c r="I438" s="589">
        <f t="shared" si="6"/>
        <v>1</v>
      </c>
      <c r="J438" s="30" t="s">
        <v>2661</v>
      </c>
      <c r="K438" s="589"/>
      <c r="L438" s="589"/>
      <c r="M438" s="589"/>
      <c r="N438" s="589"/>
      <c r="O438" s="589"/>
      <c r="P438" s="589"/>
      <c r="Q438" s="589"/>
      <c r="R438" s="589"/>
      <c r="S438" s="589"/>
      <c r="T438" s="589"/>
      <c r="U438" s="589"/>
      <c r="V438" s="589"/>
      <c r="W438" s="589"/>
      <c r="X438" s="589"/>
      <c r="Y438" s="589"/>
      <c r="Z438" s="589"/>
      <c r="AA438" s="589"/>
      <c r="AB438" s="589"/>
      <c r="AC438" s="589"/>
      <c r="AD438" s="589"/>
      <c r="AE438" s="329"/>
      <c r="AF438" s="329"/>
      <c r="AG438" s="329"/>
      <c r="AH438" s="329"/>
      <c r="AI438" s="329"/>
      <c r="AJ438" s="329"/>
      <c r="AK438" s="329"/>
      <c r="AL438" s="329"/>
    </row>
    <row r="439" spans="1:38" s="30" customFormat="1" ht="17.100000000000001" customHeight="1">
      <c r="A439" s="329" t="s">
        <v>5313</v>
      </c>
      <c r="B439" s="664"/>
      <c r="C439" s="655" t="s">
        <v>5314</v>
      </c>
      <c r="D439" s="656" t="s">
        <v>639</v>
      </c>
      <c r="E439" s="645">
        <v>53900</v>
      </c>
      <c r="H439" s="646">
        <v>64300</v>
      </c>
      <c r="I439" s="589">
        <f t="shared" si="6"/>
        <v>1</v>
      </c>
      <c r="J439" s="30" t="s">
        <v>2661</v>
      </c>
      <c r="K439" s="589"/>
      <c r="L439" s="589"/>
      <c r="M439" s="589"/>
      <c r="N439" s="589"/>
      <c r="O439" s="589"/>
      <c r="P439" s="589"/>
      <c r="Q439" s="589"/>
      <c r="R439" s="589"/>
      <c r="S439" s="589"/>
      <c r="T439" s="589"/>
      <c r="U439" s="589"/>
      <c r="V439" s="589"/>
      <c r="W439" s="589"/>
      <c r="X439" s="589"/>
      <c r="Y439" s="589"/>
      <c r="Z439" s="589"/>
      <c r="AA439" s="589"/>
      <c r="AB439" s="589"/>
      <c r="AC439" s="589"/>
      <c r="AD439" s="589"/>
      <c r="AE439" s="329"/>
      <c r="AF439" s="329"/>
      <c r="AG439" s="329"/>
      <c r="AH439" s="329"/>
      <c r="AI439" s="329"/>
      <c r="AJ439" s="329"/>
      <c r="AK439" s="329"/>
      <c r="AL439" s="329"/>
    </row>
    <row r="440" spans="1:38" s="30" customFormat="1" ht="17.100000000000001" customHeight="1">
      <c r="A440" s="329" t="s">
        <v>5315</v>
      </c>
      <c r="B440" s="664"/>
      <c r="C440" s="655" t="s">
        <v>1008</v>
      </c>
      <c r="D440" s="656" t="s">
        <v>639</v>
      </c>
      <c r="E440" s="645">
        <v>65670</v>
      </c>
      <c r="H440" s="646">
        <v>73900</v>
      </c>
      <c r="I440" s="589">
        <f t="shared" si="6"/>
        <v>1</v>
      </c>
      <c r="J440" s="30" t="s">
        <v>2661</v>
      </c>
      <c r="K440" s="589"/>
      <c r="L440" s="589"/>
      <c r="M440" s="589"/>
      <c r="N440" s="589"/>
      <c r="O440" s="589"/>
      <c r="P440" s="589"/>
      <c r="Q440" s="589"/>
      <c r="R440" s="589"/>
      <c r="S440" s="589"/>
      <c r="T440" s="589"/>
      <c r="U440" s="589"/>
      <c r="V440" s="589"/>
      <c r="W440" s="589"/>
      <c r="X440" s="589"/>
      <c r="Y440" s="589"/>
      <c r="Z440" s="589"/>
      <c r="AA440" s="589"/>
      <c r="AB440" s="589"/>
      <c r="AC440" s="589"/>
      <c r="AD440" s="589"/>
      <c r="AE440" s="329"/>
      <c r="AF440" s="329"/>
      <c r="AG440" s="329"/>
      <c r="AH440" s="329"/>
      <c r="AI440" s="329"/>
      <c r="AJ440" s="329"/>
      <c r="AK440" s="329"/>
      <c r="AL440" s="329"/>
    </row>
    <row r="441" spans="1:38" s="30" customFormat="1" ht="17.100000000000001" customHeight="1">
      <c r="A441" s="329" t="s">
        <v>1009</v>
      </c>
      <c r="B441" s="664"/>
      <c r="C441" s="655" t="s">
        <v>1010</v>
      </c>
      <c r="D441" s="656" t="s">
        <v>639</v>
      </c>
      <c r="E441" s="645">
        <v>74470</v>
      </c>
      <c r="H441" s="646">
        <v>81200</v>
      </c>
      <c r="I441" s="589">
        <f t="shared" si="6"/>
        <v>1</v>
      </c>
      <c r="J441" s="30" t="s">
        <v>2661</v>
      </c>
      <c r="K441" s="589"/>
      <c r="L441" s="589"/>
      <c r="M441" s="589"/>
      <c r="N441" s="589"/>
      <c r="O441" s="589"/>
      <c r="P441" s="589"/>
      <c r="Q441" s="589"/>
      <c r="R441" s="589"/>
      <c r="S441" s="589"/>
      <c r="T441" s="589"/>
      <c r="U441" s="589"/>
      <c r="V441" s="589"/>
      <c r="W441" s="589"/>
      <c r="X441" s="589"/>
      <c r="Y441" s="589"/>
      <c r="Z441" s="589"/>
      <c r="AA441" s="589"/>
      <c r="AB441" s="589"/>
      <c r="AC441" s="589"/>
      <c r="AD441" s="589"/>
      <c r="AE441" s="329"/>
      <c r="AF441" s="329"/>
      <c r="AG441" s="329"/>
      <c r="AH441" s="329"/>
      <c r="AI441" s="329"/>
      <c r="AJ441" s="329"/>
      <c r="AK441" s="329"/>
      <c r="AL441" s="329"/>
    </row>
    <row r="442" spans="1:38" s="30" customFormat="1" ht="17.100000000000001" customHeight="1">
      <c r="A442" s="329" t="s">
        <v>1011</v>
      </c>
      <c r="B442" s="664"/>
      <c r="C442" s="655" t="s">
        <v>427</v>
      </c>
      <c r="D442" s="656" t="s">
        <v>639</v>
      </c>
      <c r="E442" s="645">
        <v>90090</v>
      </c>
      <c r="H442" s="646">
        <v>93700</v>
      </c>
      <c r="I442" s="589">
        <f t="shared" si="6"/>
        <v>1</v>
      </c>
      <c r="J442" s="30" t="s">
        <v>2661</v>
      </c>
      <c r="K442" s="589"/>
      <c r="L442" s="589"/>
      <c r="M442" s="589"/>
      <c r="N442" s="589"/>
      <c r="O442" s="589"/>
      <c r="P442" s="589"/>
      <c r="Q442" s="589"/>
      <c r="R442" s="589"/>
      <c r="S442" s="589"/>
      <c r="T442" s="589"/>
      <c r="U442" s="589"/>
      <c r="V442" s="589"/>
      <c r="W442" s="589"/>
      <c r="X442" s="589"/>
      <c r="Y442" s="589"/>
      <c r="Z442" s="589"/>
      <c r="AA442" s="589"/>
      <c r="AB442" s="589"/>
      <c r="AC442" s="589"/>
      <c r="AD442" s="589"/>
      <c r="AE442" s="329"/>
      <c r="AF442" s="329"/>
      <c r="AG442" s="329"/>
      <c r="AH442" s="329"/>
      <c r="AI442" s="329"/>
      <c r="AJ442" s="329"/>
      <c r="AK442" s="329"/>
      <c r="AL442" s="329"/>
    </row>
    <row r="443" spans="1:38" s="30" customFormat="1" ht="17.100000000000001" customHeight="1">
      <c r="A443" s="329" t="s">
        <v>5350</v>
      </c>
      <c r="B443" s="664"/>
      <c r="C443" s="655" t="s">
        <v>5351</v>
      </c>
      <c r="D443" s="656" t="s">
        <v>639</v>
      </c>
      <c r="E443" s="645">
        <v>102960</v>
      </c>
      <c r="H443" s="646">
        <v>103400</v>
      </c>
      <c r="I443" s="589">
        <f t="shared" si="6"/>
        <v>1</v>
      </c>
      <c r="J443" s="30" t="s">
        <v>2661</v>
      </c>
      <c r="K443" s="589"/>
      <c r="L443" s="589"/>
      <c r="M443" s="589"/>
      <c r="N443" s="589"/>
      <c r="O443" s="589"/>
      <c r="P443" s="589"/>
      <c r="Q443" s="589"/>
      <c r="R443" s="589"/>
      <c r="S443" s="589"/>
      <c r="T443" s="589"/>
      <c r="U443" s="589"/>
      <c r="V443" s="589"/>
      <c r="W443" s="589"/>
      <c r="X443" s="589"/>
      <c r="Y443" s="589"/>
      <c r="Z443" s="589"/>
      <c r="AA443" s="589"/>
      <c r="AB443" s="589"/>
      <c r="AC443" s="589"/>
      <c r="AD443" s="589"/>
      <c r="AE443" s="329"/>
      <c r="AF443" s="329"/>
      <c r="AG443" s="329"/>
      <c r="AH443" s="329"/>
      <c r="AI443" s="329"/>
      <c r="AJ443" s="329"/>
      <c r="AK443" s="329"/>
      <c r="AL443" s="329"/>
    </row>
    <row r="444" spans="1:38" s="30" customFormat="1" ht="17.100000000000001" customHeight="1">
      <c r="A444" s="329" t="s">
        <v>5352</v>
      </c>
      <c r="B444" s="664"/>
      <c r="C444" s="655" t="s">
        <v>5353</v>
      </c>
      <c r="D444" s="656" t="s">
        <v>639</v>
      </c>
      <c r="E444" s="645">
        <v>126280</v>
      </c>
      <c r="H444" s="646">
        <v>121200</v>
      </c>
      <c r="I444" s="589">
        <f t="shared" si="6"/>
        <v>1</v>
      </c>
      <c r="J444" s="30" t="s">
        <v>2661</v>
      </c>
      <c r="K444" s="589"/>
      <c r="L444" s="589"/>
      <c r="M444" s="589"/>
      <c r="N444" s="589"/>
      <c r="O444" s="589"/>
      <c r="P444" s="589"/>
      <c r="Q444" s="589"/>
      <c r="R444" s="589"/>
      <c r="S444" s="589"/>
      <c r="T444" s="589"/>
      <c r="U444" s="589"/>
      <c r="V444" s="589"/>
      <c r="W444" s="589"/>
      <c r="X444" s="589"/>
      <c r="Y444" s="589"/>
      <c r="Z444" s="589"/>
      <c r="AA444" s="589"/>
      <c r="AB444" s="589"/>
      <c r="AC444" s="589"/>
      <c r="AD444" s="589"/>
      <c r="AE444" s="329"/>
      <c r="AF444" s="329"/>
      <c r="AG444" s="329"/>
      <c r="AH444" s="329"/>
      <c r="AI444" s="329"/>
      <c r="AJ444" s="329"/>
      <c r="AK444" s="329"/>
      <c r="AL444" s="329"/>
    </row>
    <row r="445" spans="1:38" s="30" customFormat="1" ht="17.100000000000001" customHeight="1">
      <c r="A445" s="665"/>
      <c r="B445" s="664"/>
      <c r="C445" s="655"/>
      <c r="D445" s="656"/>
      <c r="E445" s="646"/>
      <c r="H445" s="646"/>
      <c r="I445" s="589">
        <f t="shared" si="6"/>
        <v>0</v>
      </c>
      <c r="K445" s="589"/>
      <c r="L445" s="589"/>
      <c r="M445" s="589"/>
      <c r="N445" s="589"/>
      <c r="O445" s="589"/>
      <c r="P445" s="589"/>
      <c r="Q445" s="589"/>
      <c r="R445" s="589"/>
      <c r="S445" s="589"/>
      <c r="T445" s="589"/>
      <c r="U445" s="589"/>
      <c r="V445" s="589"/>
      <c r="W445" s="589"/>
      <c r="X445" s="589"/>
      <c r="Y445" s="589"/>
      <c r="Z445" s="589"/>
      <c r="AA445" s="589"/>
      <c r="AB445" s="589"/>
      <c r="AC445" s="589"/>
      <c r="AD445" s="589"/>
      <c r="AE445" s="329"/>
      <c r="AF445" s="329"/>
      <c r="AG445" s="329"/>
      <c r="AH445" s="329"/>
      <c r="AI445" s="329"/>
      <c r="AJ445" s="329"/>
      <c r="AK445" s="329"/>
      <c r="AL445" s="329"/>
    </row>
    <row r="446" spans="1:38" s="30" customFormat="1" ht="17.100000000000001" customHeight="1">
      <c r="A446" s="329" t="s">
        <v>5354</v>
      </c>
      <c r="B446" s="664"/>
      <c r="C446" s="780" t="s">
        <v>6029</v>
      </c>
      <c r="D446" s="656" t="s">
        <v>639</v>
      </c>
      <c r="E446" s="645">
        <v>42680</v>
      </c>
      <c r="H446" s="669">
        <v>153</v>
      </c>
      <c r="I446" s="589">
        <f t="shared" si="6"/>
        <v>1</v>
      </c>
      <c r="K446" s="589"/>
      <c r="L446" s="589"/>
      <c r="M446" s="589"/>
      <c r="N446" s="589"/>
      <c r="O446" s="589"/>
      <c r="P446" s="589"/>
      <c r="Q446" s="589"/>
      <c r="R446" s="589"/>
      <c r="S446" s="589"/>
      <c r="T446" s="589"/>
      <c r="U446" s="589"/>
      <c r="V446" s="589"/>
      <c r="W446" s="589"/>
      <c r="X446" s="589"/>
      <c r="Y446" s="589"/>
      <c r="Z446" s="589"/>
      <c r="AA446" s="589"/>
      <c r="AB446" s="589"/>
      <c r="AC446" s="589"/>
      <c r="AD446" s="589"/>
      <c r="AE446" s="329"/>
      <c r="AF446" s="329"/>
      <c r="AG446" s="329"/>
      <c r="AH446" s="329"/>
      <c r="AI446" s="329"/>
      <c r="AJ446" s="329"/>
      <c r="AK446" s="329"/>
      <c r="AL446" s="329"/>
    </row>
    <row r="447" spans="1:38" s="30" customFormat="1" ht="17.100000000000001" customHeight="1">
      <c r="A447" s="329" t="s">
        <v>5355</v>
      </c>
      <c r="B447" s="664"/>
      <c r="C447" s="780" t="s">
        <v>6030</v>
      </c>
      <c r="D447" s="656" t="s">
        <v>639</v>
      </c>
      <c r="E447" s="645">
        <v>49060</v>
      </c>
      <c r="H447" s="646"/>
      <c r="I447" s="589">
        <f t="shared" si="6"/>
        <v>1</v>
      </c>
      <c r="K447" s="589"/>
      <c r="L447" s="589"/>
      <c r="M447" s="589"/>
      <c r="N447" s="589"/>
      <c r="O447" s="589"/>
      <c r="P447" s="589"/>
      <c r="Q447" s="589"/>
      <c r="R447" s="589"/>
      <c r="S447" s="589"/>
      <c r="T447" s="589"/>
      <c r="U447" s="589"/>
      <c r="V447" s="589"/>
      <c r="W447" s="589"/>
      <c r="X447" s="589"/>
      <c r="Y447" s="589"/>
      <c r="Z447" s="589"/>
      <c r="AA447" s="589"/>
      <c r="AB447" s="589"/>
      <c r="AC447" s="589"/>
      <c r="AD447" s="589"/>
      <c r="AE447" s="329"/>
      <c r="AF447" s="329"/>
      <c r="AG447" s="329"/>
      <c r="AH447" s="329"/>
      <c r="AI447" s="329"/>
      <c r="AJ447" s="329"/>
      <c r="AK447" s="329"/>
      <c r="AL447" s="329"/>
    </row>
    <row r="448" spans="1:38" s="30" customFormat="1" ht="17.100000000000001" customHeight="1">
      <c r="A448" s="329" t="s">
        <v>5356</v>
      </c>
      <c r="B448" s="664"/>
      <c r="C448" s="780" t="s">
        <v>6031</v>
      </c>
      <c r="D448" s="656" t="s">
        <v>639</v>
      </c>
      <c r="E448" s="645">
        <v>59070</v>
      </c>
      <c r="H448" s="646"/>
      <c r="I448" s="589">
        <f t="shared" si="6"/>
        <v>1</v>
      </c>
      <c r="K448" s="589"/>
      <c r="L448" s="589"/>
      <c r="M448" s="589"/>
      <c r="N448" s="589"/>
      <c r="O448" s="589"/>
      <c r="P448" s="589"/>
      <c r="Q448" s="589"/>
      <c r="R448" s="589"/>
      <c r="S448" s="589"/>
      <c r="T448" s="589"/>
      <c r="U448" s="589"/>
      <c r="V448" s="589"/>
      <c r="W448" s="589"/>
      <c r="X448" s="589"/>
      <c r="Y448" s="589"/>
      <c r="Z448" s="589"/>
      <c r="AA448" s="589"/>
      <c r="AB448" s="589"/>
      <c r="AC448" s="589"/>
      <c r="AD448" s="589"/>
      <c r="AE448" s="329"/>
      <c r="AF448" s="329"/>
      <c r="AG448" s="329"/>
      <c r="AH448" s="329"/>
      <c r="AI448" s="329"/>
      <c r="AJ448" s="329"/>
      <c r="AK448" s="329"/>
      <c r="AL448" s="329"/>
    </row>
    <row r="449" spans="1:38" s="30" customFormat="1" ht="17.100000000000001" customHeight="1">
      <c r="A449" s="329" t="s">
        <v>1667</v>
      </c>
      <c r="B449" s="664"/>
      <c r="C449" s="780" t="s">
        <v>3501</v>
      </c>
      <c r="D449" s="656" t="s">
        <v>639</v>
      </c>
      <c r="E449" s="645">
        <v>73700</v>
      </c>
      <c r="H449" s="646"/>
      <c r="I449" s="589">
        <f t="shared" si="6"/>
        <v>1</v>
      </c>
      <c r="K449" s="589"/>
      <c r="L449" s="589"/>
      <c r="M449" s="589"/>
      <c r="N449" s="589"/>
      <c r="O449" s="589"/>
      <c r="P449" s="589"/>
      <c r="Q449" s="589"/>
      <c r="R449" s="589"/>
      <c r="S449" s="589"/>
      <c r="T449" s="589"/>
      <c r="U449" s="589"/>
      <c r="V449" s="589"/>
      <c r="W449" s="589"/>
      <c r="X449" s="589"/>
      <c r="Y449" s="589"/>
      <c r="Z449" s="589"/>
      <c r="AA449" s="589"/>
      <c r="AB449" s="589"/>
      <c r="AC449" s="589"/>
      <c r="AD449" s="589"/>
      <c r="AE449" s="329"/>
      <c r="AF449" s="329"/>
      <c r="AG449" s="329"/>
      <c r="AH449" s="329"/>
      <c r="AI449" s="329"/>
      <c r="AJ449" s="329"/>
      <c r="AK449" s="329"/>
      <c r="AL449" s="329"/>
    </row>
    <row r="450" spans="1:38" s="30" customFormat="1" ht="17.100000000000001" customHeight="1">
      <c r="A450" s="329" t="s">
        <v>1668</v>
      </c>
      <c r="B450" s="664"/>
      <c r="C450" s="780" t="s">
        <v>3502</v>
      </c>
      <c r="D450" s="656" t="s">
        <v>639</v>
      </c>
      <c r="E450" s="645">
        <v>86020</v>
      </c>
      <c r="H450" s="646"/>
      <c r="I450" s="589">
        <f t="shared" si="6"/>
        <v>1</v>
      </c>
      <c r="K450" s="589"/>
      <c r="L450" s="589"/>
      <c r="M450" s="589"/>
      <c r="N450" s="589"/>
      <c r="O450" s="589"/>
      <c r="P450" s="589"/>
      <c r="Q450" s="589"/>
      <c r="R450" s="589"/>
      <c r="S450" s="589"/>
      <c r="T450" s="589"/>
      <c r="U450" s="589"/>
      <c r="V450" s="589"/>
      <c r="W450" s="589"/>
      <c r="X450" s="589"/>
      <c r="Y450" s="589"/>
      <c r="Z450" s="589"/>
      <c r="AA450" s="589"/>
      <c r="AB450" s="589"/>
      <c r="AC450" s="589"/>
      <c r="AD450" s="589"/>
      <c r="AE450" s="329"/>
      <c r="AF450" s="329"/>
      <c r="AG450" s="329"/>
      <c r="AH450" s="329"/>
      <c r="AI450" s="329"/>
      <c r="AJ450" s="329"/>
      <c r="AK450" s="329"/>
      <c r="AL450" s="329"/>
    </row>
    <row r="451" spans="1:38" s="30" customFormat="1" ht="17.100000000000001" customHeight="1">
      <c r="A451" s="329" t="s">
        <v>1669</v>
      </c>
      <c r="B451" s="664"/>
      <c r="C451" s="780" t="s">
        <v>3503</v>
      </c>
      <c r="D451" s="656" t="s">
        <v>639</v>
      </c>
      <c r="E451" s="645">
        <v>97790</v>
      </c>
      <c r="H451" s="646"/>
      <c r="I451" s="589">
        <f t="shared" si="6"/>
        <v>1</v>
      </c>
      <c r="K451" s="589"/>
      <c r="L451" s="589"/>
      <c r="M451" s="589"/>
      <c r="N451" s="589"/>
      <c r="O451" s="589"/>
      <c r="P451" s="589"/>
      <c r="Q451" s="589"/>
      <c r="R451" s="589"/>
      <c r="S451" s="589"/>
      <c r="T451" s="589"/>
      <c r="U451" s="589"/>
      <c r="V451" s="589"/>
      <c r="W451" s="589"/>
      <c r="X451" s="589"/>
      <c r="Y451" s="589"/>
      <c r="Z451" s="589"/>
      <c r="AA451" s="589"/>
      <c r="AB451" s="589"/>
      <c r="AC451" s="589"/>
      <c r="AD451" s="589"/>
      <c r="AE451" s="329"/>
      <c r="AF451" s="329"/>
      <c r="AG451" s="329"/>
      <c r="AH451" s="329"/>
      <c r="AI451" s="329"/>
      <c r="AJ451" s="329"/>
      <c r="AK451" s="329"/>
      <c r="AL451" s="329"/>
    </row>
    <row r="452" spans="1:38" s="30" customFormat="1" ht="17.100000000000001" customHeight="1">
      <c r="A452" s="329" t="s">
        <v>1670</v>
      </c>
      <c r="B452" s="664"/>
      <c r="C452" s="780" t="s">
        <v>3504</v>
      </c>
      <c r="D452" s="656" t="s">
        <v>639</v>
      </c>
      <c r="E452" s="645">
        <v>115390</v>
      </c>
      <c r="H452" s="646"/>
      <c r="I452" s="589">
        <f t="shared" si="6"/>
        <v>1</v>
      </c>
      <c r="K452" s="589"/>
      <c r="L452" s="589"/>
      <c r="M452" s="589"/>
      <c r="N452" s="589"/>
      <c r="O452" s="589"/>
      <c r="P452" s="589"/>
      <c r="Q452" s="589"/>
      <c r="R452" s="589"/>
      <c r="S452" s="589"/>
      <c r="T452" s="589"/>
      <c r="U452" s="589"/>
      <c r="V452" s="589"/>
      <c r="W452" s="589"/>
      <c r="X452" s="589"/>
      <c r="Y452" s="589"/>
      <c r="Z452" s="589"/>
      <c r="AA452" s="589"/>
      <c r="AB452" s="589"/>
      <c r="AC452" s="589"/>
      <c r="AD452" s="589"/>
      <c r="AE452" s="329"/>
      <c r="AF452" s="329"/>
      <c r="AG452" s="329"/>
      <c r="AH452" s="329"/>
      <c r="AI452" s="329"/>
      <c r="AJ452" s="329"/>
      <c r="AK452" s="329"/>
      <c r="AL452" s="329"/>
    </row>
    <row r="453" spans="1:38" s="30" customFormat="1" ht="17.100000000000001" customHeight="1">
      <c r="A453" s="329" t="s">
        <v>1671</v>
      </c>
      <c r="B453" s="664"/>
      <c r="C453" s="780" t="s">
        <v>6253</v>
      </c>
      <c r="D453" s="656" t="s">
        <v>639</v>
      </c>
      <c r="E453" s="645">
        <v>140140</v>
      </c>
      <c r="H453" s="646"/>
      <c r="I453" s="589">
        <f t="shared" si="6"/>
        <v>1</v>
      </c>
      <c r="K453" s="589"/>
      <c r="L453" s="589"/>
      <c r="M453" s="589"/>
      <c r="N453" s="589"/>
      <c r="O453" s="589"/>
      <c r="P453" s="589"/>
      <c r="Q453" s="589"/>
      <c r="R453" s="589"/>
      <c r="S453" s="589"/>
      <c r="T453" s="589"/>
      <c r="U453" s="589"/>
      <c r="V453" s="589"/>
      <c r="W453" s="589"/>
      <c r="X453" s="589"/>
      <c r="Y453" s="589"/>
      <c r="Z453" s="589"/>
      <c r="AA453" s="589"/>
      <c r="AB453" s="589"/>
      <c r="AC453" s="589"/>
      <c r="AD453" s="589"/>
      <c r="AE453" s="329"/>
      <c r="AF453" s="329"/>
      <c r="AG453" s="329"/>
      <c r="AH453" s="329"/>
      <c r="AI453" s="329"/>
      <c r="AJ453" s="329"/>
      <c r="AK453" s="329"/>
      <c r="AL453" s="329"/>
    </row>
    <row r="454" spans="1:38" s="30" customFormat="1" ht="17.100000000000001" customHeight="1">
      <c r="A454" s="665"/>
      <c r="B454" s="664"/>
      <c r="C454" s="655"/>
      <c r="D454" s="656"/>
      <c r="E454" s="646"/>
      <c r="H454" s="646"/>
      <c r="I454" s="589">
        <f t="shared" si="6"/>
        <v>0</v>
      </c>
      <c r="K454" s="589"/>
      <c r="L454" s="589"/>
      <c r="M454" s="589"/>
      <c r="N454" s="589"/>
      <c r="O454" s="589"/>
      <c r="P454" s="589"/>
      <c r="Q454" s="589"/>
      <c r="R454" s="589"/>
      <c r="S454" s="589"/>
      <c r="T454" s="589"/>
      <c r="U454" s="589"/>
      <c r="V454" s="589"/>
      <c r="W454" s="589"/>
      <c r="X454" s="589"/>
      <c r="Y454" s="589"/>
      <c r="Z454" s="589"/>
      <c r="AA454" s="589"/>
      <c r="AB454" s="589"/>
      <c r="AC454" s="589"/>
      <c r="AD454" s="589"/>
      <c r="AE454" s="329"/>
      <c r="AF454" s="329"/>
      <c r="AG454" s="329"/>
      <c r="AH454" s="329"/>
      <c r="AI454" s="329"/>
      <c r="AJ454" s="329"/>
      <c r="AK454" s="329"/>
      <c r="AL454" s="329"/>
    </row>
    <row r="455" spans="1:38" s="30" customFormat="1" ht="17.100000000000001" customHeight="1">
      <c r="A455" s="329" t="s">
        <v>883</v>
      </c>
      <c r="B455" s="664"/>
      <c r="C455" s="655" t="s">
        <v>884</v>
      </c>
      <c r="D455" s="656" t="s">
        <v>639</v>
      </c>
      <c r="E455" s="646">
        <v>20600</v>
      </c>
      <c r="H455" s="646"/>
      <c r="I455" s="589">
        <f t="shared" si="6"/>
        <v>1</v>
      </c>
      <c r="K455" s="589"/>
      <c r="L455" s="589"/>
      <c r="M455" s="589"/>
      <c r="N455" s="589"/>
      <c r="O455" s="589"/>
      <c r="P455" s="589"/>
      <c r="Q455" s="589"/>
      <c r="R455" s="589"/>
      <c r="S455" s="589"/>
      <c r="T455" s="589"/>
      <c r="U455" s="589"/>
      <c r="V455" s="589"/>
      <c r="W455" s="589"/>
      <c r="X455" s="589"/>
      <c r="Y455" s="589"/>
      <c r="Z455" s="589"/>
      <c r="AA455" s="589"/>
      <c r="AB455" s="589"/>
      <c r="AC455" s="589"/>
      <c r="AD455" s="589"/>
      <c r="AE455" s="329"/>
      <c r="AF455" s="329"/>
      <c r="AG455" s="329"/>
      <c r="AH455" s="329"/>
      <c r="AI455" s="329"/>
      <c r="AJ455" s="329"/>
      <c r="AK455" s="329"/>
      <c r="AL455" s="329"/>
    </row>
    <row r="456" spans="1:38" s="30" customFormat="1" ht="17.100000000000001" customHeight="1">
      <c r="A456" s="329" t="s">
        <v>885</v>
      </c>
      <c r="B456" s="664"/>
      <c r="C456" s="655" t="s">
        <v>339</v>
      </c>
      <c r="D456" s="656" t="s">
        <v>639</v>
      </c>
      <c r="E456" s="646">
        <v>25000</v>
      </c>
      <c r="H456" s="646"/>
      <c r="I456" s="589">
        <f t="shared" si="6"/>
        <v>1</v>
      </c>
      <c r="K456" s="589"/>
      <c r="L456" s="589"/>
      <c r="M456" s="589"/>
      <c r="N456" s="589"/>
      <c r="O456" s="589"/>
      <c r="P456" s="589"/>
      <c r="Q456" s="589"/>
      <c r="R456" s="589"/>
      <c r="S456" s="589"/>
      <c r="T456" s="589"/>
      <c r="U456" s="589"/>
      <c r="V456" s="589"/>
      <c r="W456" s="589"/>
      <c r="X456" s="589"/>
      <c r="Y456" s="589"/>
      <c r="Z456" s="589"/>
      <c r="AA456" s="589"/>
      <c r="AB456" s="589"/>
      <c r="AC456" s="589"/>
      <c r="AD456" s="589"/>
      <c r="AE456" s="329"/>
      <c r="AF456" s="329"/>
      <c r="AG456" s="329"/>
      <c r="AH456" s="329"/>
      <c r="AI456" s="329"/>
      <c r="AJ456" s="329"/>
      <c r="AK456" s="329"/>
      <c r="AL456" s="329"/>
    </row>
    <row r="457" spans="1:38" s="30" customFormat="1" ht="17.100000000000001" customHeight="1">
      <c r="A457" s="329" t="s">
        <v>340</v>
      </c>
      <c r="B457" s="664"/>
      <c r="C457" s="655" t="s">
        <v>3676</v>
      </c>
      <c r="D457" s="656" t="s">
        <v>639</v>
      </c>
      <c r="E457" s="646">
        <v>35600</v>
      </c>
      <c r="H457" s="646"/>
      <c r="I457" s="589">
        <f t="shared" si="6"/>
        <v>1</v>
      </c>
      <c r="K457" s="589"/>
      <c r="L457" s="589"/>
      <c r="M457" s="589"/>
      <c r="N457" s="589"/>
      <c r="O457" s="589"/>
      <c r="P457" s="589"/>
      <c r="Q457" s="589"/>
      <c r="R457" s="589"/>
      <c r="S457" s="589"/>
      <c r="T457" s="589"/>
      <c r="U457" s="589"/>
      <c r="V457" s="589"/>
      <c r="W457" s="589"/>
      <c r="X457" s="589"/>
      <c r="Y457" s="589"/>
      <c r="Z457" s="589"/>
      <c r="AA457" s="589"/>
      <c r="AB457" s="589"/>
      <c r="AC457" s="589"/>
      <c r="AD457" s="589"/>
      <c r="AE457" s="329"/>
      <c r="AF457" s="329"/>
      <c r="AG457" s="329"/>
      <c r="AH457" s="329"/>
      <c r="AI457" s="329"/>
      <c r="AJ457" s="329"/>
      <c r="AK457" s="329"/>
      <c r="AL457" s="329"/>
    </row>
    <row r="458" spans="1:38" s="30" customFormat="1" ht="17.100000000000001" customHeight="1">
      <c r="A458" s="329" t="s">
        <v>3677</v>
      </c>
      <c r="B458" s="664"/>
      <c r="C458" s="655" t="s">
        <v>3678</v>
      </c>
      <c r="D458" s="656" t="s">
        <v>639</v>
      </c>
      <c r="E458" s="646">
        <v>46800</v>
      </c>
      <c r="H458" s="646"/>
      <c r="I458" s="589">
        <f t="shared" si="6"/>
        <v>1</v>
      </c>
      <c r="K458" s="589"/>
      <c r="L458" s="589"/>
      <c r="M458" s="589"/>
      <c r="N458" s="589"/>
      <c r="O458" s="589"/>
      <c r="P458" s="589"/>
      <c r="Q458" s="589"/>
      <c r="R458" s="589"/>
      <c r="S458" s="589"/>
      <c r="T458" s="589"/>
      <c r="U458" s="589"/>
      <c r="V458" s="589"/>
      <c r="W458" s="589"/>
      <c r="X458" s="589"/>
      <c r="Y458" s="589"/>
      <c r="Z458" s="589"/>
      <c r="AA458" s="589"/>
      <c r="AB458" s="589"/>
      <c r="AC458" s="589"/>
      <c r="AD458" s="589"/>
      <c r="AE458" s="329"/>
      <c r="AF458" s="329"/>
      <c r="AG458" s="329"/>
      <c r="AH458" s="329"/>
      <c r="AI458" s="329"/>
      <c r="AJ458" s="329"/>
      <c r="AK458" s="329"/>
      <c r="AL458" s="329"/>
    </row>
    <row r="459" spans="1:38" s="30" customFormat="1" ht="17.100000000000001" customHeight="1">
      <c r="A459" s="329" t="s">
        <v>3679</v>
      </c>
      <c r="B459" s="664"/>
      <c r="C459" s="655" t="s">
        <v>3680</v>
      </c>
      <c r="D459" s="656" t="s">
        <v>639</v>
      </c>
      <c r="E459" s="646">
        <v>58000</v>
      </c>
      <c r="H459" s="646"/>
      <c r="I459" s="589">
        <f t="shared" si="6"/>
        <v>1</v>
      </c>
      <c r="K459" s="589"/>
      <c r="L459" s="589"/>
      <c r="M459" s="589"/>
      <c r="N459" s="589"/>
      <c r="O459" s="589"/>
      <c r="P459" s="589"/>
      <c r="Q459" s="589"/>
      <c r="R459" s="589"/>
      <c r="S459" s="589"/>
      <c r="T459" s="589"/>
      <c r="U459" s="589"/>
      <c r="V459" s="589"/>
      <c r="W459" s="589"/>
      <c r="X459" s="589"/>
      <c r="Y459" s="589"/>
      <c r="Z459" s="589"/>
      <c r="AA459" s="589"/>
      <c r="AB459" s="589"/>
      <c r="AC459" s="589"/>
      <c r="AD459" s="589"/>
      <c r="AE459" s="329"/>
      <c r="AF459" s="329"/>
      <c r="AG459" s="329"/>
      <c r="AH459" s="329"/>
      <c r="AI459" s="329"/>
      <c r="AJ459" s="329"/>
      <c r="AK459" s="329"/>
      <c r="AL459" s="329"/>
    </row>
    <row r="460" spans="1:38" s="30" customFormat="1" ht="17.100000000000001" customHeight="1">
      <c r="A460" s="329" t="s">
        <v>3990</v>
      </c>
      <c r="B460" s="664"/>
      <c r="C460" s="655" t="s">
        <v>6085</v>
      </c>
      <c r="D460" s="656" t="s">
        <v>639</v>
      </c>
      <c r="E460" s="646">
        <v>72500</v>
      </c>
      <c r="H460" s="646"/>
      <c r="I460" s="589">
        <f t="shared" si="6"/>
        <v>1</v>
      </c>
      <c r="K460" s="589"/>
      <c r="L460" s="589"/>
      <c r="M460" s="589"/>
      <c r="N460" s="589"/>
      <c r="O460" s="589"/>
      <c r="P460" s="589"/>
      <c r="Q460" s="589"/>
      <c r="R460" s="589"/>
      <c r="S460" s="589"/>
      <c r="T460" s="589"/>
      <c r="U460" s="589"/>
      <c r="V460" s="589"/>
      <c r="W460" s="589"/>
      <c r="X460" s="589"/>
      <c r="Y460" s="589"/>
      <c r="Z460" s="589"/>
      <c r="AA460" s="589"/>
      <c r="AB460" s="589"/>
      <c r="AC460" s="589"/>
      <c r="AD460" s="589"/>
      <c r="AE460" s="329"/>
      <c r="AF460" s="329"/>
      <c r="AG460" s="329"/>
      <c r="AH460" s="329"/>
      <c r="AI460" s="329"/>
      <c r="AJ460" s="329"/>
      <c r="AK460" s="329"/>
      <c r="AL460" s="329"/>
    </row>
    <row r="461" spans="1:38" s="30" customFormat="1" ht="17.100000000000001" customHeight="1">
      <c r="A461" s="329" t="s">
        <v>6086</v>
      </c>
      <c r="B461" s="664"/>
      <c r="C461" s="655" t="s">
        <v>6087</v>
      </c>
      <c r="D461" s="656" t="s">
        <v>639</v>
      </c>
      <c r="E461" s="646">
        <v>96400</v>
      </c>
      <c r="H461" s="646"/>
      <c r="I461" s="589">
        <f t="shared" si="6"/>
        <v>1</v>
      </c>
      <c r="K461" s="589"/>
      <c r="L461" s="589"/>
      <c r="M461" s="589"/>
      <c r="N461" s="589"/>
      <c r="O461" s="589"/>
      <c r="P461" s="589"/>
      <c r="Q461" s="589"/>
      <c r="R461" s="589"/>
      <c r="S461" s="589"/>
      <c r="T461" s="589"/>
      <c r="U461" s="589"/>
      <c r="V461" s="589"/>
      <c r="W461" s="589"/>
      <c r="X461" s="589"/>
      <c r="Y461" s="589"/>
      <c r="Z461" s="589"/>
      <c r="AA461" s="589"/>
      <c r="AB461" s="589"/>
      <c r="AC461" s="589"/>
      <c r="AD461" s="589"/>
      <c r="AE461" s="329"/>
      <c r="AF461" s="329"/>
      <c r="AG461" s="329"/>
      <c r="AH461" s="329"/>
      <c r="AI461" s="329"/>
      <c r="AJ461" s="329"/>
      <c r="AK461" s="329"/>
      <c r="AL461" s="329"/>
    </row>
    <row r="462" spans="1:38" s="30" customFormat="1" ht="17.100000000000001" customHeight="1">
      <c r="A462" s="329" t="s">
        <v>6088</v>
      </c>
      <c r="B462" s="664"/>
      <c r="C462" s="655" t="s">
        <v>3692</v>
      </c>
      <c r="D462" s="656" t="s">
        <v>639</v>
      </c>
      <c r="E462" s="646">
        <v>143800</v>
      </c>
      <c r="H462" s="646"/>
      <c r="I462" s="589">
        <f t="shared" si="6"/>
        <v>1</v>
      </c>
      <c r="K462" s="589"/>
      <c r="L462" s="589"/>
      <c r="M462" s="589"/>
      <c r="N462" s="589"/>
      <c r="O462" s="589"/>
      <c r="P462" s="589"/>
      <c r="Q462" s="589"/>
      <c r="R462" s="589"/>
      <c r="S462" s="589"/>
      <c r="T462" s="589"/>
      <c r="U462" s="589"/>
      <c r="V462" s="589"/>
      <c r="W462" s="589"/>
      <c r="X462" s="589"/>
      <c r="Y462" s="589"/>
      <c r="Z462" s="589"/>
      <c r="AA462" s="589"/>
      <c r="AB462" s="589"/>
      <c r="AC462" s="589"/>
      <c r="AD462" s="589"/>
      <c r="AE462" s="329"/>
      <c r="AF462" s="329"/>
      <c r="AG462" s="329"/>
      <c r="AH462" s="329"/>
      <c r="AI462" s="329"/>
      <c r="AJ462" s="329"/>
      <c r="AK462" s="329"/>
      <c r="AL462" s="329"/>
    </row>
    <row r="463" spans="1:38" s="30" customFormat="1" ht="17.100000000000001" customHeight="1">
      <c r="A463" s="329" t="s">
        <v>3693</v>
      </c>
      <c r="B463" s="664"/>
      <c r="C463" s="655" t="s">
        <v>6038</v>
      </c>
      <c r="D463" s="656" t="s">
        <v>639</v>
      </c>
      <c r="E463" s="646">
        <v>191000</v>
      </c>
      <c r="H463" s="646"/>
      <c r="I463" s="589">
        <f t="shared" si="6"/>
        <v>1</v>
      </c>
      <c r="K463" s="589"/>
      <c r="L463" s="589"/>
      <c r="M463" s="589"/>
      <c r="N463" s="589"/>
      <c r="O463" s="589"/>
      <c r="P463" s="589"/>
      <c r="Q463" s="589"/>
      <c r="R463" s="589"/>
      <c r="S463" s="589"/>
      <c r="T463" s="589"/>
      <c r="U463" s="589"/>
      <c r="V463" s="589"/>
      <c r="W463" s="589"/>
      <c r="X463" s="589"/>
      <c r="Y463" s="589"/>
      <c r="Z463" s="589"/>
      <c r="AA463" s="589"/>
      <c r="AB463" s="589"/>
      <c r="AC463" s="589"/>
      <c r="AD463" s="589"/>
      <c r="AE463" s="329"/>
      <c r="AF463" s="329"/>
      <c r="AG463" s="329"/>
      <c r="AH463" s="329"/>
      <c r="AI463" s="329"/>
      <c r="AJ463" s="329"/>
      <c r="AK463" s="329"/>
      <c r="AL463" s="329"/>
    </row>
    <row r="464" spans="1:38" s="30" customFormat="1" ht="17.100000000000001" customHeight="1">
      <c r="A464" s="329" t="s">
        <v>6039</v>
      </c>
      <c r="B464" s="664"/>
      <c r="C464" s="655" t="s">
        <v>6040</v>
      </c>
      <c r="D464" s="656" t="s">
        <v>639</v>
      </c>
      <c r="E464" s="646">
        <v>260000</v>
      </c>
      <c r="H464" s="646"/>
      <c r="I464" s="589">
        <f t="shared" si="6"/>
        <v>1</v>
      </c>
      <c r="K464" s="589"/>
      <c r="L464" s="589"/>
      <c r="M464" s="589"/>
      <c r="N464" s="589"/>
      <c r="O464" s="589"/>
      <c r="P464" s="589"/>
      <c r="Q464" s="589"/>
      <c r="R464" s="589"/>
      <c r="S464" s="589"/>
      <c r="T464" s="589"/>
      <c r="U464" s="589"/>
      <c r="V464" s="589"/>
      <c r="W464" s="589"/>
      <c r="X464" s="589"/>
      <c r="Y464" s="589"/>
      <c r="Z464" s="589"/>
      <c r="AA464" s="589"/>
      <c r="AB464" s="589"/>
      <c r="AC464" s="589"/>
      <c r="AD464" s="589"/>
      <c r="AE464" s="329"/>
      <c r="AF464" s="329"/>
      <c r="AG464" s="329"/>
      <c r="AH464" s="329"/>
      <c r="AI464" s="329"/>
      <c r="AJ464" s="329"/>
      <c r="AK464" s="329"/>
      <c r="AL464" s="329"/>
    </row>
    <row r="465" spans="1:38" s="30" customFormat="1" ht="17.100000000000001" customHeight="1">
      <c r="A465" s="329" t="s">
        <v>6041</v>
      </c>
      <c r="B465" s="664"/>
      <c r="C465" s="655" t="s">
        <v>401</v>
      </c>
      <c r="D465" s="656" t="s">
        <v>639</v>
      </c>
      <c r="E465" s="646">
        <v>358200</v>
      </c>
      <c r="H465" s="646"/>
      <c r="I465" s="589">
        <f t="shared" si="6"/>
        <v>1</v>
      </c>
      <c r="K465" s="589"/>
      <c r="L465" s="589"/>
      <c r="M465" s="589"/>
      <c r="N465" s="589"/>
      <c r="O465" s="589"/>
      <c r="P465" s="589"/>
      <c r="Q465" s="589"/>
      <c r="R465" s="589"/>
      <c r="S465" s="589"/>
      <c r="T465" s="589"/>
      <c r="U465" s="589"/>
      <c r="V465" s="589"/>
      <c r="W465" s="589"/>
      <c r="X465" s="589"/>
      <c r="Y465" s="589"/>
      <c r="Z465" s="589"/>
      <c r="AA465" s="589"/>
      <c r="AB465" s="589"/>
      <c r="AC465" s="589"/>
      <c r="AD465" s="589"/>
      <c r="AE465" s="329"/>
      <c r="AF465" s="329"/>
      <c r="AG465" s="329"/>
      <c r="AH465" s="329"/>
      <c r="AI465" s="329"/>
      <c r="AJ465" s="329"/>
      <c r="AK465" s="329"/>
      <c r="AL465" s="329"/>
    </row>
    <row r="466" spans="1:38" s="30" customFormat="1" ht="17.100000000000001" customHeight="1">
      <c r="A466" s="329" t="s">
        <v>402</v>
      </c>
      <c r="B466" s="664"/>
      <c r="C466" s="655" t="s">
        <v>403</v>
      </c>
      <c r="D466" s="656" t="s">
        <v>639</v>
      </c>
      <c r="E466" s="646">
        <v>503900</v>
      </c>
      <c r="H466" s="646"/>
      <c r="I466" s="589">
        <f t="shared" si="6"/>
        <v>1</v>
      </c>
      <c r="K466" s="589"/>
      <c r="L466" s="589"/>
      <c r="M466" s="589"/>
      <c r="N466" s="589"/>
      <c r="O466" s="589"/>
      <c r="P466" s="589"/>
      <c r="Q466" s="589"/>
      <c r="R466" s="589"/>
      <c r="S466" s="589"/>
      <c r="T466" s="589"/>
      <c r="U466" s="589"/>
      <c r="V466" s="589"/>
      <c r="W466" s="589"/>
      <c r="X466" s="589"/>
      <c r="Y466" s="589"/>
      <c r="Z466" s="589"/>
      <c r="AA466" s="589"/>
      <c r="AB466" s="589"/>
      <c r="AC466" s="589"/>
      <c r="AD466" s="589"/>
      <c r="AE466" s="329"/>
      <c r="AF466" s="329"/>
      <c r="AG466" s="329"/>
      <c r="AH466" s="329"/>
      <c r="AI466" s="329"/>
      <c r="AJ466" s="329"/>
      <c r="AK466" s="329"/>
      <c r="AL466" s="329"/>
    </row>
    <row r="467" spans="1:38" s="30" customFormat="1" ht="17.100000000000001" customHeight="1">
      <c r="A467" s="329" t="s">
        <v>404</v>
      </c>
      <c r="B467" s="664"/>
      <c r="C467" s="655" t="s">
        <v>5670</v>
      </c>
      <c r="D467" s="656" t="s">
        <v>639</v>
      </c>
      <c r="E467" s="646">
        <v>612800</v>
      </c>
      <c r="H467" s="646"/>
      <c r="I467" s="589">
        <f t="shared" si="6"/>
        <v>1</v>
      </c>
      <c r="K467" s="589"/>
      <c r="L467" s="589"/>
      <c r="M467" s="589"/>
      <c r="N467" s="589"/>
      <c r="O467" s="589"/>
      <c r="P467" s="589"/>
      <c r="Q467" s="589"/>
      <c r="R467" s="589"/>
      <c r="S467" s="589"/>
      <c r="T467" s="589"/>
      <c r="U467" s="589"/>
      <c r="V467" s="589"/>
      <c r="W467" s="589"/>
      <c r="X467" s="589"/>
      <c r="Y467" s="589"/>
      <c r="Z467" s="589"/>
      <c r="AA467" s="589"/>
      <c r="AB467" s="589"/>
      <c r="AC467" s="589"/>
      <c r="AD467" s="589"/>
      <c r="AE467" s="329"/>
      <c r="AF467" s="329"/>
      <c r="AG467" s="329"/>
      <c r="AH467" s="329"/>
      <c r="AI467" s="329"/>
      <c r="AJ467" s="329"/>
      <c r="AK467" s="329"/>
      <c r="AL467" s="329"/>
    </row>
    <row r="468" spans="1:38" s="30" customFormat="1" ht="17.100000000000001" customHeight="1">
      <c r="A468" s="329" t="s">
        <v>5671</v>
      </c>
      <c r="B468" s="664"/>
      <c r="C468" s="655" t="s">
        <v>5672</v>
      </c>
      <c r="D468" s="656" t="s">
        <v>639</v>
      </c>
      <c r="E468" s="646">
        <v>798100</v>
      </c>
      <c r="H468" s="646"/>
      <c r="I468" s="589">
        <f t="shared" si="6"/>
        <v>1</v>
      </c>
      <c r="K468" s="589"/>
      <c r="L468" s="589"/>
      <c r="M468" s="589"/>
      <c r="N468" s="589"/>
      <c r="O468" s="589"/>
      <c r="P468" s="589"/>
      <c r="Q468" s="589"/>
      <c r="R468" s="589"/>
      <c r="S468" s="589"/>
      <c r="T468" s="589"/>
      <c r="U468" s="589"/>
      <c r="V468" s="589"/>
      <c r="W468" s="589"/>
      <c r="X468" s="589"/>
      <c r="Y468" s="589"/>
      <c r="Z468" s="589"/>
      <c r="AA468" s="589"/>
      <c r="AB468" s="589"/>
      <c r="AC468" s="589"/>
      <c r="AD468" s="589"/>
      <c r="AE468" s="329"/>
      <c r="AF468" s="329"/>
      <c r="AG468" s="329"/>
      <c r="AH468" s="329"/>
      <c r="AI468" s="329"/>
      <c r="AJ468" s="329"/>
      <c r="AK468" s="329"/>
      <c r="AL468" s="329"/>
    </row>
    <row r="469" spans="1:38" s="30" customFormat="1" ht="17.100000000000001" customHeight="1">
      <c r="A469" s="329" t="s">
        <v>5673</v>
      </c>
      <c r="B469" s="664"/>
      <c r="C469" s="655" t="s">
        <v>5674</v>
      </c>
      <c r="D469" s="656" t="s">
        <v>639</v>
      </c>
      <c r="E469" s="646">
        <v>952400</v>
      </c>
      <c r="H469" s="646"/>
      <c r="I469" s="589">
        <f t="shared" si="6"/>
        <v>1</v>
      </c>
      <c r="K469" s="589"/>
      <c r="L469" s="589"/>
      <c r="M469" s="589"/>
      <c r="N469" s="589"/>
      <c r="O469" s="589"/>
      <c r="P469" s="589"/>
      <c r="Q469" s="589"/>
      <c r="R469" s="589"/>
      <c r="S469" s="589"/>
      <c r="T469" s="589"/>
      <c r="U469" s="589"/>
      <c r="V469" s="589"/>
      <c r="W469" s="589"/>
      <c r="X469" s="589"/>
      <c r="Y469" s="589"/>
      <c r="Z469" s="589"/>
      <c r="AA469" s="589"/>
      <c r="AB469" s="589"/>
      <c r="AC469" s="589"/>
      <c r="AD469" s="589"/>
      <c r="AE469" s="329"/>
      <c r="AF469" s="329"/>
      <c r="AG469" s="329"/>
      <c r="AH469" s="329"/>
      <c r="AI469" s="329"/>
      <c r="AJ469" s="329"/>
      <c r="AK469" s="329"/>
      <c r="AL469" s="329"/>
    </row>
    <row r="470" spans="1:38" s="30" customFormat="1" ht="17.100000000000001" customHeight="1">
      <c r="A470" s="329" t="s">
        <v>3718</v>
      </c>
      <c r="B470" s="664"/>
      <c r="C470" s="655" t="s">
        <v>3719</v>
      </c>
      <c r="D470" s="656" t="s">
        <v>639</v>
      </c>
      <c r="E470" s="646">
        <v>1240000</v>
      </c>
      <c r="H470" s="646"/>
      <c r="I470" s="589">
        <f t="shared" si="6"/>
        <v>1</v>
      </c>
      <c r="K470" s="589"/>
      <c r="L470" s="589"/>
      <c r="M470" s="589"/>
      <c r="N470" s="589"/>
      <c r="O470" s="589"/>
      <c r="P470" s="589"/>
      <c r="Q470" s="589"/>
      <c r="R470" s="589"/>
      <c r="S470" s="589"/>
      <c r="T470" s="589"/>
      <c r="U470" s="589"/>
      <c r="V470" s="589"/>
      <c r="W470" s="589"/>
      <c r="X470" s="589"/>
      <c r="Y470" s="589"/>
      <c r="Z470" s="589"/>
      <c r="AA470" s="589"/>
      <c r="AB470" s="589"/>
      <c r="AC470" s="589"/>
      <c r="AD470" s="589"/>
      <c r="AE470" s="329"/>
      <c r="AF470" s="329"/>
      <c r="AG470" s="329"/>
      <c r="AH470" s="329"/>
      <c r="AI470" s="329"/>
      <c r="AJ470" s="329"/>
      <c r="AK470" s="329"/>
      <c r="AL470" s="329"/>
    </row>
    <row r="471" spans="1:38" s="30" customFormat="1" ht="17.100000000000001" customHeight="1">
      <c r="A471" s="665"/>
      <c r="B471" s="664"/>
      <c r="C471" s="655"/>
      <c r="D471" s="656"/>
      <c r="E471" s="646"/>
      <c r="H471" s="646"/>
      <c r="I471" s="589">
        <f t="shared" ref="I471:I534" si="7">IF(E471=H471,0,1)</f>
        <v>0</v>
      </c>
      <c r="K471" s="589"/>
      <c r="L471" s="589"/>
      <c r="M471" s="589"/>
      <c r="N471" s="589"/>
      <c r="O471" s="589"/>
      <c r="P471" s="589"/>
      <c r="Q471" s="589"/>
      <c r="R471" s="589"/>
      <c r="S471" s="589"/>
      <c r="T471" s="589"/>
      <c r="U471" s="589"/>
      <c r="V471" s="589"/>
      <c r="W471" s="589"/>
      <c r="X471" s="589"/>
      <c r="Y471" s="589"/>
      <c r="Z471" s="589"/>
      <c r="AA471" s="589"/>
      <c r="AB471" s="589"/>
      <c r="AC471" s="589"/>
      <c r="AD471" s="589"/>
      <c r="AE471" s="329"/>
      <c r="AF471" s="329"/>
      <c r="AG471" s="329"/>
      <c r="AH471" s="329"/>
      <c r="AI471" s="329"/>
      <c r="AJ471" s="329"/>
      <c r="AK471" s="329"/>
      <c r="AL471" s="329"/>
    </row>
    <row r="472" spans="1:38" s="30" customFormat="1" ht="17.100000000000001" customHeight="1">
      <c r="A472" s="329" t="s">
        <v>3720</v>
      </c>
      <c r="B472" s="664"/>
      <c r="C472" s="655" t="s">
        <v>3721</v>
      </c>
      <c r="D472" s="656" t="s">
        <v>639</v>
      </c>
      <c r="E472" s="646">
        <v>25000</v>
      </c>
      <c r="H472" s="646"/>
      <c r="I472" s="589">
        <f t="shared" si="7"/>
        <v>1</v>
      </c>
      <c r="K472" s="589"/>
      <c r="L472" s="589"/>
      <c r="M472" s="589"/>
      <c r="N472" s="589"/>
      <c r="O472" s="589"/>
      <c r="P472" s="589"/>
      <c r="Q472" s="589"/>
      <c r="R472" s="589"/>
      <c r="S472" s="589"/>
      <c r="T472" s="589"/>
      <c r="U472" s="589"/>
      <c r="V472" s="589"/>
      <c r="W472" s="589"/>
      <c r="X472" s="589"/>
      <c r="Y472" s="589"/>
      <c r="Z472" s="589"/>
      <c r="AA472" s="589"/>
      <c r="AB472" s="589"/>
      <c r="AC472" s="589"/>
      <c r="AD472" s="589"/>
      <c r="AE472" s="329"/>
      <c r="AF472" s="329"/>
      <c r="AG472" s="329"/>
      <c r="AH472" s="329"/>
      <c r="AI472" s="329"/>
      <c r="AJ472" s="329"/>
      <c r="AK472" s="329"/>
      <c r="AL472" s="329"/>
    </row>
    <row r="473" spans="1:38" s="30" customFormat="1" ht="17.100000000000001" customHeight="1">
      <c r="A473" s="329" t="s">
        <v>6234</v>
      </c>
      <c r="B473" s="664"/>
      <c r="C473" s="655" t="s">
        <v>6235</v>
      </c>
      <c r="D473" s="656" t="s">
        <v>639</v>
      </c>
      <c r="E473" s="646">
        <v>32200</v>
      </c>
      <c r="H473" s="646"/>
      <c r="I473" s="589">
        <f t="shared" si="7"/>
        <v>1</v>
      </c>
      <c r="K473" s="589"/>
      <c r="L473" s="589"/>
      <c r="M473" s="589"/>
      <c r="N473" s="589"/>
      <c r="O473" s="589"/>
      <c r="P473" s="589"/>
      <c r="Q473" s="589"/>
      <c r="R473" s="589"/>
      <c r="S473" s="589"/>
      <c r="T473" s="589"/>
      <c r="U473" s="589"/>
      <c r="V473" s="589"/>
      <c r="W473" s="589"/>
      <c r="X473" s="589"/>
      <c r="Y473" s="589"/>
      <c r="Z473" s="589"/>
      <c r="AA473" s="589"/>
      <c r="AB473" s="589"/>
      <c r="AC473" s="589"/>
      <c r="AD473" s="589"/>
      <c r="AE473" s="329"/>
      <c r="AF473" s="329"/>
      <c r="AG473" s="329"/>
      <c r="AH473" s="329"/>
      <c r="AI473" s="329"/>
      <c r="AJ473" s="329"/>
      <c r="AK473" s="329"/>
      <c r="AL473" s="329"/>
    </row>
    <row r="474" spans="1:38" s="30" customFormat="1" ht="17.100000000000001" customHeight="1">
      <c r="A474" s="329" t="s">
        <v>6236</v>
      </c>
      <c r="B474" s="664"/>
      <c r="C474" s="655" t="s">
        <v>6237</v>
      </c>
      <c r="D474" s="656" t="s">
        <v>639</v>
      </c>
      <c r="E474" s="646">
        <v>46200</v>
      </c>
      <c r="H474" s="646"/>
      <c r="I474" s="589">
        <f t="shared" si="7"/>
        <v>1</v>
      </c>
      <c r="K474" s="589"/>
      <c r="L474" s="589"/>
      <c r="M474" s="589"/>
      <c r="N474" s="589"/>
      <c r="O474" s="589"/>
      <c r="P474" s="589"/>
      <c r="Q474" s="589"/>
      <c r="R474" s="589"/>
      <c r="S474" s="589"/>
      <c r="T474" s="589"/>
      <c r="U474" s="589"/>
      <c r="V474" s="589"/>
      <c r="W474" s="589"/>
      <c r="X474" s="589"/>
      <c r="Y474" s="589"/>
      <c r="Z474" s="589"/>
      <c r="AA474" s="589"/>
      <c r="AB474" s="589"/>
      <c r="AC474" s="589"/>
      <c r="AD474" s="589"/>
      <c r="AE474" s="329"/>
      <c r="AF474" s="329"/>
      <c r="AG474" s="329"/>
      <c r="AH474" s="329"/>
      <c r="AI474" s="329"/>
      <c r="AJ474" s="329"/>
      <c r="AK474" s="329"/>
      <c r="AL474" s="329"/>
    </row>
    <row r="475" spans="1:38" s="30" customFormat="1" ht="17.100000000000001" customHeight="1">
      <c r="A475" s="329" t="s">
        <v>6238</v>
      </c>
      <c r="B475" s="664"/>
      <c r="C475" s="655" t="s">
        <v>6239</v>
      </c>
      <c r="D475" s="656" t="s">
        <v>639</v>
      </c>
      <c r="E475" s="646">
        <v>62100</v>
      </c>
      <c r="H475" s="646"/>
      <c r="I475" s="589">
        <f t="shared" si="7"/>
        <v>1</v>
      </c>
      <c r="K475" s="589"/>
      <c r="L475" s="589"/>
      <c r="M475" s="589"/>
      <c r="N475" s="589"/>
      <c r="O475" s="589"/>
      <c r="P475" s="589"/>
      <c r="Q475" s="589"/>
      <c r="R475" s="589"/>
      <c r="S475" s="589"/>
      <c r="T475" s="589"/>
      <c r="U475" s="589"/>
      <c r="V475" s="589"/>
      <c r="W475" s="589"/>
      <c r="X475" s="589"/>
      <c r="Y475" s="589"/>
      <c r="Z475" s="589"/>
      <c r="AA475" s="589"/>
      <c r="AB475" s="589"/>
      <c r="AC475" s="589"/>
      <c r="AD475" s="589"/>
      <c r="AE475" s="329"/>
      <c r="AF475" s="329"/>
      <c r="AG475" s="329"/>
      <c r="AH475" s="329"/>
      <c r="AI475" s="329"/>
      <c r="AJ475" s="329"/>
      <c r="AK475" s="329"/>
      <c r="AL475" s="329"/>
    </row>
    <row r="476" spans="1:38" s="30" customFormat="1" ht="17.100000000000001" customHeight="1">
      <c r="A476" s="329" t="s">
        <v>6240</v>
      </c>
      <c r="B476" s="664"/>
      <c r="C476" s="655" t="s">
        <v>1244</v>
      </c>
      <c r="D476" s="656" t="s">
        <v>639</v>
      </c>
      <c r="E476" s="646">
        <v>76700</v>
      </c>
      <c r="H476" s="646"/>
      <c r="I476" s="589">
        <f t="shared" si="7"/>
        <v>1</v>
      </c>
      <c r="K476" s="589"/>
      <c r="L476" s="589"/>
      <c r="M476" s="589"/>
      <c r="N476" s="589"/>
      <c r="O476" s="589"/>
      <c r="P476" s="589"/>
      <c r="Q476" s="589"/>
      <c r="R476" s="589"/>
      <c r="S476" s="589"/>
      <c r="T476" s="589"/>
      <c r="U476" s="589"/>
      <c r="V476" s="589"/>
      <c r="W476" s="589"/>
      <c r="X476" s="589"/>
      <c r="Y476" s="589"/>
      <c r="Z476" s="589"/>
      <c r="AA476" s="589"/>
      <c r="AB476" s="589"/>
      <c r="AC476" s="589"/>
      <c r="AD476" s="589"/>
      <c r="AE476" s="329"/>
      <c r="AF476" s="329"/>
      <c r="AG476" s="329"/>
      <c r="AH476" s="329"/>
      <c r="AI476" s="329"/>
      <c r="AJ476" s="329"/>
      <c r="AK476" s="329"/>
      <c r="AL476" s="329"/>
    </row>
    <row r="477" spans="1:38" s="30" customFormat="1" ht="17.100000000000001" customHeight="1">
      <c r="A477" s="329" t="s">
        <v>1245</v>
      </c>
      <c r="B477" s="664"/>
      <c r="C477" s="655" t="s">
        <v>1246</v>
      </c>
      <c r="D477" s="656" t="s">
        <v>639</v>
      </c>
      <c r="E477" s="646">
        <v>99600</v>
      </c>
      <c r="H477" s="646"/>
      <c r="I477" s="589">
        <f t="shared" si="7"/>
        <v>1</v>
      </c>
      <c r="K477" s="589"/>
      <c r="L477" s="589"/>
      <c r="M477" s="589"/>
      <c r="N477" s="589"/>
      <c r="O477" s="589"/>
      <c r="P477" s="589"/>
      <c r="Q477" s="589"/>
      <c r="R477" s="589"/>
      <c r="S477" s="589"/>
      <c r="T477" s="589"/>
      <c r="U477" s="589"/>
      <c r="V477" s="589"/>
      <c r="W477" s="589"/>
      <c r="X477" s="589"/>
      <c r="Y477" s="589"/>
      <c r="Z477" s="589"/>
      <c r="AA477" s="589"/>
      <c r="AB477" s="589"/>
      <c r="AC477" s="589"/>
      <c r="AD477" s="589"/>
      <c r="AE477" s="329"/>
      <c r="AF477" s="329"/>
      <c r="AG477" s="329"/>
      <c r="AH477" s="329"/>
      <c r="AI477" s="329"/>
      <c r="AJ477" s="329"/>
      <c r="AK477" s="329"/>
      <c r="AL477" s="329"/>
    </row>
    <row r="478" spans="1:38" s="30" customFormat="1" ht="17.100000000000001" customHeight="1">
      <c r="A478" s="329" t="s">
        <v>1247</v>
      </c>
      <c r="B478" s="664"/>
      <c r="C478" s="655" t="s">
        <v>5118</v>
      </c>
      <c r="D478" s="656" t="s">
        <v>639</v>
      </c>
      <c r="E478" s="646">
        <v>135100</v>
      </c>
      <c r="H478" s="646"/>
      <c r="I478" s="589">
        <f t="shared" si="7"/>
        <v>1</v>
      </c>
      <c r="K478" s="589"/>
      <c r="L478" s="589"/>
      <c r="M478" s="589"/>
      <c r="N478" s="589"/>
      <c r="O478" s="589"/>
      <c r="P478" s="589"/>
      <c r="Q478" s="589"/>
      <c r="R478" s="589"/>
      <c r="S478" s="589"/>
      <c r="T478" s="589"/>
      <c r="U478" s="589"/>
      <c r="V478" s="589"/>
      <c r="W478" s="589"/>
      <c r="X478" s="589"/>
      <c r="Y478" s="589"/>
      <c r="Z478" s="589"/>
      <c r="AA478" s="589"/>
      <c r="AB478" s="589"/>
      <c r="AC478" s="589"/>
      <c r="AD478" s="589"/>
      <c r="AE478" s="329"/>
      <c r="AF478" s="329"/>
      <c r="AG478" s="329"/>
      <c r="AH478" s="329"/>
      <c r="AI478" s="329"/>
      <c r="AJ478" s="329"/>
      <c r="AK478" s="329"/>
      <c r="AL478" s="329"/>
    </row>
    <row r="479" spans="1:38" s="30" customFormat="1" ht="17.100000000000001" customHeight="1">
      <c r="A479" s="329" t="s">
        <v>5119</v>
      </c>
      <c r="B479" s="664"/>
      <c r="C479" s="655" t="s">
        <v>5120</v>
      </c>
      <c r="D479" s="656" t="s">
        <v>639</v>
      </c>
      <c r="E479" s="646">
        <v>204200</v>
      </c>
      <c r="H479" s="646"/>
      <c r="I479" s="589">
        <f t="shared" si="7"/>
        <v>1</v>
      </c>
      <c r="K479" s="589"/>
      <c r="L479" s="589"/>
      <c r="M479" s="589"/>
      <c r="N479" s="589"/>
      <c r="O479" s="589"/>
      <c r="P479" s="589"/>
      <c r="Q479" s="589"/>
      <c r="R479" s="589"/>
      <c r="S479" s="589"/>
      <c r="T479" s="589"/>
      <c r="U479" s="589"/>
      <c r="V479" s="589"/>
      <c r="W479" s="589"/>
      <c r="X479" s="589"/>
      <c r="Y479" s="589"/>
      <c r="Z479" s="589"/>
      <c r="AA479" s="589"/>
      <c r="AB479" s="589"/>
      <c r="AC479" s="589"/>
      <c r="AD479" s="589"/>
      <c r="AE479" s="329"/>
      <c r="AF479" s="329"/>
      <c r="AG479" s="329"/>
      <c r="AH479" s="329"/>
      <c r="AI479" s="329"/>
      <c r="AJ479" s="329"/>
      <c r="AK479" s="329"/>
      <c r="AL479" s="329"/>
    </row>
    <row r="480" spans="1:38" s="30" customFormat="1" ht="17.100000000000001" customHeight="1">
      <c r="A480" s="329" t="s">
        <v>5121</v>
      </c>
      <c r="B480" s="664"/>
      <c r="C480" s="655" t="s">
        <v>978</v>
      </c>
      <c r="D480" s="656" t="s">
        <v>639</v>
      </c>
      <c r="E480" s="646">
        <v>272400</v>
      </c>
      <c r="H480" s="646"/>
      <c r="I480" s="589">
        <f t="shared" si="7"/>
        <v>1</v>
      </c>
      <c r="K480" s="589"/>
      <c r="L480" s="589"/>
      <c r="M480" s="589"/>
      <c r="N480" s="589"/>
      <c r="O480" s="589"/>
      <c r="P480" s="589"/>
      <c r="Q480" s="589"/>
      <c r="R480" s="589"/>
      <c r="S480" s="589"/>
      <c r="T480" s="589"/>
      <c r="U480" s="589"/>
      <c r="V480" s="589"/>
      <c r="W480" s="589"/>
      <c r="X480" s="589"/>
      <c r="Y480" s="589"/>
      <c r="Z480" s="589"/>
      <c r="AA480" s="589"/>
      <c r="AB480" s="589"/>
      <c r="AC480" s="589"/>
      <c r="AD480" s="589"/>
      <c r="AE480" s="329"/>
      <c r="AF480" s="329"/>
      <c r="AG480" s="329"/>
      <c r="AH480" s="329"/>
      <c r="AI480" s="329"/>
      <c r="AJ480" s="329"/>
      <c r="AK480" s="329"/>
      <c r="AL480" s="329"/>
    </row>
    <row r="481" spans="1:38" s="30" customFormat="1" ht="17.100000000000001" customHeight="1">
      <c r="A481" s="329" t="s">
        <v>979</v>
      </c>
      <c r="B481" s="664"/>
      <c r="C481" s="655" t="s">
        <v>6347</v>
      </c>
      <c r="D481" s="656" t="s">
        <v>639</v>
      </c>
      <c r="E481" s="646">
        <v>377400</v>
      </c>
      <c r="H481" s="646"/>
      <c r="I481" s="589">
        <f t="shared" si="7"/>
        <v>1</v>
      </c>
      <c r="K481" s="589"/>
      <c r="L481" s="589"/>
      <c r="M481" s="589"/>
      <c r="N481" s="589"/>
      <c r="O481" s="589"/>
      <c r="P481" s="589"/>
      <c r="Q481" s="589"/>
      <c r="R481" s="589"/>
      <c r="S481" s="589"/>
      <c r="T481" s="589"/>
      <c r="U481" s="589"/>
      <c r="V481" s="589"/>
      <c r="W481" s="589"/>
      <c r="X481" s="589"/>
      <c r="Y481" s="589"/>
      <c r="Z481" s="589"/>
      <c r="AA481" s="589"/>
      <c r="AB481" s="589"/>
      <c r="AC481" s="589"/>
      <c r="AD481" s="589"/>
      <c r="AE481" s="329"/>
      <c r="AF481" s="329"/>
      <c r="AG481" s="329"/>
      <c r="AH481" s="329"/>
      <c r="AI481" s="329"/>
      <c r="AJ481" s="329"/>
      <c r="AK481" s="329"/>
      <c r="AL481" s="329"/>
    </row>
    <row r="482" spans="1:38" s="30" customFormat="1" ht="17.100000000000001" customHeight="1">
      <c r="A482" s="329" t="s">
        <v>6348</v>
      </c>
      <c r="B482" s="664"/>
      <c r="C482" s="655" t="s">
        <v>6349</v>
      </c>
      <c r="D482" s="656" t="s">
        <v>639</v>
      </c>
      <c r="E482" s="646">
        <v>535500</v>
      </c>
      <c r="H482" s="646"/>
      <c r="I482" s="589">
        <f t="shared" si="7"/>
        <v>1</v>
      </c>
      <c r="K482" s="589"/>
      <c r="L482" s="589"/>
      <c r="M482" s="589"/>
      <c r="N482" s="589"/>
      <c r="O482" s="589"/>
      <c r="P482" s="589"/>
      <c r="Q482" s="589"/>
      <c r="R482" s="589"/>
      <c r="S482" s="589"/>
      <c r="T482" s="589"/>
      <c r="U482" s="589"/>
      <c r="V482" s="589"/>
      <c r="W482" s="589"/>
      <c r="X482" s="589"/>
      <c r="Y482" s="589"/>
      <c r="Z482" s="589"/>
      <c r="AA482" s="589"/>
      <c r="AB482" s="589"/>
      <c r="AC482" s="589"/>
      <c r="AD482" s="589"/>
      <c r="AE482" s="329"/>
      <c r="AF482" s="329"/>
      <c r="AG482" s="329"/>
      <c r="AH482" s="329"/>
      <c r="AI482" s="329"/>
      <c r="AJ482" s="329"/>
      <c r="AK482" s="329"/>
      <c r="AL482" s="329"/>
    </row>
    <row r="483" spans="1:38" s="30" customFormat="1" ht="17.100000000000001" customHeight="1">
      <c r="A483" s="329" t="s">
        <v>2637</v>
      </c>
      <c r="B483" s="664"/>
      <c r="C483" s="655" t="s">
        <v>2638</v>
      </c>
      <c r="D483" s="656" t="s">
        <v>639</v>
      </c>
      <c r="E483" s="646">
        <v>729800</v>
      </c>
      <c r="H483" s="646"/>
      <c r="I483" s="589">
        <f t="shared" si="7"/>
        <v>1</v>
      </c>
      <c r="K483" s="589"/>
      <c r="L483" s="589"/>
      <c r="M483" s="589"/>
      <c r="N483" s="589"/>
      <c r="O483" s="589"/>
      <c r="P483" s="589"/>
      <c r="Q483" s="589"/>
      <c r="R483" s="589"/>
      <c r="S483" s="589"/>
      <c r="T483" s="589"/>
      <c r="U483" s="589"/>
      <c r="V483" s="589"/>
      <c r="W483" s="589"/>
      <c r="X483" s="589"/>
      <c r="Y483" s="589"/>
      <c r="Z483" s="589"/>
      <c r="AA483" s="589"/>
      <c r="AB483" s="589"/>
      <c r="AC483" s="589"/>
      <c r="AD483" s="589"/>
      <c r="AE483" s="329"/>
      <c r="AF483" s="329"/>
      <c r="AG483" s="329"/>
      <c r="AH483" s="329"/>
      <c r="AI483" s="329"/>
      <c r="AJ483" s="329"/>
      <c r="AK483" s="329"/>
      <c r="AL483" s="329"/>
    </row>
    <row r="484" spans="1:38" s="30" customFormat="1" ht="17.100000000000001" customHeight="1">
      <c r="A484" s="329" t="s">
        <v>2639</v>
      </c>
      <c r="B484" s="664"/>
      <c r="C484" s="655" t="s">
        <v>3586</v>
      </c>
      <c r="D484" s="656" t="s">
        <v>639</v>
      </c>
      <c r="E484" s="646">
        <v>889400</v>
      </c>
      <c r="H484" s="646"/>
      <c r="I484" s="589">
        <f t="shared" si="7"/>
        <v>1</v>
      </c>
      <c r="K484" s="589"/>
      <c r="L484" s="589"/>
      <c r="M484" s="589"/>
      <c r="N484" s="589"/>
      <c r="O484" s="589"/>
      <c r="P484" s="589"/>
      <c r="Q484" s="589"/>
      <c r="R484" s="589"/>
      <c r="S484" s="589"/>
      <c r="T484" s="589"/>
      <c r="U484" s="589"/>
      <c r="V484" s="589"/>
      <c r="W484" s="589"/>
      <c r="X484" s="589"/>
      <c r="Y484" s="589"/>
      <c r="Z484" s="589"/>
      <c r="AA484" s="589"/>
      <c r="AB484" s="589"/>
      <c r="AC484" s="589"/>
      <c r="AD484" s="589"/>
      <c r="AE484" s="329"/>
      <c r="AF484" s="329"/>
      <c r="AG484" s="329"/>
      <c r="AH484" s="329"/>
      <c r="AI484" s="329"/>
      <c r="AJ484" s="329"/>
      <c r="AK484" s="329"/>
      <c r="AL484" s="329"/>
    </row>
    <row r="485" spans="1:38" s="30" customFormat="1" ht="17.100000000000001" customHeight="1">
      <c r="A485" s="329" t="s">
        <v>3587</v>
      </c>
      <c r="B485" s="664"/>
      <c r="C485" s="655" t="s">
        <v>3588</v>
      </c>
      <c r="D485" s="656" t="s">
        <v>639</v>
      </c>
      <c r="E485" s="646">
        <v>1164300</v>
      </c>
      <c r="H485" s="646"/>
      <c r="I485" s="589">
        <f t="shared" si="7"/>
        <v>1</v>
      </c>
      <c r="K485" s="589"/>
      <c r="L485" s="589"/>
      <c r="M485" s="589"/>
      <c r="N485" s="589"/>
      <c r="O485" s="589"/>
      <c r="P485" s="589"/>
      <c r="Q485" s="589"/>
      <c r="R485" s="589"/>
      <c r="S485" s="589"/>
      <c r="T485" s="589"/>
      <c r="U485" s="589"/>
      <c r="V485" s="589"/>
      <c r="W485" s="589"/>
      <c r="X485" s="589"/>
      <c r="Y485" s="589"/>
      <c r="Z485" s="589"/>
      <c r="AA485" s="589"/>
      <c r="AB485" s="589"/>
      <c r="AC485" s="589"/>
      <c r="AD485" s="589"/>
      <c r="AE485" s="329"/>
      <c r="AF485" s="329"/>
      <c r="AG485" s="329"/>
      <c r="AH485" s="329"/>
      <c r="AI485" s="329"/>
      <c r="AJ485" s="329"/>
      <c r="AK485" s="329"/>
      <c r="AL485" s="329"/>
    </row>
    <row r="486" spans="1:38" s="30" customFormat="1" ht="17.100000000000001" customHeight="1">
      <c r="A486" s="329" t="s">
        <v>3587</v>
      </c>
      <c r="B486" s="664"/>
      <c r="C486" s="655" t="s">
        <v>2202</v>
      </c>
      <c r="D486" s="656" t="s">
        <v>639</v>
      </c>
      <c r="E486" s="646">
        <v>1389300</v>
      </c>
      <c r="H486" s="646"/>
      <c r="I486" s="589">
        <f t="shared" si="7"/>
        <v>1</v>
      </c>
      <c r="K486" s="589"/>
      <c r="L486" s="589"/>
      <c r="M486" s="589"/>
      <c r="N486" s="589"/>
      <c r="O486" s="589"/>
      <c r="P486" s="589"/>
      <c r="Q486" s="589"/>
      <c r="R486" s="589"/>
      <c r="S486" s="589"/>
      <c r="T486" s="589"/>
      <c r="U486" s="589"/>
      <c r="V486" s="589"/>
      <c r="W486" s="589"/>
      <c r="X486" s="589"/>
      <c r="Y486" s="589"/>
      <c r="Z486" s="589"/>
      <c r="AA486" s="589"/>
      <c r="AB486" s="589"/>
      <c r="AC486" s="589"/>
      <c r="AD486" s="589"/>
      <c r="AE486" s="329"/>
      <c r="AF486" s="329"/>
      <c r="AG486" s="329"/>
      <c r="AH486" s="329"/>
      <c r="AI486" s="329"/>
      <c r="AJ486" s="329"/>
      <c r="AK486" s="329"/>
      <c r="AL486" s="329"/>
    </row>
    <row r="487" spans="1:38" s="30" customFormat="1" ht="17.100000000000001" customHeight="1">
      <c r="A487" s="329" t="s">
        <v>3587</v>
      </c>
      <c r="B487" s="664"/>
      <c r="C487" s="655" t="s">
        <v>2203</v>
      </c>
      <c r="D487" s="656" t="s">
        <v>639</v>
      </c>
      <c r="E487" s="646">
        <v>1815900</v>
      </c>
      <c r="H487" s="646"/>
      <c r="I487" s="589">
        <f t="shared" si="7"/>
        <v>1</v>
      </c>
      <c r="K487" s="589"/>
      <c r="L487" s="589"/>
      <c r="M487" s="589"/>
      <c r="N487" s="589"/>
      <c r="O487" s="589"/>
      <c r="P487" s="589"/>
      <c r="Q487" s="589"/>
      <c r="R487" s="589"/>
      <c r="S487" s="589"/>
      <c r="T487" s="589"/>
      <c r="U487" s="589"/>
      <c r="V487" s="589"/>
      <c r="W487" s="589"/>
      <c r="X487" s="589"/>
      <c r="Y487" s="589"/>
      <c r="Z487" s="589"/>
      <c r="AA487" s="589"/>
      <c r="AB487" s="589"/>
      <c r="AC487" s="589"/>
      <c r="AD487" s="589"/>
      <c r="AE487" s="329"/>
      <c r="AF487" s="329"/>
      <c r="AG487" s="329"/>
      <c r="AH487" s="329"/>
      <c r="AI487" s="329"/>
      <c r="AJ487" s="329"/>
      <c r="AK487" s="329"/>
      <c r="AL487" s="329"/>
    </row>
    <row r="488" spans="1:38" s="30" customFormat="1" ht="17.100000000000001" customHeight="1">
      <c r="A488" s="665"/>
      <c r="B488" s="664"/>
      <c r="C488" s="655"/>
      <c r="D488" s="656"/>
      <c r="E488" s="646"/>
      <c r="H488" s="646"/>
      <c r="I488" s="589">
        <f t="shared" si="7"/>
        <v>0</v>
      </c>
      <c r="K488" s="589"/>
      <c r="L488" s="589"/>
      <c r="M488" s="589"/>
      <c r="N488" s="589"/>
      <c r="O488" s="589"/>
      <c r="P488" s="589"/>
      <c r="Q488" s="589"/>
      <c r="R488" s="589"/>
      <c r="S488" s="589"/>
      <c r="T488" s="589"/>
      <c r="U488" s="589"/>
      <c r="V488" s="589"/>
      <c r="W488" s="589"/>
      <c r="X488" s="589"/>
      <c r="Y488" s="589"/>
      <c r="Z488" s="589"/>
      <c r="AA488" s="589"/>
      <c r="AB488" s="589"/>
      <c r="AC488" s="589"/>
      <c r="AD488" s="589"/>
      <c r="AE488" s="329"/>
      <c r="AF488" s="329"/>
      <c r="AG488" s="329"/>
      <c r="AH488" s="329"/>
      <c r="AI488" s="329"/>
      <c r="AJ488" s="329"/>
      <c r="AK488" s="329"/>
      <c r="AL488" s="329"/>
    </row>
    <row r="489" spans="1:38" s="30" customFormat="1" ht="17.100000000000001" customHeight="1">
      <c r="A489" s="329" t="s">
        <v>2204</v>
      </c>
      <c r="B489" s="664"/>
      <c r="C489" s="655" t="s">
        <v>4376</v>
      </c>
      <c r="D489" s="656" t="s">
        <v>639</v>
      </c>
      <c r="E489" s="646">
        <v>28800</v>
      </c>
      <c r="H489" s="646"/>
      <c r="I489" s="589">
        <f t="shared" si="7"/>
        <v>1</v>
      </c>
      <c r="K489" s="589"/>
      <c r="L489" s="589"/>
      <c r="M489" s="589"/>
      <c r="N489" s="589"/>
      <c r="O489" s="589"/>
      <c r="P489" s="589"/>
      <c r="Q489" s="589"/>
      <c r="R489" s="589"/>
      <c r="S489" s="589"/>
      <c r="T489" s="589"/>
      <c r="U489" s="589"/>
      <c r="V489" s="589"/>
      <c r="W489" s="589"/>
      <c r="X489" s="589"/>
      <c r="Y489" s="589"/>
      <c r="Z489" s="589"/>
      <c r="AA489" s="589"/>
      <c r="AB489" s="589"/>
      <c r="AC489" s="589"/>
      <c r="AD489" s="589"/>
      <c r="AE489" s="329"/>
      <c r="AF489" s="329"/>
      <c r="AG489" s="329"/>
      <c r="AH489" s="329"/>
      <c r="AI489" s="329"/>
      <c r="AJ489" s="329"/>
      <c r="AK489" s="329"/>
      <c r="AL489" s="329"/>
    </row>
    <row r="490" spans="1:38" s="30" customFormat="1" ht="17.100000000000001" customHeight="1">
      <c r="A490" s="329" t="s">
        <v>4377</v>
      </c>
      <c r="B490" s="664"/>
      <c r="C490" s="655" t="s">
        <v>4378</v>
      </c>
      <c r="D490" s="656" t="s">
        <v>639</v>
      </c>
      <c r="E490" s="646">
        <v>39800</v>
      </c>
      <c r="H490" s="646"/>
      <c r="I490" s="589">
        <f t="shared" si="7"/>
        <v>1</v>
      </c>
      <c r="K490" s="589"/>
      <c r="L490" s="589"/>
      <c r="M490" s="589"/>
      <c r="N490" s="589"/>
      <c r="O490" s="589"/>
      <c r="P490" s="589"/>
      <c r="Q490" s="589"/>
      <c r="R490" s="589"/>
      <c r="S490" s="589"/>
      <c r="T490" s="589"/>
      <c r="U490" s="589"/>
      <c r="V490" s="589"/>
      <c r="W490" s="589"/>
      <c r="X490" s="589"/>
      <c r="Y490" s="589"/>
      <c r="Z490" s="589"/>
      <c r="AA490" s="589"/>
      <c r="AB490" s="589"/>
      <c r="AC490" s="589"/>
      <c r="AD490" s="589"/>
      <c r="AE490" s="329"/>
      <c r="AF490" s="329"/>
      <c r="AG490" s="329"/>
      <c r="AH490" s="329"/>
      <c r="AI490" s="329"/>
      <c r="AJ490" s="329"/>
      <c r="AK490" s="329"/>
      <c r="AL490" s="329"/>
    </row>
    <row r="491" spans="1:38" s="30" customFormat="1" ht="17.100000000000001" customHeight="1">
      <c r="A491" s="329" t="s">
        <v>4379</v>
      </c>
      <c r="B491" s="664"/>
      <c r="C491" s="655" t="s">
        <v>1851</v>
      </c>
      <c r="D491" s="656" t="s">
        <v>639</v>
      </c>
      <c r="E491" s="646">
        <v>57900</v>
      </c>
      <c r="H491" s="646"/>
      <c r="I491" s="589">
        <f t="shared" si="7"/>
        <v>1</v>
      </c>
      <c r="K491" s="589"/>
      <c r="L491" s="589"/>
      <c r="M491" s="589"/>
      <c r="N491" s="589"/>
      <c r="O491" s="589"/>
      <c r="P491" s="589"/>
      <c r="Q491" s="589"/>
      <c r="R491" s="589"/>
      <c r="S491" s="589"/>
      <c r="T491" s="589"/>
      <c r="U491" s="589"/>
      <c r="V491" s="589"/>
      <c r="W491" s="589"/>
      <c r="X491" s="589"/>
      <c r="Y491" s="589"/>
      <c r="Z491" s="589"/>
      <c r="AA491" s="589"/>
      <c r="AB491" s="589"/>
      <c r="AC491" s="589"/>
      <c r="AD491" s="589"/>
      <c r="AE491" s="329"/>
      <c r="AF491" s="329"/>
      <c r="AG491" s="329"/>
      <c r="AH491" s="329"/>
      <c r="AI491" s="329"/>
      <c r="AJ491" s="329"/>
      <c r="AK491" s="329"/>
      <c r="AL491" s="329"/>
    </row>
    <row r="492" spans="1:38" s="30" customFormat="1" ht="17.100000000000001" customHeight="1">
      <c r="A492" s="329" t="s">
        <v>1852</v>
      </c>
      <c r="B492" s="664"/>
      <c r="C492" s="655" t="s">
        <v>1853</v>
      </c>
      <c r="D492" s="656" t="s">
        <v>639</v>
      </c>
      <c r="E492" s="646">
        <v>77100</v>
      </c>
      <c r="H492" s="646"/>
      <c r="I492" s="589">
        <f t="shared" si="7"/>
        <v>1</v>
      </c>
      <c r="K492" s="589"/>
      <c r="L492" s="589"/>
      <c r="M492" s="589"/>
      <c r="N492" s="589"/>
      <c r="O492" s="589"/>
      <c r="P492" s="589"/>
      <c r="Q492" s="589"/>
      <c r="R492" s="589"/>
      <c r="S492" s="589"/>
      <c r="T492" s="589"/>
      <c r="U492" s="589"/>
      <c r="V492" s="589"/>
      <c r="W492" s="589"/>
      <c r="X492" s="589"/>
      <c r="Y492" s="589"/>
      <c r="Z492" s="589"/>
      <c r="AA492" s="589"/>
      <c r="AB492" s="589"/>
      <c r="AC492" s="589"/>
      <c r="AD492" s="589"/>
      <c r="AE492" s="329"/>
      <c r="AF492" s="329"/>
      <c r="AG492" s="329"/>
      <c r="AH492" s="329"/>
      <c r="AI492" s="329"/>
      <c r="AJ492" s="329"/>
      <c r="AK492" s="329"/>
      <c r="AL492" s="329"/>
    </row>
    <row r="493" spans="1:38" s="30" customFormat="1" ht="17.100000000000001" customHeight="1">
      <c r="A493" s="329" t="s">
        <v>1854</v>
      </c>
      <c r="B493" s="664"/>
      <c r="C493" s="655" t="s">
        <v>1855</v>
      </c>
      <c r="D493" s="656" t="s">
        <v>639</v>
      </c>
      <c r="E493" s="646">
        <v>97800</v>
      </c>
      <c r="H493" s="646"/>
      <c r="I493" s="589">
        <f t="shared" si="7"/>
        <v>1</v>
      </c>
      <c r="K493" s="589"/>
      <c r="L493" s="589"/>
      <c r="M493" s="589"/>
      <c r="N493" s="589"/>
      <c r="O493" s="589"/>
      <c r="P493" s="589"/>
      <c r="Q493" s="589"/>
      <c r="R493" s="589"/>
      <c r="S493" s="589"/>
      <c r="T493" s="589"/>
      <c r="U493" s="589"/>
      <c r="V493" s="589"/>
      <c r="W493" s="589"/>
      <c r="X493" s="589"/>
      <c r="Y493" s="589"/>
      <c r="Z493" s="589"/>
      <c r="AA493" s="589"/>
      <c r="AB493" s="589"/>
      <c r="AC493" s="589"/>
      <c r="AD493" s="589"/>
      <c r="AE493" s="329"/>
      <c r="AF493" s="329"/>
      <c r="AG493" s="329"/>
      <c r="AH493" s="329"/>
      <c r="AI493" s="329"/>
      <c r="AJ493" s="329"/>
      <c r="AK493" s="329"/>
      <c r="AL493" s="329"/>
    </row>
    <row r="494" spans="1:38" s="30" customFormat="1" ht="17.100000000000001" customHeight="1">
      <c r="A494" s="329" t="s">
        <v>1856</v>
      </c>
      <c r="B494" s="664"/>
      <c r="C494" s="655" t="s">
        <v>1857</v>
      </c>
      <c r="D494" s="656" t="s">
        <v>639</v>
      </c>
      <c r="E494" s="646">
        <v>127800</v>
      </c>
      <c r="H494" s="646"/>
      <c r="I494" s="589">
        <f t="shared" si="7"/>
        <v>1</v>
      </c>
      <c r="K494" s="589"/>
      <c r="L494" s="589"/>
      <c r="M494" s="589"/>
      <c r="N494" s="589"/>
      <c r="O494" s="589"/>
      <c r="P494" s="589"/>
      <c r="Q494" s="589"/>
      <c r="R494" s="589"/>
      <c r="S494" s="589"/>
      <c r="T494" s="589"/>
      <c r="U494" s="589"/>
      <c r="V494" s="589"/>
      <c r="W494" s="589"/>
      <c r="X494" s="589"/>
      <c r="Y494" s="589"/>
      <c r="Z494" s="589"/>
      <c r="AA494" s="589"/>
      <c r="AB494" s="589"/>
      <c r="AC494" s="589"/>
      <c r="AD494" s="589"/>
      <c r="AE494" s="329"/>
      <c r="AF494" s="329"/>
      <c r="AG494" s="329"/>
      <c r="AH494" s="329"/>
      <c r="AI494" s="329"/>
      <c r="AJ494" s="329"/>
      <c r="AK494" s="329"/>
      <c r="AL494" s="329"/>
    </row>
    <row r="495" spans="1:38" s="30" customFormat="1" ht="17.100000000000001" customHeight="1">
      <c r="A495" s="329" t="s">
        <v>1858</v>
      </c>
      <c r="B495" s="664"/>
      <c r="C495" s="655" t="s">
        <v>448</v>
      </c>
      <c r="D495" s="656" t="s">
        <v>639</v>
      </c>
      <c r="E495" s="646">
        <v>174500</v>
      </c>
      <c r="H495" s="646"/>
      <c r="I495" s="589">
        <f t="shared" si="7"/>
        <v>1</v>
      </c>
      <c r="K495" s="589"/>
      <c r="L495" s="589"/>
      <c r="M495" s="589"/>
      <c r="N495" s="589"/>
      <c r="O495" s="589"/>
      <c r="P495" s="589"/>
      <c r="Q495" s="589"/>
      <c r="R495" s="589"/>
      <c r="S495" s="589"/>
      <c r="T495" s="589"/>
      <c r="U495" s="589"/>
      <c r="V495" s="589"/>
      <c r="W495" s="589"/>
      <c r="X495" s="589"/>
      <c r="Y495" s="589"/>
      <c r="Z495" s="589"/>
      <c r="AA495" s="589"/>
      <c r="AB495" s="589"/>
      <c r="AC495" s="589"/>
      <c r="AD495" s="589"/>
      <c r="AE495" s="329"/>
      <c r="AF495" s="329"/>
      <c r="AG495" s="329"/>
      <c r="AH495" s="329"/>
      <c r="AI495" s="329"/>
      <c r="AJ495" s="329"/>
      <c r="AK495" s="329"/>
      <c r="AL495" s="329"/>
    </row>
    <row r="496" spans="1:38" s="30" customFormat="1" ht="17.100000000000001" customHeight="1">
      <c r="A496" s="329" t="s">
        <v>449</v>
      </c>
      <c r="B496" s="664"/>
      <c r="C496" s="655" t="s">
        <v>989</v>
      </c>
      <c r="D496" s="656" t="s">
        <v>639</v>
      </c>
      <c r="E496" s="646">
        <v>264800</v>
      </c>
      <c r="H496" s="646"/>
      <c r="I496" s="589">
        <f t="shared" si="7"/>
        <v>1</v>
      </c>
      <c r="K496" s="589"/>
      <c r="L496" s="589"/>
      <c r="M496" s="589"/>
      <c r="N496" s="589"/>
      <c r="O496" s="589"/>
      <c r="P496" s="589"/>
      <c r="Q496" s="589"/>
      <c r="R496" s="589"/>
      <c r="S496" s="589"/>
      <c r="T496" s="589"/>
      <c r="U496" s="589"/>
      <c r="V496" s="589"/>
      <c r="W496" s="589"/>
      <c r="X496" s="589"/>
      <c r="Y496" s="589"/>
      <c r="Z496" s="589"/>
      <c r="AA496" s="589"/>
      <c r="AB496" s="589"/>
      <c r="AC496" s="589"/>
      <c r="AD496" s="589"/>
      <c r="AE496" s="329"/>
      <c r="AF496" s="329"/>
      <c r="AG496" s="329"/>
      <c r="AH496" s="329"/>
      <c r="AI496" s="329"/>
      <c r="AJ496" s="329"/>
      <c r="AK496" s="329"/>
      <c r="AL496" s="329"/>
    </row>
    <row r="497" spans="1:38" s="30" customFormat="1" ht="17.100000000000001" customHeight="1">
      <c r="A497" s="329" t="s">
        <v>6116</v>
      </c>
      <c r="B497" s="664"/>
      <c r="C497" s="655" t="s">
        <v>6117</v>
      </c>
      <c r="D497" s="656" t="s">
        <v>639</v>
      </c>
      <c r="E497" s="646">
        <v>356200</v>
      </c>
      <c r="H497" s="646"/>
      <c r="I497" s="589">
        <f t="shared" si="7"/>
        <v>1</v>
      </c>
      <c r="K497" s="589"/>
      <c r="L497" s="589"/>
      <c r="M497" s="589"/>
      <c r="N497" s="589"/>
      <c r="O497" s="589"/>
      <c r="P497" s="589"/>
      <c r="Q497" s="589"/>
      <c r="R497" s="589"/>
      <c r="S497" s="589"/>
      <c r="T497" s="589"/>
      <c r="U497" s="589"/>
      <c r="V497" s="589"/>
      <c r="W497" s="589"/>
      <c r="X497" s="589"/>
      <c r="Y497" s="589"/>
      <c r="Z497" s="589"/>
      <c r="AA497" s="589"/>
      <c r="AB497" s="589"/>
      <c r="AC497" s="589"/>
      <c r="AD497" s="589"/>
      <c r="AE497" s="329"/>
      <c r="AF497" s="329"/>
      <c r="AG497" s="329"/>
      <c r="AH497" s="329"/>
      <c r="AI497" s="329"/>
      <c r="AJ497" s="329"/>
      <c r="AK497" s="329"/>
      <c r="AL497" s="329"/>
    </row>
    <row r="498" spans="1:38" s="30" customFormat="1" ht="17.100000000000001" customHeight="1">
      <c r="A498" s="329" t="s">
        <v>6118</v>
      </c>
      <c r="B498" s="664"/>
      <c r="C498" s="655" t="s">
        <v>6119</v>
      </c>
      <c r="D498" s="656" t="s">
        <v>639</v>
      </c>
      <c r="E498" s="646">
        <v>511000</v>
      </c>
      <c r="H498" s="646"/>
      <c r="I498" s="589">
        <f t="shared" si="7"/>
        <v>1</v>
      </c>
      <c r="K498" s="589"/>
      <c r="L498" s="589"/>
      <c r="M498" s="589"/>
      <c r="N498" s="589"/>
      <c r="O498" s="589"/>
      <c r="P498" s="589"/>
      <c r="Q498" s="589"/>
      <c r="R498" s="589"/>
      <c r="S498" s="589"/>
      <c r="T498" s="589"/>
      <c r="U498" s="589"/>
      <c r="V498" s="589"/>
      <c r="W498" s="589"/>
      <c r="X498" s="589"/>
      <c r="Y498" s="589"/>
      <c r="Z498" s="589"/>
      <c r="AA498" s="589"/>
      <c r="AB498" s="589"/>
      <c r="AC498" s="589"/>
      <c r="AD498" s="589"/>
      <c r="AE498" s="329"/>
      <c r="AF498" s="329"/>
      <c r="AG498" s="329"/>
      <c r="AH498" s="329"/>
      <c r="AI498" s="329"/>
      <c r="AJ498" s="329"/>
      <c r="AK498" s="329"/>
      <c r="AL498" s="329"/>
    </row>
    <row r="499" spans="1:38" s="30" customFormat="1" ht="17.100000000000001" customHeight="1">
      <c r="A499" s="329" t="s">
        <v>6120</v>
      </c>
      <c r="B499" s="664"/>
      <c r="C499" s="655" t="s">
        <v>6121</v>
      </c>
      <c r="D499" s="656" t="s">
        <v>639</v>
      </c>
      <c r="E499" s="646">
        <v>701600</v>
      </c>
      <c r="H499" s="646"/>
      <c r="I499" s="589">
        <f t="shared" si="7"/>
        <v>1</v>
      </c>
      <c r="K499" s="589"/>
      <c r="L499" s="589"/>
      <c r="M499" s="589"/>
      <c r="N499" s="589"/>
      <c r="O499" s="589"/>
      <c r="P499" s="589"/>
      <c r="Q499" s="589"/>
      <c r="R499" s="589"/>
      <c r="S499" s="589"/>
      <c r="T499" s="589"/>
      <c r="U499" s="589"/>
      <c r="V499" s="589"/>
      <c r="W499" s="589"/>
      <c r="X499" s="589"/>
      <c r="Y499" s="589"/>
      <c r="Z499" s="589"/>
      <c r="AA499" s="589"/>
      <c r="AB499" s="589"/>
      <c r="AC499" s="589"/>
      <c r="AD499" s="589"/>
      <c r="AE499" s="329"/>
      <c r="AF499" s="329"/>
      <c r="AG499" s="329"/>
      <c r="AH499" s="329"/>
      <c r="AI499" s="329"/>
      <c r="AJ499" s="329"/>
      <c r="AK499" s="329"/>
      <c r="AL499" s="329"/>
    </row>
    <row r="500" spans="1:38" s="30" customFormat="1" ht="17.100000000000001" customHeight="1">
      <c r="A500" s="329" t="s">
        <v>6122</v>
      </c>
      <c r="B500" s="664"/>
      <c r="C500" s="655" t="s">
        <v>6123</v>
      </c>
      <c r="D500" s="656" t="s">
        <v>639</v>
      </c>
      <c r="E500" s="646">
        <v>959600</v>
      </c>
      <c r="H500" s="646"/>
      <c r="I500" s="589">
        <f t="shared" si="7"/>
        <v>1</v>
      </c>
      <c r="K500" s="589"/>
      <c r="L500" s="589"/>
      <c r="M500" s="589"/>
      <c r="N500" s="589"/>
      <c r="O500" s="589"/>
      <c r="P500" s="589"/>
      <c r="Q500" s="589"/>
      <c r="R500" s="589"/>
      <c r="S500" s="589"/>
      <c r="T500" s="589"/>
      <c r="U500" s="589"/>
      <c r="V500" s="589"/>
      <c r="W500" s="589"/>
      <c r="X500" s="589"/>
      <c r="Y500" s="589"/>
      <c r="Z500" s="589"/>
      <c r="AA500" s="589"/>
      <c r="AB500" s="589"/>
      <c r="AC500" s="589"/>
      <c r="AD500" s="589"/>
      <c r="AE500" s="329"/>
      <c r="AF500" s="329"/>
      <c r="AG500" s="329"/>
      <c r="AH500" s="329"/>
      <c r="AI500" s="329"/>
      <c r="AJ500" s="329"/>
      <c r="AK500" s="329"/>
      <c r="AL500" s="329"/>
    </row>
    <row r="501" spans="1:38" s="30" customFormat="1" ht="17.100000000000001" customHeight="1">
      <c r="A501" s="329" t="s">
        <v>6124</v>
      </c>
      <c r="B501" s="664"/>
      <c r="C501" s="655" t="s">
        <v>6125</v>
      </c>
      <c r="D501" s="656" t="s">
        <v>639</v>
      </c>
      <c r="E501" s="646">
        <v>1171000</v>
      </c>
      <c r="H501" s="646"/>
      <c r="I501" s="589">
        <f t="shared" si="7"/>
        <v>1</v>
      </c>
      <c r="K501" s="589"/>
      <c r="L501" s="589"/>
      <c r="M501" s="589"/>
      <c r="N501" s="589"/>
      <c r="O501" s="589"/>
      <c r="P501" s="589"/>
      <c r="Q501" s="589"/>
      <c r="R501" s="589"/>
      <c r="S501" s="589"/>
      <c r="T501" s="589"/>
      <c r="U501" s="589"/>
      <c r="V501" s="589"/>
      <c r="W501" s="589"/>
      <c r="X501" s="589"/>
      <c r="Y501" s="589"/>
      <c r="Z501" s="589"/>
      <c r="AA501" s="589"/>
      <c r="AB501" s="589"/>
      <c r="AC501" s="589"/>
      <c r="AD501" s="589"/>
      <c r="AE501" s="329"/>
      <c r="AF501" s="329"/>
      <c r="AG501" s="329"/>
      <c r="AH501" s="329"/>
      <c r="AI501" s="329"/>
      <c r="AJ501" s="329"/>
      <c r="AK501" s="329"/>
      <c r="AL501" s="329"/>
    </row>
    <row r="502" spans="1:38" s="30" customFormat="1" ht="17.100000000000001" customHeight="1">
      <c r="A502" s="329" t="s">
        <v>6126</v>
      </c>
      <c r="B502" s="664"/>
      <c r="C502" s="655" t="s">
        <v>6127</v>
      </c>
      <c r="D502" s="656" t="s">
        <v>639</v>
      </c>
      <c r="E502" s="646">
        <v>1537600</v>
      </c>
      <c r="H502" s="646"/>
      <c r="I502" s="589">
        <f t="shared" si="7"/>
        <v>1</v>
      </c>
      <c r="K502" s="589"/>
      <c r="L502" s="589"/>
      <c r="M502" s="589"/>
      <c r="N502" s="589"/>
      <c r="O502" s="589"/>
      <c r="P502" s="589"/>
      <c r="Q502" s="589"/>
      <c r="R502" s="589"/>
      <c r="S502" s="589"/>
      <c r="T502" s="589"/>
      <c r="U502" s="589"/>
      <c r="V502" s="589"/>
      <c r="W502" s="589"/>
      <c r="X502" s="589"/>
      <c r="Y502" s="589"/>
      <c r="Z502" s="589"/>
      <c r="AA502" s="589"/>
      <c r="AB502" s="589"/>
      <c r="AC502" s="589"/>
      <c r="AD502" s="589"/>
      <c r="AE502" s="329"/>
      <c r="AF502" s="329"/>
      <c r="AG502" s="329"/>
      <c r="AH502" s="329"/>
      <c r="AI502" s="329"/>
      <c r="AJ502" s="329"/>
      <c r="AK502" s="329"/>
      <c r="AL502" s="329"/>
    </row>
    <row r="503" spans="1:38" s="30" customFormat="1" ht="17.100000000000001" customHeight="1">
      <c r="A503" s="329" t="s">
        <v>6128</v>
      </c>
      <c r="B503" s="664"/>
      <c r="C503" s="655" t="s">
        <v>6129</v>
      </c>
      <c r="D503" s="656" t="s">
        <v>639</v>
      </c>
      <c r="E503" s="646">
        <v>1834800</v>
      </c>
      <c r="H503" s="646"/>
      <c r="I503" s="589">
        <f t="shared" si="7"/>
        <v>1</v>
      </c>
      <c r="K503" s="589"/>
      <c r="L503" s="589"/>
      <c r="M503" s="589"/>
      <c r="N503" s="589"/>
      <c r="O503" s="589"/>
      <c r="P503" s="589"/>
      <c r="Q503" s="589"/>
      <c r="R503" s="589"/>
      <c r="S503" s="589"/>
      <c r="T503" s="589"/>
      <c r="U503" s="589"/>
      <c r="V503" s="589"/>
      <c r="W503" s="589"/>
      <c r="X503" s="589"/>
      <c r="Y503" s="589"/>
      <c r="Z503" s="589"/>
      <c r="AA503" s="589"/>
      <c r="AB503" s="589"/>
      <c r="AC503" s="589"/>
      <c r="AD503" s="589"/>
      <c r="AE503" s="329"/>
      <c r="AF503" s="329"/>
      <c r="AG503" s="329"/>
      <c r="AH503" s="329"/>
      <c r="AI503" s="329"/>
      <c r="AJ503" s="329"/>
      <c r="AK503" s="329"/>
      <c r="AL503" s="329"/>
    </row>
    <row r="504" spans="1:38" s="30" customFormat="1" ht="17.100000000000001" customHeight="1">
      <c r="A504" s="329" t="s">
        <v>6130</v>
      </c>
      <c r="B504" s="664"/>
      <c r="C504" s="655" t="s">
        <v>495</v>
      </c>
      <c r="D504" s="656" t="s">
        <v>639</v>
      </c>
      <c r="E504" s="646">
        <v>2400000</v>
      </c>
      <c r="H504" s="646"/>
      <c r="I504" s="589">
        <f t="shared" si="7"/>
        <v>1</v>
      </c>
      <c r="K504" s="589"/>
      <c r="L504" s="589"/>
      <c r="M504" s="589"/>
      <c r="N504" s="589"/>
      <c r="O504" s="589"/>
      <c r="P504" s="589"/>
      <c r="Q504" s="589"/>
      <c r="R504" s="589"/>
      <c r="S504" s="589"/>
      <c r="T504" s="589"/>
      <c r="U504" s="589"/>
      <c r="V504" s="589"/>
      <c r="W504" s="589"/>
      <c r="X504" s="589"/>
      <c r="Y504" s="589"/>
      <c r="Z504" s="589"/>
      <c r="AA504" s="589"/>
      <c r="AB504" s="589"/>
      <c r="AC504" s="589"/>
      <c r="AD504" s="589"/>
      <c r="AE504" s="329"/>
      <c r="AF504" s="329"/>
      <c r="AG504" s="329"/>
      <c r="AH504" s="329"/>
      <c r="AI504" s="329"/>
      <c r="AJ504" s="329"/>
      <c r="AK504" s="329"/>
      <c r="AL504" s="329"/>
    </row>
    <row r="505" spans="1:38" s="30" customFormat="1" ht="17.100000000000001" customHeight="1">
      <c r="A505" s="665"/>
      <c r="B505" s="664"/>
      <c r="C505" s="655"/>
      <c r="D505" s="656"/>
      <c r="E505" s="646"/>
      <c r="H505" s="646"/>
      <c r="I505" s="589">
        <f t="shared" si="7"/>
        <v>0</v>
      </c>
      <c r="K505" s="589"/>
      <c r="L505" s="589"/>
      <c r="M505" s="589"/>
      <c r="N505" s="589"/>
      <c r="O505" s="589"/>
      <c r="P505" s="589"/>
      <c r="Q505" s="589"/>
      <c r="R505" s="589"/>
      <c r="S505" s="589"/>
      <c r="T505" s="589"/>
      <c r="U505" s="589"/>
      <c r="V505" s="589"/>
      <c r="W505" s="589"/>
      <c r="X505" s="589"/>
      <c r="Y505" s="589"/>
      <c r="Z505" s="589"/>
      <c r="AA505" s="589"/>
      <c r="AB505" s="589"/>
      <c r="AC505" s="589"/>
      <c r="AD505" s="589"/>
      <c r="AE505" s="329"/>
      <c r="AF505" s="329"/>
      <c r="AG505" s="329"/>
      <c r="AH505" s="329"/>
      <c r="AI505" s="329"/>
      <c r="AJ505" s="329"/>
      <c r="AK505" s="329"/>
      <c r="AL505" s="329"/>
    </row>
    <row r="506" spans="1:38" s="30" customFormat="1" ht="17.100000000000001" customHeight="1">
      <c r="A506" s="329" t="s">
        <v>496</v>
      </c>
      <c r="B506" s="664"/>
      <c r="C506" s="655" t="s">
        <v>497</v>
      </c>
      <c r="D506" s="656" t="s">
        <v>639</v>
      </c>
      <c r="E506" s="646">
        <v>54600</v>
      </c>
      <c r="H506" s="646"/>
      <c r="I506" s="589">
        <f t="shared" si="7"/>
        <v>1</v>
      </c>
      <c r="K506" s="589"/>
      <c r="L506" s="589"/>
      <c r="M506" s="589"/>
      <c r="N506" s="589"/>
      <c r="O506" s="589"/>
      <c r="P506" s="589"/>
      <c r="Q506" s="589"/>
      <c r="R506" s="589"/>
      <c r="S506" s="589"/>
      <c r="T506" s="589"/>
      <c r="U506" s="589"/>
      <c r="V506" s="589"/>
      <c r="W506" s="589"/>
      <c r="X506" s="589"/>
      <c r="Y506" s="589"/>
      <c r="Z506" s="589"/>
      <c r="AA506" s="589"/>
      <c r="AB506" s="589"/>
      <c r="AC506" s="589"/>
      <c r="AD506" s="589"/>
      <c r="AE506" s="329"/>
      <c r="AF506" s="329"/>
      <c r="AG506" s="329"/>
      <c r="AH506" s="329"/>
      <c r="AI506" s="329"/>
      <c r="AJ506" s="329"/>
      <c r="AK506" s="329"/>
      <c r="AL506" s="329"/>
    </row>
    <row r="507" spans="1:38" s="30" customFormat="1" ht="17.100000000000001" customHeight="1">
      <c r="A507" s="329" t="s">
        <v>498</v>
      </c>
      <c r="B507" s="664"/>
      <c r="C507" s="655" t="s">
        <v>1906</v>
      </c>
      <c r="D507" s="656" t="s">
        <v>639</v>
      </c>
      <c r="E507" s="646">
        <v>73000</v>
      </c>
      <c r="H507" s="646"/>
      <c r="I507" s="589">
        <f t="shared" si="7"/>
        <v>1</v>
      </c>
      <c r="K507" s="589"/>
      <c r="L507" s="589"/>
      <c r="M507" s="589"/>
      <c r="N507" s="589"/>
      <c r="O507" s="589"/>
      <c r="P507" s="589"/>
      <c r="Q507" s="589"/>
      <c r="R507" s="589"/>
      <c r="S507" s="589"/>
      <c r="T507" s="589"/>
      <c r="U507" s="589"/>
      <c r="V507" s="589"/>
      <c r="W507" s="589"/>
      <c r="X507" s="589"/>
      <c r="Y507" s="589"/>
      <c r="Z507" s="589"/>
      <c r="AA507" s="589"/>
      <c r="AB507" s="589"/>
      <c r="AC507" s="589"/>
      <c r="AD507" s="589"/>
      <c r="AE507" s="329"/>
      <c r="AF507" s="329"/>
      <c r="AG507" s="329"/>
      <c r="AH507" s="329"/>
      <c r="AI507" s="329"/>
      <c r="AJ507" s="329"/>
      <c r="AK507" s="329"/>
      <c r="AL507" s="329"/>
    </row>
    <row r="508" spans="1:38" s="30" customFormat="1" ht="17.100000000000001" customHeight="1">
      <c r="A508" s="329" t="s">
        <v>1149</v>
      </c>
      <c r="B508" s="664"/>
      <c r="C508" s="655" t="s">
        <v>1150</v>
      </c>
      <c r="D508" s="656" t="s">
        <v>639</v>
      </c>
      <c r="E508" s="646">
        <v>93800</v>
      </c>
      <c r="H508" s="646"/>
      <c r="I508" s="589">
        <f t="shared" si="7"/>
        <v>1</v>
      </c>
      <c r="K508" s="589"/>
      <c r="L508" s="589"/>
      <c r="M508" s="589"/>
      <c r="N508" s="589"/>
      <c r="O508" s="589"/>
      <c r="P508" s="589"/>
      <c r="Q508" s="589"/>
      <c r="R508" s="589"/>
      <c r="S508" s="589"/>
      <c r="T508" s="589"/>
      <c r="U508" s="589"/>
      <c r="V508" s="589"/>
      <c r="W508" s="589"/>
      <c r="X508" s="589"/>
      <c r="Y508" s="589"/>
      <c r="Z508" s="589"/>
      <c r="AA508" s="589"/>
      <c r="AB508" s="589"/>
      <c r="AC508" s="589"/>
      <c r="AD508" s="589"/>
      <c r="AE508" s="329"/>
      <c r="AF508" s="329"/>
      <c r="AG508" s="329"/>
      <c r="AH508" s="329"/>
      <c r="AI508" s="329"/>
      <c r="AJ508" s="329"/>
      <c r="AK508" s="329"/>
      <c r="AL508" s="329"/>
    </row>
    <row r="509" spans="1:38" s="30" customFormat="1" ht="17.100000000000001" customHeight="1">
      <c r="A509" s="329" t="s">
        <v>1151</v>
      </c>
      <c r="B509" s="664"/>
      <c r="C509" s="655" t="s">
        <v>1152</v>
      </c>
      <c r="D509" s="656" t="s">
        <v>639</v>
      </c>
      <c r="E509" s="646">
        <v>117200</v>
      </c>
      <c r="H509" s="646"/>
      <c r="I509" s="589">
        <f t="shared" si="7"/>
        <v>1</v>
      </c>
      <c r="K509" s="589"/>
      <c r="L509" s="589"/>
      <c r="M509" s="589"/>
      <c r="N509" s="589"/>
      <c r="O509" s="589"/>
      <c r="P509" s="589"/>
      <c r="Q509" s="589"/>
      <c r="R509" s="589"/>
      <c r="S509" s="589"/>
      <c r="T509" s="589"/>
      <c r="U509" s="589"/>
      <c r="V509" s="589"/>
      <c r="W509" s="589"/>
      <c r="X509" s="589"/>
      <c r="Y509" s="589"/>
      <c r="Z509" s="589"/>
      <c r="AA509" s="589"/>
      <c r="AB509" s="589"/>
      <c r="AC509" s="589"/>
      <c r="AD509" s="589"/>
      <c r="AE509" s="329"/>
      <c r="AF509" s="329"/>
      <c r="AG509" s="329"/>
      <c r="AH509" s="329"/>
      <c r="AI509" s="329"/>
      <c r="AJ509" s="329"/>
      <c r="AK509" s="329"/>
      <c r="AL509" s="329"/>
    </row>
    <row r="510" spans="1:38" s="30" customFormat="1" ht="17.100000000000001" customHeight="1">
      <c r="A510" s="329" t="s">
        <v>1153</v>
      </c>
      <c r="B510" s="664"/>
      <c r="C510" s="655" t="s">
        <v>1154</v>
      </c>
      <c r="D510" s="656" t="s">
        <v>639</v>
      </c>
      <c r="E510" s="646">
        <v>164900</v>
      </c>
      <c r="H510" s="646"/>
      <c r="I510" s="589">
        <f t="shared" si="7"/>
        <v>1</v>
      </c>
      <c r="K510" s="589"/>
      <c r="L510" s="589"/>
      <c r="M510" s="589"/>
      <c r="N510" s="589"/>
      <c r="O510" s="589"/>
      <c r="P510" s="589"/>
      <c r="Q510" s="589"/>
      <c r="R510" s="589"/>
      <c r="S510" s="589"/>
      <c r="T510" s="589"/>
      <c r="U510" s="589"/>
      <c r="V510" s="589"/>
      <c r="W510" s="589"/>
      <c r="X510" s="589"/>
      <c r="Y510" s="589"/>
      <c r="Z510" s="589"/>
      <c r="AA510" s="589"/>
      <c r="AB510" s="589"/>
      <c r="AC510" s="589"/>
      <c r="AD510" s="589"/>
      <c r="AE510" s="329"/>
      <c r="AF510" s="329"/>
      <c r="AG510" s="329"/>
      <c r="AH510" s="329"/>
      <c r="AI510" s="329"/>
      <c r="AJ510" s="329"/>
      <c r="AK510" s="329"/>
      <c r="AL510" s="329"/>
    </row>
    <row r="511" spans="1:38" s="30" customFormat="1" ht="17.100000000000001" customHeight="1">
      <c r="A511" s="329" t="s">
        <v>1155</v>
      </c>
      <c r="B511" s="664"/>
      <c r="C511" s="655" t="s">
        <v>1156</v>
      </c>
      <c r="D511" s="656" t="s">
        <v>639</v>
      </c>
      <c r="E511" s="646">
        <v>245200</v>
      </c>
      <c r="H511" s="646"/>
      <c r="I511" s="589">
        <f t="shared" si="7"/>
        <v>1</v>
      </c>
      <c r="K511" s="589"/>
      <c r="L511" s="589"/>
      <c r="M511" s="589"/>
      <c r="N511" s="589"/>
      <c r="O511" s="589"/>
      <c r="P511" s="589"/>
      <c r="Q511" s="589"/>
      <c r="R511" s="589"/>
      <c r="S511" s="589"/>
      <c r="T511" s="589"/>
      <c r="U511" s="589"/>
      <c r="V511" s="589"/>
      <c r="W511" s="589"/>
      <c r="X511" s="589"/>
      <c r="Y511" s="589"/>
      <c r="Z511" s="589"/>
      <c r="AA511" s="589"/>
      <c r="AB511" s="589"/>
      <c r="AC511" s="589"/>
      <c r="AD511" s="589"/>
      <c r="AE511" s="329"/>
      <c r="AF511" s="329"/>
      <c r="AG511" s="329"/>
      <c r="AH511" s="329"/>
      <c r="AI511" s="329"/>
      <c r="AJ511" s="329"/>
      <c r="AK511" s="329"/>
      <c r="AL511" s="329"/>
    </row>
    <row r="512" spans="1:38" s="30" customFormat="1" ht="17.100000000000001" customHeight="1">
      <c r="A512" s="329" t="s">
        <v>1157</v>
      </c>
      <c r="B512" s="664"/>
      <c r="C512" s="655" t="s">
        <v>1158</v>
      </c>
      <c r="D512" s="656" t="s">
        <v>639</v>
      </c>
      <c r="E512" s="646">
        <v>336900</v>
      </c>
      <c r="H512" s="646"/>
      <c r="I512" s="589">
        <f t="shared" si="7"/>
        <v>1</v>
      </c>
      <c r="K512" s="589"/>
      <c r="L512" s="589"/>
      <c r="M512" s="589"/>
      <c r="N512" s="589"/>
      <c r="O512" s="589"/>
      <c r="P512" s="589"/>
      <c r="Q512" s="589"/>
      <c r="R512" s="589"/>
      <c r="S512" s="589"/>
      <c r="T512" s="589"/>
      <c r="U512" s="589"/>
      <c r="V512" s="589"/>
      <c r="W512" s="589"/>
      <c r="X512" s="589"/>
      <c r="Y512" s="589"/>
      <c r="Z512" s="589"/>
      <c r="AA512" s="589"/>
      <c r="AB512" s="589"/>
      <c r="AC512" s="589"/>
      <c r="AD512" s="589"/>
      <c r="AE512" s="329"/>
      <c r="AF512" s="329"/>
      <c r="AG512" s="329"/>
      <c r="AH512" s="329"/>
      <c r="AI512" s="329"/>
      <c r="AJ512" s="329"/>
      <c r="AK512" s="329"/>
      <c r="AL512" s="329"/>
    </row>
    <row r="513" spans="1:38" s="30" customFormat="1" ht="17.100000000000001" customHeight="1">
      <c r="A513" s="329" t="s">
        <v>1159</v>
      </c>
      <c r="B513" s="664"/>
      <c r="C513" s="655" t="s">
        <v>1160</v>
      </c>
      <c r="D513" s="656" t="s">
        <v>639</v>
      </c>
      <c r="E513" s="646">
        <v>480200</v>
      </c>
      <c r="H513" s="646"/>
      <c r="I513" s="589">
        <f t="shared" si="7"/>
        <v>1</v>
      </c>
      <c r="K513" s="589"/>
      <c r="L513" s="589"/>
      <c r="M513" s="589"/>
      <c r="N513" s="589"/>
      <c r="O513" s="589"/>
      <c r="P513" s="589"/>
      <c r="Q513" s="589"/>
      <c r="R513" s="589"/>
      <c r="S513" s="589"/>
      <c r="T513" s="589"/>
      <c r="U513" s="589"/>
      <c r="V513" s="589"/>
      <c r="W513" s="589"/>
      <c r="X513" s="589"/>
      <c r="Y513" s="589"/>
      <c r="Z513" s="589"/>
      <c r="AA513" s="589"/>
      <c r="AB513" s="589"/>
      <c r="AC513" s="589"/>
      <c r="AD513" s="589"/>
      <c r="AE513" s="329"/>
      <c r="AF513" s="329"/>
      <c r="AG513" s="329"/>
      <c r="AH513" s="329"/>
      <c r="AI513" s="329"/>
      <c r="AJ513" s="329"/>
      <c r="AK513" s="329"/>
      <c r="AL513" s="329"/>
    </row>
    <row r="514" spans="1:38" s="30" customFormat="1" ht="17.100000000000001" customHeight="1">
      <c r="A514" s="329" t="s">
        <v>1161</v>
      </c>
      <c r="B514" s="664"/>
      <c r="C514" s="655" t="s">
        <v>1162</v>
      </c>
      <c r="D514" s="656" t="s">
        <v>639</v>
      </c>
      <c r="E514" s="646">
        <v>657800</v>
      </c>
      <c r="H514" s="646"/>
      <c r="I514" s="589">
        <f t="shared" si="7"/>
        <v>1</v>
      </c>
      <c r="K514" s="589"/>
      <c r="L514" s="589"/>
      <c r="M514" s="589"/>
      <c r="N514" s="589"/>
      <c r="O514" s="589"/>
      <c r="P514" s="589"/>
      <c r="Q514" s="589"/>
      <c r="R514" s="589"/>
      <c r="S514" s="589"/>
      <c r="T514" s="589"/>
      <c r="U514" s="589"/>
      <c r="V514" s="589"/>
      <c r="W514" s="589"/>
      <c r="X514" s="589"/>
      <c r="Y514" s="589"/>
      <c r="Z514" s="589"/>
      <c r="AA514" s="589"/>
      <c r="AB514" s="589"/>
      <c r="AC514" s="589"/>
      <c r="AD514" s="589"/>
      <c r="AE514" s="329"/>
      <c r="AF514" s="329"/>
      <c r="AG514" s="329"/>
      <c r="AH514" s="329"/>
      <c r="AI514" s="329"/>
      <c r="AJ514" s="329"/>
      <c r="AK514" s="329"/>
      <c r="AL514" s="329"/>
    </row>
    <row r="515" spans="1:38" s="30" customFormat="1" ht="17.100000000000001" customHeight="1">
      <c r="A515" s="329" t="s">
        <v>1163</v>
      </c>
      <c r="B515" s="664"/>
      <c r="C515" s="655" t="s">
        <v>238</v>
      </c>
      <c r="D515" s="656" t="s">
        <v>639</v>
      </c>
      <c r="E515" s="646">
        <v>901400</v>
      </c>
      <c r="H515" s="646"/>
      <c r="I515" s="589">
        <f t="shared" si="7"/>
        <v>1</v>
      </c>
      <c r="K515" s="589"/>
      <c r="L515" s="589"/>
      <c r="M515" s="589"/>
      <c r="N515" s="589"/>
      <c r="O515" s="589"/>
      <c r="P515" s="589"/>
      <c r="Q515" s="589"/>
      <c r="R515" s="589"/>
      <c r="S515" s="589"/>
      <c r="T515" s="589"/>
      <c r="U515" s="589"/>
      <c r="V515" s="589"/>
      <c r="W515" s="589"/>
      <c r="X515" s="589"/>
      <c r="Y515" s="589"/>
      <c r="Z515" s="589"/>
      <c r="AA515" s="589"/>
      <c r="AB515" s="589"/>
      <c r="AC515" s="589"/>
      <c r="AD515" s="589"/>
      <c r="AE515" s="329"/>
      <c r="AF515" s="329"/>
      <c r="AG515" s="329"/>
      <c r="AH515" s="329"/>
      <c r="AI515" s="329"/>
      <c r="AJ515" s="329"/>
      <c r="AK515" s="329"/>
      <c r="AL515" s="329"/>
    </row>
    <row r="516" spans="1:38" s="30" customFormat="1" ht="17.100000000000001" customHeight="1">
      <c r="A516" s="329" t="s">
        <v>239</v>
      </c>
      <c r="B516" s="664"/>
      <c r="C516" s="655" t="s">
        <v>240</v>
      </c>
      <c r="D516" s="656" t="s">
        <v>639</v>
      </c>
      <c r="E516" s="646">
        <v>1123800</v>
      </c>
      <c r="H516" s="646"/>
      <c r="I516" s="589">
        <f t="shared" si="7"/>
        <v>1</v>
      </c>
      <c r="K516" s="589"/>
      <c r="L516" s="589"/>
      <c r="M516" s="589"/>
      <c r="N516" s="589"/>
      <c r="O516" s="589"/>
      <c r="P516" s="589"/>
      <c r="Q516" s="589"/>
      <c r="R516" s="589"/>
      <c r="S516" s="589"/>
      <c r="T516" s="589"/>
      <c r="U516" s="589"/>
      <c r="V516" s="589"/>
      <c r="W516" s="589"/>
      <c r="X516" s="589"/>
      <c r="Y516" s="589"/>
      <c r="Z516" s="589"/>
      <c r="AA516" s="589"/>
      <c r="AB516" s="589"/>
      <c r="AC516" s="589"/>
      <c r="AD516" s="589"/>
      <c r="AE516" s="329"/>
      <c r="AF516" s="329"/>
      <c r="AG516" s="329"/>
      <c r="AH516" s="329"/>
      <c r="AI516" s="329"/>
      <c r="AJ516" s="329"/>
      <c r="AK516" s="329"/>
      <c r="AL516" s="329"/>
    </row>
    <row r="517" spans="1:38" s="30" customFormat="1" ht="17.100000000000001" customHeight="1">
      <c r="A517" s="329" t="s">
        <v>241</v>
      </c>
      <c r="B517" s="664"/>
      <c r="C517" s="655" t="s">
        <v>242</v>
      </c>
      <c r="D517" s="656" t="s">
        <v>639</v>
      </c>
      <c r="E517" s="646">
        <v>1402700</v>
      </c>
      <c r="H517" s="646"/>
      <c r="I517" s="589">
        <f t="shared" si="7"/>
        <v>1</v>
      </c>
      <c r="K517" s="589"/>
      <c r="L517" s="589"/>
      <c r="M517" s="589"/>
      <c r="N517" s="589"/>
      <c r="O517" s="589"/>
      <c r="P517" s="589"/>
      <c r="Q517" s="589"/>
      <c r="R517" s="589"/>
      <c r="S517" s="589"/>
      <c r="T517" s="589"/>
      <c r="U517" s="589"/>
      <c r="V517" s="589"/>
      <c r="W517" s="589"/>
      <c r="X517" s="589"/>
      <c r="Y517" s="589"/>
      <c r="Z517" s="589"/>
      <c r="AA517" s="589"/>
      <c r="AB517" s="589"/>
      <c r="AC517" s="589"/>
      <c r="AD517" s="589"/>
      <c r="AE517" s="329"/>
      <c r="AF517" s="329"/>
      <c r="AG517" s="329"/>
      <c r="AH517" s="329"/>
      <c r="AI517" s="329"/>
      <c r="AJ517" s="329"/>
      <c r="AK517" s="329"/>
      <c r="AL517" s="329"/>
    </row>
    <row r="518" spans="1:38" s="30" customFormat="1" ht="17.100000000000001" customHeight="1">
      <c r="A518" s="329" t="s">
        <v>243</v>
      </c>
      <c r="B518" s="664"/>
      <c r="C518" s="655" t="s">
        <v>244</v>
      </c>
      <c r="D518" s="656" t="s">
        <v>639</v>
      </c>
      <c r="E518" s="646">
        <v>1681100</v>
      </c>
      <c r="H518" s="646"/>
      <c r="I518" s="589">
        <f t="shared" si="7"/>
        <v>1</v>
      </c>
      <c r="K518" s="589"/>
      <c r="L518" s="589"/>
      <c r="M518" s="589"/>
      <c r="N518" s="589"/>
      <c r="O518" s="589"/>
      <c r="P518" s="589"/>
      <c r="Q518" s="589"/>
      <c r="R518" s="589"/>
      <c r="S518" s="589"/>
      <c r="T518" s="589"/>
      <c r="U518" s="589"/>
      <c r="V518" s="589"/>
      <c r="W518" s="589"/>
      <c r="X518" s="589"/>
      <c r="Y518" s="589"/>
      <c r="Z518" s="589"/>
      <c r="AA518" s="589"/>
      <c r="AB518" s="589"/>
      <c r="AC518" s="589"/>
      <c r="AD518" s="589"/>
      <c r="AE518" s="329"/>
      <c r="AF518" s="329"/>
      <c r="AG518" s="329"/>
      <c r="AH518" s="329"/>
      <c r="AI518" s="329"/>
      <c r="AJ518" s="329"/>
      <c r="AK518" s="329"/>
      <c r="AL518" s="329"/>
    </row>
    <row r="519" spans="1:38" s="30" customFormat="1" ht="17.100000000000001" customHeight="1">
      <c r="A519" s="329" t="s">
        <v>245</v>
      </c>
      <c r="B519" s="664"/>
      <c r="C519" s="655" t="s">
        <v>476</v>
      </c>
      <c r="D519" s="656" t="s">
        <v>639</v>
      </c>
      <c r="E519" s="646">
        <v>2197100</v>
      </c>
      <c r="H519" s="646"/>
      <c r="I519" s="589">
        <f t="shared" si="7"/>
        <v>1</v>
      </c>
      <c r="K519" s="589"/>
      <c r="L519" s="589"/>
      <c r="M519" s="589"/>
      <c r="N519" s="589"/>
      <c r="O519" s="589"/>
      <c r="P519" s="589"/>
      <c r="Q519" s="589"/>
      <c r="R519" s="589"/>
      <c r="S519" s="589"/>
      <c r="T519" s="589"/>
      <c r="U519" s="589"/>
      <c r="V519" s="589"/>
      <c r="W519" s="589"/>
      <c r="X519" s="589"/>
      <c r="Y519" s="589"/>
      <c r="Z519" s="589"/>
      <c r="AA519" s="589"/>
      <c r="AB519" s="589"/>
      <c r="AC519" s="589"/>
      <c r="AD519" s="589"/>
      <c r="AE519" s="329"/>
      <c r="AF519" s="329"/>
      <c r="AG519" s="329"/>
      <c r="AH519" s="329"/>
      <c r="AI519" s="329"/>
      <c r="AJ519" s="329"/>
      <c r="AK519" s="329"/>
      <c r="AL519" s="329"/>
    </row>
    <row r="520" spans="1:38" s="30" customFormat="1" ht="17.100000000000001" customHeight="1">
      <c r="A520" s="329" t="s">
        <v>477</v>
      </c>
      <c r="B520" s="664"/>
      <c r="C520" s="655" t="s">
        <v>478</v>
      </c>
      <c r="D520" s="656" t="s">
        <v>639</v>
      </c>
      <c r="E520" s="646">
        <v>2270200</v>
      </c>
      <c r="H520" s="646"/>
      <c r="I520" s="589">
        <f t="shared" si="7"/>
        <v>1</v>
      </c>
      <c r="K520" s="589"/>
      <c r="L520" s="589"/>
      <c r="M520" s="589"/>
      <c r="N520" s="589"/>
      <c r="O520" s="589"/>
      <c r="P520" s="589"/>
      <c r="Q520" s="589"/>
      <c r="R520" s="589"/>
      <c r="S520" s="589"/>
      <c r="T520" s="589"/>
      <c r="U520" s="589"/>
      <c r="V520" s="589"/>
      <c r="W520" s="589"/>
      <c r="X520" s="589"/>
      <c r="Y520" s="589"/>
      <c r="Z520" s="589"/>
      <c r="AA520" s="589"/>
      <c r="AB520" s="589"/>
      <c r="AC520" s="589"/>
      <c r="AD520" s="589"/>
      <c r="AE520" s="329"/>
      <c r="AF520" s="329"/>
      <c r="AG520" s="329"/>
      <c r="AH520" s="329"/>
      <c r="AI520" s="329"/>
      <c r="AJ520" s="329"/>
      <c r="AK520" s="329"/>
      <c r="AL520" s="329"/>
    </row>
    <row r="521" spans="1:38" s="30" customFormat="1" ht="17.100000000000001" customHeight="1">
      <c r="A521" s="665"/>
      <c r="B521" s="664"/>
      <c r="C521" s="655"/>
      <c r="D521" s="656"/>
      <c r="E521" s="646"/>
      <c r="H521" s="646"/>
      <c r="I521" s="589">
        <f t="shared" si="7"/>
        <v>0</v>
      </c>
      <c r="K521" s="589"/>
      <c r="L521" s="589"/>
      <c r="M521" s="589"/>
      <c r="N521" s="589"/>
      <c r="O521" s="589"/>
      <c r="P521" s="589"/>
      <c r="Q521" s="589"/>
      <c r="R521" s="589"/>
      <c r="S521" s="589"/>
      <c r="T521" s="589"/>
      <c r="U521" s="589"/>
      <c r="V521" s="589"/>
      <c r="W521" s="589"/>
      <c r="X521" s="589"/>
      <c r="Y521" s="589"/>
      <c r="Z521" s="589"/>
      <c r="AA521" s="589"/>
      <c r="AB521" s="589"/>
      <c r="AC521" s="589"/>
      <c r="AD521" s="589"/>
      <c r="AE521" s="329"/>
      <c r="AF521" s="329"/>
      <c r="AG521" s="329"/>
      <c r="AH521" s="329"/>
      <c r="AI521" s="329"/>
      <c r="AJ521" s="329"/>
      <c r="AK521" s="329"/>
      <c r="AL521" s="329"/>
    </row>
    <row r="522" spans="1:38" s="30" customFormat="1" ht="17.100000000000001" customHeight="1">
      <c r="A522" s="329" t="s">
        <v>1672</v>
      </c>
      <c r="B522" s="664"/>
      <c r="C522" s="655" t="s">
        <v>1673</v>
      </c>
      <c r="D522" s="656" t="s">
        <v>639</v>
      </c>
      <c r="E522" s="646"/>
      <c r="H522" s="646"/>
      <c r="I522" s="589">
        <f t="shared" si="7"/>
        <v>0</v>
      </c>
      <c r="K522" s="589"/>
      <c r="L522" s="589"/>
      <c r="M522" s="589"/>
      <c r="N522" s="589"/>
      <c r="O522" s="589"/>
      <c r="P522" s="589"/>
      <c r="Q522" s="589"/>
      <c r="R522" s="589"/>
      <c r="S522" s="589"/>
      <c r="T522" s="589"/>
      <c r="U522" s="589"/>
      <c r="V522" s="589"/>
      <c r="W522" s="589"/>
      <c r="X522" s="589"/>
      <c r="Y522" s="589"/>
      <c r="Z522" s="589"/>
      <c r="AA522" s="589"/>
      <c r="AB522" s="589"/>
      <c r="AC522" s="589"/>
      <c r="AD522" s="589"/>
      <c r="AE522" s="329"/>
      <c r="AF522" s="329"/>
      <c r="AG522" s="329"/>
      <c r="AH522" s="329"/>
      <c r="AI522" s="329"/>
      <c r="AJ522" s="329"/>
      <c r="AK522" s="329"/>
      <c r="AL522" s="329"/>
    </row>
    <row r="523" spans="1:38" s="30" customFormat="1" ht="17.100000000000001" customHeight="1">
      <c r="A523" s="329" t="s">
        <v>1674</v>
      </c>
      <c r="B523" s="664"/>
      <c r="C523" s="655" t="s">
        <v>5359</v>
      </c>
      <c r="D523" s="656" t="s">
        <v>639</v>
      </c>
      <c r="E523" s="646">
        <v>153500</v>
      </c>
      <c r="H523" s="646"/>
      <c r="I523" s="589">
        <f t="shared" si="7"/>
        <v>1</v>
      </c>
      <c r="K523" s="589"/>
      <c r="L523" s="589"/>
      <c r="M523" s="589"/>
      <c r="N523" s="589"/>
      <c r="O523" s="589"/>
      <c r="P523" s="589"/>
      <c r="Q523" s="589"/>
      <c r="R523" s="589"/>
      <c r="S523" s="589"/>
      <c r="T523" s="589"/>
      <c r="U523" s="589"/>
      <c r="V523" s="589"/>
      <c r="W523" s="589"/>
      <c r="X523" s="589"/>
      <c r="Y523" s="589"/>
      <c r="Z523" s="589"/>
      <c r="AA523" s="589"/>
      <c r="AB523" s="589"/>
      <c r="AC523" s="589"/>
      <c r="AD523" s="589"/>
      <c r="AE523" s="329"/>
      <c r="AF523" s="329"/>
      <c r="AG523" s="329"/>
      <c r="AH523" s="329"/>
      <c r="AI523" s="329"/>
      <c r="AJ523" s="329"/>
      <c r="AK523" s="329"/>
      <c r="AL523" s="329"/>
    </row>
    <row r="524" spans="1:38" s="30" customFormat="1" ht="17.100000000000001" customHeight="1">
      <c r="A524" s="329" t="s">
        <v>5360</v>
      </c>
      <c r="B524" s="664"/>
      <c r="C524" s="655" t="s">
        <v>5361</v>
      </c>
      <c r="D524" s="656" t="s">
        <v>639</v>
      </c>
      <c r="E524" s="646">
        <v>192500</v>
      </c>
      <c r="H524" s="646"/>
      <c r="I524" s="589">
        <f t="shared" si="7"/>
        <v>1</v>
      </c>
      <c r="K524" s="589"/>
      <c r="L524" s="589"/>
      <c r="M524" s="589"/>
      <c r="N524" s="589"/>
      <c r="O524" s="589"/>
      <c r="P524" s="589"/>
      <c r="Q524" s="589"/>
      <c r="R524" s="589"/>
      <c r="S524" s="589"/>
      <c r="T524" s="589"/>
      <c r="U524" s="589"/>
      <c r="V524" s="589"/>
      <c r="W524" s="589"/>
      <c r="X524" s="589"/>
      <c r="Y524" s="589"/>
      <c r="Z524" s="589"/>
      <c r="AA524" s="589"/>
      <c r="AB524" s="589"/>
      <c r="AC524" s="589"/>
      <c r="AD524" s="589"/>
      <c r="AE524" s="329"/>
      <c r="AF524" s="329"/>
      <c r="AG524" s="329"/>
      <c r="AH524" s="329"/>
      <c r="AI524" s="329"/>
      <c r="AJ524" s="329"/>
      <c r="AK524" s="329"/>
      <c r="AL524" s="329"/>
    </row>
    <row r="525" spans="1:38" s="30" customFormat="1" ht="17.100000000000001" customHeight="1">
      <c r="A525" s="329" t="s">
        <v>5362</v>
      </c>
      <c r="B525" s="664"/>
      <c r="C525" s="655" t="s">
        <v>4183</v>
      </c>
      <c r="D525" s="656" t="s">
        <v>639</v>
      </c>
      <c r="E525" s="646">
        <v>247900</v>
      </c>
      <c r="H525" s="646"/>
      <c r="I525" s="589">
        <f t="shared" si="7"/>
        <v>1</v>
      </c>
      <c r="K525" s="589"/>
      <c r="L525" s="589"/>
      <c r="M525" s="589"/>
      <c r="N525" s="589"/>
      <c r="O525" s="589"/>
      <c r="P525" s="589"/>
      <c r="Q525" s="589"/>
      <c r="R525" s="589"/>
      <c r="S525" s="589"/>
      <c r="T525" s="589"/>
      <c r="U525" s="589"/>
      <c r="V525" s="589"/>
      <c r="W525" s="589"/>
      <c r="X525" s="589"/>
      <c r="Y525" s="589"/>
      <c r="Z525" s="589"/>
      <c r="AA525" s="589"/>
      <c r="AB525" s="589"/>
      <c r="AC525" s="589"/>
      <c r="AD525" s="589"/>
      <c r="AE525" s="329"/>
      <c r="AF525" s="329"/>
      <c r="AG525" s="329"/>
      <c r="AH525" s="329"/>
      <c r="AI525" s="329"/>
      <c r="AJ525" s="329"/>
      <c r="AK525" s="329"/>
      <c r="AL525" s="329"/>
    </row>
    <row r="526" spans="1:38" s="30" customFormat="1" ht="17.100000000000001" customHeight="1">
      <c r="A526" s="329" t="s">
        <v>4184</v>
      </c>
      <c r="B526" s="664"/>
      <c r="C526" s="655" t="s">
        <v>2423</v>
      </c>
      <c r="D526" s="656" t="s">
        <v>639</v>
      </c>
      <c r="E526" s="646">
        <v>319700</v>
      </c>
      <c r="H526" s="646"/>
      <c r="I526" s="589">
        <f t="shared" si="7"/>
        <v>1</v>
      </c>
      <c r="K526" s="589"/>
      <c r="L526" s="589"/>
      <c r="M526" s="589"/>
      <c r="N526" s="589"/>
      <c r="O526" s="589"/>
      <c r="P526" s="589"/>
      <c r="Q526" s="589"/>
      <c r="R526" s="589"/>
      <c r="S526" s="589"/>
      <c r="T526" s="589"/>
      <c r="U526" s="589"/>
      <c r="V526" s="589"/>
      <c r="W526" s="589"/>
      <c r="X526" s="589"/>
      <c r="Y526" s="589"/>
      <c r="Z526" s="589"/>
      <c r="AA526" s="589"/>
      <c r="AB526" s="589"/>
      <c r="AC526" s="589"/>
      <c r="AD526" s="589"/>
      <c r="AE526" s="329"/>
      <c r="AF526" s="329"/>
      <c r="AG526" s="329"/>
      <c r="AH526" s="329"/>
      <c r="AI526" s="329"/>
      <c r="AJ526" s="329"/>
      <c r="AK526" s="329"/>
      <c r="AL526" s="329"/>
    </row>
    <row r="527" spans="1:38" s="30" customFormat="1" ht="17.100000000000001" customHeight="1">
      <c r="A527" s="329" t="s">
        <v>2424</v>
      </c>
      <c r="B527" s="664"/>
      <c r="C527" s="655" t="s">
        <v>2425</v>
      </c>
      <c r="D527" s="656" t="s">
        <v>639</v>
      </c>
      <c r="E527" s="646">
        <v>379000</v>
      </c>
      <c r="H527" s="646"/>
      <c r="I527" s="589">
        <f t="shared" si="7"/>
        <v>1</v>
      </c>
      <c r="K527" s="589"/>
      <c r="L527" s="589"/>
      <c r="M527" s="589"/>
      <c r="N527" s="589"/>
      <c r="O527" s="589"/>
      <c r="P527" s="589"/>
      <c r="Q527" s="589"/>
      <c r="R527" s="589"/>
      <c r="S527" s="589"/>
      <c r="T527" s="589"/>
      <c r="U527" s="589"/>
      <c r="V527" s="589"/>
      <c r="W527" s="589"/>
      <c r="X527" s="589"/>
      <c r="Y527" s="589"/>
      <c r="Z527" s="589"/>
      <c r="AA527" s="589"/>
      <c r="AB527" s="589"/>
      <c r="AC527" s="589"/>
      <c r="AD527" s="589"/>
      <c r="AE527" s="329"/>
      <c r="AF527" s="329"/>
      <c r="AG527" s="329"/>
      <c r="AH527" s="329"/>
      <c r="AI527" s="329"/>
      <c r="AJ527" s="329"/>
      <c r="AK527" s="329"/>
      <c r="AL527" s="329"/>
    </row>
    <row r="528" spans="1:38" s="30" customFormat="1" ht="17.100000000000001" customHeight="1">
      <c r="A528" s="329" t="s">
        <v>2426</v>
      </c>
      <c r="B528" s="664"/>
      <c r="C528" s="655" t="s">
        <v>4482</v>
      </c>
      <c r="D528" s="656" t="s">
        <v>639</v>
      </c>
      <c r="E528" s="646">
        <v>478600</v>
      </c>
      <c r="H528" s="646"/>
      <c r="I528" s="589">
        <f t="shared" si="7"/>
        <v>1</v>
      </c>
      <c r="K528" s="589"/>
      <c r="L528" s="589"/>
      <c r="M528" s="589"/>
      <c r="N528" s="589"/>
      <c r="O528" s="589"/>
      <c r="P528" s="589"/>
      <c r="Q528" s="589"/>
      <c r="R528" s="589"/>
      <c r="S528" s="589"/>
      <c r="T528" s="589"/>
      <c r="U528" s="589"/>
      <c r="V528" s="589"/>
      <c r="W528" s="589"/>
      <c r="X528" s="589"/>
      <c r="Y528" s="589"/>
      <c r="Z528" s="589"/>
      <c r="AA528" s="589"/>
      <c r="AB528" s="589"/>
      <c r="AC528" s="589"/>
      <c r="AD528" s="589"/>
      <c r="AE528" s="329"/>
      <c r="AF528" s="329"/>
      <c r="AG528" s="329"/>
      <c r="AH528" s="329"/>
      <c r="AI528" s="329"/>
      <c r="AJ528" s="329"/>
      <c r="AK528" s="329"/>
      <c r="AL528" s="329"/>
    </row>
    <row r="529" spans="1:38" s="30" customFormat="1" ht="17.100000000000001" customHeight="1">
      <c r="A529" s="329" t="s">
        <v>4483</v>
      </c>
      <c r="B529" s="664"/>
      <c r="C529" s="655" t="s">
        <v>4484</v>
      </c>
      <c r="D529" s="656" t="s">
        <v>639</v>
      </c>
      <c r="E529" s="646">
        <v>560000</v>
      </c>
      <c r="H529" s="646"/>
      <c r="I529" s="589">
        <f t="shared" si="7"/>
        <v>1</v>
      </c>
      <c r="K529" s="589"/>
      <c r="L529" s="589"/>
      <c r="M529" s="589"/>
      <c r="N529" s="589"/>
      <c r="O529" s="589"/>
      <c r="P529" s="589"/>
      <c r="Q529" s="589"/>
      <c r="R529" s="589"/>
      <c r="S529" s="589"/>
      <c r="T529" s="589"/>
      <c r="U529" s="589"/>
      <c r="V529" s="589"/>
      <c r="W529" s="589"/>
      <c r="X529" s="589"/>
      <c r="Y529" s="589"/>
      <c r="Z529" s="589"/>
      <c r="AA529" s="589"/>
      <c r="AB529" s="589"/>
      <c r="AC529" s="589"/>
      <c r="AD529" s="589"/>
      <c r="AE529" s="329"/>
      <c r="AF529" s="329"/>
      <c r="AG529" s="329"/>
      <c r="AH529" s="329"/>
      <c r="AI529" s="329"/>
      <c r="AJ529" s="329"/>
      <c r="AK529" s="329"/>
      <c r="AL529" s="329"/>
    </row>
    <row r="530" spans="1:38" s="30" customFormat="1" ht="17.100000000000001" customHeight="1">
      <c r="A530" s="329" t="s">
        <v>4485</v>
      </c>
      <c r="B530" s="664"/>
      <c r="C530" s="655" t="s">
        <v>4486</v>
      </c>
      <c r="D530" s="656" t="s">
        <v>639</v>
      </c>
      <c r="E530" s="646">
        <v>714700</v>
      </c>
      <c r="H530" s="646"/>
      <c r="I530" s="589">
        <f t="shared" si="7"/>
        <v>1</v>
      </c>
      <c r="K530" s="589"/>
      <c r="L530" s="589"/>
      <c r="M530" s="589"/>
      <c r="N530" s="589"/>
      <c r="O530" s="589"/>
      <c r="P530" s="589"/>
      <c r="Q530" s="589"/>
      <c r="R530" s="589"/>
      <c r="S530" s="589"/>
      <c r="T530" s="589"/>
      <c r="U530" s="589"/>
      <c r="V530" s="589"/>
      <c r="W530" s="589"/>
      <c r="X530" s="589"/>
      <c r="Y530" s="589"/>
      <c r="Z530" s="589"/>
      <c r="AA530" s="589"/>
      <c r="AB530" s="589"/>
      <c r="AC530" s="589"/>
      <c r="AD530" s="589"/>
      <c r="AE530" s="329"/>
      <c r="AF530" s="329"/>
      <c r="AG530" s="329"/>
      <c r="AH530" s="329"/>
      <c r="AI530" s="329"/>
      <c r="AJ530" s="329"/>
      <c r="AK530" s="329"/>
      <c r="AL530" s="329"/>
    </row>
    <row r="531" spans="1:38" s="30" customFormat="1" ht="17.100000000000001" customHeight="1">
      <c r="A531" s="329" t="s">
        <v>5677</v>
      </c>
      <c r="B531" s="664"/>
      <c r="C531" s="655" t="s">
        <v>5678</v>
      </c>
      <c r="D531" s="656" t="s">
        <v>639</v>
      </c>
      <c r="E531" s="646">
        <v>877300</v>
      </c>
      <c r="H531" s="646"/>
      <c r="I531" s="589">
        <f t="shared" si="7"/>
        <v>1</v>
      </c>
      <c r="K531" s="589"/>
      <c r="L531" s="589"/>
      <c r="M531" s="589"/>
      <c r="N531" s="589"/>
      <c r="O531" s="589"/>
      <c r="P531" s="589"/>
      <c r="Q531" s="589"/>
      <c r="R531" s="589"/>
      <c r="S531" s="589"/>
      <c r="T531" s="589"/>
      <c r="U531" s="589"/>
      <c r="V531" s="589"/>
      <c r="W531" s="589"/>
      <c r="X531" s="589"/>
      <c r="Y531" s="589"/>
      <c r="Z531" s="589"/>
      <c r="AA531" s="589"/>
      <c r="AB531" s="589"/>
      <c r="AC531" s="589"/>
      <c r="AD531" s="589"/>
      <c r="AE531" s="329"/>
      <c r="AF531" s="329"/>
      <c r="AG531" s="329"/>
      <c r="AH531" s="329"/>
      <c r="AI531" s="329"/>
      <c r="AJ531" s="329"/>
      <c r="AK531" s="329"/>
      <c r="AL531" s="329"/>
    </row>
    <row r="532" spans="1:38" s="30" customFormat="1" ht="17.100000000000001" customHeight="1">
      <c r="A532" s="329" t="s">
        <v>5679</v>
      </c>
      <c r="B532" s="664"/>
      <c r="C532" s="655" t="s">
        <v>3791</v>
      </c>
      <c r="D532" s="656" t="s">
        <v>639</v>
      </c>
      <c r="E532" s="646"/>
      <c r="H532" s="646"/>
      <c r="I532" s="589">
        <f t="shared" si="7"/>
        <v>0</v>
      </c>
      <c r="K532" s="589"/>
      <c r="L532" s="589"/>
      <c r="M532" s="589"/>
      <c r="N532" s="589"/>
      <c r="O532" s="589"/>
      <c r="P532" s="589"/>
      <c r="Q532" s="589"/>
      <c r="R532" s="589"/>
      <c r="S532" s="589"/>
      <c r="T532" s="589"/>
      <c r="U532" s="589"/>
      <c r="V532" s="589"/>
      <c r="W532" s="589"/>
      <c r="X532" s="589"/>
      <c r="Y532" s="589"/>
      <c r="Z532" s="589"/>
      <c r="AA532" s="589"/>
      <c r="AB532" s="589"/>
      <c r="AC532" s="589"/>
      <c r="AD532" s="589"/>
      <c r="AE532" s="329"/>
      <c r="AF532" s="329"/>
      <c r="AG532" s="329"/>
      <c r="AH532" s="329"/>
      <c r="AI532" s="329"/>
      <c r="AJ532" s="329"/>
      <c r="AK532" s="329"/>
      <c r="AL532" s="329"/>
    </row>
    <row r="533" spans="1:38" s="30" customFormat="1" ht="17.100000000000001" customHeight="1">
      <c r="A533" s="329" t="s">
        <v>3792</v>
      </c>
      <c r="B533" s="664"/>
      <c r="C533" s="655" t="s">
        <v>3793</v>
      </c>
      <c r="D533" s="656" t="s">
        <v>639</v>
      </c>
      <c r="E533" s="646"/>
      <c r="H533" s="646"/>
      <c r="I533" s="589">
        <f t="shared" si="7"/>
        <v>0</v>
      </c>
      <c r="K533" s="589"/>
      <c r="L533" s="589"/>
      <c r="M533" s="589"/>
      <c r="N533" s="589"/>
      <c r="O533" s="589"/>
      <c r="P533" s="589"/>
      <c r="Q533" s="589"/>
      <c r="R533" s="589"/>
      <c r="S533" s="589"/>
      <c r="T533" s="589"/>
      <c r="U533" s="589"/>
      <c r="V533" s="589"/>
      <c r="W533" s="589"/>
      <c r="X533" s="589"/>
      <c r="Y533" s="589"/>
      <c r="Z533" s="589"/>
      <c r="AA533" s="589"/>
      <c r="AB533" s="589"/>
      <c r="AC533" s="589"/>
      <c r="AD533" s="589"/>
      <c r="AE533" s="329"/>
      <c r="AF533" s="329"/>
      <c r="AG533" s="329"/>
      <c r="AH533" s="329"/>
      <c r="AI533" s="329"/>
      <c r="AJ533" s="329"/>
      <c r="AK533" s="329"/>
      <c r="AL533" s="329"/>
    </row>
    <row r="534" spans="1:38" s="30" customFormat="1" ht="17.100000000000001" customHeight="1">
      <c r="A534" s="665"/>
      <c r="B534" s="664"/>
      <c r="C534" s="655"/>
      <c r="D534" s="656"/>
      <c r="E534" s="646"/>
      <c r="H534" s="646"/>
      <c r="I534" s="589">
        <f t="shared" si="7"/>
        <v>0</v>
      </c>
      <c r="K534" s="589"/>
      <c r="L534" s="589"/>
      <c r="M534" s="589"/>
      <c r="N534" s="589"/>
      <c r="O534" s="589"/>
      <c r="P534" s="589"/>
      <c r="Q534" s="589"/>
      <c r="R534" s="589"/>
      <c r="S534" s="589"/>
      <c r="T534" s="589"/>
      <c r="U534" s="589"/>
      <c r="V534" s="589"/>
      <c r="W534" s="589"/>
      <c r="X534" s="589"/>
      <c r="Y534" s="589"/>
      <c r="Z534" s="589"/>
      <c r="AA534" s="589"/>
      <c r="AB534" s="589"/>
      <c r="AC534" s="589"/>
      <c r="AD534" s="589"/>
      <c r="AE534" s="329"/>
      <c r="AF534" s="329"/>
      <c r="AG534" s="329"/>
      <c r="AH534" s="329"/>
      <c r="AI534" s="329"/>
      <c r="AJ534" s="329"/>
      <c r="AK534" s="329"/>
      <c r="AL534" s="329"/>
    </row>
    <row r="535" spans="1:38" s="30" customFormat="1" ht="17.100000000000001" customHeight="1">
      <c r="A535" s="329" t="s">
        <v>1569</v>
      </c>
      <c r="B535" s="664"/>
      <c r="C535" s="655" t="s">
        <v>1570</v>
      </c>
      <c r="D535" s="656" t="s">
        <v>639</v>
      </c>
      <c r="E535" s="646">
        <v>153200</v>
      </c>
      <c r="H535" s="646"/>
      <c r="I535" s="589">
        <f t="shared" ref="I535:I598" si="8">IF(E535=H535,0,1)</f>
        <v>1</v>
      </c>
      <c r="K535" s="589"/>
      <c r="L535" s="589"/>
      <c r="M535" s="589"/>
      <c r="N535" s="589"/>
      <c r="O535" s="589"/>
      <c r="P535" s="589"/>
      <c r="Q535" s="589"/>
      <c r="R535" s="589"/>
      <c r="S535" s="589"/>
      <c r="T535" s="589"/>
      <c r="U535" s="589"/>
      <c r="V535" s="589"/>
      <c r="W535" s="589"/>
      <c r="X535" s="589"/>
      <c r="Y535" s="589"/>
      <c r="Z535" s="589"/>
      <c r="AA535" s="589"/>
      <c r="AB535" s="589"/>
      <c r="AC535" s="589"/>
      <c r="AD535" s="589"/>
      <c r="AE535" s="329"/>
      <c r="AF535" s="329"/>
      <c r="AG535" s="329"/>
      <c r="AH535" s="329"/>
      <c r="AI535" s="329"/>
      <c r="AJ535" s="329"/>
      <c r="AK535" s="329"/>
      <c r="AL535" s="329"/>
    </row>
    <row r="536" spans="1:38" s="30" customFormat="1" ht="17.100000000000001" customHeight="1">
      <c r="A536" s="329" t="s">
        <v>1571</v>
      </c>
      <c r="B536" s="664"/>
      <c r="C536" s="655" t="s">
        <v>1572</v>
      </c>
      <c r="D536" s="656" t="s">
        <v>639</v>
      </c>
      <c r="E536" s="646">
        <v>183300</v>
      </c>
      <c r="H536" s="646"/>
      <c r="I536" s="589">
        <f t="shared" si="8"/>
        <v>1</v>
      </c>
      <c r="K536" s="589"/>
      <c r="L536" s="589"/>
      <c r="M536" s="589"/>
      <c r="N536" s="589"/>
      <c r="O536" s="589"/>
      <c r="P536" s="589"/>
      <c r="Q536" s="589"/>
      <c r="R536" s="589"/>
      <c r="S536" s="589"/>
      <c r="T536" s="589"/>
      <c r="U536" s="589"/>
      <c r="V536" s="589"/>
      <c r="W536" s="589"/>
      <c r="X536" s="589"/>
      <c r="Y536" s="589"/>
      <c r="Z536" s="589"/>
      <c r="AA536" s="589"/>
      <c r="AB536" s="589"/>
      <c r="AC536" s="589"/>
      <c r="AD536" s="589"/>
      <c r="AE536" s="329"/>
      <c r="AF536" s="329"/>
      <c r="AG536" s="329"/>
      <c r="AH536" s="329"/>
      <c r="AI536" s="329"/>
      <c r="AJ536" s="329"/>
      <c r="AK536" s="329"/>
      <c r="AL536" s="329"/>
    </row>
    <row r="537" spans="1:38" s="30" customFormat="1" ht="17.100000000000001" customHeight="1">
      <c r="A537" s="329" t="s">
        <v>1573</v>
      </c>
      <c r="B537" s="664"/>
      <c r="C537" s="655" t="s">
        <v>1574</v>
      </c>
      <c r="D537" s="656" t="s">
        <v>639</v>
      </c>
      <c r="E537" s="646">
        <v>224600</v>
      </c>
      <c r="H537" s="646"/>
      <c r="I537" s="589">
        <f t="shared" si="8"/>
        <v>1</v>
      </c>
      <c r="K537" s="589"/>
      <c r="L537" s="589"/>
      <c r="M537" s="589"/>
      <c r="N537" s="589"/>
      <c r="O537" s="589"/>
      <c r="P537" s="589"/>
      <c r="Q537" s="589"/>
      <c r="R537" s="589"/>
      <c r="S537" s="589"/>
      <c r="T537" s="589"/>
      <c r="U537" s="589"/>
      <c r="V537" s="589"/>
      <c r="W537" s="589"/>
      <c r="X537" s="589"/>
      <c r="Y537" s="589"/>
      <c r="Z537" s="589"/>
      <c r="AA537" s="589"/>
      <c r="AB537" s="589"/>
      <c r="AC537" s="589"/>
      <c r="AD537" s="589"/>
      <c r="AE537" s="329"/>
      <c r="AF537" s="329"/>
      <c r="AG537" s="329"/>
      <c r="AH537" s="329"/>
      <c r="AI537" s="329"/>
      <c r="AJ537" s="329"/>
      <c r="AK537" s="329"/>
      <c r="AL537" s="329"/>
    </row>
    <row r="538" spans="1:38" s="30" customFormat="1" ht="17.100000000000001" customHeight="1">
      <c r="A538" s="329" t="s">
        <v>1575</v>
      </c>
      <c r="B538" s="664"/>
      <c r="C538" s="655" t="s">
        <v>1576</v>
      </c>
      <c r="D538" s="656" t="s">
        <v>639</v>
      </c>
      <c r="E538" s="646">
        <v>281900</v>
      </c>
      <c r="H538" s="646"/>
      <c r="I538" s="589">
        <f t="shared" si="8"/>
        <v>1</v>
      </c>
      <c r="K538" s="589"/>
      <c r="L538" s="589"/>
      <c r="M538" s="589"/>
      <c r="N538" s="589"/>
      <c r="O538" s="589"/>
      <c r="P538" s="589"/>
      <c r="Q538" s="589"/>
      <c r="R538" s="589"/>
      <c r="S538" s="589"/>
      <c r="T538" s="589"/>
      <c r="U538" s="589"/>
      <c r="V538" s="589"/>
      <c r="W538" s="589"/>
      <c r="X538" s="589"/>
      <c r="Y538" s="589"/>
      <c r="Z538" s="589"/>
      <c r="AA538" s="589"/>
      <c r="AB538" s="589"/>
      <c r="AC538" s="589"/>
      <c r="AD538" s="589"/>
      <c r="AE538" s="329"/>
      <c r="AF538" s="329"/>
      <c r="AG538" s="329"/>
      <c r="AH538" s="329"/>
      <c r="AI538" s="329"/>
      <c r="AJ538" s="329"/>
      <c r="AK538" s="329"/>
      <c r="AL538" s="329"/>
    </row>
    <row r="539" spans="1:38" s="30" customFormat="1" ht="17.100000000000001" customHeight="1">
      <c r="A539" s="329" t="s">
        <v>3726</v>
      </c>
      <c r="B539" s="664"/>
      <c r="C539" s="655" t="s">
        <v>3550</v>
      </c>
      <c r="D539" s="656" t="s">
        <v>639</v>
      </c>
      <c r="E539" s="646">
        <v>356500</v>
      </c>
      <c r="H539" s="646"/>
      <c r="I539" s="589">
        <f t="shared" si="8"/>
        <v>1</v>
      </c>
      <c r="K539" s="589"/>
      <c r="L539" s="589"/>
      <c r="M539" s="589"/>
      <c r="N539" s="589"/>
      <c r="O539" s="589"/>
      <c r="P539" s="589"/>
      <c r="Q539" s="589"/>
      <c r="R539" s="589"/>
      <c r="S539" s="589"/>
      <c r="T539" s="589"/>
      <c r="U539" s="589"/>
      <c r="V539" s="589"/>
      <c r="W539" s="589"/>
      <c r="X539" s="589"/>
      <c r="Y539" s="589"/>
      <c r="Z539" s="589"/>
      <c r="AA539" s="589"/>
      <c r="AB539" s="589"/>
      <c r="AC539" s="589"/>
      <c r="AD539" s="589"/>
      <c r="AE539" s="329"/>
      <c r="AF539" s="329"/>
      <c r="AG539" s="329"/>
      <c r="AH539" s="329"/>
      <c r="AI539" s="329"/>
      <c r="AJ539" s="329"/>
      <c r="AK539" s="329"/>
      <c r="AL539" s="329"/>
    </row>
    <row r="540" spans="1:38" s="30" customFormat="1" ht="17.100000000000001" customHeight="1">
      <c r="A540" s="329" t="s">
        <v>3551</v>
      </c>
      <c r="B540" s="664"/>
      <c r="C540" s="655" t="s">
        <v>1729</v>
      </c>
      <c r="D540" s="656" t="s">
        <v>639</v>
      </c>
      <c r="E540" s="646">
        <v>416700</v>
      </c>
      <c r="H540" s="646"/>
      <c r="I540" s="589">
        <f t="shared" si="8"/>
        <v>1</v>
      </c>
      <c r="K540" s="589"/>
      <c r="L540" s="589"/>
      <c r="M540" s="589"/>
      <c r="N540" s="589"/>
      <c r="O540" s="589"/>
      <c r="P540" s="589"/>
      <c r="Q540" s="589"/>
      <c r="R540" s="589"/>
      <c r="S540" s="589"/>
      <c r="T540" s="589"/>
      <c r="U540" s="589"/>
      <c r="V540" s="589"/>
      <c r="W540" s="589"/>
      <c r="X540" s="589"/>
      <c r="Y540" s="589"/>
      <c r="Z540" s="589"/>
      <c r="AA540" s="589"/>
      <c r="AB540" s="589"/>
      <c r="AC540" s="589"/>
      <c r="AD540" s="589"/>
      <c r="AE540" s="329"/>
      <c r="AF540" s="329"/>
      <c r="AG540" s="329"/>
      <c r="AH540" s="329"/>
      <c r="AI540" s="329"/>
      <c r="AJ540" s="329"/>
      <c r="AK540" s="329"/>
      <c r="AL540" s="329"/>
    </row>
    <row r="541" spans="1:38" s="30" customFormat="1" ht="17.100000000000001" customHeight="1">
      <c r="A541" s="329" t="s">
        <v>1730</v>
      </c>
      <c r="B541" s="664"/>
      <c r="C541" s="655" t="s">
        <v>3558</v>
      </c>
      <c r="D541" s="656" t="s">
        <v>639</v>
      </c>
      <c r="E541" s="646">
        <v>518700</v>
      </c>
      <c r="H541" s="646"/>
      <c r="I541" s="589">
        <f t="shared" si="8"/>
        <v>1</v>
      </c>
      <c r="K541" s="589"/>
      <c r="L541" s="589"/>
      <c r="M541" s="589"/>
      <c r="N541" s="589"/>
      <c r="O541" s="589"/>
      <c r="P541" s="589"/>
      <c r="Q541" s="589"/>
      <c r="R541" s="589"/>
      <c r="S541" s="589"/>
      <c r="T541" s="589"/>
      <c r="U541" s="589"/>
      <c r="V541" s="589"/>
      <c r="W541" s="589"/>
      <c r="X541" s="589"/>
      <c r="Y541" s="589"/>
      <c r="Z541" s="589"/>
      <c r="AA541" s="589"/>
      <c r="AB541" s="589"/>
      <c r="AC541" s="589"/>
      <c r="AD541" s="589"/>
      <c r="AE541" s="329"/>
      <c r="AF541" s="329"/>
      <c r="AG541" s="329"/>
      <c r="AH541" s="329"/>
      <c r="AI541" s="329"/>
      <c r="AJ541" s="329"/>
      <c r="AK541" s="329"/>
      <c r="AL541" s="329"/>
    </row>
    <row r="542" spans="1:38" s="30" customFormat="1" ht="17.100000000000001" customHeight="1">
      <c r="A542" s="329" t="s">
        <v>3559</v>
      </c>
      <c r="B542" s="664"/>
      <c r="C542" s="655" t="s">
        <v>3560</v>
      </c>
      <c r="D542" s="656" t="s">
        <v>639</v>
      </c>
      <c r="E542" s="646">
        <v>602700</v>
      </c>
      <c r="H542" s="646"/>
      <c r="I542" s="589">
        <f t="shared" si="8"/>
        <v>1</v>
      </c>
      <c r="K542" s="589"/>
      <c r="L542" s="589"/>
      <c r="M542" s="589"/>
      <c r="N542" s="589"/>
      <c r="O542" s="589"/>
      <c r="P542" s="589"/>
      <c r="Q542" s="589"/>
      <c r="R542" s="589"/>
      <c r="S542" s="589"/>
      <c r="T542" s="589"/>
      <c r="U542" s="589"/>
      <c r="V542" s="589"/>
      <c r="W542" s="589"/>
      <c r="X542" s="589"/>
      <c r="Y542" s="589"/>
      <c r="Z542" s="589"/>
      <c r="AA542" s="589"/>
      <c r="AB542" s="589"/>
      <c r="AC542" s="589"/>
      <c r="AD542" s="589"/>
      <c r="AE542" s="329"/>
      <c r="AF542" s="329"/>
      <c r="AG542" s="329"/>
      <c r="AH542" s="329"/>
      <c r="AI542" s="329"/>
      <c r="AJ542" s="329"/>
      <c r="AK542" s="329"/>
      <c r="AL542" s="329"/>
    </row>
    <row r="543" spans="1:38" s="30" customFormat="1" ht="17.100000000000001" customHeight="1">
      <c r="A543" s="329" t="s">
        <v>3561</v>
      </c>
      <c r="B543" s="664"/>
      <c r="C543" s="655" t="s">
        <v>3562</v>
      </c>
      <c r="D543" s="656" t="s">
        <v>639</v>
      </c>
      <c r="E543" s="646">
        <v>759300</v>
      </c>
      <c r="H543" s="646"/>
      <c r="I543" s="589">
        <f t="shared" si="8"/>
        <v>1</v>
      </c>
      <c r="K543" s="589"/>
      <c r="L543" s="589"/>
      <c r="M543" s="589"/>
      <c r="N543" s="589"/>
      <c r="O543" s="589"/>
      <c r="P543" s="589"/>
      <c r="Q543" s="589"/>
      <c r="R543" s="589"/>
      <c r="S543" s="589"/>
      <c r="T543" s="589"/>
      <c r="U543" s="589"/>
      <c r="V543" s="589"/>
      <c r="W543" s="589"/>
      <c r="X543" s="589"/>
      <c r="Y543" s="589"/>
      <c r="Z543" s="589"/>
      <c r="AA543" s="589"/>
      <c r="AB543" s="589"/>
      <c r="AC543" s="589"/>
      <c r="AD543" s="589"/>
      <c r="AE543" s="329"/>
      <c r="AF543" s="329"/>
      <c r="AG543" s="329"/>
      <c r="AH543" s="329"/>
      <c r="AI543" s="329"/>
      <c r="AJ543" s="329"/>
      <c r="AK543" s="329"/>
      <c r="AL543" s="329"/>
    </row>
    <row r="544" spans="1:38" s="30" customFormat="1" ht="17.100000000000001" customHeight="1">
      <c r="A544" s="329" t="s">
        <v>3563</v>
      </c>
      <c r="B544" s="664"/>
      <c r="C544" s="655" t="s">
        <v>3564</v>
      </c>
      <c r="D544" s="656" t="s">
        <v>639</v>
      </c>
      <c r="E544" s="646">
        <v>926300</v>
      </c>
      <c r="H544" s="646"/>
      <c r="I544" s="589">
        <f t="shared" si="8"/>
        <v>1</v>
      </c>
      <c r="K544" s="589"/>
      <c r="L544" s="589"/>
      <c r="M544" s="589"/>
      <c r="N544" s="589"/>
      <c r="O544" s="589"/>
      <c r="P544" s="589"/>
      <c r="Q544" s="589"/>
      <c r="R544" s="589"/>
      <c r="S544" s="589"/>
      <c r="T544" s="589"/>
      <c r="U544" s="589"/>
      <c r="V544" s="589"/>
      <c r="W544" s="589"/>
      <c r="X544" s="589"/>
      <c r="Y544" s="589"/>
      <c r="Z544" s="589"/>
      <c r="AA544" s="589"/>
      <c r="AB544" s="589"/>
      <c r="AC544" s="589"/>
      <c r="AD544" s="589"/>
      <c r="AE544" s="329"/>
      <c r="AF544" s="329"/>
      <c r="AG544" s="329"/>
      <c r="AH544" s="329"/>
      <c r="AI544" s="329"/>
      <c r="AJ544" s="329"/>
      <c r="AK544" s="329"/>
      <c r="AL544" s="329"/>
    </row>
    <row r="545" spans="1:38" s="30" customFormat="1" ht="17.100000000000001" customHeight="1">
      <c r="A545" s="329" t="s">
        <v>3565</v>
      </c>
      <c r="B545" s="664"/>
      <c r="C545" s="655" t="s">
        <v>3566</v>
      </c>
      <c r="D545" s="656" t="s">
        <v>639</v>
      </c>
      <c r="E545" s="646"/>
      <c r="H545" s="646"/>
      <c r="I545" s="589">
        <f t="shared" si="8"/>
        <v>0</v>
      </c>
      <c r="K545" s="589"/>
      <c r="L545" s="589"/>
      <c r="M545" s="589"/>
      <c r="N545" s="589"/>
      <c r="O545" s="589"/>
      <c r="P545" s="589"/>
      <c r="Q545" s="589"/>
      <c r="R545" s="589"/>
      <c r="S545" s="589"/>
      <c r="T545" s="589"/>
      <c r="U545" s="589"/>
      <c r="V545" s="589"/>
      <c r="W545" s="589"/>
      <c r="X545" s="589"/>
      <c r="Y545" s="589"/>
      <c r="Z545" s="589"/>
      <c r="AA545" s="589"/>
      <c r="AB545" s="589"/>
      <c r="AC545" s="589"/>
      <c r="AD545" s="589"/>
      <c r="AE545" s="329"/>
      <c r="AF545" s="329"/>
      <c r="AG545" s="329"/>
      <c r="AH545" s="329"/>
      <c r="AI545" s="329"/>
      <c r="AJ545" s="329"/>
      <c r="AK545" s="329"/>
      <c r="AL545" s="329"/>
    </row>
    <row r="546" spans="1:38" s="30" customFormat="1" ht="17.100000000000001" customHeight="1">
      <c r="A546" s="329" t="s">
        <v>3567</v>
      </c>
      <c r="B546" s="664"/>
      <c r="C546" s="655" t="s">
        <v>3568</v>
      </c>
      <c r="D546" s="656" t="s">
        <v>639</v>
      </c>
      <c r="E546" s="646"/>
      <c r="H546" s="646"/>
      <c r="I546" s="589">
        <f t="shared" si="8"/>
        <v>0</v>
      </c>
      <c r="K546" s="589"/>
      <c r="L546" s="589"/>
      <c r="M546" s="589"/>
      <c r="N546" s="589"/>
      <c r="O546" s="589"/>
      <c r="P546" s="589"/>
      <c r="Q546" s="589"/>
      <c r="R546" s="589"/>
      <c r="S546" s="589"/>
      <c r="T546" s="589"/>
      <c r="U546" s="589"/>
      <c r="V546" s="589"/>
      <c r="W546" s="589"/>
      <c r="X546" s="589"/>
      <c r="Y546" s="589"/>
      <c r="Z546" s="589"/>
      <c r="AA546" s="589"/>
      <c r="AB546" s="589"/>
      <c r="AC546" s="589"/>
      <c r="AD546" s="589"/>
      <c r="AE546" s="329"/>
      <c r="AF546" s="329"/>
      <c r="AG546" s="329"/>
      <c r="AH546" s="329"/>
      <c r="AI546" s="329"/>
      <c r="AJ546" s="329"/>
      <c r="AK546" s="329"/>
      <c r="AL546" s="329"/>
    </row>
    <row r="547" spans="1:38" s="30" customFormat="1" ht="17.100000000000001" customHeight="1">
      <c r="A547" s="665"/>
      <c r="B547" s="664"/>
      <c r="C547" s="655"/>
      <c r="D547" s="656"/>
      <c r="E547" s="646"/>
      <c r="H547" s="646"/>
      <c r="I547" s="589">
        <f t="shared" si="8"/>
        <v>0</v>
      </c>
      <c r="K547" s="589"/>
      <c r="L547" s="589"/>
      <c r="M547" s="589"/>
      <c r="N547" s="589"/>
      <c r="O547" s="589"/>
      <c r="P547" s="589"/>
      <c r="Q547" s="589"/>
      <c r="R547" s="589"/>
      <c r="S547" s="589"/>
      <c r="T547" s="589"/>
      <c r="U547" s="589"/>
      <c r="V547" s="589"/>
      <c r="W547" s="589"/>
      <c r="X547" s="589"/>
      <c r="Y547" s="589"/>
      <c r="Z547" s="589"/>
      <c r="AA547" s="589"/>
      <c r="AB547" s="589"/>
      <c r="AC547" s="589"/>
      <c r="AD547" s="589"/>
      <c r="AE547" s="329"/>
      <c r="AF547" s="329"/>
      <c r="AG547" s="329"/>
      <c r="AH547" s="329"/>
      <c r="AI547" s="329"/>
      <c r="AJ547" s="329"/>
      <c r="AK547" s="329"/>
      <c r="AL547" s="329"/>
    </row>
    <row r="548" spans="1:38" s="30" customFormat="1" ht="17.100000000000001" customHeight="1">
      <c r="A548" s="329" t="s">
        <v>3569</v>
      </c>
      <c r="B548" s="664"/>
      <c r="C548" s="655" t="s">
        <v>479</v>
      </c>
      <c r="D548" s="656" t="s">
        <v>639</v>
      </c>
      <c r="E548" s="646">
        <v>373620</v>
      </c>
      <c r="H548" s="646"/>
      <c r="I548" s="589">
        <f t="shared" si="8"/>
        <v>1</v>
      </c>
      <c r="K548" s="589"/>
      <c r="L548" s="589"/>
      <c r="M548" s="589"/>
      <c r="N548" s="589"/>
      <c r="O548" s="589"/>
      <c r="P548" s="589"/>
      <c r="Q548" s="589"/>
      <c r="R548" s="589"/>
      <c r="S548" s="589"/>
      <c r="T548" s="589"/>
      <c r="U548" s="589"/>
      <c r="V548" s="589"/>
      <c r="W548" s="589"/>
      <c r="X548" s="589"/>
      <c r="Y548" s="589"/>
      <c r="Z548" s="589"/>
      <c r="AA548" s="589"/>
      <c r="AB548" s="589"/>
      <c r="AC548" s="589"/>
      <c r="AD548" s="589"/>
      <c r="AE548" s="329"/>
      <c r="AF548" s="329"/>
      <c r="AG548" s="329"/>
      <c r="AH548" s="329"/>
      <c r="AI548" s="329"/>
      <c r="AJ548" s="329"/>
      <c r="AK548" s="329"/>
      <c r="AL548" s="329"/>
    </row>
    <row r="549" spans="1:38" s="30" customFormat="1" ht="17.100000000000001" customHeight="1">
      <c r="A549" s="329" t="s">
        <v>3570</v>
      </c>
      <c r="B549" s="664"/>
      <c r="C549" s="655" t="s">
        <v>480</v>
      </c>
      <c r="D549" s="656" t="s">
        <v>639</v>
      </c>
      <c r="E549" s="646">
        <v>449740</v>
      </c>
      <c r="H549" s="646"/>
      <c r="I549" s="589">
        <f t="shared" si="8"/>
        <v>1</v>
      </c>
      <c r="K549" s="589"/>
      <c r="L549" s="589"/>
      <c r="M549" s="589"/>
      <c r="N549" s="589"/>
      <c r="O549" s="589"/>
      <c r="P549" s="589"/>
      <c r="Q549" s="589"/>
      <c r="R549" s="589"/>
      <c r="S549" s="589"/>
      <c r="T549" s="589"/>
      <c r="U549" s="589"/>
      <c r="V549" s="589"/>
      <c r="W549" s="589"/>
      <c r="X549" s="589"/>
      <c r="Y549" s="589"/>
      <c r="Z549" s="589"/>
      <c r="AA549" s="589"/>
      <c r="AB549" s="589"/>
      <c r="AC549" s="589"/>
      <c r="AD549" s="589"/>
      <c r="AE549" s="329"/>
      <c r="AF549" s="329"/>
      <c r="AG549" s="329"/>
      <c r="AH549" s="329"/>
      <c r="AI549" s="329"/>
      <c r="AJ549" s="329"/>
      <c r="AK549" s="329"/>
      <c r="AL549" s="329"/>
    </row>
    <row r="550" spans="1:38" s="30" customFormat="1" ht="17.100000000000001" customHeight="1">
      <c r="A550" s="329" t="s">
        <v>3571</v>
      </c>
      <c r="B550" s="664"/>
      <c r="C550" s="655" t="s">
        <v>2403</v>
      </c>
      <c r="D550" s="656" t="s">
        <v>639</v>
      </c>
      <c r="E550" s="646">
        <v>548590</v>
      </c>
      <c r="H550" s="646"/>
      <c r="I550" s="589">
        <f t="shared" si="8"/>
        <v>1</v>
      </c>
      <c r="K550" s="589"/>
      <c r="L550" s="589"/>
      <c r="M550" s="589"/>
      <c r="N550" s="589"/>
      <c r="O550" s="589"/>
      <c r="P550" s="589"/>
      <c r="Q550" s="589"/>
      <c r="R550" s="589"/>
      <c r="S550" s="589"/>
      <c r="T550" s="589"/>
      <c r="U550" s="589"/>
      <c r="V550" s="589"/>
      <c r="W550" s="589"/>
      <c r="X550" s="589"/>
      <c r="Y550" s="589"/>
      <c r="Z550" s="589"/>
      <c r="AA550" s="589"/>
      <c r="AB550" s="589"/>
      <c r="AC550" s="589"/>
      <c r="AD550" s="589"/>
      <c r="AE550" s="329"/>
      <c r="AF550" s="329"/>
      <c r="AG550" s="329"/>
      <c r="AH550" s="329"/>
      <c r="AI550" s="329"/>
      <c r="AJ550" s="329"/>
      <c r="AK550" s="329"/>
      <c r="AL550" s="329"/>
    </row>
    <row r="551" spans="1:38" s="30" customFormat="1" ht="17.100000000000001" customHeight="1">
      <c r="A551" s="329" t="s">
        <v>3572</v>
      </c>
      <c r="B551" s="664"/>
      <c r="C551" s="655" t="s">
        <v>2404</v>
      </c>
      <c r="D551" s="656" t="s">
        <v>639</v>
      </c>
      <c r="E551" s="646">
        <v>684300</v>
      </c>
      <c r="H551" s="646"/>
      <c r="I551" s="589">
        <f t="shared" si="8"/>
        <v>1</v>
      </c>
      <c r="K551" s="589"/>
      <c r="L551" s="589"/>
      <c r="M551" s="589"/>
      <c r="N551" s="589"/>
      <c r="O551" s="589"/>
      <c r="P551" s="589"/>
      <c r="Q551" s="589"/>
      <c r="R551" s="589"/>
      <c r="S551" s="589"/>
      <c r="T551" s="589"/>
      <c r="U551" s="589"/>
      <c r="V551" s="589"/>
      <c r="W551" s="589"/>
      <c r="X551" s="589"/>
      <c r="Y551" s="589"/>
      <c r="Z551" s="589"/>
      <c r="AA551" s="589"/>
      <c r="AB551" s="589"/>
      <c r="AC551" s="589"/>
      <c r="AD551" s="589"/>
      <c r="AE551" s="329"/>
      <c r="AF551" s="329"/>
      <c r="AG551" s="329"/>
      <c r="AH551" s="329"/>
      <c r="AI551" s="329"/>
      <c r="AJ551" s="329"/>
      <c r="AK551" s="329"/>
      <c r="AL551" s="329"/>
    </row>
    <row r="552" spans="1:38" s="30" customFormat="1" ht="17.100000000000001" customHeight="1">
      <c r="A552" s="329" t="s">
        <v>3573</v>
      </c>
      <c r="B552" s="664"/>
      <c r="C552" s="655" t="s">
        <v>2405</v>
      </c>
      <c r="D552" s="656" t="s">
        <v>639</v>
      </c>
      <c r="E552" s="646">
        <v>863500</v>
      </c>
      <c r="H552" s="646"/>
      <c r="I552" s="589">
        <f t="shared" si="8"/>
        <v>1</v>
      </c>
      <c r="K552" s="589"/>
      <c r="L552" s="589"/>
      <c r="M552" s="589"/>
      <c r="N552" s="589"/>
      <c r="O552" s="589"/>
      <c r="P552" s="589"/>
      <c r="Q552" s="589"/>
      <c r="R552" s="589"/>
      <c r="S552" s="589"/>
      <c r="T552" s="589"/>
      <c r="U552" s="589"/>
      <c r="V552" s="589"/>
      <c r="W552" s="589"/>
      <c r="X552" s="589"/>
      <c r="Y552" s="589"/>
      <c r="Z552" s="589"/>
      <c r="AA552" s="589"/>
      <c r="AB552" s="589"/>
      <c r="AC552" s="589"/>
      <c r="AD552" s="589"/>
      <c r="AE552" s="329"/>
      <c r="AF552" s="329"/>
      <c r="AG552" s="329"/>
      <c r="AH552" s="329"/>
      <c r="AI552" s="329"/>
      <c r="AJ552" s="329"/>
      <c r="AK552" s="329"/>
      <c r="AL552" s="329"/>
    </row>
    <row r="553" spans="1:38" s="30" customFormat="1" ht="17.100000000000001" customHeight="1">
      <c r="A553" s="329" t="s">
        <v>3574</v>
      </c>
      <c r="B553" s="664"/>
      <c r="C553" s="655" t="s">
        <v>2135</v>
      </c>
      <c r="D553" s="656" t="s">
        <v>639</v>
      </c>
      <c r="E553" s="646">
        <v>1023910</v>
      </c>
      <c r="H553" s="646"/>
      <c r="I553" s="589">
        <f t="shared" si="8"/>
        <v>1</v>
      </c>
      <c r="K553" s="589"/>
      <c r="L553" s="589"/>
      <c r="M553" s="589"/>
      <c r="N553" s="589"/>
      <c r="O553" s="589"/>
      <c r="P553" s="589"/>
      <c r="Q553" s="589"/>
      <c r="R553" s="589"/>
      <c r="S553" s="589"/>
      <c r="T553" s="589"/>
      <c r="U553" s="589"/>
      <c r="V553" s="589"/>
      <c r="W553" s="589"/>
      <c r="X553" s="589"/>
      <c r="Y553" s="589"/>
      <c r="Z553" s="589"/>
      <c r="AA553" s="589"/>
      <c r="AB553" s="589"/>
      <c r="AC553" s="589"/>
      <c r="AD553" s="589"/>
      <c r="AE553" s="329"/>
      <c r="AF553" s="329"/>
      <c r="AG553" s="329"/>
      <c r="AH553" s="329"/>
      <c r="AI553" s="329"/>
      <c r="AJ553" s="329"/>
      <c r="AK553" s="329"/>
      <c r="AL553" s="329"/>
    </row>
    <row r="554" spans="1:38" s="30" customFormat="1" ht="17.100000000000001" customHeight="1">
      <c r="A554" s="329" t="s">
        <v>3575</v>
      </c>
      <c r="B554" s="664"/>
      <c r="C554" s="655" t="s">
        <v>2136</v>
      </c>
      <c r="D554" s="656" t="s">
        <v>639</v>
      </c>
      <c r="E554" s="646">
        <v>1214530</v>
      </c>
      <c r="H554" s="646"/>
      <c r="I554" s="589">
        <f t="shared" si="8"/>
        <v>1</v>
      </c>
      <c r="K554" s="589"/>
      <c r="L554" s="589"/>
      <c r="M554" s="589"/>
      <c r="N554" s="589"/>
      <c r="O554" s="589"/>
      <c r="P554" s="589"/>
      <c r="Q554" s="589"/>
      <c r="R554" s="589"/>
      <c r="S554" s="589"/>
      <c r="T554" s="589"/>
      <c r="U554" s="589"/>
      <c r="V554" s="589"/>
      <c r="W554" s="589"/>
      <c r="X554" s="589"/>
      <c r="Y554" s="589"/>
      <c r="Z554" s="589"/>
      <c r="AA554" s="589"/>
      <c r="AB554" s="589"/>
      <c r="AC554" s="589"/>
      <c r="AD554" s="589"/>
      <c r="AE554" s="329"/>
      <c r="AF554" s="329"/>
      <c r="AG554" s="329"/>
      <c r="AH554" s="329"/>
      <c r="AI554" s="329"/>
      <c r="AJ554" s="329"/>
      <c r="AK554" s="329"/>
      <c r="AL554" s="329"/>
    </row>
    <row r="555" spans="1:38" s="30" customFormat="1" ht="17.100000000000001" customHeight="1">
      <c r="A555" s="329" t="s">
        <v>3576</v>
      </c>
      <c r="B555" s="664"/>
      <c r="C555" s="655" t="s">
        <v>2137</v>
      </c>
      <c r="D555" s="656" t="s">
        <v>639</v>
      </c>
      <c r="E555" s="646">
        <v>1469340</v>
      </c>
      <c r="H555" s="646"/>
      <c r="I555" s="589">
        <f t="shared" si="8"/>
        <v>1</v>
      </c>
      <c r="K555" s="589"/>
      <c r="L555" s="589"/>
      <c r="M555" s="589"/>
      <c r="N555" s="589"/>
      <c r="O555" s="589"/>
      <c r="P555" s="589"/>
      <c r="Q555" s="589"/>
      <c r="R555" s="589"/>
      <c r="S555" s="589"/>
      <c r="T555" s="589"/>
      <c r="U555" s="589"/>
      <c r="V555" s="589"/>
      <c r="W555" s="589"/>
      <c r="X555" s="589"/>
      <c r="Y555" s="589"/>
      <c r="Z555" s="589"/>
      <c r="AA555" s="589"/>
      <c r="AB555" s="589"/>
      <c r="AC555" s="589"/>
      <c r="AD555" s="589"/>
      <c r="AE555" s="329"/>
      <c r="AF555" s="329"/>
      <c r="AG555" s="329"/>
      <c r="AH555" s="329"/>
      <c r="AI555" s="329"/>
      <c r="AJ555" s="329"/>
      <c r="AK555" s="329"/>
      <c r="AL555" s="329"/>
    </row>
    <row r="556" spans="1:38" s="30" customFormat="1" ht="17.100000000000001" customHeight="1">
      <c r="A556" s="329" t="s">
        <v>3577</v>
      </c>
      <c r="B556" s="664"/>
      <c r="C556" s="655" t="s">
        <v>2138</v>
      </c>
      <c r="D556" s="656" t="s">
        <v>639</v>
      </c>
      <c r="E556" s="646">
        <v>1891630</v>
      </c>
      <c r="H556" s="646"/>
      <c r="I556" s="589">
        <f t="shared" si="8"/>
        <v>1</v>
      </c>
      <c r="K556" s="589"/>
      <c r="L556" s="589"/>
      <c r="M556" s="589"/>
      <c r="N556" s="589"/>
      <c r="O556" s="589"/>
      <c r="P556" s="589"/>
      <c r="Q556" s="589"/>
      <c r="R556" s="589"/>
      <c r="S556" s="589"/>
      <c r="T556" s="589"/>
      <c r="U556" s="589"/>
      <c r="V556" s="589"/>
      <c r="W556" s="589"/>
      <c r="X556" s="589"/>
      <c r="Y556" s="589"/>
      <c r="Z556" s="589"/>
      <c r="AA556" s="589"/>
      <c r="AB556" s="589"/>
      <c r="AC556" s="589"/>
      <c r="AD556" s="589"/>
      <c r="AE556" s="329"/>
      <c r="AF556" s="329"/>
      <c r="AG556" s="329"/>
      <c r="AH556" s="329"/>
      <c r="AI556" s="329"/>
      <c r="AJ556" s="329"/>
      <c r="AK556" s="329"/>
      <c r="AL556" s="329"/>
    </row>
    <row r="557" spans="1:38" s="30" customFormat="1" ht="17.100000000000001" customHeight="1">
      <c r="A557" s="329" t="s">
        <v>2139</v>
      </c>
      <c r="B557" s="664"/>
      <c r="C557" s="655" t="s">
        <v>2140</v>
      </c>
      <c r="D557" s="656" t="s">
        <v>639</v>
      </c>
      <c r="E557" s="646">
        <v>2018800</v>
      </c>
      <c r="H557" s="646"/>
      <c r="I557" s="589">
        <f t="shared" si="8"/>
        <v>1</v>
      </c>
      <c r="K557" s="589"/>
      <c r="L557" s="589"/>
      <c r="M557" s="589"/>
      <c r="N557" s="589"/>
      <c r="O557" s="589"/>
      <c r="P557" s="589"/>
      <c r="Q557" s="589"/>
      <c r="R557" s="589"/>
      <c r="S557" s="589"/>
      <c r="T557" s="589"/>
      <c r="U557" s="589"/>
      <c r="V557" s="589"/>
      <c r="W557" s="589"/>
      <c r="X557" s="589"/>
      <c r="Y557" s="589"/>
      <c r="Z557" s="589"/>
      <c r="AA557" s="589"/>
      <c r="AB557" s="589"/>
      <c r="AC557" s="589"/>
      <c r="AD557" s="589"/>
      <c r="AE557" s="329"/>
      <c r="AF557" s="329"/>
      <c r="AG557" s="329"/>
      <c r="AH557" s="329"/>
      <c r="AI557" s="329"/>
      <c r="AJ557" s="329"/>
      <c r="AK557" s="329"/>
      <c r="AL557" s="329"/>
    </row>
    <row r="558" spans="1:38" s="30" customFormat="1" ht="17.100000000000001" customHeight="1">
      <c r="A558" s="665"/>
      <c r="B558" s="664"/>
      <c r="C558" s="655"/>
      <c r="D558" s="656"/>
      <c r="E558" s="646"/>
      <c r="H558" s="646"/>
      <c r="I558" s="589">
        <f t="shared" si="8"/>
        <v>0</v>
      </c>
      <c r="K558" s="589"/>
      <c r="L558" s="589"/>
      <c r="M558" s="589"/>
      <c r="N558" s="589"/>
      <c r="O558" s="589"/>
      <c r="P558" s="589"/>
      <c r="Q558" s="589"/>
      <c r="R558" s="589"/>
      <c r="S558" s="589"/>
      <c r="T558" s="589"/>
      <c r="U558" s="589"/>
      <c r="V558" s="589"/>
      <c r="W558" s="589"/>
      <c r="X558" s="589"/>
      <c r="Y558" s="589"/>
      <c r="Z558" s="589"/>
      <c r="AA558" s="589"/>
      <c r="AB558" s="589"/>
      <c r="AC558" s="589"/>
      <c r="AD558" s="589"/>
      <c r="AE558" s="329"/>
      <c r="AF558" s="329"/>
      <c r="AG558" s="329"/>
      <c r="AH558" s="329"/>
      <c r="AI558" s="329"/>
      <c r="AJ558" s="329"/>
      <c r="AK558" s="329"/>
      <c r="AL558" s="329"/>
    </row>
    <row r="559" spans="1:38" s="30" customFormat="1" ht="17.100000000000001" customHeight="1">
      <c r="A559" s="329" t="s">
        <v>3578</v>
      </c>
      <c r="B559" s="664"/>
      <c r="C559" s="655" t="s">
        <v>6157</v>
      </c>
      <c r="D559" s="656" t="s">
        <v>639</v>
      </c>
      <c r="E559" s="646">
        <v>499710</v>
      </c>
      <c r="H559" s="646"/>
      <c r="I559" s="589">
        <f t="shared" si="8"/>
        <v>1</v>
      </c>
      <c r="K559" s="589"/>
      <c r="L559" s="589"/>
      <c r="M559" s="589"/>
      <c r="N559" s="589"/>
      <c r="O559" s="589"/>
      <c r="P559" s="589"/>
      <c r="Q559" s="589"/>
      <c r="R559" s="589"/>
      <c r="S559" s="589"/>
      <c r="T559" s="589"/>
      <c r="U559" s="589"/>
      <c r="V559" s="589"/>
      <c r="W559" s="589"/>
      <c r="X559" s="589"/>
      <c r="Y559" s="589"/>
      <c r="Z559" s="589"/>
      <c r="AA559" s="589"/>
      <c r="AB559" s="589"/>
      <c r="AC559" s="589"/>
      <c r="AD559" s="589"/>
      <c r="AE559" s="329"/>
      <c r="AF559" s="329"/>
      <c r="AG559" s="329"/>
      <c r="AH559" s="329"/>
      <c r="AI559" s="329"/>
      <c r="AJ559" s="329"/>
      <c r="AK559" s="329"/>
      <c r="AL559" s="329"/>
    </row>
    <row r="560" spans="1:38" s="30" customFormat="1" ht="17.100000000000001" customHeight="1">
      <c r="A560" s="329" t="s">
        <v>3579</v>
      </c>
      <c r="B560" s="664"/>
      <c r="C560" s="655" t="s">
        <v>6158</v>
      </c>
      <c r="D560" s="656" t="s">
        <v>639</v>
      </c>
      <c r="E560" s="646">
        <v>614020</v>
      </c>
      <c r="H560" s="646"/>
      <c r="I560" s="589">
        <f t="shared" si="8"/>
        <v>1</v>
      </c>
      <c r="K560" s="589"/>
      <c r="L560" s="589"/>
      <c r="M560" s="589"/>
      <c r="N560" s="589"/>
      <c r="O560" s="589"/>
      <c r="P560" s="589"/>
      <c r="Q560" s="589"/>
      <c r="R560" s="589"/>
      <c r="S560" s="589"/>
      <c r="T560" s="589"/>
      <c r="U560" s="589"/>
      <c r="V560" s="589"/>
      <c r="W560" s="589"/>
      <c r="X560" s="589"/>
      <c r="Y560" s="589"/>
      <c r="Z560" s="589"/>
      <c r="AA560" s="589"/>
      <c r="AB560" s="589"/>
      <c r="AC560" s="589"/>
      <c r="AD560" s="589"/>
      <c r="AE560" s="329"/>
      <c r="AF560" s="329"/>
      <c r="AG560" s="329"/>
      <c r="AH560" s="329"/>
      <c r="AI560" s="329"/>
      <c r="AJ560" s="329"/>
      <c r="AK560" s="329"/>
      <c r="AL560" s="329"/>
    </row>
    <row r="561" spans="1:38" s="30" customFormat="1" ht="17.100000000000001" customHeight="1">
      <c r="A561" s="329" t="s">
        <v>3580</v>
      </c>
      <c r="B561" s="664"/>
      <c r="C561" s="655" t="s">
        <v>6159</v>
      </c>
      <c r="D561" s="656" t="s">
        <v>639</v>
      </c>
      <c r="E561" s="646">
        <v>776280</v>
      </c>
      <c r="H561" s="646"/>
      <c r="I561" s="589">
        <f t="shared" si="8"/>
        <v>1</v>
      </c>
      <c r="K561" s="589"/>
      <c r="L561" s="589"/>
      <c r="M561" s="589"/>
      <c r="N561" s="589"/>
      <c r="O561" s="589"/>
      <c r="P561" s="589"/>
      <c r="Q561" s="589"/>
      <c r="R561" s="589"/>
      <c r="S561" s="589"/>
      <c r="T561" s="589"/>
      <c r="U561" s="589"/>
      <c r="V561" s="589"/>
      <c r="W561" s="589"/>
      <c r="X561" s="589"/>
      <c r="Y561" s="589"/>
      <c r="Z561" s="589"/>
      <c r="AA561" s="589"/>
      <c r="AB561" s="589"/>
      <c r="AC561" s="589"/>
      <c r="AD561" s="589"/>
      <c r="AE561" s="329"/>
      <c r="AF561" s="329"/>
      <c r="AG561" s="329"/>
      <c r="AH561" s="329"/>
      <c r="AI561" s="329"/>
      <c r="AJ561" s="329"/>
      <c r="AK561" s="329"/>
      <c r="AL561" s="329"/>
    </row>
    <row r="562" spans="1:38" s="30" customFormat="1" ht="17.100000000000001" customHeight="1">
      <c r="A562" s="329" t="s">
        <v>4838</v>
      </c>
      <c r="B562" s="664"/>
      <c r="C562" s="655" t="s">
        <v>6160</v>
      </c>
      <c r="D562" s="656" t="s">
        <v>639</v>
      </c>
      <c r="E562" s="646">
        <v>994440</v>
      </c>
      <c r="H562" s="646"/>
      <c r="I562" s="589">
        <f t="shared" si="8"/>
        <v>1</v>
      </c>
      <c r="K562" s="589"/>
      <c r="L562" s="589"/>
      <c r="M562" s="589"/>
      <c r="N562" s="589"/>
      <c r="O562" s="589"/>
      <c r="P562" s="589"/>
      <c r="Q562" s="589"/>
      <c r="R562" s="589"/>
      <c r="S562" s="589"/>
      <c r="T562" s="589"/>
      <c r="U562" s="589"/>
      <c r="V562" s="589"/>
      <c r="W562" s="589"/>
      <c r="X562" s="589"/>
      <c r="Y562" s="589"/>
      <c r="Z562" s="589"/>
      <c r="AA562" s="589"/>
      <c r="AB562" s="589"/>
      <c r="AC562" s="589"/>
      <c r="AD562" s="589"/>
      <c r="AE562" s="329"/>
      <c r="AF562" s="329"/>
      <c r="AG562" s="329"/>
      <c r="AH562" s="329"/>
      <c r="AI562" s="329"/>
      <c r="AJ562" s="329"/>
      <c r="AK562" s="329"/>
      <c r="AL562" s="329"/>
    </row>
    <row r="563" spans="1:38" s="30" customFormat="1" ht="17.100000000000001" customHeight="1">
      <c r="A563" s="329" t="s">
        <v>4839</v>
      </c>
      <c r="B563" s="664"/>
      <c r="C563" s="655" t="s">
        <v>6161</v>
      </c>
      <c r="D563" s="670" t="s">
        <v>639</v>
      </c>
      <c r="E563" s="646">
        <v>1200020</v>
      </c>
      <c r="H563" s="646"/>
      <c r="I563" s="589">
        <f t="shared" si="8"/>
        <v>1</v>
      </c>
      <c r="K563" s="589"/>
      <c r="L563" s="589"/>
      <c r="M563" s="589"/>
      <c r="N563" s="589"/>
      <c r="O563" s="589"/>
      <c r="P563" s="589"/>
      <c r="Q563" s="589"/>
      <c r="R563" s="589"/>
      <c r="S563" s="589"/>
      <c r="T563" s="589"/>
      <c r="U563" s="589"/>
      <c r="V563" s="589"/>
      <c r="W563" s="589"/>
      <c r="X563" s="589"/>
      <c r="Y563" s="589"/>
      <c r="Z563" s="589"/>
      <c r="AA563" s="589"/>
      <c r="AB563" s="589"/>
      <c r="AC563" s="589"/>
      <c r="AD563" s="589"/>
      <c r="AE563" s="329"/>
      <c r="AF563" s="329"/>
      <c r="AG563" s="329"/>
      <c r="AH563" s="329"/>
      <c r="AI563" s="329"/>
      <c r="AJ563" s="329"/>
      <c r="AK563" s="329"/>
      <c r="AL563" s="329"/>
    </row>
    <row r="564" spans="1:38" s="30" customFormat="1" ht="17.100000000000001" customHeight="1">
      <c r="A564" s="329" t="s">
        <v>4840</v>
      </c>
      <c r="B564" s="664"/>
      <c r="C564" s="655" t="s">
        <v>3548</v>
      </c>
      <c r="D564" s="670" t="s">
        <v>639</v>
      </c>
      <c r="E564" s="646">
        <v>1440450</v>
      </c>
      <c r="H564" s="646"/>
      <c r="I564" s="589">
        <f t="shared" si="8"/>
        <v>1</v>
      </c>
      <c r="K564" s="589"/>
      <c r="L564" s="589"/>
      <c r="M564" s="589"/>
      <c r="N564" s="589"/>
      <c r="O564" s="589"/>
      <c r="P564" s="589"/>
      <c r="Q564" s="589"/>
      <c r="R564" s="589"/>
      <c r="S564" s="589"/>
      <c r="T564" s="589"/>
      <c r="U564" s="589"/>
      <c r="V564" s="589"/>
      <c r="W564" s="589"/>
      <c r="X564" s="589"/>
      <c r="Y564" s="589"/>
      <c r="Z564" s="589"/>
      <c r="AA564" s="589"/>
      <c r="AB564" s="589"/>
      <c r="AC564" s="589"/>
      <c r="AD564" s="589"/>
      <c r="AE564" s="329"/>
      <c r="AF564" s="329"/>
      <c r="AG564" s="329"/>
      <c r="AH564" s="329"/>
      <c r="AI564" s="329"/>
      <c r="AJ564" s="329"/>
      <c r="AK564" s="329"/>
      <c r="AL564" s="329"/>
    </row>
    <row r="565" spans="1:38" s="30" customFormat="1" ht="17.100000000000001" customHeight="1">
      <c r="A565" s="329" t="s">
        <v>1736</v>
      </c>
      <c r="B565" s="664"/>
      <c r="C565" s="655" t="s">
        <v>548</v>
      </c>
      <c r="D565" s="670" t="s">
        <v>639</v>
      </c>
      <c r="E565" s="646">
        <v>1739940</v>
      </c>
      <c r="H565" s="646"/>
      <c r="I565" s="589">
        <f t="shared" si="8"/>
        <v>1</v>
      </c>
      <c r="K565" s="589"/>
      <c r="L565" s="589"/>
      <c r="M565" s="589"/>
      <c r="N565" s="589"/>
      <c r="O565" s="589"/>
      <c r="P565" s="589"/>
      <c r="Q565" s="589"/>
      <c r="R565" s="589"/>
      <c r="S565" s="589"/>
      <c r="T565" s="589"/>
      <c r="U565" s="589"/>
      <c r="V565" s="589"/>
      <c r="W565" s="589"/>
      <c r="X565" s="589"/>
      <c r="Y565" s="589"/>
      <c r="Z565" s="589"/>
      <c r="AA565" s="589"/>
      <c r="AB565" s="589"/>
      <c r="AC565" s="589"/>
      <c r="AD565" s="589"/>
      <c r="AE565" s="329"/>
      <c r="AF565" s="329"/>
      <c r="AG565" s="329"/>
      <c r="AH565" s="329"/>
      <c r="AI565" s="329"/>
      <c r="AJ565" s="329"/>
      <c r="AK565" s="329"/>
      <c r="AL565" s="329"/>
    </row>
    <row r="566" spans="1:38" s="30" customFormat="1" ht="17.100000000000001" customHeight="1">
      <c r="A566" s="329" t="s">
        <v>1737</v>
      </c>
      <c r="B566" s="664"/>
      <c r="C566" s="655" t="s">
        <v>3172</v>
      </c>
      <c r="D566" s="670" t="s">
        <v>639</v>
      </c>
      <c r="E566" s="646">
        <v>2143690</v>
      </c>
      <c r="H566" s="646"/>
      <c r="I566" s="589">
        <f t="shared" si="8"/>
        <v>1</v>
      </c>
      <c r="K566" s="589"/>
      <c r="L566" s="589"/>
      <c r="M566" s="589"/>
      <c r="N566" s="589"/>
      <c r="O566" s="589"/>
      <c r="P566" s="589"/>
      <c r="Q566" s="589"/>
      <c r="R566" s="589"/>
      <c r="S566" s="589"/>
      <c r="T566" s="589"/>
      <c r="U566" s="589"/>
      <c r="V566" s="589"/>
      <c r="W566" s="589"/>
      <c r="X566" s="589"/>
      <c r="Y566" s="589"/>
      <c r="Z566" s="589"/>
      <c r="AA566" s="589"/>
      <c r="AB566" s="589"/>
      <c r="AC566" s="589"/>
      <c r="AD566" s="589"/>
      <c r="AE566" s="329"/>
      <c r="AF566" s="329"/>
      <c r="AG566" s="329"/>
      <c r="AH566" s="329"/>
      <c r="AI566" s="329"/>
      <c r="AJ566" s="329"/>
      <c r="AK566" s="329"/>
      <c r="AL566" s="329"/>
    </row>
    <row r="567" spans="1:38" s="30" customFormat="1" ht="17.100000000000001" customHeight="1">
      <c r="A567" s="329" t="s">
        <v>1738</v>
      </c>
      <c r="B567" s="664"/>
      <c r="C567" s="655" t="s">
        <v>3173</v>
      </c>
      <c r="D567" s="670" t="s">
        <v>639</v>
      </c>
      <c r="E567" s="646">
        <v>2475090</v>
      </c>
      <c r="H567" s="646"/>
      <c r="I567" s="589">
        <f t="shared" si="8"/>
        <v>1</v>
      </c>
      <c r="K567" s="589"/>
      <c r="L567" s="589"/>
      <c r="M567" s="589"/>
      <c r="N567" s="589"/>
      <c r="O567" s="589"/>
      <c r="P567" s="589"/>
      <c r="Q567" s="589"/>
      <c r="R567" s="589"/>
      <c r="S567" s="589"/>
      <c r="T567" s="589"/>
      <c r="U567" s="589"/>
      <c r="V567" s="589"/>
      <c r="W567" s="589"/>
      <c r="X567" s="589"/>
      <c r="Y567" s="589"/>
      <c r="Z567" s="589"/>
      <c r="AA567" s="589"/>
      <c r="AB567" s="589"/>
      <c r="AC567" s="589"/>
      <c r="AD567" s="589"/>
      <c r="AE567" s="329"/>
      <c r="AF567" s="329"/>
      <c r="AG567" s="329"/>
      <c r="AH567" s="329"/>
      <c r="AI567" s="329"/>
      <c r="AJ567" s="329"/>
      <c r="AK567" s="329"/>
      <c r="AL567" s="329"/>
    </row>
    <row r="568" spans="1:38">
      <c r="B568" s="654"/>
      <c r="C568" s="643"/>
      <c r="D568" s="670"/>
      <c r="E568" s="646"/>
      <c r="H568" s="646"/>
      <c r="I568" s="589">
        <f t="shared" si="8"/>
        <v>0</v>
      </c>
      <c r="K568" s="589"/>
      <c r="L568" s="589"/>
      <c r="M568" s="589"/>
      <c r="N568" s="589"/>
      <c r="O568" s="589"/>
      <c r="P568" s="589"/>
      <c r="Q568" s="589"/>
      <c r="R568" s="589"/>
      <c r="S568" s="589"/>
      <c r="T568" s="589"/>
      <c r="U568" s="589"/>
      <c r="V568" s="589"/>
      <c r="W568" s="589"/>
      <c r="X568" s="589"/>
      <c r="Y568" s="589"/>
      <c r="AA568" s="589"/>
      <c r="AB568" s="589"/>
      <c r="AC568" s="589"/>
      <c r="AD568" s="589"/>
    </row>
    <row r="569" spans="1:38">
      <c r="A569" s="329" t="s">
        <v>1739</v>
      </c>
      <c r="B569" s="654"/>
      <c r="C569" s="655" t="s">
        <v>5531</v>
      </c>
      <c r="D569" s="670" t="s">
        <v>1307</v>
      </c>
      <c r="E569" s="646"/>
      <c r="H569" s="646"/>
      <c r="I569" s="589">
        <f t="shared" si="8"/>
        <v>0</v>
      </c>
      <c r="K569" s="589"/>
      <c r="L569" s="589"/>
      <c r="M569" s="589"/>
      <c r="N569" s="589"/>
      <c r="O569" s="589"/>
      <c r="P569" s="589"/>
      <c r="Q569" s="589"/>
      <c r="R569" s="589"/>
      <c r="S569" s="589"/>
      <c r="T569" s="589"/>
      <c r="U569" s="589"/>
      <c r="V569" s="589"/>
      <c r="W569" s="589"/>
      <c r="X569" s="589"/>
      <c r="Y569" s="589"/>
      <c r="AA569" s="589"/>
      <c r="AB569" s="589"/>
      <c r="AC569" s="589"/>
      <c r="AD569" s="589"/>
    </row>
    <row r="570" spans="1:38">
      <c r="A570" s="329" t="s">
        <v>5532</v>
      </c>
      <c r="B570" s="654"/>
      <c r="C570" s="655" t="s">
        <v>5533</v>
      </c>
      <c r="D570" s="670" t="s">
        <v>1307</v>
      </c>
      <c r="E570" s="646"/>
      <c r="H570" s="646"/>
      <c r="I570" s="589">
        <f t="shared" si="8"/>
        <v>0</v>
      </c>
      <c r="K570" s="589"/>
      <c r="L570" s="589"/>
      <c r="M570" s="589"/>
      <c r="N570" s="589"/>
      <c r="O570" s="589"/>
      <c r="P570" s="589"/>
      <c r="Q570" s="589"/>
      <c r="R570" s="589"/>
      <c r="S570" s="589"/>
      <c r="T570" s="589"/>
      <c r="U570" s="589"/>
      <c r="V570" s="589"/>
      <c r="W570" s="589"/>
      <c r="X570" s="589"/>
      <c r="Y570" s="589"/>
      <c r="AA570" s="589"/>
      <c r="AB570" s="589"/>
      <c r="AC570" s="589"/>
      <c r="AD570" s="589"/>
    </row>
    <row r="571" spans="1:38">
      <c r="A571" s="329" t="s">
        <v>3982</v>
      </c>
      <c r="B571" s="654"/>
      <c r="C571" s="655" t="s">
        <v>3983</v>
      </c>
      <c r="D571" s="670" t="s">
        <v>1307</v>
      </c>
      <c r="E571" s="646"/>
      <c r="H571" s="646"/>
      <c r="I571" s="589">
        <f t="shared" si="8"/>
        <v>0</v>
      </c>
      <c r="K571" s="589"/>
      <c r="L571" s="589"/>
      <c r="M571" s="589"/>
      <c r="N571" s="589"/>
      <c r="O571" s="589"/>
      <c r="P571" s="589"/>
      <c r="Q571" s="589"/>
      <c r="R571" s="589"/>
      <c r="S571" s="589"/>
      <c r="T571" s="589"/>
      <c r="U571" s="589"/>
      <c r="V571" s="589"/>
      <c r="W571" s="589"/>
      <c r="X571" s="589"/>
      <c r="Y571" s="589"/>
      <c r="AA571" s="589"/>
      <c r="AB571" s="589"/>
      <c r="AC571" s="589"/>
      <c r="AD571" s="589"/>
    </row>
    <row r="572" spans="1:38">
      <c r="A572" s="329" t="s">
        <v>3984</v>
      </c>
      <c r="B572" s="654"/>
      <c r="C572" s="655" t="s">
        <v>1452</v>
      </c>
      <c r="D572" s="670" t="s">
        <v>1307</v>
      </c>
      <c r="E572" s="646"/>
      <c r="H572" s="646"/>
      <c r="I572" s="589">
        <f t="shared" si="8"/>
        <v>0</v>
      </c>
      <c r="K572" s="589"/>
      <c r="L572" s="589"/>
      <c r="M572" s="589"/>
      <c r="N572" s="589"/>
      <c r="O572" s="589"/>
      <c r="P572" s="589"/>
      <c r="Q572" s="589"/>
      <c r="R572" s="589"/>
      <c r="S572" s="589"/>
      <c r="T572" s="589"/>
      <c r="U572" s="589"/>
      <c r="V572" s="589"/>
      <c r="W572" s="589"/>
      <c r="X572" s="589"/>
      <c r="Y572" s="589"/>
      <c r="AA572" s="589"/>
      <c r="AB572" s="589"/>
      <c r="AC572" s="589"/>
      <c r="AD572" s="589"/>
    </row>
    <row r="573" spans="1:38">
      <c r="A573" s="329" t="s">
        <v>3084</v>
      </c>
      <c r="B573" s="654"/>
      <c r="C573" s="655" t="s">
        <v>3085</v>
      </c>
      <c r="D573" s="670" t="s">
        <v>1307</v>
      </c>
      <c r="E573" s="646"/>
      <c r="H573" s="646"/>
      <c r="I573" s="589">
        <f t="shared" si="8"/>
        <v>0</v>
      </c>
      <c r="K573" s="589"/>
      <c r="L573" s="589"/>
      <c r="M573" s="589"/>
      <c r="N573" s="589"/>
      <c r="O573" s="589"/>
      <c r="P573" s="589"/>
      <c r="Q573" s="589"/>
      <c r="R573" s="589"/>
      <c r="S573" s="589"/>
      <c r="T573" s="589"/>
      <c r="U573" s="589"/>
      <c r="V573" s="589"/>
      <c r="W573" s="589"/>
      <c r="X573" s="589"/>
      <c r="Y573" s="589"/>
      <c r="AA573" s="589"/>
      <c r="AB573" s="589"/>
      <c r="AC573" s="589"/>
      <c r="AD573" s="589"/>
    </row>
    <row r="574" spans="1:38">
      <c r="A574" s="329" t="s">
        <v>3086</v>
      </c>
      <c r="B574" s="654"/>
      <c r="C574" s="655" t="s">
        <v>3087</v>
      </c>
      <c r="D574" s="670" t="s">
        <v>1307</v>
      </c>
      <c r="E574" s="646"/>
      <c r="H574" s="646"/>
      <c r="I574" s="589">
        <f t="shared" si="8"/>
        <v>0</v>
      </c>
      <c r="K574" s="589"/>
      <c r="L574" s="589"/>
      <c r="M574" s="589"/>
      <c r="N574" s="589"/>
      <c r="O574" s="589"/>
      <c r="P574" s="589"/>
      <c r="Q574" s="589"/>
      <c r="R574" s="589"/>
      <c r="S574" s="589"/>
      <c r="T574" s="589"/>
      <c r="U574" s="589"/>
      <c r="V574" s="589"/>
      <c r="W574" s="589"/>
      <c r="X574" s="589"/>
      <c r="Y574" s="589"/>
      <c r="AA574" s="589"/>
      <c r="AB574" s="589"/>
      <c r="AC574" s="589"/>
      <c r="AD574" s="589"/>
    </row>
    <row r="575" spans="1:38">
      <c r="A575" s="329" t="s">
        <v>3088</v>
      </c>
      <c r="B575" s="654"/>
      <c r="C575" s="655" t="s">
        <v>3089</v>
      </c>
      <c r="D575" s="670" t="s">
        <v>1307</v>
      </c>
      <c r="E575" s="646"/>
      <c r="H575" s="646"/>
      <c r="I575" s="589">
        <f t="shared" si="8"/>
        <v>0</v>
      </c>
      <c r="K575" s="589"/>
      <c r="L575" s="589"/>
      <c r="M575" s="589"/>
      <c r="N575" s="589"/>
      <c r="O575" s="589"/>
      <c r="P575" s="589"/>
      <c r="Q575" s="589"/>
      <c r="R575" s="589"/>
      <c r="S575" s="589"/>
      <c r="T575" s="589"/>
      <c r="U575" s="589"/>
      <c r="V575" s="589"/>
      <c r="W575" s="589"/>
      <c r="X575" s="589"/>
      <c r="Y575" s="589"/>
      <c r="AA575" s="589"/>
      <c r="AB575" s="589"/>
      <c r="AC575" s="589"/>
      <c r="AD575" s="589"/>
    </row>
    <row r="576" spans="1:38">
      <c r="A576" s="329" t="s">
        <v>3090</v>
      </c>
      <c r="B576" s="654"/>
      <c r="C576" s="655" t="s">
        <v>3091</v>
      </c>
      <c r="D576" s="670" t="s">
        <v>1307</v>
      </c>
      <c r="E576" s="646"/>
      <c r="H576" s="646"/>
      <c r="I576" s="589">
        <f t="shared" si="8"/>
        <v>0</v>
      </c>
      <c r="K576" s="589"/>
      <c r="L576" s="589"/>
      <c r="M576" s="589"/>
      <c r="N576" s="589"/>
      <c r="O576" s="589"/>
      <c r="P576" s="589"/>
      <c r="Q576" s="589"/>
      <c r="R576" s="589"/>
      <c r="S576" s="589"/>
      <c r="T576" s="589"/>
      <c r="U576" s="589"/>
      <c r="V576" s="589"/>
      <c r="W576" s="589"/>
      <c r="X576" s="589"/>
      <c r="Y576" s="589"/>
      <c r="AA576" s="589"/>
      <c r="AB576" s="589"/>
      <c r="AC576" s="589"/>
      <c r="AD576" s="589"/>
    </row>
    <row r="577" spans="1:30">
      <c r="A577" s="329" t="s">
        <v>3092</v>
      </c>
      <c r="B577" s="654"/>
      <c r="C577" s="655" t="s">
        <v>3118</v>
      </c>
      <c r="D577" s="670" t="s">
        <v>1307</v>
      </c>
      <c r="E577" s="646"/>
      <c r="H577" s="646"/>
      <c r="I577" s="589">
        <f t="shared" si="8"/>
        <v>0</v>
      </c>
      <c r="K577" s="589"/>
      <c r="L577" s="589"/>
      <c r="M577" s="589"/>
      <c r="N577" s="589"/>
      <c r="O577" s="589"/>
      <c r="P577" s="589"/>
      <c r="Q577" s="589"/>
      <c r="R577" s="589"/>
      <c r="S577" s="589"/>
      <c r="T577" s="589"/>
      <c r="U577" s="589"/>
      <c r="V577" s="589"/>
      <c r="W577" s="589"/>
      <c r="X577" s="589"/>
      <c r="Y577" s="589"/>
      <c r="AA577" s="589"/>
      <c r="AB577" s="589"/>
      <c r="AC577" s="589"/>
      <c r="AD577" s="589"/>
    </row>
    <row r="578" spans="1:30">
      <c r="A578" s="329" t="s">
        <v>3119</v>
      </c>
      <c r="B578" s="654"/>
      <c r="C578" s="655" t="s">
        <v>4697</v>
      </c>
      <c r="D578" s="670" t="s">
        <v>1307</v>
      </c>
      <c r="E578" s="646"/>
      <c r="H578" s="646"/>
      <c r="I578" s="589">
        <f t="shared" si="8"/>
        <v>0</v>
      </c>
      <c r="K578" s="589"/>
      <c r="L578" s="589"/>
      <c r="M578" s="589"/>
      <c r="N578" s="589"/>
      <c r="O578" s="589"/>
      <c r="P578" s="589"/>
      <c r="Q578" s="589"/>
      <c r="R578" s="589"/>
      <c r="S578" s="589"/>
      <c r="T578" s="589"/>
      <c r="U578" s="589"/>
      <c r="V578" s="589"/>
      <c r="W578" s="589"/>
      <c r="X578" s="589"/>
      <c r="Y578" s="589"/>
      <c r="AA578" s="589"/>
      <c r="AB578" s="589"/>
      <c r="AC578" s="589"/>
      <c r="AD578" s="589"/>
    </row>
    <row r="579" spans="1:30">
      <c r="A579" s="329" t="s">
        <v>4698</v>
      </c>
      <c r="B579" s="654"/>
      <c r="C579" s="655" t="s">
        <v>4699</v>
      </c>
      <c r="D579" s="670" t="s">
        <v>1307</v>
      </c>
      <c r="E579" s="646"/>
      <c r="H579" s="646"/>
      <c r="I579" s="589">
        <f t="shared" si="8"/>
        <v>0</v>
      </c>
      <c r="K579" s="589"/>
      <c r="L579" s="589"/>
      <c r="M579" s="589"/>
      <c r="N579" s="589"/>
      <c r="O579" s="589"/>
      <c r="P579" s="589"/>
      <c r="Q579" s="589"/>
      <c r="R579" s="589"/>
      <c r="S579" s="589"/>
      <c r="T579" s="589"/>
      <c r="U579" s="589"/>
      <c r="V579" s="589"/>
      <c r="W579" s="589"/>
      <c r="X579" s="589"/>
      <c r="Y579" s="589"/>
      <c r="AA579" s="589"/>
      <c r="AB579" s="589"/>
      <c r="AC579" s="589"/>
      <c r="AD579" s="589"/>
    </row>
    <row r="580" spans="1:30">
      <c r="A580" s="329" t="s">
        <v>4700</v>
      </c>
      <c r="B580" s="654"/>
      <c r="C580" s="655" t="s">
        <v>4701</v>
      </c>
      <c r="D580" s="670" t="s">
        <v>1307</v>
      </c>
      <c r="E580" s="646"/>
      <c r="H580" s="646"/>
      <c r="I580" s="589">
        <f t="shared" si="8"/>
        <v>0</v>
      </c>
      <c r="K580" s="589"/>
      <c r="L580" s="589"/>
      <c r="M580" s="589"/>
      <c r="N580" s="589"/>
      <c r="O580" s="589"/>
      <c r="P580" s="589"/>
      <c r="Q580" s="589"/>
      <c r="R580" s="589"/>
      <c r="S580" s="589"/>
      <c r="T580" s="589"/>
      <c r="U580" s="589"/>
      <c r="V580" s="589"/>
      <c r="W580" s="589"/>
      <c r="X580" s="589"/>
      <c r="Y580" s="589"/>
      <c r="AA580" s="589"/>
      <c r="AB580" s="589"/>
      <c r="AC580" s="589"/>
      <c r="AD580" s="589"/>
    </row>
    <row r="581" spans="1:30">
      <c r="B581" s="654"/>
      <c r="C581" s="643"/>
      <c r="D581" s="670"/>
      <c r="E581" s="646"/>
      <c r="H581" s="646"/>
      <c r="I581" s="589">
        <f t="shared" si="8"/>
        <v>0</v>
      </c>
      <c r="K581" s="589"/>
      <c r="L581" s="589"/>
      <c r="M581" s="589"/>
      <c r="N581" s="589"/>
      <c r="O581" s="589"/>
      <c r="P581" s="589"/>
      <c r="Q581" s="589"/>
      <c r="R581" s="589"/>
      <c r="S581" s="589"/>
      <c r="T581" s="589"/>
      <c r="U581" s="589"/>
      <c r="V581" s="589"/>
      <c r="W581" s="589"/>
      <c r="X581" s="589"/>
      <c r="Y581" s="589"/>
      <c r="AA581" s="589"/>
      <c r="AB581" s="589"/>
      <c r="AC581" s="589"/>
      <c r="AD581" s="589"/>
    </row>
    <row r="582" spans="1:30">
      <c r="A582" s="329" t="s">
        <v>4702</v>
      </c>
      <c r="B582" s="654"/>
      <c r="C582" s="655" t="s">
        <v>4355</v>
      </c>
      <c r="D582" s="670" t="s">
        <v>1307</v>
      </c>
      <c r="E582" s="646"/>
      <c r="H582" s="646"/>
      <c r="I582" s="589">
        <f t="shared" si="8"/>
        <v>0</v>
      </c>
      <c r="K582" s="589"/>
      <c r="L582" s="589"/>
      <c r="M582" s="589"/>
      <c r="N582" s="589"/>
      <c r="O582" s="589"/>
      <c r="P582" s="589"/>
      <c r="Q582" s="589"/>
      <c r="R582" s="589"/>
      <c r="S582" s="589"/>
      <c r="T582" s="589"/>
      <c r="U582" s="589"/>
      <c r="V582" s="589"/>
      <c r="W582" s="589"/>
      <c r="X582" s="589"/>
      <c r="Y582" s="589"/>
      <c r="AA582" s="589"/>
      <c r="AB582" s="589"/>
      <c r="AC582" s="589"/>
      <c r="AD582" s="589"/>
    </row>
    <row r="583" spans="1:30">
      <c r="A583" s="329" t="s">
        <v>4356</v>
      </c>
      <c r="B583" s="654"/>
      <c r="C583" s="655" t="s">
        <v>4357</v>
      </c>
      <c r="D583" s="670" t="s">
        <v>1307</v>
      </c>
      <c r="E583" s="646"/>
      <c r="H583" s="646"/>
      <c r="I583" s="589">
        <f t="shared" si="8"/>
        <v>0</v>
      </c>
      <c r="K583" s="589"/>
      <c r="L583" s="589"/>
      <c r="M583" s="589"/>
      <c r="N583" s="589"/>
      <c r="O583" s="589"/>
      <c r="P583" s="589"/>
      <c r="Q583" s="589"/>
      <c r="R583" s="589"/>
      <c r="S583" s="589"/>
      <c r="T583" s="589"/>
      <c r="U583" s="589"/>
      <c r="V583" s="589"/>
      <c r="W583" s="589"/>
      <c r="X583" s="589"/>
      <c r="Y583" s="589"/>
      <c r="AA583" s="589"/>
      <c r="AB583" s="589"/>
      <c r="AC583" s="589"/>
      <c r="AD583" s="589"/>
    </row>
    <row r="584" spans="1:30">
      <c r="A584" s="329" t="s">
        <v>4358</v>
      </c>
      <c r="B584" s="654"/>
      <c r="C584" s="655" t="s">
        <v>4359</v>
      </c>
      <c r="D584" s="670" t="s">
        <v>1307</v>
      </c>
      <c r="E584" s="646"/>
      <c r="H584" s="646"/>
      <c r="I584" s="589">
        <f t="shared" si="8"/>
        <v>0</v>
      </c>
      <c r="K584" s="589"/>
      <c r="L584" s="589"/>
      <c r="M584" s="589"/>
      <c r="N584" s="589"/>
      <c r="O584" s="589"/>
      <c r="P584" s="589"/>
      <c r="Q584" s="589"/>
      <c r="R584" s="589"/>
      <c r="S584" s="589"/>
      <c r="T584" s="589"/>
      <c r="U584" s="589"/>
      <c r="V584" s="589"/>
      <c r="W584" s="589"/>
      <c r="X584" s="589"/>
      <c r="Y584" s="589"/>
      <c r="AA584" s="589"/>
      <c r="AB584" s="589"/>
      <c r="AC584" s="589"/>
      <c r="AD584" s="589"/>
    </row>
    <row r="585" spans="1:30">
      <c r="A585" s="329" t="s">
        <v>4360</v>
      </c>
      <c r="B585" s="654"/>
      <c r="C585" s="655" t="s">
        <v>4361</v>
      </c>
      <c r="D585" s="670" t="s">
        <v>1307</v>
      </c>
      <c r="E585" s="646"/>
      <c r="H585" s="646"/>
      <c r="I585" s="589">
        <f t="shared" si="8"/>
        <v>0</v>
      </c>
      <c r="K585" s="589"/>
      <c r="L585" s="589"/>
      <c r="M585" s="589"/>
      <c r="N585" s="589"/>
      <c r="O585" s="589"/>
      <c r="P585" s="589"/>
      <c r="Q585" s="589"/>
      <c r="R585" s="589"/>
      <c r="S585" s="589"/>
      <c r="T585" s="589"/>
      <c r="U585" s="589"/>
      <c r="V585" s="589"/>
      <c r="W585" s="589"/>
      <c r="X585" s="589"/>
      <c r="Y585" s="589"/>
      <c r="AA585" s="589"/>
      <c r="AB585" s="589"/>
      <c r="AC585" s="589"/>
      <c r="AD585" s="589"/>
    </row>
    <row r="586" spans="1:30">
      <c r="A586" s="329" t="s">
        <v>4362</v>
      </c>
      <c r="B586" s="654"/>
      <c r="C586" s="655" t="s">
        <v>5541</v>
      </c>
      <c r="D586" s="670" t="s">
        <v>1307</v>
      </c>
      <c r="E586" s="646"/>
      <c r="H586" s="646"/>
      <c r="I586" s="589">
        <f t="shared" si="8"/>
        <v>0</v>
      </c>
      <c r="K586" s="589"/>
      <c r="L586" s="589"/>
      <c r="M586" s="589"/>
      <c r="N586" s="589"/>
      <c r="O586" s="589"/>
      <c r="P586" s="589"/>
      <c r="Q586" s="589"/>
      <c r="R586" s="589"/>
      <c r="S586" s="589"/>
      <c r="T586" s="589"/>
      <c r="U586" s="589"/>
      <c r="V586" s="589"/>
      <c r="W586" s="589"/>
      <c r="X586" s="589"/>
      <c r="Y586" s="589"/>
      <c r="AA586" s="589"/>
      <c r="AB586" s="589"/>
      <c r="AC586" s="589"/>
      <c r="AD586" s="589"/>
    </row>
    <row r="587" spans="1:30">
      <c r="A587" s="329" t="s">
        <v>1082</v>
      </c>
      <c r="B587" s="654"/>
      <c r="C587" s="655" t="s">
        <v>1083</v>
      </c>
      <c r="D587" s="670" t="s">
        <v>1307</v>
      </c>
      <c r="E587" s="646"/>
      <c r="H587" s="646"/>
      <c r="I587" s="589">
        <f t="shared" si="8"/>
        <v>0</v>
      </c>
      <c r="K587" s="589"/>
      <c r="L587" s="589"/>
      <c r="M587" s="589"/>
      <c r="N587" s="589"/>
      <c r="O587" s="589"/>
      <c r="P587" s="589"/>
      <c r="Q587" s="589"/>
      <c r="R587" s="589"/>
      <c r="S587" s="589"/>
      <c r="T587" s="589"/>
      <c r="U587" s="589"/>
      <c r="V587" s="589"/>
      <c r="W587" s="589"/>
      <c r="X587" s="589"/>
      <c r="Y587" s="589"/>
      <c r="AA587" s="589"/>
      <c r="AB587" s="589"/>
      <c r="AC587" s="589"/>
      <c r="AD587" s="589"/>
    </row>
    <row r="588" spans="1:30">
      <c r="A588" s="329" t="s">
        <v>1084</v>
      </c>
      <c r="B588" s="654"/>
      <c r="C588" s="655" t="s">
        <v>4297</v>
      </c>
      <c r="D588" s="670" t="s">
        <v>1307</v>
      </c>
      <c r="E588" s="646"/>
      <c r="H588" s="646"/>
      <c r="I588" s="589">
        <f t="shared" si="8"/>
        <v>0</v>
      </c>
      <c r="K588" s="589"/>
      <c r="L588" s="589"/>
      <c r="M588" s="589"/>
      <c r="N588" s="589"/>
      <c r="O588" s="589"/>
      <c r="P588" s="589"/>
      <c r="Q588" s="589"/>
      <c r="R588" s="589"/>
      <c r="S588" s="589"/>
      <c r="T588" s="589"/>
      <c r="U588" s="589"/>
      <c r="V588" s="589"/>
      <c r="W588" s="589"/>
      <c r="X588" s="589"/>
      <c r="Y588" s="589"/>
      <c r="AA588" s="589"/>
      <c r="AB588" s="589"/>
      <c r="AC588" s="589"/>
      <c r="AD588" s="589"/>
    </row>
    <row r="589" spans="1:30">
      <c r="A589" s="329" t="s">
        <v>4298</v>
      </c>
      <c r="B589" s="654"/>
      <c r="C589" s="655" t="s">
        <v>1406</v>
      </c>
      <c r="D589" s="670" t="s">
        <v>1307</v>
      </c>
      <c r="E589" s="646"/>
      <c r="H589" s="646"/>
      <c r="I589" s="589">
        <f t="shared" si="8"/>
        <v>0</v>
      </c>
      <c r="K589" s="589"/>
      <c r="L589" s="589"/>
      <c r="M589" s="589"/>
      <c r="N589" s="589"/>
      <c r="O589" s="589"/>
      <c r="P589" s="589"/>
      <c r="Q589" s="589"/>
      <c r="R589" s="589"/>
      <c r="S589" s="589"/>
      <c r="T589" s="589"/>
      <c r="U589" s="589"/>
      <c r="V589" s="589"/>
      <c r="W589" s="589"/>
      <c r="X589" s="589"/>
      <c r="Y589" s="589"/>
      <c r="AA589" s="589"/>
      <c r="AB589" s="589"/>
      <c r="AC589" s="589"/>
      <c r="AD589" s="589"/>
    </row>
    <row r="590" spans="1:30">
      <c r="A590" s="329" t="s">
        <v>1407</v>
      </c>
      <c r="B590" s="654"/>
      <c r="C590" s="655" t="s">
        <v>6010</v>
      </c>
      <c r="D590" s="670" t="s">
        <v>1307</v>
      </c>
      <c r="E590" s="646"/>
      <c r="H590" s="646"/>
      <c r="I590" s="589">
        <f t="shared" si="8"/>
        <v>0</v>
      </c>
      <c r="K590" s="589"/>
      <c r="L590" s="589"/>
      <c r="M590" s="589"/>
      <c r="N590" s="589"/>
      <c r="O590" s="589"/>
      <c r="P590" s="589"/>
      <c r="Q590" s="589"/>
      <c r="R590" s="589"/>
      <c r="S590" s="589"/>
      <c r="T590" s="589"/>
      <c r="U590" s="589"/>
      <c r="V590" s="589"/>
      <c r="W590" s="589"/>
      <c r="X590" s="589"/>
      <c r="Y590" s="589"/>
      <c r="AA590" s="589"/>
      <c r="AB590" s="589"/>
      <c r="AC590" s="589"/>
      <c r="AD590" s="589"/>
    </row>
    <row r="591" spans="1:30">
      <c r="A591" s="329" t="s">
        <v>6011</v>
      </c>
      <c r="B591" s="654"/>
      <c r="C591" s="655" t="s">
        <v>3612</v>
      </c>
      <c r="D591" s="670" t="s">
        <v>1307</v>
      </c>
      <c r="E591" s="646"/>
      <c r="H591" s="646"/>
      <c r="I591" s="589">
        <f t="shared" si="8"/>
        <v>0</v>
      </c>
      <c r="K591" s="589"/>
      <c r="L591" s="589"/>
      <c r="M591" s="589"/>
      <c r="N591" s="589"/>
      <c r="O591" s="589"/>
      <c r="P591" s="589"/>
      <c r="Q591" s="589"/>
      <c r="R591" s="589"/>
      <c r="S591" s="589"/>
      <c r="T591" s="589"/>
      <c r="U591" s="589"/>
      <c r="V591" s="589"/>
      <c r="W591" s="589"/>
      <c r="X591" s="589"/>
      <c r="Y591" s="589"/>
      <c r="AA591" s="589"/>
      <c r="AB591" s="589"/>
      <c r="AC591" s="589"/>
      <c r="AD591" s="589"/>
    </row>
    <row r="592" spans="1:30">
      <c r="A592" s="329" t="s">
        <v>3613</v>
      </c>
      <c r="B592" s="654"/>
      <c r="C592" s="655" t="s">
        <v>4634</v>
      </c>
      <c r="D592" s="670" t="s">
        <v>1307</v>
      </c>
      <c r="E592" s="646"/>
      <c r="H592" s="646"/>
      <c r="I592" s="589">
        <f t="shared" si="8"/>
        <v>0</v>
      </c>
      <c r="K592" s="589"/>
      <c r="L592" s="589"/>
      <c r="M592" s="589"/>
      <c r="N592" s="589"/>
      <c r="O592" s="589"/>
      <c r="P592" s="589"/>
      <c r="Q592" s="589"/>
      <c r="R592" s="589"/>
      <c r="S592" s="589"/>
      <c r="T592" s="589"/>
      <c r="U592" s="589"/>
      <c r="V592" s="589"/>
      <c r="W592" s="589"/>
      <c r="X592" s="589"/>
      <c r="Y592" s="589"/>
      <c r="AA592" s="589"/>
      <c r="AB592" s="589"/>
      <c r="AC592" s="589"/>
      <c r="AD592" s="589"/>
    </row>
    <row r="593" spans="1:30">
      <c r="A593" s="329" t="s">
        <v>4635</v>
      </c>
      <c r="B593" s="654"/>
      <c r="C593" s="655" t="s">
        <v>4664</v>
      </c>
      <c r="D593" s="670" t="s">
        <v>1307</v>
      </c>
      <c r="E593" s="646"/>
      <c r="H593" s="646"/>
      <c r="I593" s="589">
        <f t="shared" si="8"/>
        <v>0</v>
      </c>
      <c r="K593" s="589"/>
      <c r="L593" s="589"/>
      <c r="M593" s="589"/>
      <c r="N593" s="589"/>
      <c r="O593" s="589"/>
      <c r="P593" s="589"/>
      <c r="Q593" s="589"/>
      <c r="R593" s="589"/>
      <c r="S593" s="589"/>
      <c r="T593" s="589"/>
      <c r="U593" s="589"/>
      <c r="V593" s="589"/>
      <c r="W593" s="589"/>
      <c r="X593" s="589"/>
      <c r="Y593" s="589"/>
      <c r="AA593" s="589"/>
      <c r="AB593" s="589"/>
      <c r="AC593" s="589"/>
      <c r="AD593" s="589"/>
    </row>
    <row r="594" spans="1:30">
      <c r="B594" s="654"/>
      <c r="C594" s="643"/>
      <c r="D594" s="670"/>
      <c r="E594" s="646"/>
      <c r="H594" s="646"/>
      <c r="I594" s="589">
        <f t="shared" si="8"/>
        <v>0</v>
      </c>
      <c r="K594" s="589"/>
      <c r="L594" s="589"/>
      <c r="M594" s="589"/>
      <c r="N594" s="589"/>
      <c r="O594" s="589"/>
      <c r="P594" s="589"/>
      <c r="Q594" s="589"/>
      <c r="R594" s="589"/>
      <c r="S594" s="589"/>
      <c r="T594" s="589"/>
      <c r="U594" s="589"/>
      <c r="V594" s="589"/>
      <c r="W594" s="589"/>
      <c r="X594" s="589"/>
      <c r="Y594" s="589"/>
      <c r="AA594" s="589"/>
      <c r="AB594" s="589"/>
      <c r="AC594" s="589"/>
      <c r="AD594" s="589"/>
    </row>
    <row r="595" spans="1:30">
      <c r="A595" s="329" t="s">
        <v>3581</v>
      </c>
      <c r="B595" s="654"/>
      <c r="C595" s="650" t="s">
        <v>3582</v>
      </c>
      <c r="D595" s="670" t="s">
        <v>1307</v>
      </c>
      <c r="E595" s="646"/>
      <c r="H595" s="646"/>
      <c r="I595" s="589">
        <f t="shared" si="8"/>
        <v>0</v>
      </c>
      <c r="K595" s="589"/>
      <c r="L595" s="589"/>
      <c r="M595" s="589"/>
      <c r="N595" s="589"/>
      <c r="O595" s="589"/>
      <c r="P595" s="589"/>
      <c r="Q595" s="589"/>
      <c r="R595" s="589"/>
      <c r="S595" s="589"/>
      <c r="T595" s="589"/>
      <c r="U595" s="589"/>
      <c r="V595" s="589"/>
      <c r="W595" s="589"/>
      <c r="X595" s="589"/>
      <c r="Y595" s="589"/>
      <c r="AA595" s="589"/>
      <c r="AB595" s="589"/>
      <c r="AC595" s="589"/>
      <c r="AD595" s="589"/>
    </row>
    <row r="596" spans="1:30">
      <c r="A596" s="329" t="s">
        <v>3583</v>
      </c>
      <c r="B596" s="654"/>
      <c r="C596" s="650" t="s">
        <v>3584</v>
      </c>
      <c r="D596" s="670" t="s">
        <v>1307</v>
      </c>
      <c r="E596" s="646"/>
      <c r="H596" s="646"/>
      <c r="I596" s="589">
        <f t="shared" si="8"/>
        <v>0</v>
      </c>
      <c r="K596" s="589"/>
      <c r="L596" s="589"/>
      <c r="M596" s="589"/>
      <c r="N596" s="589"/>
      <c r="O596" s="589"/>
      <c r="P596" s="589"/>
      <c r="Q596" s="589"/>
      <c r="R596" s="589"/>
      <c r="S596" s="589"/>
      <c r="T596" s="589"/>
      <c r="U596" s="589"/>
      <c r="V596" s="589"/>
      <c r="W596" s="589"/>
      <c r="X596" s="589"/>
      <c r="Y596" s="589"/>
      <c r="AA596" s="589"/>
      <c r="AB596" s="589"/>
      <c r="AC596" s="589"/>
      <c r="AD596" s="589"/>
    </row>
    <row r="597" spans="1:30">
      <c r="A597" s="329" t="s">
        <v>3585</v>
      </c>
      <c r="B597" s="654"/>
      <c r="C597" s="650" t="s">
        <v>3714</v>
      </c>
      <c r="D597" s="670" t="s">
        <v>1307</v>
      </c>
      <c r="E597" s="646"/>
      <c r="H597" s="646"/>
      <c r="I597" s="589">
        <f t="shared" si="8"/>
        <v>0</v>
      </c>
      <c r="K597" s="589"/>
      <c r="L597" s="589"/>
      <c r="M597" s="589"/>
      <c r="N597" s="589"/>
      <c r="O597" s="589"/>
      <c r="P597" s="589"/>
      <c r="Q597" s="589"/>
      <c r="R597" s="589"/>
      <c r="S597" s="589"/>
      <c r="T597" s="589"/>
      <c r="U597" s="589"/>
      <c r="V597" s="589"/>
      <c r="W597" s="589"/>
      <c r="X597" s="589"/>
      <c r="Y597" s="589"/>
      <c r="AA597" s="589"/>
      <c r="AB597" s="589"/>
      <c r="AC597" s="589"/>
      <c r="AD597" s="589"/>
    </row>
    <row r="598" spans="1:30">
      <c r="A598" s="329" t="s">
        <v>3715</v>
      </c>
      <c r="B598" s="654"/>
      <c r="C598" s="650" t="s">
        <v>3274</v>
      </c>
      <c r="D598" s="670" t="s">
        <v>1307</v>
      </c>
      <c r="E598" s="646"/>
      <c r="H598" s="646"/>
      <c r="I598" s="589">
        <f t="shared" si="8"/>
        <v>0</v>
      </c>
      <c r="K598" s="589"/>
      <c r="L598" s="589"/>
      <c r="M598" s="589"/>
      <c r="N598" s="589"/>
      <c r="O598" s="589"/>
      <c r="P598" s="589"/>
      <c r="Q598" s="589"/>
      <c r="R598" s="589"/>
      <c r="S598" s="589"/>
      <c r="T598" s="589"/>
      <c r="U598" s="589"/>
      <c r="V598" s="589"/>
      <c r="W598" s="589"/>
      <c r="X598" s="589"/>
      <c r="Y598" s="589"/>
      <c r="AA598" s="589"/>
      <c r="AB598" s="589"/>
      <c r="AC598" s="589"/>
      <c r="AD598" s="589"/>
    </row>
    <row r="599" spans="1:30">
      <c r="A599" s="329" t="s">
        <v>3275</v>
      </c>
      <c r="B599" s="654"/>
      <c r="C599" s="650" t="s">
        <v>4103</v>
      </c>
      <c r="D599" s="670" t="s">
        <v>1307</v>
      </c>
      <c r="E599" s="646"/>
      <c r="H599" s="646"/>
      <c r="I599" s="589">
        <f t="shared" ref="I599:I662" si="9">IF(E599=H599,0,1)</f>
        <v>0</v>
      </c>
      <c r="K599" s="589"/>
      <c r="L599" s="589"/>
      <c r="M599" s="589"/>
      <c r="N599" s="589"/>
      <c r="O599" s="589"/>
      <c r="P599" s="589"/>
      <c r="Q599" s="589"/>
      <c r="R599" s="589"/>
      <c r="S599" s="589"/>
      <c r="T599" s="589"/>
      <c r="U599" s="589"/>
      <c r="V599" s="589"/>
      <c r="W599" s="589"/>
      <c r="X599" s="589"/>
      <c r="Y599" s="589"/>
      <c r="AA599" s="589"/>
      <c r="AB599" s="589"/>
      <c r="AC599" s="589"/>
      <c r="AD599" s="589"/>
    </row>
    <row r="600" spans="1:30">
      <c r="A600" s="329" t="s">
        <v>4104</v>
      </c>
      <c r="B600" s="654"/>
      <c r="C600" s="650" t="s">
        <v>4105</v>
      </c>
      <c r="D600" s="670" t="s">
        <v>1307</v>
      </c>
      <c r="E600" s="646"/>
      <c r="H600" s="646"/>
      <c r="I600" s="589">
        <f t="shared" si="9"/>
        <v>0</v>
      </c>
      <c r="K600" s="589"/>
      <c r="L600" s="589"/>
      <c r="M600" s="589"/>
      <c r="N600" s="589"/>
      <c r="O600" s="589"/>
      <c r="P600" s="589"/>
      <c r="Q600" s="589"/>
      <c r="R600" s="589"/>
      <c r="S600" s="589"/>
      <c r="T600" s="589"/>
      <c r="U600" s="589"/>
      <c r="V600" s="589"/>
      <c r="W600" s="589"/>
      <c r="X600" s="589"/>
      <c r="Y600" s="589"/>
      <c r="AA600" s="589"/>
      <c r="AB600" s="589"/>
      <c r="AC600" s="589"/>
      <c r="AD600" s="589"/>
    </row>
    <row r="601" spans="1:30">
      <c r="A601" s="329" t="s">
        <v>4106</v>
      </c>
      <c r="B601" s="654"/>
      <c r="C601" s="650" t="s">
        <v>1526</v>
      </c>
      <c r="D601" s="670" t="s">
        <v>1307</v>
      </c>
      <c r="E601" s="646"/>
      <c r="H601" s="646"/>
      <c r="I601" s="589">
        <f t="shared" si="9"/>
        <v>0</v>
      </c>
      <c r="K601" s="589"/>
      <c r="L601" s="589"/>
      <c r="M601" s="589"/>
      <c r="N601" s="589"/>
      <c r="O601" s="589"/>
      <c r="P601" s="589"/>
      <c r="Q601" s="589"/>
      <c r="R601" s="589"/>
      <c r="S601" s="589"/>
      <c r="T601" s="589"/>
      <c r="U601" s="589"/>
      <c r="V601" s="589"/>
      <c r="W601" s="589"/>
      <c r="X601" s="589"/>
      <c r="Y601" s="589"/>
      <c r="AA601" s="589"/>
      <c r="AB601" s="589"/>
      <c r="AC601" s="589"/>
      <c r="AD601" s="589"/>
    </row>
    <row r="602" spans="1:30">
      <c r="A602" s="329" t="s">
        <v>1527</v>
      </c>
      <c r="B602" s="654"/>
      <c r="C602" s="650" t="s">
        <v>155</v>
      </c>
      <c r="D602" s="670" t="s">
        <v>1307</v>
      </c>
      <c r="E602" s="646"/>
      <c r="H602" s="646"/>
      <c r="I602" s="589">
        <f t="shared" si="9"/>
        <v>0</v>
      </c>
      <c r="K602" s="589"/>
      <c r="L602" s="589"/>
      <c r="M602" s="589"/>
      <c r="N602" s="589"/>
      <c r="O602" s="589"/>
      <c r="P602" s="589"/>
      <c r="Q602" s="589"/>
      <c r="R602" s="589"/>
      <c r="S602" s="589"/>
      <c r="T602" s="589"/>
      <c r="U602" s="589"/>
      <c r="V602" s="589"/>
      <c r="W602" s="589"/>
      <c r="X602" s="589"/>
      <c r="Y602" s="589"/>
      <c r="AA602" s="589"/>
      <c r="AB602" s="589"/>
      <c r="AC602" s="589"/>
      <c r="AD602" s="589"/>
    </row>
    <row r="603" spans="1:30">
      <c r="A603" s="329" t="s">
        <v>156</v>
      </c>
      <c r="B603" s="654"/>
      <c r="C603" s="650" t="s">
        <v>157</v>
      </c>
      <c r="D603" s="670" t="s">
        <v>1307</v>
      </c>
      <c r="E603" s="646"/>
      <c r="H603" s="646"/>
      <c r="I603" s="589">
        <f t="shared" si="9"/>
        <v>0</v>
      </c>
      <c r="K603" s="589"/>
      <c r="L603" s="589"/>
      <c r="M603" s="589"/>
      <c r="N603" s="589"/>
      <c r="O603" s="589"/>
      <c r="P603" s="589"/>
      <c r="Q603" s="589"/>
      <c r="R603" s="589"/>
      <c r="S603" s="589"/>
      <c r="T603" s="589"/>
      <c r="U603" s="589"/>
      <c r="V603" s="589"/>
      <c r="W603" s="589"/>
      <c r="X603" s="589"/>
      <c r="Y603" s="589"/>
      <c r="AA603" s="589"/>
      <c r="AB603" s="589"/>
      <c r="AC603" s="589"/>
      <c r="AD603" s="589"/>
    </row>
    <row r="604" spans="1:30">
      <c r="B604" s="654"/>
      <c r="C604" s="643"/>
      <c r="D604" s="670"/>
      <c r="E604" s="646"/>
      <c r="H604" s="646"/>
      <c r="I604" s="589">
        <f t="shared" si="9"/>
        <v>0</v>
      </c>
      <c r="K604" s="589"/>
      <c r="L604" s="589"/>
      <c r="M604" s="589"/>
      <c r="N604" s="589"/>
      <c r="O604" s="589"/>
      <c r="P604" s="589"/>
      <c r="Q604" s="589"/>
      <c r="R604" s="589"/>
      <c r="S604" s="589"/>
      <c r="T604" s="589"/>
      <c r="U604" s="589"/>
      <c r="V604" s="589"/>
      <c r="W604" s="589"/>
      <c r="X604" s="589"/>
      <c r="Y604" s="589"/>
      <c r="AA604" s="589"/>
      <c r="AB604" s="589"/>
      <c r="AC604" s="589"/>
      <c r="AD604" s="589"/>
    </row>
    <row r="605" spans="1:30">
      <c r="A605" s="329" t="s">
        <v>158</v>
      </c>
      <c r="B605" s="654"/>
      <c r="C605" s="650" t="s">
        <v>2489</v>
      </c>
      <c r="D605" s="670" t="s">
        <v>1307</v>
      </c>
      <c r="E605" s="646"/>
      <c r="H605" s="646"/>
      <c r="I605" s="589">
        <f t="shared" si="9"/>
        <v>0</v>
      </c>
      <c r="K605" s="589"/>
      <c r="L605" s="589"/>
      <c r="M605" s="589"/>
      <c r="N605" s="589"/>
      <c r="O605" s="589"/>
      <c r="P605" s="589"/>
      <c r="Q605" s="589"/>
      <c r="R605" s="589"/>
      <c r="S605" s="589"/>
      <c r="T605" s="589"/>
      <c r="U605" s="589"/>
      <c r="V605" s="589"/>
      <c r="W605" s="589"/>
      <c r="X605" s="589"/>
      <c r="Y605" s="589"/>
      <c r="AA605" s="589"/>
      <c r="AB605" s="589"/>
      <c r="AC605" s="589"/>
      <c r="AD605" s="589"/>
    </row>
    <row r="606" spans="1:30">
      <c r="A606" s="329" t="s">
        <v>2490</v>
      </c>
      <c r="B606" s="654"/>
      <c r="C606" s="650" t="s">
        <v>2491</v>
      </c>
      <c r="D606" s="670" t="s">
        <v>1307</v>
      </c>
      <c r="E606" s="646"/>
      <c r="H606" s="646"/>
      <c r="I606" s="589">
        <f t="shared" si="9"/>
        <v>0</v>
      </c>
      <c r="K606" s="589"/>
      <c r="L606" s="589"/>
      <c r="M606" s="589"/>
      <c r="N606" s="589"/>
      <c r="O606" s="589"/>
      <c r="P606" s="589"/>
      <c r="Q606" s="589"/>
      <c r="R606" s="589"/>
      <c r="S606" s="589"/>
      <c r="T606" s="589"/>
      <c r="U606" s="589"/>
      <c r="V606" s="589"/>
      <c r="W606" s="589"/>
      <c r="X606" s="589"/>
      <c r="Y606" s="589"/>
      <c r="AA606" s="589"/>
      <c r="AB606" s="589"/>
      <c r="AC606" s="589"/>
      <c r="AD606" s="589"/>
    </row>
    <row r="607" spans="1:30">
      <c r="A607" s="329" t="s">
        <v>2492</v>
      </c>
      <c r="B607" s="654"/>
      <c r="C607" s="650" t="s">
        <v>2493</v>
      </c>
      <c r="D607" s="670" t="s">
        <v>1307</v>
      </c>
      <c r="E607" s="646"/>
      <c r="H607" s="646"/>
      <c r="I607" s="589">
        <f t="shared" si="9"/>
        <v>0</v>
      </c>
      <c r="K607" s="589"/>
      <c r="L607" s="589"/>
      <c r="M607" s="589"/>
      <c r="N607" s="589"/>
      <c r="O607" s="589"/>
      <c r="P607" s="589"/>
      <c r="Q607" s="589"/>
      <c r="R607" s="589"/>
      <c r="S607" s="589"/>
      <c r="T607" s="589"/>
      <c r="U607" s="589"/>
      <c r="V607" s="589"/>
      <c r="W607" s="589"/>
      <c r="X607" s="589"/>
      <c r="Y607" s="589"/>
      <c r="AA607" s="589"/>
      <c r="AB607" s="589"/>
      <c r="AC607" s="589"/>
      <c r="AD607" s="589"/>
    </row>
    <row r="608" spans="1:30">
      <c r="A608" s="329" t="s">
        <v>2494</v>
      </c>
      <c r="B608" s="654"/>
      <c r="C608" s="650" t="s">
        <v>2495</v>
      </c>
      <c r="D608" s="670" t="s">
        <v>1307</v>
      </c>
      <c r="E608" s="646"/>
      <c r="H608" s="646"/>
      <c r="I608" s="589">
        <f t="shared" si="9"/>
        <v>0</v>
      </c>
      <c r="K608" s="589"/>
      <c r="L608" s="589"/>
      <c r="M608" s="589"/>
      <c r="N608" s="589"/>
      <c r="O608" s="589"/>
      <c r="P608" s="589"/>
      <c r="Q608" s="589"/>
      <c r="R608" s="589"/>
      <c r="S608" s="589"/>
      <c r="T608" s="589"/>
      <c r="U608" s="589"/>
      <c r="V608" s="589"/>
      <c r="W608" s="589"/>
      <c r="X608" s="589"/>
      <c r="Y608" s="589"/>
      <c r="AA608" s="589"/>
      <c r="AB608" s="589"/>
      <c r="AC608" s="589"/>
      <c r="AD608" s="589"/>
    </row>
    <row r="609" spans="1:30">
      <c r="A609" s="329" t="s">
        <v>2496</v>
      </c>
      <c r="B609" s="654"/>
      <c r="C609" s="650" t="s">
        <v>2497</v>
      </c>
      <c r="D609" s="670" t="s">
        <v>1307</v>
      </c>
      <c r="E609" s="646"/>
      <c r="H609" s="646"/>
      <c r="I609" s="589">
        <f t="shared" si="9"/>
        <v>0</v>
      </c>
      <c r="K609" s="589"/>
      <c r="L609" s="589"/>
      <c r="M609" s="589"/>
      <c r="N609" s="589"/>
      <c r="O609" s="589"/>
      <c r="P609" s="589"/>
      <c r="Q609" s="589"/>
      <c r="R609" s="589"/>
      <c r="S609" s="589"/>
      <c r="T609" s="589"/>
      <c r="U609" s="589"/>
      <c r="V609" s="589"/>
      <c r="W609" s="589"/>
      <c r="X609" s="589"/>
      <c r="Y609" s="589"/>
      <c r="AA609" s="589"/>
      <c r="AB609" s="589"/>
      <c r="AC609" s="589"/>
      <c r="AD609" s="589"/>
    </row>
    <row r="610" spans="1:30">
      <c r="A610" s="329" t="s">
        <v>2715</v>
      </c>
      <c r="B610" s="654"/>
      <c r="C610" s="650" t="s">
        <v>2716</v>
      </c>
      <c r="D610" s="670" t="s">
        <v>1307</v>
      </c>
      <c r="E610" s="646"/>
      <c r="H610" s="646"/>
      <c r="I610" s="589">
        <f t="shared" si="9"/>
        <v>0</v>
      </c>
      <c r="K610" s="589"/>
      <c r="L610" s="589"/>
      <c r="M610" s="589"/>
      <c r="N610" s="589"/>
      <c r="O610" s="589"/>
      <c r="P610" s="589"/>
      <c r="Q610" s="589"/>
      <c r="R610" s="589"/>
      <c r="S610" s="589"/>
      <c r="T610" s="589"/>
      <c r="U610" s="589"/>
      <c r="V610" s="589"/>
      <c r="W610" s="589"/>
      <c r="X610" s="589"/>
      <c r="Y610" s="589"/>
      <c r="AA610" s="589"/>
      <c r="AB610" s="589"/>
      <c r="AC610" s="589"/>
      <c r="AD610" s="589"/>
    </row>
    <row r="611" spans="1:30">
      <c r="A611" s="329" t="s">
        <v>5256</v>
      </c>
      <c r="B611" s="654"/>
      <c r="C611" s="650" t="s">
        <v>5257</v>
      </c>
      <c r="D611" s="670" t="s">
        <v>1307</v>
      </c>
      <c r="E611" s="646"/>
      <c r="H611" s="646"/>
      <c r="I611" s="589">
        <f t="shared" si="9"/>
        <v>0</v>
      </c>
      <c r="K611" s="589"/>
      <c r="L611" s="589"/>
      <c r="M611" s="589"/>
      <c r="N611" s="589"/>
      <c r="O611" s="589"/>
      <c r="P611" s="589"/>
      <c r="Q611" s="589"/>
      <c r="R611" s="589"/>
      <c r="S611" s="589"/>
      <c r="T611" s="589"/>
      <c r="U611" s="589"/>
      <c r="V611" s="589"/>
      <c r="W611" s="589"/>
      <c r="X611" s="589"/>
      <c r="Y611" s="589"/>
      <c r="AA611" s="589"/>
      <c r="AB611" s="589"/>
      <c r="AC611" s="589"/>
      <c r="AD611" s="589"/>
    </row>
    <row r="612" spans="1:30">
      <c r="A612" s="329" t="s">
        <v>5258</v>
      </c>
      <c r="B612" s="654"/>
      <c r="C612" s="650" t="s">
        <v>5259</v>
      </c>
      <c r="D612" s="670" t="s">
        <v>1307</v>
      </c>
      <c r="E612" s="646"/>
      <c r="H612" s="646"/>
      <c r="I612" s="589">
        <f t="shared" si="9"/>
        <v>0</v>
      </c>
      <c r="K612" s="589"/>
      <c r="L612" s="589"/>
      <c r="M612" s="589"/>
      <c r="N612" s="589"/>
      <c r="O612" s="589"/>
      <c r="P612" s="589"/>
      <c r="Q612" s="589"/>
      <c r="R612" s="589"/>
      <c r="S612" s="589"/>
      <c r="T612" s="589"/>
      <c r="U612" s="589"/>
      <c r="V612" s="589"/>
      <c r="W612" s="589"/>
      <c r="X612" s="589"/>
      <c r="Y612" s="589"/>
      <c r="AA612" s="589"/>
      <c r="AB612" s="589"/>
      <c r="AC612" s="589"/>
      <c r="AD612" s="589"/>
    </row>
    <row r="613" spans="1:30">
      <c r="A613" s="329" t="s">
        <v>2145</v>
      </c>
      <c r="B613" s="654"/>
      <c r="C613" s="650" t="s">
        <v>2146</v>
      </c>
      <c r="D613" s="670" t="s">
        <v>1307</v>
      </c>
      <c r="E613" s="646"/>
      <c r="H613" s="646"/>
      <c r="I613" s="589">
        <f t="shared" si="9"/>
        <v>0</v>
      </c>
      <c r="K613" s="589"/>
      <c r="L613" s="589"/>
      <c r="M613" s="589"/>
      <c r="N613" s="589"/>
      <c r="O613" s="589"/>
      <c r="P613" s="589"/>
      <c r="Q613" s="589"/>
      <c r="R613" s="589"/>
      <c r="S613" s="589"/>
      <c r="T613" s="589"/>
      <c r="U613" s="589"/>
      <c r="V613" s="589"/>
      <c r="W613" s="589"/>
      <c r="X613" s="589"/>
      <c r="Y613" s="589"/>
      <c r="AA613" s="589"/>
      <c r="AB613" s="589"/>
      <c r="AC613" s="589"/>
      <c r="AD613" s="589"/>
    </row>
    <row r="614" spans="1:30">
      <c r="A614" s="610" t="s">
        <v>2147</v>
      </c>
      <c r="B614" s="611"/>
      <c r="C614" s="612"/>
      <c r="D614" s="613"/>
      <c r="E614" s="614"/>
      <c r="F614" s="329"/>
      <c r="H614" s="614"/>
      <c r="I614" s="589">
        <f t="shared" si="9"/>
        <v>0</v>
      </c>
      <c r="K614" s="589"/>
      <c r="L614" s="589"/>
      <c r="M614" s="589"/>
      <c r="N614" s="589"/>
      <c r="O614" s="589"/>
      <c r="P614" s="589"/>
      <c r="Q614" s="589"/>
      <c r="R614" s="589"/>
      <c r="S614" s="589"/>
      <c r="T614" s="589"/>
      <c r="U614" s="589"/>
      <c r="V614" s="589"/>
      <c r="W614" s="589"/>
      <c r="X614" s="589"/>
      <c r="Y614" s="589"/>
      <c r="AA614" s="589"/>
      <c r="AB614" s="589"/>
      <c r="AC614" s="589"/>
      <c r="AD614" s="589"/>
    </row>
    <row r="615" spans="1:30">
      <c r="A615" s="329" t="s">
        <v>861</v>
      </c>
      <c r="B615" s="626">
        <v>33034402</v>
      </c>
      <c r="C615" s="627" t="s">
        <v>455</v>
      </c>
      <c r="D615" s="571" t="s">
        <v>1307</v>
      </c>
      <c r="E615" s="646">
        <v>72600</v>
      </c>
      <c r="H615" s="646">
        <v>72600</v>
      </c>
      <c r="I615" s="589">
        <f t="shared" si="9"/>
        <v>0</v>
      </c>
      <c r="K615" s="589"/>
      <c r="L615" s="589"/>
      <c r="M615" s="589"/>
      <c r="N615" s="589"/>
      <c r="O615" s="589"/>
      <c r="P615" s="589"/>
      <c r="Q615" s="589"/>
      <c r="R615" s="589"/>
      <c r="S615" s="589"/>
      <c r="T615" s="589"/>
      <c r="U615" s="589"/>
      <c r="V615" s="589"/>
      <c r="W615" s="589"/>
      <c r="X615" s="589"/>
      <c r="Y615" s="589"/>
      <c r="AA615" s="589"/>
      <c r="AB615" s="589"/>
      <c r="AC615" s="589"/>
      <c r="AD615" s="589"/>
    </row>
    <row r="616" spans="1:30">
      <c r="A616" s="329" t="s">
        <v>456</v>
      </c>
      <c r="B616" s="654">
        <v>31034404</v>
      </c>
      <c r="C616" s="650" t="s">
        <v>4836</v>
      </c>
      <c r="D616" s="231" t="s">
        <v>1297</v>
      </c>
      <c r="E616" s="646"/>
      <c r="H616" s="646"/>
      <c r="I616" s="589">
        <f t="shared" si="9"/>
        <v>0</v>
      </c>
      <c r="K616" s="589"/>
      <c r="L616" s="589"/>
      <c r="M616" s="589"/>
      <c r="N616" s="589"/>
      <c r="O616" s="589"/>
      <c r="P616" s="589"/>
      <c r="Q616" s="589"/>
      <c r="R616" s="589"/>
      <c r="S616" s="589"/>
      <c r="T616" s="589"/>
      <c r="U616" s="589"/>
      <c r="V616" s="589"/>
      <c r="W616" s="589"/>
      <c r="X616" s="589"/>
      <c r="Y616" s="589"/>
      <c r="AA616" s="589"/>
      <c r="AB616" s="589"/>
      <c r="AC616" s="589"/>
      <c r="AD616" s="589"/>
    </row>
    <row r="617" spans="1:30">
      <c r="A617" s="329" t="s">
        <v>4837</v>
      </c>
      <c r="B617" s="663">
        <v>31086380</v>
      </c>
      <c r="C617" s="638" t="s">
        <v>6154</v>
      </c>
      <c r="D617" s="629" t="s">
        <v>1307</v>
      </c>
      <c r="E617" s="646"/>
      <c r="H617" s="646"/>
      <c r="I617" s="589">
        <f t="shared" si="9"/>
        <v>0</v>
      </c>
      <c r="K617" s="589"/>
      <c r="L617" s="589"/>
      <c r="M617" s="589"/>
      <c r="N617" s="589"/>
      <c r="O617" s="589"/>
      <c r="P617" s="589"/>
      <c r="Q617" s="589"/>
      <c r="R617" s="589"/>
      <c r="S617" s="589"/>
      <c r="T617" s="589"/>
      <c r="U617" s="589"/>
      <c r="V617" s="589"/>
      <c r="W617" s="589"/>
      <c r="X617" s="589"/>
      <c r="Y617" s="589"/>
      <c r="AA617" s="589"/>
      <c r="AB617" s="589"/>
      <c r="AC617" s="589"/>
      <c r="AD617" s="589"/>
    </row>
    <row r="618" spans="1:30">
      <c r="B618" s="663"/>
      <c r="C618" s="671"/>
      <c r="D618" s="672"/>
      <c r="E618" s="646"/>
      <c r="H618" s="646"/>
      <c r="I618" s="589">
        <f t="shared" si="9"/>
        <v>0</v>
      </c>
      <c r="K618" s="589"/>
      <c r="L618" s="589"/>
      <c r="M618" s="589"/>
      <c r="N618" s="589"/>
      <c r="O618" s="589"/>
      <c r="P618" s="589"/>
      <c r="Q618" s="589"/>
      <c r="R618" s="589"/>
      <c r="S618" s="589"/>
      <c r="T618" s="589"/>
      <c r="U618" s="589"/>
      <c r="V618" s="589"/>
      <c r="W618" s="589"/>
      <c r="X618" s="589"/>
      <c r="Y618" s="589"/>
      <c r="AA618" s="589"/>
      <c r="AB618" s="589"/>
      <c r="AC618" s="589"/>
      <c r="AD618" s="589"/>
    </row>
    <row r="619" spans="1:30">
      <c r="A619" s="329" t="s">
        <v>6155</v>
      </c>
      <c r="B619" s="663"/>
      <c r="C619" s="671" t="s">
        <v>6156</v>
      </c>
      <c r="D619" s="629" t="s">
        <v>1307</v>
      </c>
      <c r="E619" s="646">
        <v>300000</v>
      </c>
      <c r="H619" s="646"/>
      <c r="I619" s="589">
        <f t="shared" si="9"/>
        <v>1</v>
      </c>
      <c r="J619" s="30" t="s">
        <v>5459</v>
      </c>
      <c r="K619" s="589"/>
      <c r="L619" s="589"/>
      <c r="M619" s="589"/>
      <c r="N619" s="589"/>
      <c r="O619" s="589"/>
      <c r="P619" s="589"/>
      <c r="Q619" s="589"/>
      <c r="R619" s="589"/>
      <c r="S619" s="589"/>
      <c r="T619" s="589"/>
      <c r="U619" s="589"/>
      <c r="V619" s="589"/>
      <c r="W619" s="589"/>
      <c r="X619" s="589"/>
      <c r="Y619" s="589"/>
      <c r="AA619" s="589"/>
      <c r="AB619" s="589"/>
      <c r="AC619" s="589"/>
      <c r="AD619" s="589"/>
    </row>
    <row r="620" spans="1:30">
      <c r="B620" s="663"/>
      <c r="C620" s="671"/>
      <c r="D620" s="672"/>
      <c r="E620" s="646"/>
      <c r="H620" s="646"/>
      <c r="I620" s="589">
        <f t="shared" si="9"/>
        <v>0</v>
      </c>
      <c r="K620" s="589"/>
      <c r="L620" s="589"/>
      <c r="M620" s="589"/>
      <c r="N620" s="589"/>
      <c r="O620" s="589"/>
      <c r="P620" s="589"/>
      <c r="Q620" s="589"/>
      <c r="R620" s="589"/>
      <c r="S620" s="589"/>
      <c r="T620" s="589"/>
      <c r="U620" s="589"/>
      <c r="V620" s="589"/>
      <c r="W620" s="589"/>
      <c r="X620" s="589"/>
      <c r="Y620" s="589"/>
      <c r="AA620" s="589"/>
      <c r="AB620" s="589"/>
      <c r="AC620" s="589"/>
      <c r="AD620" s="589"/>
    </row>
    <row r="621" spans="1:30">
      <c r="A621" s="329" t="s">
        <v>862</v>
      </c>
      <c r="B621" s="626"/>
      <c r="C621" s="655" t="s">
        <v>5460</v>
      </c>
      <c r="D621" s="656" t="s">
        <v>1307</v>
      </c>
      <c r="E621" s="646">
        <v>35000</v>
      </c>
      <c r="H621" s="646">
        <v>35000</v>
      </c>
      <c r="I621" s="589">
        <f t="shared" si="9"/>
        <v>0</v>
      </c>
      <c r="K621" s="589"/>
      <c r="L621" s="589"/>
      <c r="M621" s="589"/>
      <c r="N621" s="589"/>
      <c r="O621" s="589"/>
      <c r="P621" s="589"/>
      <c r="Q621" s="589"/>
      <c r="R621" s="589"/>
      <c r="S621" s="589"/>
      <c r="T621" s="589"/>
      <c r="U621" s="589"/>
      <c r="V621" s="589"/>
      <c r="W621" s="589"/>
      <c r="X621" s="589"/>
      <c r="Y621" s="589"/>
      <c r="AA621" s="589"/>
      <c r="AB621" s="589"/>
      <c r="AC621" s="589"/>
      <c r="AD621" s="589"/>
    </row>
    <row r="622" spans="1:30">
      <c r="A622" s="329" t="s">
        <v>431</v>
      </c>
      <c r="B622" s="626"/>
      <c r="C622" s="627" t="s">
        <v>3174</v>
      </c>
      <c r="D622" s="571" t="s">
        <v>1307</v>
      </c>
      <c r="E622" s="646">
        <v>57450</v>
      </c>
      <c r="H622" s="646">
        <v>57450</v>
      </c>
      <c r="I622" s="589">
        <f t="shared" si="9"/>
        <v>0</v>
      </c>
      <c r="K622" s="589"/>
      <c r="L622" s="589"/>
      <c r="M622" s="589"/>
      <c r="N622" s="589"/>
      <c r="O622" s="589"/>
      <c r="P622" s="589"/>
      <c r="Q622" s="589"/>
      <c r="R622" s="589"/>
      <c r="S622" s="589"/>
      <c r="T622" s="589"/>
      <c r="U622" s="589"/>
      <c r="V622" s="589"/>
      <c r="W622" s="589"/>
      <c r="X622" s="589"/>
      <c r="Y622" s="589"/>
      <c r="AA622" s="589"/>
      <c r="AB622" s="589"/>
      <c r="AC622" s="589"/>
      <c r="AD622" s="589"/>
    </row>
    <row r="623" spans="1:30">
      <c r="A623" s="329" t="s">
        <v>432</v>
      </c>
      <c r="B623" s="626"/>
      <c r="C623" s="627" t="s">
        <v>3175</v>
      </c>
      <c r="D623" s="571" t="s">
        <v>1307</v>
      </c>
      <c r="E623" s="646">
        <v>58790</v>
      </c>
      <c r="H623" s="646">
        <v>58790</v>
      </c>
      <c r="I623" s="589">
        <f t="shared" si="9"/>
        <v>0</v>
      </c>
      <c r="K623" s="589"/>
      <c r="L623" s="589"/>
      <c r="M623" s="589"/>
      <c r="N623" s="589"/>
      <c r="O623" s="589"/>
      <c r="P623" s="589"/>
      <c r="Q623" s="589"/>
      <c r="R623" s="589"/>
      <c r="S623" s="589"/>
      <c r="T623" s="589"/>
      <c r="U623" s="589"/>
      <c r="V623" s="589"/>
      <c r="W623" s="589"/>
      <c r="X623" s="589"/>
      <c r="Y623" s="589"/>
      <c r="AA623" s="589"/>
      <c r="AB623" s="589"/>
      <c r="AC623" s="589"/>
      <c r="AD623" s="589"/>
    </row>
    <row r="624" spans="1:30">
      <c r="B624" s="673"/>
      <c r="C624" s="638"/>
      <c r="D624" s="629"/>
      <c r="E624" s="646"/>
      <c r="H624" s="646"/>
      <c r="I624" s="589">
        <f t="shared" si="9"/>
        <v>0</v>
      </c>
      <c r="K624" s="589"/>
      <c r="L624" s="589"/>
      <c r="M624" s="589"/>
      <c r="N624" s="589"/>
      <c r="O624" s="589"/>
      <c r="P624" s="589"/>
      <c r="Q624" s="589"/>
      <c r="R624" s="589"/>
      <c r="S624" s="589"/>
      <c r="T624" s="589"/>
      <c r="U624" s="589"/>
      <c r="V624" s="589"/>
      <c r="W624" s="589"/>
      <c r="X624" s="589"/>
      <c r="Y624" s="589"/>
      <c r="AA624" s="589"/>
      <c r="AB624" s="589"/>
      <c r="AC624" s="589"/>
      <c r="AD624" s="589"/>
    </row>
    <row r="625" spans="1:30">
      <c r="A625" s="329" t="s">
        <v>858</v>
      </c>
      <c r="B625" s="654">
        <v>31002575</v>
      </c>
      <c r="C625" s="575" t="s">
        <v>433</v>
      </c>
      <c r="D625" s="571" t="s">
        <v>1307</v>
      </c>
      <c r="E625" s="645">
        <v>384000</v>
      </c>
      <c r="H625" s="646">
        <v>299200</v>
      </c>
      <c r="I625" s="589">
        <f t="shared" si="9"/>
        <v>1</v>
      </c>
      <c r="J625" s="30" t="s">
        <v>434</v>
      </c>
      <c r="K625" s="589"/>
      <c r="L625" s="589"/>
      <c r="M625" s="589"/>
      <c r="N625" s="589"/>
      <c r="O625" s="589"/>
      <c r="P625" s="589"/>
      <c r="Q625" s="589"/>
      <c r="R625" s="589"/>
      <c r="S625" s="589"/>
      <c r="T625" s="589"/>
      <c r="U625" s="589"/>
      <c r="V625" s="589"/>
      <c r="W625" s="589"/>
      <c r="X625" s="589"/>
      <c r="Y625" s="589"/>
      <c r="AA625" s="589"/>
      <c r="AB625" s="589"/>
      <c r="AC625" s="589"/>
      <c r="AD625" s="589"/>
    </row>
    <row r="626" spans="1:30">
      <c r="A626" s="329" t="s">
        <v>435</v>
      </c>
      <c r="B626" s="626">
        <v>31088474</v>
      </c>
      <c r="C626" s="627" t="s">
        <v>436</v>
      </c>
      <c r="D626" s="571" t="s">
        <v>1307</v>
      </c>
      <c r="E626" s="646">
        <v>247000</v>
      </c>
      <c r="H626" s="646"/>
      <c r="I626" s="589">
        <f t="shared" si="9"/>
        <v>1</v>
      </c>
      <c r="K626" s="589"/>
      <c r="L626" s="589"/>
      <c r="M626" s="589"/>
      <c r="N626" s="589"/>
      <c r="O626" s="589"/>
      <c r="P626" s="589"/>
      <c r="Q626" s="589"/>
      <c r="R626" s="589"/>
      <c r="S626" s="589"/>
      <c r="T626" s="589"/>
      <c r="U626" s="589"/>
      <c r="V626" s="589"/>
      <c r="W626" s="589"/>
      <c r="X626" s="589"/>
      <c r="Y626" s="589"/>
      <c r="AA626" s="589"/>
      <c r="AB626" s="589"/>
      <c r="AC626" s="589"/>
      <c r="AD626" s="589"/>
    </row>
    <row r="627" spans="1:30">
      <c r="A627" s="329" t="s">
        <v>5568</v>
      </c>
      <c r="B627" s="654">
        <v>31088478</v>
      </c>
      <c r="C627" s="575" t="s">
        <v>5569</v>
      </c>
      <c r="D627" s="571" t="s">
        <v>1307</v>
      </c>
      <c r="E627" s="646">
        <v>5500</v>
      </c>
      <c r="H627" s="646">
        <v>5500</v>
      </c>
      <c r="I627" s="589">
        <f t="shared" si="9"/>
        <v>0</v>
      </c>
      <c r="K627" s="589"/>
      <c r="L627" s="589"/>
      <c r="M627" s="589"/>
      <c r="N627" s="589"/>
      <c r="O627" s="589"/>
      <c r="P627" s="589"/>
      <c r="Q627" s="589"/>
      <c r="R627" s="589"/>
      <c r="S627" s="589"/>
      <c r="T627" s="589"/>
      <c r="U627" s="589"/>
      <c r="V627" s="589"/>
      <c r="W627" s="589"/>
      <c r="X627" s="589"/>
      <c r="Y627" s="589"/>
      <c r="AA627" s="589"/>
      <c r="AB627" s="589"/>
      <c r="AC627" s="589"/>
      <c r="AD627" s="589"/>
    </row>
    <row r="628" spans="1:30">
      <c r="A628" s="329" t="s">
        <v>5570</v>
      </c>
      <c r="B628" s="674">
        <v>31088477</v>
      </c>
      <c r="C628" s="655" t="s">
        <v>5571</v>
      </c>
      <c r="D628" s="656" t="s">
        <v>1307</v>
      </c>
      <c r="E628" s="646">
        <v>11500</v>
      </c>
      <c r="H628" s="646">
        <v>11500</v>
      </c>
      <c r="I628" s="589">
        <f t="shared" si="9"/>
        <v>0</v>
      </c>
      <c r="K628" s="589"/>
      <c r="L628" s="589"/>
      <c r="M628" s="589"/>
      <c r="N628" s="589"/>
      <c r="O628" s="589"/>
      <c r="P628" s="589"/>
      <c r="Q628" s="589"/>
      <c r="R628" s="589"/>
      <c r="S628" s="589"/>
      <c r="T628" s="589"/>
      <c r="U628" s="589"/>
      <c r="V628" s="589"/>
      <c r="W628" s="589"/>
      <c r="X628" s="589"/>
      <c r="Y628" s="589"/>
      <c r="AA628" s="589"/>
      <c r="AB628" s="589"/>
      <c r="AC628" s="589"/>
      <c r="AD628" s="589"/>
    </row>
    <row r="629" spans="1:30">
      <c r="A629" s="329" t="s">
        <v>859</v>
      </c>
      <c r="B629" s="626">
        <v>31088476</v>
      </c>
      <c r="C629" s="575" t="s">
        <v>5572</v>
      </c>
      <c r="D629" s="571" t="s">
        <v>1307</v>
      </c>
      <c r="E629" s="645">
        <v>21570</v>
      </c>
      <c r="H629" s="646">
        <v>8900</v>
      </c>
      <c r="I629" s="589">
        <f t="shared" si="9"/>
        <v>1</v>
      </c>
      <c r="J629" s="30" t="s">
        <v>5573</v>
      </c>
      <c r="K629" s="589"/>
      <c r="L629" s="589"/>
      <c r="M629" s="589"/>
      <c r="N629" s="589"/>
      <c r="O629" s="589"/>
      <c r="P629" s="589"/>
      <c r="Q629" s="589"/>
      <c r="R629" s="589"/>
      <c r="S629" s="589"/>
      <c r="T629" s="589"/>
      <c r="U629" s="589"/>
      <c r="V629" s="589"/>
      <c r="W629" s="589"/>
      <c r="X629" s="589"/>
      <c r="Y629" s="589"/>
      <c r="AA629" s="589"/>
      <c r="AB629" s="589"/>
      <c r="AC629" s="589"/>
      <c r="AD629" s="589"/>
    </row>
    <row r="630" spans="1:30">
      <c r="B630" s="673"/>
      <c r="C630" s="575"/>
      <c r="D630" s="571"/>
      <c r="E630" s="646"/>
      <c r="H630" s="646"/>
      <c r="I630" s="589">
        <f t="shared" si="9"/>
        <v>0</v>
      </c>
      <c r="K630" s="589"/>
      <c r="L630" s="589"/>
      <c r="M630" s="589"/>
      <c r="N630" s="589"/>
      <c r="O630" s="589"/>
      <c r="P630" s="589"/>
      <c r="Q630" s="589"/>
      <c r="R630" s="589"/>
      <c r="S630" s="589"/>
      <c r="T630" s="589"/>
      <c r="U630" s="589"/>
      <c r="V630" s="589"/>
      <c r="W630" s="589"/>
      <c r="X630" s="589"/>
      <c r="Y630" s="589"/>
      <c r="AA630" s="589"/>
      <c r="AB630" s="589"/>
      <c r="AC630" s="589"/>
      <c r="AD630" s="589"/>
    </row>
    <row r="631" spans="1:30">
      <c r="A631" s="329" t="s">
        <v>864</v>
      </c>
      <c r="B631" s="654">
        <v>31002600</v>
      </c>
      <c r="C631" s="575" t="s">
        <v>5574</v>
      </c>
      <c r="D631" s="571" t="s">
        <v>1307</v>
      </c>
      <c r="E631" s="646">
        <v>4150</v>
      </c>
      <c r="H631" s="646">
        <v>4150</v>
      </c>
      <c r="I631" s="589">
        <f t="shared" si="9"/>
        <v>0</v>
      </c>
      <c r="K631" s="589"/>
      <c r="L631" s="589"/>
      <c r="M631" s="589"/>
      <c r="N631" s="589"/>
      <c r="O631" s="589"/>
      <c r="P631" s="589"/>
      <c r="Q631" s="589"/>
      <c r="R631" s="589"/>
      <c r="S631" s="589"/>
      <c r="T631" s="589"/>
      <c r="U631" s="589"/>
      <c r="V631" s="589"/>
      <c r="W631" s="589"/>
      <c r="X631" s="589"/>
      <c r="Y631" s="589"/>
      <c r="AA631" s="589"/>
      <c r="AB631" s="589"/>
      <c r="AC631" s="589"/>
      <c r="AD631" s="589"/>
    </row>
    <row r="632" spans="1:30">
      <c r="A632" s="329" t="s">
        <v>5575</v>
      </c>
      <c r="B632" s="654">
        <v>31002602</v>
      </c>
      <c r="C632" s="575" t="s">
        <v>5576</v>
      </c>
      <c r="D632" s="571" t="s">
        <v>1307</v>
      </c>
      <c r="E632" s="646">
        <v>29987</v>
      </c>
      <c r="H632" s="646">
        <v>29987</v>
      </c>
      <c r="I632" s="589">
        <f t="shared" si="9"/>
        <v>0</v>
      </c>
      <c r="K632" s="589"/>
      <c r="L632" s="589"/>
      <c r="M632" s="589"/>
      <c r="N632" s="589"/>
      <c r="O632" s="589"/>
      <c r="P632" s="589"/>
      <c r="Q632" s="589"/>
      <c r="R632" s="589"/>
      <c r="S632" s="589"/>
      <c r="T632" s="589"/>
      <c r="U632" s="589"/>
      <c r="V632" s="589"/>
      <c r="W632" s="589"/>
      <c r="X632" s="589"/>
      <c r="Y632" s="589"/>
      <c r="AA632" s="589"/>
      <c r="AB632" s="589"/>
      <c r="AC632" s="589"/>
      <c r="AD632" s="589"/>
    </row>
    <row r="633" spans="1:30">
      <c r="A633" s="675" t="s">
        <v>5577</v>
      </c>
      <c r="B633" s="611"/>
      <c r="C633" s="612"/>
      <c r="D633" s="613"/>
      <c r="E633" s="614"/>
      <c r="F633" s="329"/>
      <c r="H633" s="614"/>
      <c r="I633" s="589">
        <f t="shared" si="9"/>
        <v>0</v>
      </c>
      <c r="K633" s="589"/>
      <c r="L633" s="589"/>
      <c r="M633" s="589"/>
      <c r="N633" s="589"/>
      <c r="O633" s="589"/>
      <c r="P633" s="589"/>
      <c r="Q633" s="589"/>
      <c r="R633" s="589"/>
      <c r="S633" s="589"/>
      <c r="T633" s="589"/>
      <c r="U633" s="589"/>
      <c r="V633" s="589"/>
      <c r="W633" s="589"/>
      <c r="X633" s="589"/>
      <c r="Y633" s="589"/>
      <c r="AA633" s="589"/>
      <c r="AB633" s="589"/>
      <c r="AC633" s="589"/>
      <c r="AD633" s="589"/>
    </row>
    <row r="634" spans="1:30" ht="18" customHeight="1">
      <c r="A634" s="329" t="s">
        <v>5578</v>
      </c>
      <c r="B634" s="654">
        <v>36203050</v>
      </c>
      <c r="C634" s="647" t="s">
        <v>981</v>
      </c>
      <c r="D634" s="231" t="s">
        <v>1307</v>
      </c>
      <c r="E634" s="646">
        <v>16745</v>
      </c>
      <c r="H634" s="646">
        <v>16745</v>
      </c>
      <c r="I634" s="589">
        <f t="shared" si="9"/>
        <v>0</v>
      </c>
      <c r="K634" s="589"/>
      <c r="L634" s="589"/>
      <c r="M634" s="589"/>
      <c r="N634" s="589"/>
      <c r="O634" s="589"/>
      <c r="P634" s="589"/>
      <c r="Q634" s="589"/>
      <c r="R634" s="589"/>
      <c r="S634" s="589"/>
      <c r="T634" s="589"/>
      <c r="U634" s="589"/>
      <c r="V634" s="589"/>
      <c r="W634" s="589"/>
      <c r="X634" s="589"/>
      <c r="Y634" s="589"/>
      <c r="AA634" s="589"/>
      <c r="AB634" s="589"/>
      <c r="AC634" s="589"/>
      <c r="AD634" s="589"/>
    </row>
    <row r="635" spans="1:30" ht="18" customHeight="1">
      <c r="A635" s="329" t="s">
        <v>5939</v>
      </c>
      <c r="B635" s="626">
        <v>36203156</v>
      </c>
      <c r="C635" s="627" t="s">
        <v>635</v>
      </c>
      <c r="D635" s="571" t="s">
        <v>1307</v>
      </c>
      <c r="E635" s="571"/>
      <c r="H635" s="571"/>
      <c r="I635" s="589">
        <f t="shared" si="9"/>
        <v>0</v>
      </c>
      <c r="K635" s="589"/>
      <c r="L635" s="589"/>
      <c r="M635" s="589"/>
      <c r="N635" s="589"/>
      <c r="O635" s="589"/>
      <c r="P635" s="589"/>
      <c r="Q635" s="589"/>
      <c r="R635" s="589"/>
      <c r="S635" s="589"/>
      <c r="T635" s="589"/>
      <c r="U635" s="589"/>
      <c r="V635" s="589"/>
      <c r="W635" s="589"/>
      <c r="X635" s="589"/>
      <c r="Y635" s="589"/>
      <c r="AA635" s="589"/>
      <c r="AB635" s="589"/>
      <c r="AC635" s="589"/>
      <c r="AD635" s="589"/>
    </row>
    <row r="636" spans="1:30" ht="18" customHeight="1">
      <c r="A636" s="329" t="s">
        <v>5077</v>
      </c>
      <c r="B636" s="654">
        <v>36203149</v>
      </c>
      <c r="C636" s="661" t="s">
        <v>5078</v>
      </c>
      <c r="D636" s="644" t="s">
        <v>1307</v>
      </c>
      <c r="E636" s="645">
        <v>60000</v>
      </c>
      <c r="H636" s="646">
        <v>43260</v>
      </c>
      <c r="I636" s="589">
        <f t="shared" si="9"/>
        <v>1</v>
      </c>
      <c r="J636" s="30" t="s">
        <v>4072</v>
      </c>
      <c r="K636" s="589"/>
      <c r="L636" s="589"/>
      <c r="M636" s="589"/>
      <c r="N636" s="589"/>
      <c r="O636" s="589"/>
      <c r="P636" s="589"/>
      <c r="Q636" s="589"/>
      <c r="R636" s="589"/>
      <c r="S636" s="589"/>
      <c r="T636" s="589"/>
      <c r="U636" s="589"/>
      <c r="V636" s="589"/>
      <c r="W636" s="589"/>
      <c r="X636" s="589"/>
      <c r="Y636" s="589"/>
      <c r="AA636" s="589"/>
      <c r="AB636" s="589"/>
      <c r="AC636" s="589"/>
      <c r="AD636" s="589"/>
    </row>
    <row r="637" spans="1:30" ht="18" customHeight="1">
      <c r="A637" s="329" t="s">
        <v>5079</v>
      </c>
      <c r="B637" s="654">
        <v>36203147</v>
      </c>
      <c r="C637" s="660" t="s">
        <v>5080</v>
      </c>
      <c r="D637" s="656" t="s">
        <v>1307</v>
      </c>
      <c r="E637" s="656"/>
      <c r="H637" s="656"/>
      <c r="I637" s="589">
        <f t="shared" si="9"/>
        <v>0</v>
      </c>
      <c r="K637" s="589"/>
      <c r="L637" s="589"/>
      <c r="M637" s="589"/>
      <c r="N637" s="589"/>
      <c r="O637" s="589"/>
      <c r="P637" s="589"/>
      <c r="Q637" s="589"/>
      <c r="R637" s="589"/>
      <c r="S637" s="589"/>
      <c r="T637" s="589"/>
      <c r="U637" s="589"/>
      <c r="V637" s="589"/>
      <c r="W637" s="589"/>
      <c r="X637" s="589"/>
      <c r="Y637" s="589"/>
      <c r="AA637" s="589"/>
      <c r="AB637" s="589"/>
      <c r="AC637" s="589"/>
      <c r="AD637" s="589"/>
    </row>
    <row r="638" spans="1:30" ht="18" customHeight="1">
      <c r="A638" s="329" t="s">
        <v>5081</v>
      </c>
      <c r="B638" s="663">
        <v>36203060</v>
      </c>
      <c r="C638" s="628" t="s">
        <v>5082</v>
      </c>
      <c r="D638" s="629" t="s">
        <v>1307</v>
      </c>
      <c r="E638" s="629"/>
      <c r="H638" s="629"/>
      <c r="I638" s="589">
        <f t="shared" si="9"/>
        <v>0</v>
      </c>
      <c r="K638" s="589"/>
      <c r="L638" s="589"/>
      <c r="M638" s="589"/>
      <c r="N638" s="589"/>
      <c r="O638" s="589"/>
      <c r="P638" s="589"/>
      <c r="Q638" s="589"/>
      <c r="R638" s="589"/>
      <c r="S638" s="589"/>
      <c r="T638" s="589"/>
      <c r="U638" s="589"/>
      <c r="V638" s="589"/>
      <c r="W638" s="589"/>
      <c r="X638" s="589"/>
      <c r="Y638" s="589"/>
      <c r="AA638" s="589"/>
      <c r="AB638" s="589"/>
      <c r="AC638" s="589"/>
      <c r="AD638" s="589"/>
    </row>
    <row r="639" spans="1:30" ht="18" customHeight="1">
      <c r="B639" s="663"/>
      <c r="C639" s="628"/>
      <c r="D639" s="629"/>
      <c r="E639" s="629"/>
      <c r="H639" s="629"/>
      <c r="I639" s="589">
        <f t="shared" si="9"/>
        <v>0</v>
      </c>
      <c r="K639" s="589"/>
      <c r="L639" s="589"/>
      <c r="M639" s="589"/>
      <c r="N639" s="589"/>
      <c r="O639" s="589"/>
      <c r="P639" s="589"/>
      <c r="Q639" s="589"/>
      <c r="R639" s="589"/>
      <c r="S639" s="589"/>
      <c r="T639" s="589"/>
      <c r="U639" s="589"/>
      <c r="V639" s="589"/>
      <c r="W639" s="589"/>
      <c r="X639" s="589"/>
      <c r="Y639" s="589"/>
      <c r="AA639" s="589"/>
      <c r="AB639" s="589"/>
      <c r="AC639" s="589"/>
      <c r="AD639" s="589"/>
    </row>
    <row r="640" spans="1:30">
      <c r="A640" s="329" t="s">
        <v>5083</v>
      </c>
      <c r="B640" s="626">
        <v>0</v>
      </c>
      <c r="C640" s="575" t="s">
        <v>5084</v>
      </c>
      <c r="D640" s="571" t="s">
        <v>1307</v>
      </c>
      <c r="E640" s="676">
        <v>60000</v>
      </c>
      <c r="H640" s="676">
        <v>25400</v>
      </c>
      <c r="I640" s="589">
        <f t="shared" si="9"/>
        <v>1</v>
      </c>
      <c r="K640" s="589"/>
      <c r="L640" s="589"/>
      <c r="M640" s="589"/>
      <c r="N640" s="589"/>
      <c r="O640" s="589"/>
      <c r="P640" s="589"/>
      <c r="Q640" s="589"/>
      <c r="R640" s="589"/>
      <c r="S640" s="589"/>
      <c r="T640" s="589"/>
      <c r="U640" s="589"/>
      <c r="V640" s="589"/>
      <c r="W640" s="589"/>
      <c r="X640" s="589"/>
      <c r="Y640" s="589"/>
      <c r="AA640" s="589"/>
      <c r="AB640" s="589"/>
      <c r="AC640" s="589"/>
      <c r="AD640" s="589"/>
    </row>
    <row r="641" spans="1:30">
      <c r="A641" s="329" t="s">
        <v>5085</v>
      </c>
      <c r="B641" s="626">
        <v>89203865</v>
      </c>
      <c r="C641" s="575" t="s">
        <v>5423</v>
      </c>
      <c r="D641" s="571" t="s">
        <v>1307</v>
      </c>
      <c r="E641" s="571"/>
      <c r="H641" s="571"/>
      <c r="I641" s="589">
        <f t="shared" si="9"/>
        <v>0</v>
      </c>
      <c r="K641" s="589"/>
      <c r="L641" s="589"/>
      <c r="M641" s="589"/>
      <c r="N641" s="589"/>
      <c r="O641" s="589"/>
      <c r="P641" s="589"/>
      <c r="Q641" s="589"/>
      <c r="R641" s="589"/>
      <c r="S641" s="589"/>
      <c r="T641" s="589"/>
      <c r="U641" s="589"/>
      <c r="V641" s="589"/>
      <c r="W641" s="589"/>
      <c r="X641" s="589"/>
      <c r="Y641" s="589"/>
      <c r="AA641" s="589"/>
      <c r="AB641" s="589"/>
      <c r="AC641" s="589"/>
      <c r="AD641" s="589"/>
    </row>
    <row r="642" spans="1:30">
      <c r="A642" s="329" t="s">
        <v>5424</v>
      </c>
      <c r="B642" s="626">
        <v>89230866</v>
      </c>
      <c r="C642" s="575" t="s">
        <v>5425</v>
      </c>
      <c r="D642" s="571" t="s">
        <v>1307</v>
      </c>
      <c r="E642" s="571"/>
      <c r="H642" s="571"/>
      <c r="I642" s="589">
        <f t="shared" si="9"/>
        <v>0</v>
      </c>
      <c r="K642" s="589"/>
      <c r="L642" s="589"/>
      <c r="M642" s="589"/>
      <c r="N642" s="589"/>
      <c r="O642" s="589"/>
      <c r="P642" s="589"/>
      <c r="Q642" s="589"/>
      <c r="R642" s="589"/>
      <c r="S642" s="589"/>
      <c r="T642" s="589"/>
      <c r="U642" s="589"/>
      <c r="V642" s="589"/>
      <c r="W642" s="589"/>
      <c r="X642" s="589"/>
      <c r="Y642" s="589"/>
      <c r="AA642" s="589"/>
      <c r="AB642" s="589"/>
      <c r="AC642" s="589"/>
      <c r="AD642" s="589"/>
    </row>
    <row r="643" spans="1:30">
      <c r="A643" s="329" t="s">
        <v>5426</v>
      </c>
      <c r="B643" s="626">
        <v>89203860</v>
      </c>
      <c r="C643" s="575" t="s">
        <v>5427</v>
      </c>
      <c r="D643" s="571" t="s">
        <v>1307</v>
      </c>
      <c r="E643" s="571"/>
      <c r="H643" s="571"/>
      <c r="I643" s="589">
        <f t="shared" si="9"/>
        <v>0</v>
      </c>
      <c r="K643" s="589"/>
      <c r="L643" s="589"/>
      <c r="M643" s="589"/>
      <c r="N643" s="589"/>
      <c r="O643" s="589"/>
      <c r="P643" s="589"/>
      <c r="Q643" s="589"/>
      <c r="R643" s="589"/>
      <c r="S643" s="589"/>
      <c r="T643" s="589"/>
      <c r="U643" s="589"/>
      <c r="V643" s="589"/>
      <c r="W643" s="589"/>
      <c r="X643" s="589"/>
      <c r="Y643" s="589"/>
      <c r="AA643" s="589"/>
      <c r="AB643" s="589"/>
      <c r="AC643" s="589"/>
      <c r="AD643" s="589"/>
    </row>
    <row r="644" spans="1:30">
      <c r="A644" s="675" t="s">
        <v>2354</v>
      </c>
      <c r="B644" s="611"/>
      <c r="C644" s="612"/>
      <c r="D644" s="613"/>
      <c r="E644" s="614"/>
      <c r="F644" s="329"/>
      <c r="H644" s="614"/>
      <c r="I644" s="589">
        <f t="shared" si="9"/>
        <v>0</v>
      </c>
      <c r="K644" s="589"/>
      <c r="L644" s="589"/>
      <c r="M644" s="589"/>
      <c r="N644" s="589"/>
      <c r="O644" s="589"/>
      <c r="P644" s="589"/>
      <c r="Q644" s="589"/>
      <c r="R644" s="589"/>
      <c r="S644" s="589"/>
      <c r="T644" s="589"/>
      <c r="U644" s="589"/>
      <c r="V644" s="589"/>
      <c r="W644" s="589"/>
      <c r="X644" s="589"/>
      <c r="Y644" s="589"/>
      <c r="AA644" s="589"/>
      <c r="AB644" s="589"/>
      <c r="AC644" s="589"/>
      <c r="AD644" s="589"/>
    </row>
    <row r="645" spans="1:30">
      <c r="A645" s="329" t="s">
        <v>5428</v>
      </c>
      <c r="B645" s="626">
        <v>49020166</v>
      </c>
      <c r="C645" s="627" t="s">
        <v>2261</v>
      </c>
      <c r="D645" s="571" t="s">
        <v>639</v>
      </c>
      <c r="E645" s="776">
        <v>5610</v>
      </c>
      <c r="H645" s="646">
        <v>5800</v>
      </c>
      <c r="I645" s="589">
        <f t="shared" si="9"/>
        <v>1</v>
      </c>
      <c r="J645" s="30" t="s">
        <v>4072</v>
      </c>
      <c r="K645" s="589"/>
      <c r="L645" s="589"/>
      <c r="M645" s="589"/>
      <c r="N645" s="589"/>
      <c r="O645" s="589"/>
      <c r="P645" s="589"/>
      <c r="Q645" s="589"/>
      <c r="R645" s="589"/>
      <c r="S645" s="589"/>
      <c r="T645" s="589"/>
      <c r="U645" s="589"/>
      <c r="V645" s="589"/>
      <c r="W645" s="589"/>
      <c r="X645" s="589"/>
      <c r="Y645" s="589"/>
      <c r="AA645" s="589"/>
      <c r="AB645" s="589"/>
      <c r="AC645" s="589"/>
      <c r="AD645" s="589"/>
    </row>
    <row r="646" spans="1:30">
      <c r="A646" s="329" t="s">
        <v>2262</v>
      </c>
      <c r="B646" s="626">
        <v>49020140</v>
      </c>
      <c r="C646" s="575" t="s">
        <v>2263</v>
      </c>
      <c r="D646" s="571" t="s">
        <v>639</v>
      </c>
      <c r="E646" s="571"/>
      <c r="H646" s="571"/>
      <c r="I646" s="589">
        <f t="shared" si="9"/>
        <v>0</v>
      </c>
      <c r="K646" s="589"/>
      <c r="L646" s="589"/>
      <c r="M646" s="589"/>
      <c r="N646" s="589"/>
      <c r="O646" s="589"/>
      <c r="P646" s="589"/>
      <c r="Q646" s="589"/>
      <c r="R646" s="589"/>
      <c r="S646" s="589"/>
      <c r="T646" s="589"/>
      <c r="U646" s="589"/>
      <c r="V646" s="589"/>
      <c r="W646" s="589"/>
      <c r="X646" s="589"/>
      <c r="Y646" s="589"/>
      <c r="AA646" s="589"/>
      <c r="AB646" s="589"/>
      <c r="AC646" s="589"/>
      <c r="AD646" s="589"/>
    </row>
    <row r="647" spans="1:30">
      <c r="A647" s="329" t="s">
        <v>2264</v>
      </c>
      <c r="B647" s="626">
        <v>49020158</v>
      </c>
      <c r="C647" s="575" t="s">
        <v>2265</v>
      </c>
      <c r="D647" s="571" t="s">
        <v>639</v>
      </c>
      <c r="E647" s="571"/>
      <c r="H647" s="571"/>
      <c r="I647" s="589">
        <f t="shared" si="9"/>
        <v>0</v>
      </c>
      <c r="K647" s="589"/>
      <c r="L647" s="589"/>
      <c r="M647" s="589"/>
      <c r="N647" s="589"/>
      <c r="O647" s="589"/>
      <c r="P647" s="589"/>
      <c r="Q647" s="589"/>
      <c r="R647" s="589"/>
      <c r="S647" s="589"/>
      <c r="T647" s="589"/>
      <c r="U647" s="589"/>
      <c r="V647" s="589"/>
      <c r="W647" s="589"/>
      <c r="X647" s="589"/>
      <c r="Y647" s="589"/>
      <c r="AA647" s="589"/>
      <c r="AB647" s="589"/>
      <c r="AC647" s="589"/>
      <c r="AD647" s="589"/>
    </row>
    <row r="648" spans="1:30">
      <c r="A648" s="329" t="s">
        <v>2266</v>
      </c>
      <c r="B648" s="626">
        <v>49020145</v>
      </c>
      <c r="C648" s="575" t="s">
        <v>2267</v>
      </c>
      <c r="D648" s="571" t="s">
        <v>639</v>
      </c>
      <c r="E648" s="646">
        <v>38110</v>
      </c>
      <c r="H648" s="646">
        <v>38110</v>
      </c>
      <c r="I648" s="589">
        <f t="shared" si="9"/>
        <v>0</v>
      </c>
      <c r="K648" s="589"/>
      <c r="L648" s="589"/>
      <c r="M648" s="589"/>
      <c r="N648" s="589"/>
      <c r="O648" s="589"/>
      <c r="P648" s="589"/>
      <c r="Q648" s="589"/>
      <c r="R648" s="589"/>
      <c r="S648" s="589"/>
      <c r="T648" s="589"/>
      <c r="U648" s="589"/>
      <c r="V648" s="589"/>
      <c r="W648" s="589"/>
      <c r="X648" s="589"/>
      <c r="Y648" s="589"/>
      <c r="AA648" s="589"/>
      <c r="AB648" s="589"/>
      <c r="AC648" s="589"/>
      <c r="AD648" s="589"/>
    </row>
    <row r="649" spans="1:30">
      <c r="A649" s="329" t="s">
        <v>2268</v>
      </c>
      <c r="B649" s="626">
        <v>49020144</v>
      </c>
      <c r="C649" s="575" t="s">
        <v>5543</v>
      </c>
      <c r="D649" s="571" t="s">
        <v>639</v>
      </c>
      <c r="E649" s="776">
        <v>94820</v>
      </c>
      <c r="H649" s="646">
        <v>65200</v>
      </c>
      <c r="I649" s="589">
        <f t="shared" si="9"/>
        <v>1</v>
      </c>
      <c r="J649" s="30" t="s">
        <v>4072</v>
      </c>
      <c r="K649" s="589"/>
      <c r="L649" s="589"/>
      <c r="M649" s="589"/>
      <c r="N649" s="589"/>
      <c r="O649" s="589"/>
      <c r="P649" s="589"/>
      <c r="Q649" s="589"/>
      <c r="R649" s="589"/>
      <c r="S649" s="589"/>
      <c r="T649" s="589"/>
      <c r="U649" s="589"/>
      <c r="V649" s="589"/>
      <c r="W649" s="589"/>
      <c r="X649" s="589"/>
      <c r="Y649" s="589"/>
      <c r="AA649" s="589"/>
      <c r="AB649" s="589"/>
      <c r="AC649" s="589"/>
      <c r="AD649" s="589"/>
    </row>
    <row r="650" spans="1:30">
      <c r="A650" s="329" t="s">
        <v>5544</v>
      </c>
      <c r="B650" s="626">
        <v>49020146</v>
      </c>
      <c r="C650" s="575" t="s">
        <v>5545</v>
      </c>
      <c r="D650" s="571" t="s">
        <v>639</v>
      </c>
      <c r="E650" s="646"/>
      <c r="H650" s="646"/>
      <c r="I650" s="589">
        <f t="shared" si="9"/>
        <v>0</v>
      </c>
      <c r="K650" s="589"/>
      <c r="L650" s="589"/>
      <c r="M650" s="589"/>
      <c r="N650" s="589"/>
      <c r="O650" s="589"/>
      <c r="P650" s="589"/>
      <c r="Q650" s="589"/>
      <c r="R650" s="589"/>
      <c r="S650" s="589"/>
      <c r="T650" s="589"/>
      <c r="U650" s="589"/>
      <c r="V650" s="589"/>
      <c r="W650" s="589"/>
      <c r="X650" s="589"/>
      <c r="Y650" s="589"/>
      <c r="AA650" s="589"/>
      <c r="AB650" s="589"/>
      <c r="AC650" s="589"/>
      <c r="AD650" s="589"/>
    </row>
    <row r="651" spans="1:30">
      <c r="B651" s="626"/>
      <c r="C651" s="677"/>
      <c r="D651" s="571"/>
      <c r="E651" s="571"/>
      <c r="H651" s="571"/>
      <c r="I651" s="589">
        <f t="shared" si="9"/>
        <v>0</v>
      </c>
      <c r="K651" s="589"/>
      <c r="L651" s="589"/>
      <c r="M651" s="589"/>
      <c r="N651" s="589"/>
      <c r="O651" s="589"/>
      <c r="P651" s="589"/>
      <c r="Q651" s="589"/>
      <c r="R651" s="589"/>
      <c r="S651" s="589"/>
      <c r="T651" s="589"/>
      <c r="U651" s="589"/>
      <c r="V651" s="589"/>
      <c r="W651" s="589"/>
      <c r="X651" s="589"/>
      <c r="Y651" s="589"/>
      <c r="AA651" s="589"/>
      <c r="AB651" s="589"/>
      <c r="AC651" s="589"/>
      <c r="AD651" s="589"/>
    </row>
    <row r="652" spans="1:30">
      <c r="A652" s="329" t="s">
        <v>5546</v>
      </c>
      <c r="B652" s="626"/>
      <c r="C652" s="627" t="s">
        <v>5547</v>
      </c>
      <c r="D652" s="571" t="s">
        <v>1307</v>
      </c>
      <c r="E652" s="646">
        <v>1250</v>
      </c>
      <c r="H652" s="646">
        <v>1250</v>
      </c>
      <c r="I652" s="589">
        <f t="shared" si="9"/>
        <v>0</v>
      </c>
      <c r="K652" s="589"/>
      <c r="L652" s="589"/>
      <c r="M652" s="589"/>
      <c r="N652" s="589"/>
      <c r="O652" s="589"/>
      <c r="P652" s="589"/>
      <c r="Q652" s="589"/>
      <c r="R652" s="589"/>
      <c r="S652" s="589"/>
      <c r="T652" s="589"/>
      <c r="U652" s="589"/>
      <c r="V652" s="589"/>
      <c r="W652" s="589"/>
      <c r="X652" s="589"/>
      <c r="Y652" s="589"/>
      <c r="AA652" s="589"/>
      <c r="AB652" s="589"/>
      <c r="AC652" s="589"/>
      <c r="AD652" s="589"/>
    </row>
    <row r="653" spans="1:30">
      <c r="A653" s="329" t="s">
        <v>5548</v>
      </c>
      <c r="B653" s="626"/>
      <c r="C653" s="575" t="s">
        <v>5549</v>
      </c>
      <c r="D653" s="571" t="s">
        <v>1307</v>
      </c>
      <c r="E653" s="646">
        <v>1600</v>
      </c>
      <c r="H653" s="646">
        <v>1600</v>
      </c>
      <c r="I653" s="589">
        <f t="shared" si="9"/>
        <v>0</v>
      </c>
      <c r="K653" s="589"/>
      <c r="L653" s="589"/>
      <c r="M653" s="589"/>
      <c r="N653" s="589"/>
      <c r="O653" s="589"/>
      <c r="P653" s="589"/>
      <c r="Q653" s="589"/>
      <c r="R653" s="589"/>
      <c r="S653" s="589"/>
      <c r="T653" s="589"/>
      <c r="U653" s="589"/>
      <c r="V653" s="589"/>
      <c r="W653" s="589"/>
      <c r="X653" s="589"/>
      <c r="Y653" s="589"/>
      <c r="AA653" s="589"/>
      <c r="AB653" s="589"/>
      <c r="AC653" s="589"/>
      <c r="AD653" s="589"/>
    </row>
    <row r="654" spans="1:30">
      <c r="A654" s="329" t="s">
        <v>4380</v>
      </c>
      <c r="B654" s="626"/>
      <c r="C654" s="575" t="s">
        <v>4606</v>
      </c>
      <c r="D654" s="571" t="s">
        <v>1307</v>
      </c>
      <c r="E654" s="646">
        <v>7600</v>
      </c>
      <c r="H654" s="646">
        <v>7600</v>
      </c>
      <c r="I654" s="589">
        <f t="shared" si="9"/>
        <v>0</v>
      </c>
      <c r="K654" s="589"/>
      <c r="L654" s="589"/>
      <c r="M654" s="589"/>
      <c r="N654" s="589"/>
      <c r="O654" s="589"/>
      <c r="P654" s="589"/>
      <c r="Q654" s="589"/>
      <c r="R654" s="589"/>
      <c r="S654" s="589"/>
      <c r="T654" s="589"/>
      <c r="U654" s="589"/>
      <c r="V654" s="589"/>
      <c r="W654" s="589"/>
      <c r="X654" s="589"/>
      <c r="Y654" s="589"/>
      <c r="AA654" s="589"/>
      <c r="AB654" s="589"/>
      <c r="AC654" s="589"/>
      <c r="AD654" s="589"/>
    </row>
    <row r="655" spans="1:30">
      <c r="A655" s="329" t="s">
        <v>4607</v>
      </c>
      <c r="B655" s="626"/>
      <c r="C655" s="575" t="s">
        <v>5627</v>
      </c>
      <c r="D655" s="571" t="s">
        <v>1307</v>
      </c>
      <c r="E655" s="646">
        <v>25600</v>
      </c>
      <c r="H655" s="646">
        <v>25600</v>
      </c>
      <c r="I655" s="589">
        <f t="shared" si="9"/>
        <v>0</v>
      </c>
      <c r="K655" s="589"/>
      <c r="L655" s="589"/>
      <c r="M655" s="589"/>
      <c r="N655" s="589"/>
      <c r="O655" s="589"/>
      <c r="P655" s="589"/>
      <c r="Q655" s="589"/>
      <c r="R655" s="589"/>
      <c r="S655" s="589"/>
      <c r="T655" s="589"/>
      <c r="U655" s="589"/>
      <c r="V655" s="589"/>
      <c r="W655" s="589"/>
      <c r="X655" s="589"/>
      <c r="Y655" s="589"/>
      <c r="AA655" s="589"/>
      <c r="AB655" s="589"/>
      <c r="AC655" s="589"/>
      <c r="AD655" s="589"/>
    </row>
    <row r="656" spans="1:30">
      <c r="A656" s="329" t="s">
        <v>5628</v>
      </c>
      <c r="B656" s="626"/>
      <c r="C656" s="575" t="s">
        <v>5629</v>
      </c>
      <c r="D656" s="571" t="s">
        <v>1307</v>
      </c>
      <c r="E656" s="646">
        <v>68000</v>
      </c>
      <c r="H656" s="646">
        <v>68000</v>
      </c>
      <c r="I656" s="589">
        <f t="shared" si="9"/>
        <v>0</v>
      </c>
      <c r="K656" s="589"/>
      <c r="L656" s="589"/>
      <c r="M656" s="589"/>
      <c r="N656" s="589"/>
      <c r="O656" s="589"/>
      <c r="P656" s="589"/>
      <c r="Q656" s="589"/>
      <c r="R656" s="589"/>
      <c r="S656" s="589"/>
      <c r="T656" s="589"/>
      <c r="U656" s="589"/>
      <c r="V656" s="589"/>
      <c r="W656" s="589"/>
      <c r="X656" s="589"/>
      <c r="Y656" s="589"/>
      <c r="AA656" s="589"/>
      <c r="AB656" s="589"/>
      <c r="AC656" s="589"/>
      <c r="AD656" s="589"/>
    </row>
    <row r="657" spans="1:30">
      <c r="A657" s="329" t="s">
        <v>5630</v>
      </c>
      <c r="B657" s="626"/>
      <c r="C657" s="575" t="s">
        <v>3159</v>
      </c>
      <c r="D657" s="571" t="s">
        <v>1307</v>
      </c>
      <c r="E657" s="646">
        <v>87500</v>
      </c>
      <c r="H657" s="646">
        <v>87500</v>
      </c>
      <c r="I657" s="589">
        <f t="shared" si="9"/>
        <v>0</v>
      </c>
      <c r="K657" s="589"/>
      <c r="L657" s="589"/>
      <c r="M657" s="589"/>
      <c r="N657" s="589"/>
      <c r="O657" s="589"/>
      <c r="P657" s="589"/>
      <c r="Q657" s="589"/>
      <c r="R657" s="589"/>
      <c r="S657" s="589"/>
      <c r="T657" s="589"/>
      <c r="U657" s="589"/>
      <c r="V657" s="589"/>
      <c r="W657" s="589"/>
      <c r="X657" s="589"/>
      <c r="Y657" s="589"/>
      <c r="AA657" s="589"/>
      <c r="AB657" s="589"/>
      <c r="AC657" s="589"/>
      <c r="AD657" s="589"/>
    </row>
    <row r="658" spans="1:30">
      <c r="B658" s="626"/>
      <c r="C658" s="638"/>
      <c r="D658" s="629"/>
      <c r="E658" s="678"/>
      <c r="H658" s="678"/>
      <c r="I658" s="589">
        <f t="shared" si="9"/>
        <v>0</v>
      </c>
      <c r="K658" s="589"/>
      <c r="L658" s="589"/>
      <c r="M658" s="589"/>
      <c r="N658" s="589"/>
      <c r="O658" s="589"/>
      <c r="P658" s="589"/>
      <c r="Q658" s="589"/>
      <c r="R658" s="589"/>
      <c r="S658" s="589"/>
      <c r="T658" s="589"/>
      <c r="U658" s="589"/>
      <c r="V658" s="589"/>
      <c r="W658" s="589"/>
      <c r="X658" s="589"/>
      <c r="Y658" s="589"/>
      <c r="AA658" s="589"/>
      <c r="AB658" s="589"/>
      <c r="AC658" s="589"/>
      <c r="AD658" s="589"/>
    </row>
    <row r="659" spans="1:30">
      <c r="A659" s="329" t="s">
        <v>3160</v>
      </c>
      <c r="B659" s="626"/>
      <c r="C659" s="627" t="s">
        <v>3161</v>
      </c>
      <c r="D659" s="571" t="s">
        <v>1307</v>
      </c>
      <c r="E659" s="646">
        <v>1000</v>
      </c>
      <c r="H659" s="646">
        <v>1000</v>
      </c>
      <c r="I659" s="589">
        <f t="shared" si="9"/>
        <v>0</v>
      </c>
      <c r="K659" s="589"/>
      <c r="L659" s="589"/>
      <c r="M659" s="589"/>
      <c r="N659" s="589"/>
      <c r="O659" s="589"/>
      <c r="P659" s="589"/>
      <c r="Q659" s="589"/>
      <c r="R659" s="589"/>
      <c r="S659" s="589"/>
      <c r="T659" s="589"/>
      <c r="U659" s="589"/>
      <c r="V659" s="589"/>
      <c r="W659" s="589"/>
      <c r="X659" s="589"/>
      <c r="Y659" s="589"/>
      <c r="AA659" s="589"/>
      <c r="AB659" s="589"/>
      <c r="AC659" s="589"/>
      <c r="AD659" s="589"/>
    </row>
    <row r="660" spans="1:30">
      <c r="A660" s="329" t="s">
        <v>3162</v>
      </c>
      <c r="B660" s="626"/>
      <c r="C660" s="575" t="s">
        <v>3163</v>
      </c>
      <c r="D660" s="571" t="s">
        <v>1307</v>
      </c>
      <c r="E660" s="646">
        <v>1500</v>
      </c>
      <c r="H660" s="646">
        <v>1500</v>
      </c>
      <c r="I660" s="589">
        <f t="shared" si="9"/>
        <v>0</v>
      </c>
      <c r="K660" s="589"/>
      <c r="L660" s="589"/>
      <c r="M660" s="589"/>
      <c r="N660" s="589"/>
      <c r="O660" s="589"/>
      <c r="P660" s="589"/>
      <c r="Q660" s="589"/>
      <c r="R660" s="589"/>
      <c r="S660" s="589"/>
      <c r="T660" s="589"/>
      <c r="U660" s="589"/>
      <c r="V660" s="589"/>
      <c r="W660" s="589"/>
      <c r="X660" s="589"/>
      <c r="Y660" s="589"/>
      <c r="AA660" s="589"/>
      <c r="AB660" s="589"/>
      <c r="AC660" s="589"/>
      <c r="AD660" s="589"/>
    </row>
    <row r="661" spans="1:30">
      <c r="A661" s="329" t="s">
        <v>3164</v>
      </c>
      <c r="B661" s="626"/>
      <c r="C661" s="575" t="s">
        <v>2125</v>
      </c>
      <c r="D661" s="571" t="s">
        <v>1307</v>
      </c>
      <c r="E661" s="646">
        <v>7500</v>
      </c>
      <c r="H661" s="646">
        <v>7500</v>
      </c>
      <c r="I661" s="589">
        <f t="shared" si="9"/>
        <v>0</v>
      </c>
      <c r="K661" s="589"/>
      <c r="L661" s="589"/>
      <c r="M661" s="589"/>
      <c r="N661" s="589"/>
      <c r="O661" s="589"/>
      <c r="P661" s="589"/>
      <c r="Q661" s="589"/>
      <c r="R661" s="589"/>
      <c r="S661" s="589"/>
      <c r="T661" s="589"/>
      <c r="U661" s="589"/>
      <c r="V661" s="589"/>
      <c r="W661" s="589"/>
      <c r="X661" s="589"/>
      <c r="Y661" s="589"/>
      <c r="AA661" s="589"/>
      <c r="AB661" s="589"/>
      <c r="AC661" s="589"/>
      <c r="AD661" s="589"/>
    </row>
    <row r="662" spans="1:30">
      <c r="A662" s="329" t="s">
        <v>2126</v>
      </c>
      <c r="B662" s="626"/>
      <c r="C662" s="575" t="s">
        <v>2127</v>
      </c>
      <c r="D662" s="571" t="s">
        <v>1307</v>
      </c>
      <c r="E662" s="646">
        <v>18000</v>
      </c>
      <c r="H662" s="646">
        <v>18000</v>
      </c>
      <c r="I662" s="589">
        <f t="shared" si="9"/>
        <v>0</v>
      </c>
      <c r="K662" s="589"/>
      <c r="L662" s="589"/>
      <c r="M662" s="589"/>
      <c r="N662" s="589"/>
      <c r="O662" s="589"/>
      <c r="P662" s="589"/>
      <c r="Q662" s="589"/>
      <c r="R662" s="589"/>
      <c r="S662" s="589"/>
      <c r="T662" s="589"/>
      <c r="U662" s="589"/>
      <c r="V662" s="589"/>
      <c r="W662" s="589"/>
      <c r="X662" s="589"/>
      <c r="Y662" s="589"/>
      <c r="AA662" s="589"/>
      <c r="AB662" s="589"/>
      <c r="AC662" s="589"/>
      <c r="AD662" s="589"/>
    </row>
    <row r="663" spans="1:30">
      <c r="A663" s="329" t="s">
        <v>2128</v>
      </c>
      <c r="B663" s="626"/>
      <c r="C663" s="575" t="s">
        <v>2129</v>
      </c>
      <c r="D663" s="571" t="s">
        <v>1307</v>
      </c>
      <c r="E663" s="646">
        <v>45000</v>
      </c>
      <c r="H663" s="646">
        <v>45000</v>
      </c>
      <c r="I663" s="589">
        <f t="shared" ref="I663:I726" si="10">IF(E663=H663,0,1)</f>
        <v>0</v>
      </c>
      <c r="K663" s="589"/>
      <c r="L663" s="589"/>
      <c r="M663" s="589"/>
      <c r="N663" s="589"/>
      <c r="O663" s="589"/>
      <c r="P663" s="589"/>
      <c r="Q663" s="589"/>
      <c r="R663" s="589"/>
      <c r="S663" s="589"/>
      <c r="T663" s="589"/>
      <c r="U663" s="589"/>
      <c r="V663" s="589"/>
      <c r="W663" s="589"/>
      <c r="X663" s="589"/>
      <c r="Y663" s="589"/>
      <c r="AA663" s="589"/>
      <c r="AB663" s="589"/>
      <c r="AC663" s="589"/>
      <c r="AD663" s="589"/>
    </row>
    <row r="664" spans="1:30">
      <c r="A664" s="329" t="s">
        <v>2130</v>
      </c>
      <c r="B664" s="626"/>
      <c r="C664" s="575" t="s">
        <v>1439</v>
      </c>
      <c r="D664" s="571" t="s">
        <v>1307</v>
      </c>
      <c r="E664" s="646">
        <v>56000</v>
      </c>
      <c r="H664" s="646">
        <v>56000</v>
      </c>
      <c r="I664" s="589">
        <f t="shared" si="10"/>
        <v>0</v>
      </c>
      <c r="K664" s="589"/>
      <c r="L664" s="589"/>
      <c r="M664" s="589"/>
      <c r="N664" s="589"/>
      <c r="O664" s="589"/>
      <c r="P664" s="589"/>
      <c r="Q664" s="589"/>
      <c r="R664" s="589"/>
      <c r="S664" s="589"/>
      <c r="T664" s="589"/>
      <c r="U664" s="589"/>
      <c r="V664" s="589"/>
      <c r="W664" s="589"/>
      <c r="X664" s="589"/>
      <c r="Y664" s="589"/>
      <c r="AA664" s="589"/>
      <c r="AB664" s="589"/>
      <c r="AC664" s="589"/>
      <c r="AD664" s="589"/>
    </row>
    <row r="665" spans="1:30">
      <c r="B665" s="626"/>
      <c r="C665" s="677"/>
      <c r="D665" s="571"/>
      <c r="E665" s="571"/>
      <c r="H665" s="571"/>
      <c r="I665" s="589">
        <f t="shared" si="10"/>
        <v>0</v>
      </c>
      <c r="K665" s="589"/>
      <c r="L665" s="589"/>
      <c r="M665" s="589"/>
      <c r="N665" s="589"/>
      <c r="O665" s="589"/>
      <c r="P665" s="589"/>
      <c r="Q665" s="589"/>
      <c r="R665" s="589"/>
      <c r="S665" s="589"/>
      <c r="T665" s="589"/>
      <c r="U665" s="589"/>
      <c r="V665" s="589"/>
      <c r="W665" s="589"/>
      <c r="X665" s="589"/>
      <c r="Y665" s="589"/>
      <c r="AA665" s="589"/>
      <c r="AB665" s="589"/>
      <c r="AC665" s="589"/>
      <c r="AD665" s="589"/>
    </row>
    <row r="666" spans="1:30">
      <c r="A666" s="329" t="s">
        <v>2355</v>
      </c>
      <c r="B666" s="626"/>
      <c r="C666" s="627" t="s">
        <v>2356</v>
      </c>
      <c r="D666" s="571" t="s">
        <v>639</v>
      </c>
      <c r="E666" s="646">
        <v>6700</v>
      </c>
      <c r="H666" s="646">
        <v>1250</v>
      </c>
      <c r="I666" s="589">
        <f>IF(E666=H666,0,1)</f>
        <v>1</v>
      </c>
      <c r="K666" s="589"/>
      <c r="L666" s="589"/>
      <c r="M666" s="589"/>
      <c r="N666" s="589"/>
      <c r="O666" s="589"/>
      <c r="P666" s="589"/>
      <c r="Q666" s="589"/>
      <c r="R666" s="589"/>
      <c r="S666" s="589"/>
      <c r="T666" s="589"/>
      <c r="U666" s="589"/>
      <c r="V666" s="589"/>
      <c r="W666" s="589"/>
      <c r="X666" s="589"/>
      <c r="Y666" s="589"/>
      <c r="AA666" s="589"/>
      <c r="AB666" s="589"/>
      <c r="AC666" s="589"/>
      <c r="AD666" s="589"/>
    </row>
    <row r="667" spans="1:30">
      <c r="A667" s="329" t="s">
        <v>2357</v>
      </c>
      <c r="B667" s="626"/>
      <c r="C667" s="627" t="s">
        <v>4489</v>
      </c>
      <c r="D667" s="571" t="s">
        <v>639</v>
      </c>
      <c r="E667" s="646">
        <v>51200</v>
      </c>
      <c r="H667" s="646">
        <v>1250</v>
      </c>
      <c r="I667" s="589">
        <f t="shared" si="10"/>
        <v>1</v>
      </c>
      <c r="K667" s="589"/>
      <c r="L667" s="589"/>
      <c r="M667" s="589"/>
      <c r="N667" s="589"/>
      <c r="O667" s="589"/>
      <c r="P667" s="589"/>
      <c r="Q667" s="589"/>
      <c r="R667" s="589"/>
      <c r="S667" s="589"/>
      <c r="T667" s="589"/>
      <c r="U667" s="589"/>
      <c r="V667" s="589"/>
      <c r="W667" s="589"/>
      <c r="X667" s="589"/>
      <c r="Y667" s="589"/>
      <c r="AA667" s="589"/>
      <c r="AB667" s="589"/>
      <c r="AC667" s="589"/>
      <c r="AD667" s="589"/>
    </row>
    <row r="668" spans="1:30">
      <c r="A668" s="329" t="s">
        <v>4490</v>
      </c>
      <c r="B668" s="626"/>
      <c r="C668" s="627" t="s">
        <v>4491</v>
      </c>
      <c r="D668" s="571" t="s">
        <v>639</v>
      </c>
      <c r="E668" s="646">
        <v>72600</v>
      </c>
      <c r="H668" s="646">
        <v>1600</v>
      </c>
      <c r="I668" s="589">
        <f t="shared" si="10"/>
        <v>1</v>
      </c>
      <c r="K668" s="589"/>
      <c r="L668" s="589"/>
      <c r="M668" s="589"/>
      <c r="N668" s="589"/>
      <c r="O668" s="589"/>
      <c r="P668" s="589"/>
      <c r="Q668" s="589"/>
      <c r="R668" s="589"/>
      <c r="S668" s="589"/>
      <c r="T668" s="589"/>
      <c r="U668" s="589"/>
      <c r="V668" s="589"/>
      <c r="W668" s="589"/>
      <c r="X668" s="589"/>
      <c r="Y668" s="589"/>
      <c r="AA668" s="589"/>
      <c r="AB668" s="589"/>
      <c r="AC668" s="589"/>
      <c r="AD668" s="589"/>
    </row>
    <row r="669" spans="1:30">
      <c r="A669" s="329" t="s">
        <v>4492</v>
      </c>
      <c r="B669" s="626"/>
      <c r="C669" s="627" t="s">
        <v>4493</v>
      </c>
      <c r="D669" s="571" t="s">
        <v>639</v>
      </c>
      <c r="E669" s="646">
        <v>103900</v>
      </c>
      <c r="H669" s="646">
        <v>7600</v>
      </c>
      <c r="I669" s="589">
        <f t="shared" si="10"/>
        <v>1</v>
      </c>
      <c r="K669" s="589"/>
      <c r="L669" s="589"/>
      <c r="M669" s="589"/>
      <c r="N669" s="589"/>
      <c r="O669" s="589"/>
      <c r="P669" s="589"/>
      <c r="Q669" s="589"/>
      <c r="R669" s="589"/>
      <c r="S669" s="589"/>
      <c r="T669" s="589"/>
      <c r="U669" s="589"/>
      <c r="V669" s="589"/>
      <c r="W669" s="589"/>
      <c r="X669" s="589"/>
      <c r="Y669" s="589"/>
      <c r="AA669" s="589"/>
      <c r="AB669" s="589"/>
      <c r="AC669" s="589"/>
      <c r="AD669" s="589"/>
    </row>
    <row r="670" spans="1:30">
      <c r="A670" s="329" t="s">
        <v>4494</v>
      </c>
      <c r="B670" s="626"/>
      <c r="C670" s="627" t="s">
        <v>4495</v>
      </c>
      <c r="D670" s="571" t="s">
        <v>639</v>
      </c>
      <c r="E670" s="646">
        <v>154000</v>
      </c>
      <c r="H670" s="646">
        <v>25600</v>
      </c>
      <c r="I670" s="589">
        <f t="shared" si="10"/>
        <v>1</v>
      </c>
      <c r="K670" s="589"/>
      <c r="L670" s="589"/>
      <c r="M670" s="589"/>
      <c r="N670" s="589"/>
      <c r="O670" s="589"/>
      <c r="P670" s="589"/>
      <c r="Q670" s="589"/>
      <c r="R670" s="589"/>
      <c r="S670" s="589"/>
      <c r="T670" s="589"/>
      <c r="U670" s="589"/>
      <c r="V670" s="589"/>
      <c r="W670" s="589"/>
      <c r="X670" s="589"/>
      <c r="Y670" s="589"/>
      <c r="AA670" s="589"/>
      <c r="AB670" s="589"/>
      <c r="AC670" s="589"/>
      <c r="AD670" s="589"/>
    </row>
    <row r="671" spans="1:30">
      <c r="A671" s="329" t="s">
        <v>4496</v>
      </c>
      <c r="B671" s="626"/>
      <c r="C671" s="627" t="s">
        <v>1896</v>
      </c>
      <c r="D671" s="571" t="s">
        <v>639</v>
      </c>
      <c r="E671" s="646">
        <v>198400</v>
      </c>
      <c r="H671" s="646">
        <v>68000</v>
      </c>
      <c r="I671" s="589">
        <f t="shared" si="10"/>
        <v>1</v>
      </c>
      <c r="K671" s="589"/>
      <c r="L671" s="589"/>
      <c r="M671" s="589"/>
      <c r="N671" s="589"/>
      <c r="O671" s="589"/>
      <c r="P671" s="589"/>
      <c r="Q671" s="589"/>
      <c r="R671" s="589"/>
      <c r="S671" s="589"/>
      <c r="T671" s="589"/>
      <c r="U671" s="589"/>
      <c r="V671" s="589"/>
      <c r="W671" s="589"/>
      <c r="X671" s="589"/>
      <c r="Y671" s="589"/>
      <c r="AA671" s="589"/>
      <c r="AB671" s="589"/>
      <c r="AC671" s="589"/>
      <c r="AD671" s="589"/>
    </row>
    <row r="672" spans="1:30">
      <c r="A672" s="329" t="s">
        <v>1897</v>
      </c>
      <c r="B672" s="626"/>
      <c r="C672" s="627" t="s">
        <v>4860</v>
      </c>
      <c r="D672" s="571" t="s">
        <v>639</v>
      </c>
      <c r="E672" s="646">
        <v>248500</v>
      </c>
      <c r="H672" s="646">
        <v>87500</v>
      </c>
      <c r="I672" s="589">
        <f t="shared" si="10"/>
        <v>1</v>
      </c>
      <c r="K672" s="589"/>
      <c r="L672" s="589"/>
      <c r="M672" s="589"/>
      <c r="N672" s="589"/>
      <c r="O672" s="589"/>
      <c r="P672" s="589"/>
      <c r="Q672" s="589"/>
      <c r="R672" s="589"/>
      <c r="S672" s="589"/>
      <c r="T672" s="589"/>
      <c r="U672" s="589"/>
      <c r="V672" s="589"/>
      <c r="W672" s="589"/>
      <c r="X672" s="589"/>
      <c r="Y672" s="589"/>
      <c r="AA672" s="589"/>
      <c r="AB672" s="589"/>
      <c r="AC672" s="589"/>
      <c r="AD672" s="589"/>
    </row>
    <row r="673" spans="1:30">
      <c r="B673" s="626"/>
      <c r="C673" s="677"/>
      <c r="D673" s="571"/>
      <c r="E673" s="571"/>
      <c r="H673" s="571"/>
      <c r="I673" s="589">
        <f t="shared" si="10"/>
        <v>0</v>
      </c>
      <c r="K673" s="589"/>
      <c r="L673" s="589"/>
      <c r="M673" s="589"/>
      <c r="N673" s="589"/>
      <c r="O673" s="589"/>
      <c r="P673" s="589"/>
      <c r="Q673" s="589"/>
      <c r="R673" s="589"/>
      <c r="S673" s="589"/>
      <c r="T673" s="589"/>
      <c r="U673" s="589"/>
      <c r="V673" s="589"/>
      <c r="W673" s="589"/>
      <c r="X673" s="589"/>
      <c r="Y673" s="589"/>
      <c r="AA673" s="589"/>
      <c r="AB673" s="589"/>
      <c r="AC673" s="589"/>
      <c r="AD673" s="589"/>
    </row>
    <row r="674" spans="1:30">
      <c r="A674" s="329" t="s">
        <v>2355</v>
      </c>
      <c r="B674" s="626"/>
      <c r="C674" s="627" t="s">
        <v>4861</v>
      </c>
      <c r="D674" s="571" t="s">
        <v>1307</v>
      </c>
      <c r="E674" s="646"/>
      <c r="H674" s="646">
        <v>1250</v>
      </c>
      <c r="I674" s="589">
        <f t="shared" si="10"/>
        <v>1</v>
      </c>
      <c r="K674" s="589"/>
      <c r="L674" s="589"/>
      <c r="M674" s="589"/>
      <c r="N674" s="589"/>
      <c r="O674" s="589"/>
      <c r="P674" s="589"/>
      <c r="Q674" s="589"/>
      <c r="R674" s="589"/>
      <c r="S674" s="589"/>
      <c r="T674" s="589"/>
      <c r="U674" s="589"/>
      <c r="V674" s="589"/>
      <c r="W674" s="589"/>
      <c r="X674" s="589"/>
      <c r="Y674" s="589"/>
      <c r="AA674" s="589"/>
      <c r="AB674" s="589"/>
      <c r="AC674" s="589"/>
      <c r="AD674" s="589"/>
    </row>
    <row r="675" spans="1:30">
      <c r="A675" s="329" t="s">
        <v>2357</v>
      </c>
      <c r="B675" s="626"/>
      <c r="C675" s="627" t="s">
        <v>4862</v>
      </c>
      <c r="D675" s="571" t="s">
        <v>1307</v>
      </c>
      <c r="E675" s="646"/>
      <c r="H675" s="646">
        <v>1600</v>
      </c>
      <c r="I675" s="589">
        <f t="shared" si="10"/>
        <v>1</v>
      </c>
      <c r="K675" s="589"/>
      <c r="L675" s="589"/>
      <c r="M675" s="589"/>
      <c r="N675" s="589"/>
      <c r="O675" s="589"/>
      <c r="P675" s="589"/>
      <c r="Q675" s="589"/>
      <c r="R675" s="589"/>
      <c r="S675" s="589"/>
      <c r="T675" s="589"/>
      <c r="U675" s="589"/>
      <c r="V675" s="589"/>
      <c r="W675" s="589"/>
      <c r="X675" s="589"/>
      <c r="Y675" s="589"/>
      <c r="AA675" s="589"/>
      <c r="AB675" s="589"/>
      <c r="AC675" s="589"/>
      <c r="AD675" s="589"/>
    </row>
    <row r="676" spans="1:30">
      <c r="A676" s="329" t="s">
        <v>4490</v>
      </c>
      <c r="B676" s="626"/>
      <c r="C676" s="627" t="s">
        <v>5990</v>
      </c>
      <c r="D676" s="571" t="s">
        <v>1307</v>
      </c>
      <c r="E676" s="646"/>
      <c r="H676" s="646">
        <v>7600</v>
      </c>
      <c r="I676" s="589">
        <f t="shared" si="10"/>
        <v>1</v>
      </c>
      <c r="K676" s="589"/>
      <c r="L676" s="589"/>
      <c r="M676" s="589"/>
      <c r="N676" s="589"/>
      <c r="O676" s="589"/>
      <c r="P676" s="589"/>
      <c r="Q676" s="589"/>
      <c r="R676" s="589"/>
      <c r="S676" s="589"/>
      <c r="T676" s="589"/>
      <c r="U676" s="589"/>
      <c r="V676" s="589"/>
      <c r="W676" s="589"/>
      <c r="X676" s="589"/>
      <c r="Y676" s="589"/>
      <c r="AA676" s="589"/>
      <c r="AB676" s="589"/>
      <c r="AC676" s="589"/>
      <c r="AD676" s="589"/>
    </row>
    <row r="677" spans="1:30">
      <c r="A677" s="329" t="s">
        <v>4492</v>
      </c>
      <c r="B677" s="626"/>
      <c r="C677" s="627" t="s">
        <v>5991</v>
      </c>
      <c r="D677" s="571" t="s">
        <v>1307</v>
      </c>
      <c r="E677" s="646"/>
      <c r="H677" s="646">
        <v>25600</v>
      </c>
      <c r="I677" s="589">
        <f t="shared" si="10"/>
        <v>1</v>
      </c>
      <c r="K677" s="589"/>
      <c r="L677" s="589"/>
      <c r="M677" s="589"/>
      <c r="N677" s="589"/>
      <c r="O677" s="589"/>
      <c r="P677" s="589"/>
      <c r="Q677" s="589"/>
      <c r="R677" s="589"/>
      <c r="S677" s="589"/>
      <c r="T677" s="589"/>
      <c r="U677" s="589"/>
      <c r="V677" s="589"/>
      <c r="W677" s="589"/>
      <c r="X677" s="589"/>
      <c r="Y677" s="589"/>
      <c r="AA677" s="589"/>
      <c r="AB677" s="589"/>
      <c r="AC677" s="589"/>
      <c r="AD677" s="589"/>
    </row>
    <row r="678" spans="1:30">
      <c r="A678" s="329" t="s">
        <v>4494</v>
      </c>
      <c r="B678" s="626"/>
      <c r="C678" s="627" t="s">
        <v>5992</v>
      </c>
      <c r="D678" s="571" t="s">
        <v>1307</v>
      </c>
      <c r="E678" s="646"/>
      <c r="H678" s="646">
        <v>68000</v>
      </c>
      <c r="I678" s="589">
        <f t="shared" si="10"/>
        <v>1</v>
      </c>
      <c r="K678" s="589"/>
      <c r="L678" s="589"/>
      <c r="M678" s="589"/>
      <c r="N678" s="589"/>
      <c r="O678" s="589"/>
      <c r="P678" s="589"/>
      <c r="Q678" s="589"/>
      <c r="R678" s="589"/>
      <c r="S678" s="589"/>
      <c r="T678" s="589"/>
      <c r="U678" s="589"/>
      <c r="V678" s="589"/>
      <c r="W678" s="589"/>
      <c r="X678" s="589"/>
      <c r="Y678" s="589"/>
      <c r="AA678" s="589"/>
      <c r="AB678" s="589"/>
      <c r="AC678" s="589"/>
      <c r="AD678" s="589"/>
    </row>
    <row r="679" spans="1:30">
      <c r="A679" s="329" t="s">
        <v>4496</v>
      </c>
      <c r="B679" s="626"/>
      <c r="C679" s="627" t="s">
        <v>5993</v>
      </c>
      <c r="D679" s="571" t="s">
        <v>1307</v>
      </c>
      <c r="E679" s="646"/>
      <c r="H679" s="646">
        <v>87500</v>
      </c>
      <c r="I679" s="589">
        <f t="shared" si="10"/>
        <v>1</v>
      </c>
      <c r="K679" s="589"/>
      <c r="L679" s="589"/>
      <c r="M679" s="589"/>
      <c r="N679" s="589"/>
      <c r="O679" s="589"/>
      <c r="P679" s="589"/>
      <c r="Q679" s="589"/>
      <c r="R679" s="589"/>
      <c r="S679" s="589"/>
      <c r="T679" s="589"/>
      <c r="U679" s="589"/>
      <c r="V679" s="589"/>
      <c r="W679" s="589"/>
      <c r="X679" s="589"/>
      <c r="Y679" s="589"/>
      <c r="AA679" s="589"/>
      <c r="AB679" s="589"/>
      <c r="AC679" s="589"/>
      <c r="AD679" s="589"/>
    </row>
    <row r="680" spans="1:30">
      <c r="A680" s="329" t="s">
        <v>1897</v>
      </c>
      <c r="B680" s="626"/>
      <c r="C680" s="627" t="s">
        <v>2461</v>
      </c>
      <c r="D680" s="571" t="s">
        <v>1307</v>
      </c>
      <c r="E680" s="571"/>
      <c r="H680" s="571"/>
      <c r="I680" s="589">
        <f>IF(E680=H680,0,1)</f>
        <v>0</v>
      </c>
      <c r="K680" s="589"/>
      <c r="L680" s="589"/>
      <c r="M680" s="589"/>
      <c r="N680" s="589"/>
      <c r="O680" s="589"/>
      <c r="P680" s="589"/>
      <c r="Q680" s="589"/>
      <c r="R680" s="589"/>
      <c r="S680" s="589"/>
      <c r="T680" s="589"/>
      <c r="U680" s="589"/>
      <c r="V680" s="589"/>
      <c r="W680" s="589"/>
      <c r="X680" s="589"/>
      <c r="Y680" s="589"/>
      <c r="AA680" s="589"/>
      <c r="AB680" s="589"/>
      <c r="AC680" s="589"/>
      <c r="AD680" s="589"/>
    </row>
    <row r="681" spans="1:30">
      <c r="B681" s="626"/>
      <c r="C681" s="677"/>
      <c r="D681" s="571"/>
      <c r="E681" s="571"/>
      <c r="H681" s="571"/>
      <c r="I681" s="589">
        <f t="shared" ref="I681:I688" si="11">IF(E681=H681,0,1)</f>
        <v>0</v>
      </c>
      <c r="K681" s="589"/>
      <c r="L681" s="589"/>
      <c r="M681" s="589"/>
      <c r="N681" s="589"/>
      <c r="O681" s="589"/>
      <c r="P681" s="589"/>
      <c r="Q681" s="589"/>
      <c r="R681" s="589"/>
      <c r="S681" s="589"/>
      <c r="T681" s="589"/>
      <c r="U681" s="589"/>
      <c r="V681" s="589"/>
      <c r="W681" s="589"/>
      <c r="X681" s="589"/>
      <c r="Y681" s="589"/>
      <c r="AA681" s="589"/>
      <c r="AB681" s="589"/>
      <c r="AC681" s="589"/>
      <c r="AD681" s="589"/>
    </row>
    <row r="682" spans="1:30">
      <c r="A682" s="329" t="s">
        <v>2355</v>
      </c>
      <c r="B682" s="626"/>
      <c r="C682" s="627" t="s">
        <v>2462</v>
      </c>
      <c r="D682" s="571" t="s">
        <v>1307</v>
      </c>
      <c r="E682" s="646"/>
      <c r="H682" s="646">
        <v>1250</v>
      </c>
      <c r="I682" s="589">
        <f t="shared" si="11"/>
        <v>1</v>
      </c>
      <c r="K682" s="589"/>
      <c r="L682" s="589"/>
      <c r="M682" s="589"/>
      <c r="N682" s="589"/>
      <c r="O682" s="589"/>
      <c r="P682" s="589"/>
      <c r="Q682" s="589"/>
      <c r="R682" s="589"/>
      <c r="S682" s="589"/>
      <c r="T682" s="589"/>
      <c r="U682" s="589"/>
      <c r="V682" s="589"/>
      <c r="W682" s="589"/>
      <c r="X682" s="589"/>
      <c r="Y682" s="589"/>
      <c r="AA682" s="589"/>
      <c r="AB682" s="589"/>
      <c r="AC682" s="589"/>
      <c r="AD682" s="589"/>
    </row>
    <row r="683" spans="1:30">
      <c r="A683" s="329" t="s">
        <v>2357</v>
      </c>
      <c r="B683" s="626"/>
      <c r="C683" s="627" t="s">
        <v>2463</v>
      </c>
      <c r="D683" s="571" t="s">
        <v>1307</v>
      </c>
      <c r="E683" s="646"/>
      <c r="H683" s="646">
        <v>1600</v>
      </c>
      <c r="I683" s="589">
        <f t="shared" si="11"/>
        <v>1</v>
      </c>
      <c r="K683" s="589"/>
      <c r="L683" s="589"/>
      <c r="M683" s="589"/>
      <c r="N683" s="589"/>
      <c r="O683" s="589"/>
      <c r="P683" s="589"/>
      <c r="Q683" s="589"/>
      <c r="R683" s="589"/>
      <c r="S683" s="589"/>
      <c r="T683" s="589"/>
      <c r="U683" s="589"/>
      <c r="V683" s="589"/>
      <c r="W683" s="589"/>
      <c r="X683" s="589"/>
      <c r="Y683" s="589"/>
      <c r="AA683" s="589"/>
      <c r="AB683" s="589"/>
      <c r="AC683" s="589"/>
      <c r="AD683" s="589"/>
    </row>
    <row r="684" spans="1:30">
      <c r="A684" s="329" t="s">
        <v>4490</v>
      </c>
      <c r="B684" s="626"/>
      <c r="C684" s="627" t="s">
        <v>2460</v>
      </c>
      <c r="D684" s="571" t="s">
        <v>1307</v>
      </c>
      <c r="E684" s="646"/>
      <c r="H684" s="646">
        <v>7600</v>
      </c>
      <c r="I684" s="589">
        <f t="shared" si="11"/>
        <v>1</v>
      </c>
      <c r="K684" s="589"/>
      <c r="L684" s="589"/>
      <c r="M684" s="589"/>
      <c r="N684" s="589"/>
      <c r="O684" s="589"/>
      <c r="P684" s="589"/>
      <c r="Q684" s="589"/>
      <c r="R684" s="589"/>
      <c r="S684" s="589"/>
      <c r="T684" s="589"/>
      <c r="U684" s="589"/>
      <c r="V684" s="589"/>
      <c r="W684" s="589"/>
      <c r="X684" s="589"/>
      <c r="Y684" s="589"/>
      <c r="AA684" s="589"/>
      <c r="AB684" s="589"/>
      <c r="AC684" s="589"/>
      <c r="AD684" s="589"/>
    </row>
    <row r="685" spans="1:30">
      <c r="A685" s="329" t="s">
        <v>4492</v>
      </c>
      <c r="B685" s="626"/>
      <c r="C685" s="627" t="s">
        <v>904</v>
      </c>
      <c r="D685" s="571" t="s">
        <v>1307</v>
      </c>
      <c r="E685" s="646"/>
      <c r="H685" s="646">
        <v>25600</v>
      </c>
      <c r="I685" s="589">
        <f t="shared" si="11"/>
        <v>1</v>
      </c>
      <c r="K685" s="589"/>
      <c r="L685" s="589"/>
      <c r="M685" s="589"/>
      <c r="N685" s="589"/>
      <c r="O685" s="589"/>
      <c r="P685" s="589"/>
      <c r="Q685" s="589"/>
      <c r="R685" s="589"/>
      <c r="S685" s="589"/>
      <c r="T685" s="589"/>
      <c r="U685" s="589"/>
      <c r="V685" s="589"/>
      <c r="W685" s="589"/>
      <c r="X685" s="589"/>
      <c r="Y685" s="589"/>
      <c r="AA685" s="589"/>
      <c r="AB685" s="589"/>
      <c r="AC685" s="589"/>
      <c r="AD685" s="589"/>
    </row>
    <row r="686" spans="1:30">
      <c r="A686" s="329" t="s">
        <v>4494</v>
      </c>
      <c r="B686" s="626"/>
      <c r="C686" s="627" t="s">
        <v>905</v>
      </c>
      <c r="D686" s="571" t="s">
        <v>1307</v>
      </c>
      <c r="E686" s="646"/>
      <c r="H686" s="646">
        <v>68000</v>
      </c>
      <c r="I686" s="589">
        <f t="shared" si="11"/>
        <v>1</v>
      </c>
      <c r="K686" s="589"/>
      <c r="L686" s="589"/>
      <c r="M686" s="589"/>
      <c r="N686" s="589"/>
      <c r="O686" s="589"/>
      <c r="P686" s="589"/>
      <c r="Q686" s="589"/>
      <c r="R686" s="589"/>
      <c r="S686" s="589"/>
      <c r="T686" s="589"/>
      <c r="U686" s="589"/>
      <c r="V686" s="589"/>
      <c r="W686" s="589"/>
      <c r="X686" s="589"/>
      <c r="Y686" s="589"/>
      <c r="AA686" s="589"/>
      <c r="AB686" s="589"/>
      <c r="AC686" s="589"/>
      <c r="AD686" s="589"/>
    </row>
    <row r="687" spans="1:30">
      <c r="A687" s="329" t="s">
        <v>4496</v>
      </c>
      <c r="B687" s="626"/>
      <c r="C687" s="627" t="s">
        <v>1052</v>
      </c>
      <c r="D687" s="571" t="s">
        <v>1307</v>
      </c>
      <c r="E687" s="646"/>
      <c r="H687" s="646">
        <v>87500</v>
      </c>
      <c r="I687" s="589">
        <f t="shared" si="11"/>
        <v>1</v>
      </c>
      <c r="K687" s="589"/>
      <c r="L687" s="589"/>
      <c r="M687" s="589"/>
      <c r="N687" s="589"/>
      <c r="O687" s="589"/>
      <c r="P687" s="589"/>
      <c r="Q687" s="589"/>
      <c r="R687" s="589"/>
      <c r="S687" s="589"/>
      <c r="T687" s="589"/>
      <c r="U687" s="589"/>
      <c r="V687" s="589"/>
      <c r="W687" s="589"/>
      <c r="X687" s="589"/>
      <c r="Y687" s="589"/>
      <c r="AA687" s="589"/>
      <c r="AB687" s="589"/>
      <c r="AC687" s="589"/>
      <c r="AD687" s="589"/>
    </row>
    <row r="688" spans="1:30">
      <c r="A688" s="329" t="s">
        <v>1897</v>
      </c>
      <c r="B688" s="626"/>
      <c r="C688" s="627" t="s">
        <v>1053</v>
      </c>
      <c r="D688" s="571" t="s">
        <v>1307</v>
      </c>
      <c r="E688" s="571"/>
      <c r="H688" s="571"/>
      <c r="I688" s="589">
        <f t="shared" si="11"/>
        <v>0</v>
      </c>
      <c r="K688" s="589"/>
      <c r="L688" s="589"/>
      <c r="M688" s="589"/>
      <c r="N688" s="589"/>
      <c r="O688" s="589"/>
      <c r="P688" s="589"/>
      <c r="Q688" s="589"/>
      <c r="R688" s="589"/>
      <c r="S688" s="589"/>
      <c r="T688" s="589"/>
      <c r="U688" s="589"/>
      <c r="V688" s="589"/>
      <c r="W688" s="589"/>
      <c r="X688" s="589"/>
      <c r="Y688" s="589"/>
      <c r="AA688" s="589"/>
      <c r="AB688" s="589"/>
      <c r="AC688" s="589"/>
      <c r="AD688" s="589"/>
    </row>
    <row r="689" spans="1:38">
      <c r="B689" s="626"/>
      <c r="C689" s="677"/>
      <c r="D689" s="571"/>
      <c r="E689" s="571"/>
      <c r="H689" s="571"/>
      <c r="I689" s="589">
        <f>IF(E689=H689,0,1)</f>
        <v>0</v>
      </c>
      <c r="K689" s="589"/>
      <c r="L689" s="589"/>
      <c r="M689" s="589"/>
      <c r="N689" s="589"/>
      <c r="O689" s="589"/>
      <c r="P689" s="589"/>
      <c r="Q689" s="589"/>
      <c r="R689" s="589"/>
      <c r="S689" s="589"/>
      <c r="T689" s="589"/>
      <c r="U689" s="589"/>
      <c r="V689" s="589"/>
      <c r="W689" s="589"/>
      <c r="X689" s="589"/>
      <c r="Y689" s="589"/>
      <c r="AA689" s="589"/>
      <c r="AB689" s="589"/>
      <c r="AC689" s="589"/>
      <c r="AD689" s="589"/>
    </row>
    <row r="690" spans="1:38">
      <c r="A690" s="610" t="s">
        <v>1440</v>
      </c>
      <c r="B690" s="611"/>
      <c r="C690" s="612"/>
      <c r="D690" s="613"/>
      <c r="E690" s="614"/>
      <c r="F690" s="329"/>
      <c r="H690" s="614"/>
      <c r="I690" s="589">
        <f t="shared" si="10"/>
        <v>0</v>
      </c>
      <c r="K690" s="589"/>
      <c r="L690" s="589"/>
      <c r="M690" s="589"/>
      <c r="N690" s="589"/>
      <c r="O690" s="589"/>
      <c r="P690" s="589"/>
      <c r="Q690" s="589"/>
      <c r="R690" s="589"/>
      <c r="S690" s="589"/>
      <c r="T690" s="589"/>
      <c r="U690" s="589"/>
      <c r="V690" s="589"/>
      <c r="W690" s="589"/>
      <c r="X690" s="589"/>
      <c r="Y690" s="589"/>
      <c r="AA690" s="589"/>
      <c r="AB690" s="589"/>
      <c r="AC690" s="589"/>
      <c r="AD690" s="589"/>
    </row>
    <row r="691" spans="1:38" s="30" customFormat="1" ht="17.100000000000001" customHeight="1">
      <c r="A691" s="329" t="s">
        <v>1441</v>
      </c>
      <c r="B691" s="626"/>
      <c r="C691" s="655" t="s">
        <v>1442</v>
      </c>
      <c r="D691" s="571" t="s">
        <v>1307</v>
      </c>
      <c r="E691" s="646">
        <v>3200</v>
      </c>
      <c r="H691" s="646">
        <v>82000</v>
      </c>
      <c r="I691" s="589">
        <f t="shared" si="10"/>
        <v>1</v>
      </c>
      <c r="K691" s="589"/>
      <c r="L691" s="589"/>
      <c r="M691" s="589"/>
      <c r="N691" s="589"/>
      <c r="O691" s="589"/>
      <c r="P691" s="589"/>
      <c r="Q691" s="589"/>
      <c r="R691" s="589"/>
      <c r="S691" s="589"/>
      <c r="T691" s="589"/>
      <c r="U691" s="589"/>
      <c r="V691" s="589"/>
      <c r="W691" s="589"/>
      <c r="X691" s="589"/>
      <c r="Y691" s="589"/>
      <c r="Z691" s="589"/>
      <c r="AA691" s="589"/>
      <c r="AB691" s="589"/>
      <c r="AC691" s="589"/>
      <c r="AD691" s="589"/>
      <c r="AE691" s="329"/>
      <c r="AF691" s="329"/>
      <c r="AG691" s="329"/>
      <c r="AH691" s="329"/>
      <c r="AI691" s="329"/>
      <c r="AJ691" s="329"/>
      <c r="AK691" s="329"/>
      <c r="AL691" s="329"/>
    </row>
    <row r="692" spans="1:38" s="30" customFormat="1" ht="17.100000000000001" customHeight="1">
      <c r="A692" s="329" t="s">
        <v>1443</v>
      </c>
      <c r="B692" s="626"/>
      <c r="C692" s="655" t="s">
        <v>1444</v>
      </c>
      <c r="D692" s="571" t="s">
        <v>1307</v>
      </c>
      <c r="E692" s="646">
        <v>3600</v>
      </c>
      <c r="H692" s="646">
        <v>10500</v>
      </c>
      <c r="I692" s="589">
        <f t="shared" si="10"/>
        <v>1</v>
      </c>
      <c r="K692" s="589"/>
      <c r="L692" s="589"/>
      <c r="M692" s="589"/>
      <c r="N692" s="589"/>
      <c r="O692" s="589"/>
      <c r="P692" s="589"/>
      <c r="Q692" s="589"/>
      <c r="R692" s="589"/>
      <c r="S692" s="589"/>
      <c r="T692" s="589"/>
      <c r="U692" s="589"/>
      <c r="V692" s="589"/>
      <c r="W692" s="589"/>
      <c r="X692" s="589"/>
      <c r="Y692" s="589"/>
      <c r="Z692" s="589"/>
      <c r="AA692" s="589"/>
      <c r="AB692" s="589"/>
      <c r="AC692" s="589"/>
      <c r="AD692" s="589"/>
      <c r="AE692" s="329"/>
      <c r="AF692" s="329"/>
      <c r="AG692" s="329"/>
      <c r="AH692" s="329"/>
      <c r="AI692" s="329"/>
      <c r="AJ692" s="329"/>
      <c r="AK692" s="329"/>
      <c r="AL692" s="329"/>
    </row>
    <row r="693" spans="1:38" s="30" customFormat="1" ht="17.100000000000001" customHeight="1">
      <c r="A693" s="329" t="s">
        <v>1445</v>
      </c>
      <c r="B693" s="626"/>
      <c r="C693" s="655" t="s">
        <v>1446</v>
      </c>
      <c r="D693" s="571" t="s">
        <v>1307</v>
      </c>
      <c r="E693" s="646">
        <v>5300</v>
      </c>
      <c r="H693" s="646">
        <v>11000</v>
      </c>
      <c r="I693" s="589">
        <f t="shared" si="10"/>
        <v>1</v>
      </c>
      <c r="K693" s="589"/>
      <c r="L693" s="589"/>
      <c r="M693" s="589"/>
      <c r="N693" s="589"/>
      <c r="O693" s="589"/>
      <c r="P693" s="589"/>
      <c r="Q693" s="589"/>
      <c r="R693" s="589"/>
      <c r="S693" s="589"/>
      <c r="T693" s="589"/>
      <c r="U693" s="589"/>
      <c r="V693" s="589"/>
      <c r="W693" s="589"/>
      <c r="X693" s="589"/>
      <c r="Y693" s="589"/>
      <c r="Z693" s="589"/>
      <c r="AA693" s="589"/>
      <c r="AB693" s="589"/>
      <c r="AC693" s="589"/>
      <c r="AD693" s="589"/>
      <c r="AE693" s="329"/>
      <c r="AF693" s="329"/>
      <c r="AG693" s="329"/>
      <c r="AH693" s="329"/>
      <c r="AI693" s="329"/>
      <c r="AJ693" s="329"/>
      <c r="AK693" s="329"/>
      <c r="AL693" s="329"/>
    </row>
    <row r="694" spans="1:38" s="30" customFormat="1" ht="17.100000000000001" customHeight="1">
      <c r="A694" s="329" t="s">
        <v>1447</v>
      </c>
      <c r="B694" s="626"/>
      <c r="C694" s="655" t="s">
        <v>1448</v>
      </c>
      <c r="D694" s="571" t="s">
        <v>1307</v>
      </c>
      <c r="E694" s="646">
        <v>10600</v>
      </c>
      <c r="H694" s="646">
        <v>12000</v>
      </c>
      <c r="I694" s="589">
        <f t="shared" si="10"/>
        <v>1</v>
      </c>
      <c r="K694" s="589"/>
      <c r="L694" s="589"/>
      <c r="M694" s="589"/>
      <c r="N694" s="589"/>
      <c r="O694" s="589"/>
      <c r="P694" s="589"/>
      <c r="Q694" s="589"/>
      <c r="R694" s="589"/>
      <c r="S694" s="589"/>
      <c r="T694" s="589"/>
      <c r="U694" s="589"/>
      <c r="V694" s="589"/>
      <c r="W694" s="589"/>
      <c r="X694" s="589"/>
      <c r="Y694" s="589"/>
      <c r="Z694" s="589"/>
      <c r="AA694" s="589"/>
      <c r="AB694" s="589"/>
      <c r="AC694" s="589"/>
      <c r="AD694" s="589"/>
      <c r="AE694" s="329"/>
      <c r="AF694" s="329"/>
      <c r="AG694" s="329"/>
      <c r="AH694" s="329"/>
      <c r="AI694" s="329"/>
      <c r="AJ694" s="329"/>
      <c r="AK694" s="329"/>
      <c r="AL694" s="329"/>
    </row>
    <row r="695" spans="1:38" s="30" customFormat="1" ht="17.100000000000001" customHeight="1">
      <c r="A695" s="329" t="s">
        <v>1449</v>
      </c>
      <c r="B695" s="626"/>
      <c r="C695" s="655" t="s">
        <v>1450</v>
      </c>
      <c r="D695" s="571" t="s">
        <v>1307</v>
      </c>
      <c r="E695" s="646">
        <v>15700</v>
      </c>
      <c r="H695" s="646">
        <v>13500</v>
      </c>
      <c r="I695" s="589">
        <f t="shared" si="10"/>
        <v>1</v>
      </c>
      <c r="K695" s="589"/>
      <c r="L695" s="589"/>
      <c r="M695" s="589"/>
      <c r="N695" s="589"/>
      <c r="O695" s="589"/>
      <c r="P695" s="589"/>
      <c r="Q695" s="589"/>
      <c r="R695" s="589"/>
      <c r="S695" s="589"/>
      <c r="T695" s="589"/>
      <c r="U695" s="589"/>
      <c r="V695" s="589"/>
      <c r="W695" s="589"/>
      <c r="X695" s="589"/>
      <c r="Y695" s="589"/>
      <c r="Z695" s="589"/>
      <c r="AA695" s="589"/>
      <c r="AB695" s="589"/>
      <c r="AC695" s="589"/>
      <c r="AD695" s="589"/>
      <c r="AE695" s="329"/>
      <c r="AF695" s="329"/>
      <c r="AG695" s="329"/>
      <c r="AH695" s="329"/>
      <c r="AI695" s="329"/>
      <c r="AJ695" s="329"/>
      <c r="AK695" s="329"/>
      <c r="AL695" s="329"/>
    </row>
    <row r="696" spans="1:38" s="30" customFormat="1" ht="17.100000000000001" customHeight="1">
      <c r="A696" s="329" t="s">
        <v>1451</v>
      </c>
      <c r="B696" s="626"/>
      <c r="C696" s="655" t="s">
        <v>1430</v>
      </c>
      <c r="D696" s="571" t="s">
        <v>1307</v>
      </c>
      <c r="E696" s="646">
        <v>19200</v>
      </c>
      <c r="H696" s="646">
        <v>14000</v>
      </c>
      <c r="I696" s="589">
        <f t="shared" si="10"/>
        <v>1</v>
      </c>
      <c r="K696" s="589"/>
      <c r="L696" s="589"/>
      <c r="M696" s="589"/>
      <c r="N696" s="589"/>
      <c r="O696" s="589"/>
      <c r="P696" s="589"/>
      <c r="Q696" s="589"/>
      <c r="R696" s="589"/>
      <c r="S696" s="589"/>
      <c r="T696" s="589"/>
      <c r="U696" s="589"/>
      <c r="V696" s="589"/>
      <c r="W696" s="589"/>
      <c r="X696" s="589"/>
      <c r="Y696" s="589"/>
      <c r="Z696" s="589"/>
      <c r="AA696" s="589"/>
      <c r="AB696" s="589"/>
      <c r="AC696" s="589"/>
      <c r="AD696" s="589"/>
      <c r="AE696" s="329"/>
      <c r="AF696" s="329"/>
      <c r="AG696" s="329"/>
      <c r="AH696" s="329"/>
      <c r="AI696" s="329"/>
      <c r="AJ696" s="329"/>
      <c r="AK696" s="329"/>
      <c r="AL696" s="329"/>
    </row>
    <row r="697" spans="1:38" s="30" customFormat="1" ht="17.100000000000001" customHeight="1">
      <c r="A697" s="329" t="s">
        <v>1431</v>
      </c>
      <c r="B697" s="626"/>
      <c r="C697" s="655" t="s">
        <v>1432</v>
      </c>
      <c r="D697" s="571" t="s">
        <v>1307</v>
      </c>
      <c r="E697" s="646">
        <v>22000</v>
      </c>
      <c r="H697" s="646">
        <v>17500</v>
      </c>
      <c r="I697" s="589">
        <f t="shared" si="10"/>
        <v>1</v>
      </c>
      <c r="K697" s="589"/>
      <c r="L697" s="589"/>
      <c r="M697" s="589"/>
      <c r="N697" s="589"/>
      <c r="O697" s="589"/>
      <c r="P697" s="589"/>
      <c r="Q697" s="589"/>
      <c r="R697" s="589"/>
      <c r="S697" s="589"/>
      <c r="T697" s="589"/>
      <c r="U697" s="589"/>
      <c r="V697" s="589"/>
      <c r="W697" s="589"/>
      <c r="X697" s="589"/>
      <c r="Y697" s="589"/>
      <c r="Z697" s="589"/>
      <c r="AA697" s="589"/>
      <c r="AB697" s="589"/>
      <c r="AC697" s="589"/>
      <c r="AD697" s="589"/>
      <c r="AE697" s="329"/>
      <c r="AF697" s="329"/>
      <c r="AG697" s="329"/>
      <c r="AH697" s="329"/>
      <c r="AI697" s="329"/>
      <c r="AJ697" s="329"/>
      <c r="AK697" s="329"/>
      <c r="AL697" s="329"/>
    </row>
    <row r="698" spans="1:38" s="30" customFormat="1" ht="17.100000000000001" customHeight="1">
      <c r="A698" s="329" t="s">
        <v>1433</v>
      </c>
      <c r="B698" s="626"/>
      <c r="C698" s="655" t="s">
        <v>1434</v>
      </c>
      <c r="D698" s="571" t="s">
        <v>1307</v>
      </c>
      <c r="E698" s="646">
        <v>31200</v>
      </c>
      <c r="H698" s="646">
        <v>21600</v>
      </c>
      <c r="I698" s="589">
        <f t="shared" si="10"/>
        <v>1</v>
      </c>
      <c r="K698" s="589"/>
      <c r="L698" s="589"/>
      <c r="M698" s="589"/>
      <c r="N698" s="589"/>
      <c r="O698" s="589"/>
      <c r="P698" s="589"/>
      <c r="Q698" s="589"/>
      <c r="R698" s="589"/>
      <c r="S698" s="589"/>
      <c r="T698" s="589"/>
      <c r="U698" s="589"/>
      <c r="V698" s="589"/>
      <c r="W698" s="589"/>
      <c r="X698" s="589"/>
      <c r="Y698" s="589"/>
      <c r="Z698" s="589"/>
      <c r="AA698" s="589"/>
      <c r="AB698" s="589"/>
      <c r="AC698" s="589"/>
      <c r="AD698" s="589"/>
      <c r="AE698" s="329"/>
      <c r="AF698" s="329"/>
      <c r="AG698" s="329"/>
      <c r="AH698" s="329"/>
      <c r="AI698" s="329"/>
      <c r="AJ698" s="329"/>
      <c r="AK698" s="329"/>
      <c r="AL698" s="329"/>
    </row>
    <row r="699" spans="1:38" s="30" customFormat="1" ht="17.100000000000001" customHeight="1">
      <c r="A699" s="329" t="s">
        <v>1435</v>
      </c>
      <c r="B699" s="626"/>
      <c r="C699" s="655" t="s">
        <v>0</v>
      </c>
      <c r="D699" s="571" t="s">
        <v>1307</v>
      </c>
      <c r="E699" s="646">
        <v>43600</v>
      </c>
      <c r="H699" s="646">
        <v>22800</v>
      </c>
      <c r="I699" s="589">
        <f t="shared" si="10"/>
        <v>1</v>
      </c>
      <c r="K699" s="589"/>
      <c r="L699" s="589"/>
      <c r="M699" s="589"/>
      <c r="N699" s="589"/>
      <c r="O699" s="589"/>
      <c r="P699" s="589"/>
      <c r="Q699" s="589"/>
      <c r="R699" s="589"/>
      <c r="S699" s="589"/>
      <c r="T699" s="589"/>
      <c r="U699" s="589"/>
      <c r="V699" s="589"/>
      <c r="W699" s="589"/>
      <c r="X699" s="589"/>
      <c r="Y699" s="589"/>
      <c r="Z699" s="589"/>
      <c r="AA699" s="589"/>
      <c r="AB699" s="589"/>
      <c r="AC699" s="589"/>
      <c r="AD699" s="589"/>
      <c r="AE699" s="329"/>
      <c r="AF699" s="329"/>
      <c r="AG699" s="329"/>
      <c r="AH699" s="329"/>
      <c r="AI699" s="329"/>
      <c r="AJ699" s="329"/>
      <c r="AK699" s="329"/>
      <c r="AL699" s="329"/>
    </row>
    <row r="700" spans="1:38" s="30" customFormat="1" ht="17.100000000000001" customHeight="1">
      <c r="A700" s="329" t="s">
        <v>1</v>
      </c>
      <c r="B700" s="626"/>
      <c r="C700" s="655" t="s">
        <v>2</v>
      </c>
      <c r="D700" s="571" t="s">
        <v>1307</v>
      </c>
      <c r="E700" s="646">
        <v>57700</v>
      </c>
      <c r="H700" s="646">
        <v>23600</v>
      </c>
      <c r="I700" s="589">
        <f t="shared" si="10"/>
        <v>1</v>
      </c>
      <c r="K700" s="589"/>
      <c r="L700" s="589"/>
      <c r="M700" s="589"/>
      <c r="N700" s="589"/>
      <c r="O700" s="589"/>
      <c r="P700" s="589"/>
      <c r="Q700" s="589"/>
      <c r="R700" s="589"/>
      <c r="S700" s="589"/>
      <c r="T700" s="589"/>
      <c r="U700" s="589"/>
      <c r="V700" s="589"/>
      <c r="W700" s="589"/>
      <c r="X700" s="589"/>
      <c r="Y700" s="589"/>
      <c r="Z700" s="589"/>
      <c r="AA700" s="589"/>
      <c r="AB700" s="589"/>
      <c r="AC700" s="589"/>
      <c r="AD700" s="589"/>
      <c r="AE700" s="329"/>
      <c r="AF700" s="329"/>
      <c r="AG700" s="329"/>
      <c r="AH700" s="329"/>
      <c r="AI700" s="329"/>
      <c r="AJ700" s="329"/>
      <c r="AK700" s="329"/>
      <c r="AL700" s="329"/>
    </row>
    <row r="701" spans="1:38" s="30" customFormat="1" ht="17.100000000000001" customHeight="1">
      <c r="A701" s="329" t="s">
        <v>3</v>
      </c>
      <c r="B701" s="626"/>
      <c r="C701" s="655" t="s">
        <v>4</v>
      </c>
      <c r="D701" s="571" t="s">
        <v>1307</v>
      </c>
      <c r="E701" s="646">
        <v>57700</v>
      </c>
      <c r="H701" s="646">
        <v>35900</v>
      </c>
      <c r="I701" s="589">
        <f t="shared" si="10"/>
        <v>1</v>
      </c>
      <c r="K701" s="589"/>
      <c r="L701" s="589"/>
      <c r="M701" s="589"/>
      <c r="N701" s="589"/>
      <c r="O701" s="589"/>
      <c r="P701" s="589"/>
      <c r="Q701" s="589"/>
      <c r="R701" s="589"/>
      <c r="S701" s="589"/>
      <c r="T701" s="589"/>
      <c r="U701" s="589"/>
      <c r="V701" s="589"/>
      <c r="W701" s="589"/>
      <c r="X701" s="589"/>
      <c r="Y701" s="589"/>
      <c r="Z701" s="589"/>
      <c r="AA701" s="589"/>
      <c r="AB701" s="589"/>
      <c r="AC701" s="589"/>
      <c r="AD701" s="589"/>
      <c r="AE701" s="329"/>
      <c r="AF701" s="329"/>
      <c r="AG701" s="329"/>
      <c r="AH701" s="329"/>
      <c r="AI701" s="329"/>
      <c r="AJ701" s="329"/>
      <c r="AK701" s="329"/>
      <c r="AL701" s="329"/>
    </row>
    <row r="702" spans="1:38" s="30" customFormat="1" ht="17.100000000000001" customHeight="1">
      <c r="A702" s="329" t="s">
        <v>5</v>
      </c>
      <c r="B702" s="626"/>
      <c r="C702" s="655" t="s">
        <v>6</v>
      </c>
      <c r="D702" s="571" t="s">
        <v>1307</v>
      </c>
      <c r="E702" s="646">
        <v>63000</v>
      </c>
      <c r="H702" s="646">
        <v>38600</v>
      </c>
      <c r="I702" s="589">
        <f t="shared" si="10"/>
        <v>1</v>
      </c>
      <c r="K702" s="589"/>
      <c r="L702" s="589"/>
      <c r="M702" s="589"/>
      <c r="N702" s="589"/>
      <c r="O702" s="589"/>
      <c r="P702" s="589"/>
      <c r="Q702" s="589"/>
      <c r="R702" s="589"/>
      <c r="S702" s="589"/>
      <c r="T702" s="589"/>
      <c r="U702" s="589"/>
      <c r="V702" s="589"/>
      <c r="W702" s="589"/>
      <c r="X702" s="589"/>
      <c r="Y702" s="589"/>
      <c r="Z702" s="589"/>
      <c r="AA702" s="589"/>
      <c r="AB702" s="589"/>
      <c r="AC702" s="589"/>
      <c r="AD702" s="589"/>
      <c r="AE702" s="329"/>
      <c r="AF702" s="329"/>
      <c r="AG702" s="329"/>
      <c r="AH702" s="329"/>
      <c r="AI702" s="329"/>
      <c r="AJ702" s="329"/>
      <c r="AK702" s="329"/>
      <c r="AL702" s="329"/>
    </row>
    <row r="703" spans="1:38" s="30" customFormat="1" ht="17.100000000000001" customHeight="1">
      <c r="A703" s="329" t="s">
        <v>7</v>
      </c>
      <c r="B703" s="626"/>
      <c r="C703" s="655" t="s">
        <v>3965</v>
      </c>
      <c r="D703" s="571" t="s">
        <v>1307</v>
      </c>
      <c r="E703" s="646">
        <v>88000</v>
      </c>
      <c r="H703" s="646">
        <v>39660</v>
      </c>
      <c r="I703" s="589">
        <f t="shared" si="10"/>
        <v>1</v>
      </c>
      <c r="K703" s="589"/>
      <c r="L703" s="589"/>
      <c r="M703" s="589"/>
      <c r="N703" s="589"/>
      <c r="O703" s="589"/>
      <c r="P703" s="589"/>
      <c r="Q703" s="589"/>
      <c r="R703" s="589"/>
      <c r="S703" s="589"/>
      <c r="T703" s="589"/>
      <c r="U703" s="589"/>
      <c r="V703" s="589"/>
      <c r="W703" s="589"/>
      <c r="X703" s="589"/>
      <c r="Y703" s="589"/>
      <c r="Z703" s="589"/>
      <c r="AA703" s="589"/>
      <c r="AB703" s="589"/>
      <c r="AC703" s="589"/>
      <c r="AD703" s="589"/>
      <c r="AE703" s="329"/>
      <c r="AF703" s="329"/>
      <c r="AG703" s="329"/>
      <c r="AH703" s="329"/>
      <c r="AI703" s="329"/>
      <c r="AJ703" s="329"/>
      <c r="AK703" s="329"/>
      <c r="AL703" s="329"/>
    </row>
    <row r="704" spans="1:38" s="30" customFormat="1" ht="17.100000000000001" customHeight="1">
      <c r="A704" s="329" t="s">
        <v>3966</v>
      </c>
      <c r="B704" s="626"/>
      <c r="C704" s="655" t="s">
        <v>3967</v>
      </c>
      <c r="D704" s="571" t="s">
        <v>1307</v>
      </c>
      <c r="E704" s="646">
        <v>96700</v>
      </c>
      <c r="H704" s="646">
        <v>45300</v>
      </c>
      <c r="I704" s="589">
        <f t="shared" si="10"/>
        <v>1</v>
      </c>
      <c r="K704" s="589"/>
      <c r="L704" s="589"/>
      <c r="M704" s="589"/>
      <c r="N704" s="589"/>
      <c r="O704" s="589"/>
      <c r="P704" s="589"/>
      <c r="Q704" s="589"/>
      <c r="R704" s="589"/>
      <c r="S704" s="589"/>
      <c r="T704" s="589"/>
      <c r="U704" s="589"/>
      <c r="V704" s="589"/>
      <c r="W704" s="589"/>
      <c r="X704" s="589"/>
      <c r="Y704" s="589"/>
      <c r="Z704" s="589"/>
      <c r="AA704" s="589"/>
      <c r="AB704" s="589"/>
      <c r="AC704" s="589"/>
      <c r="AD704" s="589"/>
      <c r="AE704" s="329"/>
      <c r="AF704" s="329"/>
      <c r="AG704" s="329"/>
      <c r="AH704" s="329"/>
      <c r="AI704" s="329"/>
      <c r="AJ704" s="329"/>
      <c r="AK704" s="329"/>
      <c r="AL704" s="329"/>
    </row>
    <row r="705" spans="1:38">
      <c r="B705" s="626"/>
      <c r="C705" s="627"/>
      <c r="D705" s="571"/>
      <c r="E705" s="571"/>
      <c r="H705" s="571"/>
      <c r="I705" s="589">
        <f t="shared" si="10"/>
        <v>0</v>
      </c>
      <c r="K705" s="589"/>
      <c r="L705" s="589"/>
      <c r="M705" s="589"/>
      <c r="N705" s="589"/>
      <c r="O705" s="589"/>
      <c r="P705" s="589"/>
      <c r="Q705" s="589"/>
      <c r="R705" s="589"/>
      <c r="S705" s="589"/>
      <c r="T705" s="589"/>
      <c r="U705" s="589"/>
      <c r="V705" s="589"/>
      <c r="W705" s="589"/>
      <c r="X705" s="589"/>
      <c r="Y705" s="589"/>
      <c r="AA705" s="589"/>
      <c r="AB705" s="589"/>
      <c r="AC705" s="589"/>
      <c r="AD705" s="589"/>
    </row>
    <row r="706" spans="1:38" s="30" customFormat="1" ht="17.100000000000001" customHeight="1">
      <c r="A706" s="329" t="s">
        <v>3968</v>
      </c>
      <c r="B706" s="626"/>
      <c r="C706" s="666" t="s">
        <v>3969</v>
      </c>
      <c r="D706" s="571" t="s">
        <v>1307</v>
      </c>
      <c r="E706" s="655"/>
      <c r="H706" s="655"/>
      <c r="I706" s="589">
        <f t="shared" si="10"/>
        <v>0</v>
      </c>
      <c r="K706" s="589"/>
      <c r="L706" s="589"/>
      <c r="M706" s="589"/>
      <c r="N706" s="589"/>
      <c r="O706" s="589"/>
      <c r="P706" s="589"/>
      <c r="Q706" s="589"/>
      <c r="R706" s="589"/>
      <c r="S706" s="589"/>
      <c r="T706" s="589"/>
      <c r="U706" s="589"/>
      <c r="V706" s="589"/>
      <c r="W706" s="589"/>
      <c r="X706" s="589"/>
      <c r="Y706" s="589"/>
      <c r="Z706" s="589"/>
      <c r="AA706" s="589"/>
      <c r="AB706" s="589"/>
      <c r="AC706" s="589"/>
      <c r="AD706" s="589"/>
      <c r="AE706" s="329"/>
      <c r="AF706" s="329"/>
      <c r="AG706" s="329"/>
      <c r="AH706" s="329"/>
      <c r="AI706" s="329"/>
      <c r="AJ706" s="329"/>
      <c r="AK706" s="329"/>
      <c r="AL706" s="329"/>
    </row>
    <row r="707" spans="1:38" s="30" customFormat="1" ht="17.100000000000001" customHeight="1">
      <c r="A707" s="329" t="s">
        <v>3970</v>
      </c>
      <c r="B707" s="626"/>
      <c r="C707" s="655" t="s">
        <v>3971</v>
      </c>
      <c r="D707" s="571" t="s">
        <v>1307</v>
      </c>
      <c r="E707" s="655"/>
      <c r="H707" s="655"/>
      <c r="I707" s="589">
        <f t="shared" si="10"/>
        <v>0</v>
      </c>
      <c r="K707" s="589"/>
      <c r="L707" s="589"/>
      <c r="M707" s="589"/>
      <c r="N707" s="589"/>
      <c r="O707" s="589"/>
      <c r="P707" s="589"/>
      <c r="Q707" s="589"/>
      <c r="R707" s="589"/>
      <c r="S707" s="589"/>
      <c r="T707" s="589"/>
      <c r="U707" s="589"/>
      <c r="V707" s="589"/>
      <c r="W707" s="589"/>
      <c r="X707" s="589"/>
      <c r="Y707" s="589"/>
      <c r="Z707" s="589"/>
      <c r="AA707" s="589"/>
      <c r="AB707" s="589"/>
      <c r="AC707" s="589"/>
      <c r="AD707" s="589"/>
      <c r="AE707" s="329"/>
      <c r="AF707" s="329"/>
      <c r="AG707" s="329"/>
      <c r="AH707" s="329"/>
      <c r="AI707" s="329"/>
      <c r="AJ707" s="329"/>
      <c r="AK707" s="329"/>
      <c r="AL707" s="329"/>
    </row>
    <row r="708" spans="1:38" s="30" customFormat="1" ht="17.100000000000001" customHeight="1">
      <c r="A708" s="329" t="s">
        <v>3972</v>
      </c>
      <c r="B708" s="626"/>
      <c r="C708" s="655" t="s">
        <v>2213</v>
      </c>
      <c r="D708" s="571" t="s">
        <v>1307</v>
      </c>
      <c r="E708" s="655"/>
      <c r="H708" s="655"/>
      <c r="I708" s="589">
        <f t="shared" si="10"/>
        <v>0</v>
      </c>
      <c r="K708" s="589"/>
      <c r="L708" s="589"/>
      <c r="M708" s="589"/>
      <c r="N708" s="589"/>
      <c r="O708" s="589"/>
      <c r="P708" s="589"/>
      <c r="Q708" s="589"/>
      <c r="R708" s="589"/>
      <c r="S708" s="589"/>
      <c r="T708" s="589"/>
      <c r="U708" s="589"/>
      <c r="V708" s="589"/>
      <c r="W708" s="589"/>
      <c r="X708" s="589"/>
      <c r="Y708" s="589"/>
      <c r="Z708" s="589"/>
      <c r="AA708" s="589"/>
      <c r="AB708" s="589"/>
      <c r="AC708" s="589"/>
      <c r="AD708" s="589"/>
      <c r="AE708" s="329"/>
      <c r="AF708" s="329"/>
      <c r="AG708" s="329"/>
      <c r="AH708" s="329"/>
      <c r="AI708" s="329"/>
      <c r="AJ708" s="329"/>
      <c r="AK708" s="329"/>
      <c r="AL708" s="329"/>
    </row>
    <row r="709" spans="1:38" s="30" customFormat="1" ht="17.100000000000001" customHeight="1">
      <c r="A709" s="329" t="s">
        <v>2214</v>
      </c>
      <c r="B709" s="626"/>
      <c r="C709" s="655" t="s">
        <v>6361</v>
      </c>
      <c r="D709" s="571" t="s">
        <v>1307</v>
      </c>
      <c r="E709" s="655"/>
      <c r="H709" s="655"/>
      <c r="I709" s="589">
        <f t="shared" si="10"/>
        <v>0</v>
      </c>
      <c r="K709" s="589"/>
      <c r="L709" s="589"/>
      <c r="M709" s="589"/>
      <c r="N709" s="589"/>
      <c r="O709" s="589"/>
      <c r="P709" s="589"/>
      <c r="Q709" s="589"/>
      <c r="R709" s="589"/>
      <c r="S709" s="589"/>
      <c r="T709" s="589"/>
      <c r="U709" s="589"/>
      <c r="V709" s="589"/>
      <c r="W709" s="589"/>
      <c r="X709" s="589"/>
      <c r="Y709" s="589"/>
      <c r="Z709" s="589"/>
      <c r="AA709" s="589"/>
      <c r="AB709" s="589"/>
      <c r="AC709" s="589"/>
      <c r="AD709" s="589"/>
      <c r="AE709" s="329"/>
      <c r="AF709" s="329"/>
      <c r="AG709" s="329"/>
      <c r="AH709" s="329"/>
      <c r="AI709" s="329"/>
      <c r="AJ709" s="329"/>
      <c r="AK709" s="329"/>
      <c r="AL709" s="329"/>
    </row>
    <row r="710" spans="1:38" s="30" customFormat="1" ht="17.100000000000001" customHeight="1">
      <c r="A710" s="329" t="s">
        <v>6362</v>
      </c>
      <c r="B710" s="626"/>
      <c r="C710" s="655" t="s">
        <v>6363</v>
      </c>
      <c r="D710" s="571" t="s">
        <v>1307</v>
      </c>
      <c r="E710" s="655"/>
      <c r="H710" s="655"/>
      <c r="I710" s="589">
        <f t="shared" si="10"/>
        <v>0</v>
      </c>
      <c r="K710" s="589"/>
      <c r="L710" s="589"/>
      <c r="M710" s="589"/>
      <c r="N710" s="589"/>
      <c r="O710" s="589"/>
      <c r="P710" s="589"/>
      <c r="Q710" s="589"/>
      <c r="R710" s="589"/>
      <c r="S710" s="589"/>
      <c r="T710" s="589"/>
      <c r="U710" s="589"/>
      <c r="V710" s="589"/>
      <c r="W710" s="589"/>
      <c r="X710" s="589"/>
      <c r="Y710" s="589"/>
      <c r="Z710" s="589"/>
      <c r="AA710" s="589"/>
      <c r="AB710" s="589"/>
      <c r="AC710" s="589"/>
      <c r="AD710" s="589"/>
      <c r="AE710" s="329"/>
      <c r="AF710" s="329"/>
      <c r="AG710" s="329"/>
      <c r="AH710" s="329"/>
      <c r="AI710" s="329"/>
      <c r="AJ710" s="329"/>
      <c r="AK710" s="329"/>
      <c r="AL710" s="329"/>
    </row>
    <row r="711" spans="1:38" s="30" customFormat="1" ht="17.100000000000001" customHeight="1">
      <c r="A711" s="329" t="s">
        <v>6364</v>
      </c>
      <c r="B711" s="626"/>
      <c r="C711" s="655" t="s">
        <v>6365</v>
      </c>
      <c r="D711" s="571" t="s">
        <v>1307</v>
      </c>
      <c r="E711" s="655"/>
      <c r="H711" s="655"/>
      <c r="I711" s="589">
        <f t="shared" si="10"/>
        <v>0</v>
      </c>
      <c r="K711" s="589"/>
      <c r="L711" s="589"/>
      <c r="M711" s="589"/>
      <c r="N711" s="589"/>
      <c r="O711" s="589"/>
      <c r="P711" s="589"/>
      <c r="Q711" s="589"/>
      <c r="R711" s="589"/>
      <c r="S711" s="589"/>
      <c r="T711" s="589"/>
      <c r="U711" s="589"/>
      <c r="V711" s="589"/>
      <c r="W711" s="589"/>
      <c r="X711" s="589"/>
      <c r="Y711" s="589"/>
      <c r="Z711" s="589"/>
      <c r="AA711" s="589"/>
      <c r="AB711" s="589"/>
      <c r="AC711" s="589"/>
      <c r="AD711" s="589"/>
      <c r="AE711" s="329"/>
      <c r="AF711" s="329"/>
      <c r="AG711" s="329"/>
      <c r="AH711" s="329"/>
      <c r="AI711" s="329"/>
      <c r="AJ711" s="329"/>
      <c r="AK711" s="329"/>
      <c r="AL711" s="329"/>
    </row>
    <row r="712" spans="1:38" s="30" customFormat="1" ht="17.100000000000001" customHeight="1">
      <c r="A712" s="329" t="s">
        <v>3814</v>
      </c>
      <c r="B712" s="626"/>
      <c r="C712" s="655" t="s">
        <v>3815</v>
      </c>
      <c r="D712" s="571" t="s">
        <v>1307</v>
      </c>
      <c r="E712" s="655"/>
      <c r="H712" s="655"/>
      <c r="I712" s="589">
        <f t="shared" si="10"/>
        <v>0</v>
      </c>
      <c r="K712" s="589"/>
      <c r="L712" s="589"/>
      <c r="M712" s="589"/>
      <c r="N712" s="589"/>
      <c r="O712" s="589"/>
      <c r="P712" s="589"/>
      <c r="Q712" s="589"/>
      <c r="R712" s="589"/>
      <c r="S712" s="589"/>
      <c r="T712" s="589"/>
      <c r="U712" s="589"/>
      <c r="V712" s="589"/>
      <c r="W712" s="589"/>
      <c r="X712" s="589"/>
      <c r="Y712" s="589"/>
      <c r="Z712" s="589"/>
      <c r="AA712" s="589"/>
      <c r="AB712" s="589"/>
      <c r="AC712" s="589"/>
      <c r="AD712" s="589"/>
      <c r="AE712" s="329"/>
      <c r="AF712" s="329"/>
      <c r="AG712" s="329"/>
      <c r="AH712" s="329"/>
      <c r="AI712" s="329"/>
      <c r="AJ712" s="329"/>
      <c r="AK712" s="329"/>
      <c r="AL712" s="329"/>
    </row>
    <row r="713" spans="1:38" s="30" customFormat="1" ht="17.100000000000001" customHeight="1">
      <c r="A713" s="329" t="s">
        <v>3816</v>
      </c>
      <c r="B713" s="626"/>
      <c r="C713" s="655" t="s">
        <v>3815</v>
      </c>
      <c r="D713" s="571" t="s">
        <v>1307</v>
      </c>
      <c r="E713" s="655"/>
      <c r="H713" s="655"/>
      <c r="I713" s="589">
        <f t="shared" si="10"/>
        <v>0</v>
      </c>
      <c r="K713" s="589"/>
      <c r="L713" s="589"/>
      <c r="M713" s="589"/>
      <c r="N713" s="589"/>
      <c r="O713" s="589"/>
      <c r="P713" s="589"/>
      <c r="Q713" s="589"/>
      <c r="R713" s="589"/>
      <c r="S713" s="589"/>
      <c r="T713" s="589"/>
      <c r="U713" s="589"/>
      <c r="V713" s="589"/>
      <c r="W713" s="589"/>
      <c r="X713" s="589"/>
      <c r="Y713" s="589"/>
      <c r="Z713" s="589"/>
      <c r="AA713" s="589"/>
      <c r="AB713" s="589"/>
      <c r="AC713" s="589"/>
      <c r="AD713" s="589"/>
      <c r="AE713" s="329"/>
      <c r="AF713" s="329"/>
      <c r="AG713" s="329"/>
      <c r="AH713" s="329"/>
      <c r="AI713" s="329"/>
      <c r="AJ713" s="329"/>
      <c r="AK713" s="329"/>
      <c r="AL713" s="329"/>
    </row>
    <row r="714" spans="1:38" s="30" customFormat="1" ht="17.100000000000001" customHeight="1">
      <c r="A714" s="329" t="s">
        <v>3817</v>
      </c>
      <c r="B714" s="626"/>
      <c r="C714" s="655" t="s">
        <v>3818</v>
      </c>
      <c r="D714" s="571" t="s">
        <v>1307</v>
      </c>
      <c r="E714" s="655"/>
      <c r="H714" s="655"/>
      <c r="I714" s="589">
        <f t="shared" si="10"/>
        <v>0</v>
      </c>
      <c r="K714" s="589"/>
      <c r="L714" s="589"/>
      <c r="M714" s="589"/>
      <c r="N714" s="589"/>
      <c r="O714" s="589"/>
      <c r="P714" s="589"/>
      <c r="Q714" s="589"/>
      <c r="R714" s="589"/>
      <c r="S714" s="589"/>
      <c r="T714" s="589"/>
      <c r="U714" s="589"/>
      <c r="V714" s="589"/>
      <c r="W714" s="589"/>
      <c r="X714" s="589"/>
      <c r="Y714" s="589"/>
      <c r="Z714" s="589"/>
      <c r="AA714" s="589"/>
      <c r="AB714" s="589"/>
      <c r="AC714" s="589"/>
      <c r="AD714" s="589"/>
      <c r="AE714" s="329"/>
      <c r="AF714" s="329"/>
      <c r="AG714" s="329"/>
      <c r="AH714" s="329"/>
      <c r="AI714" s="329"/>
      <c r="AJ714" s="329"/>
      <c r="AK714" s="329"/>
      <c r="AL714" s="329"/>
    </row>
    <row r="715" spans="1:38" s="30" customFormat="1" ht="17.100000000000001" customHeight="1">
      <c r="A715" s="329"/>
      <c r="B715" s="626"/>
      <c r="C715" s="655"/>
      <c r="D715" s="571"/>
      <c r="E715" s="655"/>
      <c r="H715" s="655"/>
      <c r="I715" s="589">
        <f t="shared" si="10"/>
        <v>0</v>
      </c>
      <c r="K715" s="589"/>
      <c r="L715" s="589"/>
      <c r="M715" s="589"/>
      <c r="N715" s="589"/>
      <c r="O715" s="589"/>
      <c r="P715" s="589"/>
      <c r="Q715" s="589"/>
      <c r="R715" s="589"/>
      <c r="S715" s="589"/>
      <c r="T715" s="589"/>
      <c r="U715" s="589"/>
      <c r="V715" s="589"/>
      <c r="W715" s="589"/>
      <c r="X715" s="589"/>
      <c r="Y715" s="589"/>
      <c r="Z715" s="589"/>
      <c r="AA715" s="589"/>
      <c r="AB715" s="589"/>
      <c r="AC715" s="589"/>
      <c r="AD715" s="589"/>
      <c r="AE715" s="329"/>
      <c r="AF715" s="329"/>
      <c r="AG715" s="329"/>
      <c r="AH715" s="329"/>
      <c r="AI715" s="329"/>
      <c r="AJ715" s="329"/>
      <c r="AK715" s="329"/>
      <c r="AL715" s="329"/>
    </row>
    <row r="716" spans="1:38" s="30" customFormat="1" ht="17.100000000000001" customHeight="1">
      <c r="A716" s="329" t="s">
        <v>3819</v>
      </c>
      <c r="B716" s="626"/>
      <c r="C716" s="655" t="s">
        <v>3820</v>
      </c>
      <c r="D716" s="571" t="s">
        <v>1307</v>
      </c>
      <c r="E716" s="655"/>
      <c r="H716" s="655"/>
      <c r="I716" s="589">
        <f t="shared" si="10"/>
        <v>0</v>
      </c>
      <c r="K716" s="589"/>
      <c r="L716" s="589"/>
      <c r="M716" s="589"/>
      <c r="N716" s="589"/>
      <c r="O716" s="589"/>
      <c r="P716" s="589"/>
      <c r="Q716" s="589"/>
      <c r="R716" s="589"/>
      <c r="S716" s="589"/>
      <c r="T716" s="589"/>
      <c r="U716" s="589"/>
      <c r="V716" s="589"/>
      <c r="W716" s="589"/>
      <c r="X716" s="589"/>
      <c r="Y716" s="589"/>
      <c r="Z716" s="589"/>
      <c r="AA716" s="589"/>
      <c r="AB716" s="589"/>
      <c r="AC716" s="589"/>
      <c r="AD716" s="589"/>
      <c r="AE716" s="329"/>
      <c r="AF716" s="329"/>
      <c r="AG716" s="329"/>
      <c r="AH716" s="329"/>
      <c r="AI716" s="329"/>
      <c r="AJ716" s="329"/>
      <c r="AK716" s="329"/>
      <c r="AL716" s="329"/>
    </row>
    <row r="717" spans="1:38" s="30" customFormat="1" ht="17.100000000000001" customHeight="1">
      <c r="A717" s="329" t="s">
        <v>3821</v>
      </c>
      <c r="B717" s="626"/>
      <c r="C717" s="655" t="s">
        <v>3822</v>
      </c>
      <c r="D717" s="571" t="s">
        <v>1307</v>
      </c>
      <c r="E717" s="655"/>
      <c r="H717" s="655"/>
      <c r="I717" s="589">
        <f t="shared" si="10"/>
        <v>0</v>
      </c>
      <c r="K717" s="589"/>
      <c r="L717" s="589"/>
      <c r="M717" s="589"/>
      <c r="N717" s="589"/>
      <c r="O717" s="589"/>
      <c r="P717" s="589"/>
      <c r="Q717" s="589"/>
      <c r="R717" s="589"/>
      <c r="S717" s="589"/>
      <c r="T717" s="589"/>
      <c r="U717" s="589"/>
      <c r="V717" s="589"/>
      <c r="W717" s="589"/>
      <c r="X717" s="589"/>
      <c r="Y717" s="589"/>
      <c r="Z717" s="589"/>
      <c r="AA717" s="589"/>
      <c r="AB717" s="589"/>
      <c r="AC717" s="589"/>
      <c r="AD717" s="589"/>
      <c r="AE717" s="329"/>
      <c r="AF717" s="329"/>
      <c r="AG717" s="329"/>
      <c r="AH717" s="329"/>
      <c r="AI717" s="329"/>
      <c r="AJ717" s="329"/>
      <c r="AK717" s="329"/>
      <c r="AL717" s="329"/>
    </row>
    <row r="718" spans="1:38" s="30" customFormat="1" ht="17.100000000000001" customHeight="1">
      <c r="A718" s="329" t="s">
        <v>3823</v>
      </c>
      <c r="B718" s="626"/>
      <c r="C718" s="655" t="s">
        <v>3824</v>
      </c>
      <c r="D718" s="571" t="s">
        <v>1307</v>
      </c>
      <c r="E718" s="655"/>
      <c r="H718" s="655"/>
      <c r="I718" s="589">
        <f t="shared" si="10"/>
        <v>0</v>
      </c>
      <c r="K718" s="589"/>
      <c r="L718" s="589"/>
      <c r="M718" s="589"/>
      <c r="N718" s="589"/>
      <c r="O718" s="589"/>
      <c r="P718" s="589"/>
      <c r="Q718" s="589"/>
      <c r="R718" s="589"/>
      <c r="S718" s="589"/>
      <c r="T718" s="589"/>
      <c r="U718" s="589"/>
      <c r="V718" s="589"/>
      <c r="W718" s="589"/>
      <c r="X718" s="589"/>
      <c r="Y718" s="589"/>
      <c r="Z718" s="589"/>
      <c r="AA718" s="589"/>
      <c r="AB718" s="589"/>
      <c r="AC718" s="589"/>
      <c r="AD718" s="589"/>
      <c r="AE718" s="329"/>
      <c r="AF718" s="329"/>
      <c r="AG718" s="329"/>
      <c r="AH718" s="329"/>
      <c r="AI718" s="329"/>
      <c r="AJ718" s="329"/>
      <c r="AK718" s="329"/>
      <c r="AL718" s="329"/>
    </row>
    <row r="719" spans="1:38" s="30" customFormat="1" ht="17.100000000000001" customHeight="1">
      <c r="A719" s="329" t="s">
        <v>3825</v>
      </c>
      <c r="B719" s="626"/>
      <c r="C719" s="655" t="s">
        <v>234</v>
      </c>
      <c r="D719" s="571" t="s">
        <v>1307</v>
      </c>
      <c r="E719" s="655"/>
      <c r="H719" s="655"/>
      <c r="I719" s="589">
        <f t="shared" si="10"/>
        <v>0</v>
      </c>
      <c r="K719" s="589"/>
      <c r="L719" s="589"/>
      <c r="M719" s="589"/>
      <c r="N719" s="589"/>
      <c r="O719" s="589"/>
      <c r="P719" s="589"/>
      <c r="Q719" s="589"/>
      <c r="R719" s="589"/>
      <c r="S719" s="589"/>
      <c r="T719" s="589"/>
      <c r="U719" s="589"/>
      <c r="V719" s="589"/>
      <c r="W719" s="589"/>
      <c r="X719" s="589"/>
      <c r="Y719" s="589"/>
      <c r="Z719" s="589"/>
      <c r="AA719" s="589"/>
      <c r="AB719" s="589"/>
      <c r="AC719" s="589"/>
      <c r="AD719" s="589"/>
      <c r="AE719" s="329"/>
      <c r="AF719" s="329"/>
      <c r="AG719" s="329"/>
      <c r="AH719" s="329"/>
      <c r="AI719" s="329"/>
      <c r="AJ719" s="329"/>
      <c r="AK719" s="329"/>
      <c r="AL719" s="329"/>
    </row>
    <row r="720" spans="1:38" s="30" customFormat="1" ht="17.100000000000001" customHeight="1">
      <c r="A720" s="329" t="s">
        <v>235</v>
      </c>
      <c r="B720" s="626"/>
      <c r="C720" s="655" t="s">
        <v>2298</v>
      </c>
      <c r="D720" s="571" t="s">
        <v>1307</v>
      </c>
      <c r="E720" s="655"/>
      <c r="H720" s="655"/>
      <c r="I720" s="589">
        <f t="shared" si="10"/>
        <v>0</v>
      </c>
      <c r="K720" s="589"/>
      <c r="L720" s="589"/>
      <c r="M720" s="589"/>
      <c r="N720" s="589"/>
      <c r="O720" s="589"/>
      <c r="P720" s="589"/>
      <c r="Q720" s="589"/>
      <c r="R720" s="589"/>
      <c r="S720" s="589"/>
      <c r="T720" s="589"/>
      <c r="U720" s="589"/>
      <c r="V720" s="589"/>
      <c r="W720" s="589"/>
      <c r="X720" s="589"/>
      <c r="Y720" s="589"/>
      <c r="Z720" s="589"/>
      <c r="AA720" s="589"/>
      <c r="AB720" s="589"/>
      <c r="AC720" s="589"/>
      <c r="AD720" s="589"/>
      <c r="AE720" s="329"/>
      <c r="AF720" s="329"/>
      <c r="AG720" s="329"/>
      <c r="AH720" s="329"/>
      <c r="AI720" s="329"/>
      <c r="AJ720" s="329"/>
      <c r="AK720" s="329"/>
      <c r="AL720" s="329"/>
    </row>
    <row r="721" spans="1:38" s="30" customFormat="1" ht="17.100000000000001" customHeight="1">
      <c r="A721" s="329" t="s">
        <v>2299</v>
      </c>
      <c r="B721" s="626"/>
      <c r="C721" s="655" t="s">
        <v>2300</v>
      </c>
      <c r="D721" s="571" t="s">
        <v>1307</v>
      </c>
      <c r="E721" s="655"/>
      <c r="H721" s="655"/>
      <c r="I721" s="589">
        <f t="shared" si="10"/>
        <v>0</v>
      </c>
      <c r="K721" s="589"/>
      <c r="L721" s="589"/>
      <c r="M721" s="589"/>
      <c r="N721" s="589"/>
      <c r="O721" s="589"/>
      <c r="P721" s="589"/>
      <c r="Q721" s="589"/>
      <c r="R721" s="589"/>
      <c r="S721" s="589"/>
      <c r="T721" s="589"/>
      <c r="U721" s="589"/>
      <c r="V721" s="589"/>
      <c r="W721" s="589"/>
      <c r="X721" s="589"/>
      <c r="Y721" s="589"/>
      <c r="Z721" s="589"/>
      <c r="AA721" s="589"/>
      <c r="AB721" s="589"/>
      <c r="AC721" s="589"/>
      <c r="AD721" s="589"/>
      <c r="AE721" s="329"/>
      <c r="AF721" s="329"/>
      <c r="AG721" s="329"/>
      <c r="AH721" s="329"/>
      <c r="AI721" s="329"/>
      <c r="AJ721" s="329"/>
      <c r="AK721" s="329"/>
      <c r="AL721" s="329"/>
    </row>
    <row r="722" spans="1:38" s="30" customFormat="1" ht="17.100000000000001" customHeight="1">
      <c r="A722" s="329" t="s">
        <v>2743</v>
      </c>
      <c r="B722" s="626"/>
      <c r="C722" s="655" t="s">
        <v>2744</v>
      </c>
      <c r="D722" s="571" t="s">
        <v>1307</v>
      </c>
      <c r="E722" s="655"/>
      <c r="H722" s="655"/>
      <c r="I722" s="589">
        <f t="shared" si="10"/>
        <v>0</v>
      </c>
      <c r="K722" s="589"/>
      <c r="L722" s="589"/>
      <c r="M722" s="589"/>
      <c r="N722" s="589"/>
      <c r="O722" s="589"/>
      <c r="P722" s="589"/>
      <c r="Q722" s="589"/>
      <c r="R722" s="589"/>
      <c r="S722" s="589"/>
      <c r="T722" s="589"/>
      <c r="U722" s="589"/>
      <c r="V722" s="589"/>
      <c r="W722" s="589"/>
      <c r="X722" s="589"/>
      <c r="Y722" s="589"/>
      <c r="Z722" s="589"/>
      <c r="AA722" s="589"/>
      <c r="AB722" s="589"/>
      <c r="AC722" s="589"/>
      <c r="AD722" s="589"/>
      <c r="AE722" s="329"/>
      <c r="AF722" s="329"/>
      <c r="AG722" s="329"/>
      <c r="AH722" s="329"/>
      <c r="AI722" s="329"/>
      <c r="AJ722" s="329"/>
      <c r="AK722" s="329"/>
      <c r="AL722" s="329"/>
    </row>
    <row r="723" spans="1:38" s="30" customFormat="1" ht="17.100000000000001" customHeight="1">
      <c r="A723" s="329" t="s">
        <v>2745</v>
      </c>
      <c r="B723" s="626"/>
      <c r="C723" s="655" t="s">
        <v>2746</v>
      </c>
      <c r="D723" s="571" t="s">
        <v>1307</v>
      </c>
      <c r="E723" s="655"/>
      <c r="H723" s="655"/>
      <c r="I723" s="589">
        <f t="shared" si="10"/>
        <v>0</v>
      </c>
      <c r="K723" s="589"/>
      <c r="L723" s="589"/>
      <c r="M723" s="589"/>
      <c r="N723" s="589"/>
      <c r="O723" s="589"/>
      <c r="P723" s="589"/>
      <c r="Q723" s="589"/>
      <c r="R723" s="589"/>
      <c r="S723" s="589"/>
      <c r="T723" s="589"/>
      <c r="U723" s="589"/>
      <c r="V723" s="589"/>
      <c r="W723" s="589"/>
      <c r="X723" s="589"/>
      <c r="Y723" s="589"/>
      <c r="Z723" s="589"/>
      <c r="AA723" s="589"/>
      <c r="AB723" s="589"/>
      <c r="AC723" s="589"/>
      <c r="AD723" s="589"/>
      <c r="AE723" s="329"/>
      <c r="AF723" s="329"/>
      <c r="AG723" s="329"/>
      <c r="AH723" s="329"/>
      <c r="AI723" s="329"/>
      <c r="AJ723" s="329"/>
      <c r="AK723" s="329"/>
      <c r="AL723" s="329"/>
    </row>
    <row r="724" spans="1:38" s="30" customFormat="1" ht="17.100000000000001" customHeight="1">
      <c r="A724" s="329" t="s">
        <v>2747</v>
      </c>
      <c r="B724" s="626"/>
      <c r="C724" s="655" t="s">
        <v>633</v>
      </c>
      <c r="D724" s="571" t="s">
        <v>1307</v>
      </c>
      <c r="E724" s="655"/>
      <c r="H724" s="655"/>
      <c r="I724" s="589">
        <f t="shared" si="10"/>
        <v>0</v>
      </c>
      <c r="K724" s="589"/>
      <c r="L724" s="589"/>
      <c r="M724" s="589"/>
      <c r="N724" s="589"/>
      <c r="O724" s="589"/>
      <c r="P724" s="589"/>
      <c r="Q724" s="589"/>
      <c r="R724" s="589"/>
      <c r="S724" s="589"/>
      <c r="T724" s="589"/>
      <c r="U724" s="589"/>
      <c r="V724" s="589"/>
      <c r="W724" s="589"/>
      <c r="X724" s="589"/>
      <c r="Y724" s="589"/>
      <c r="Z724" s="589"/>
      <c r="AA724" s="589"/>
      <c r="AB724" s="589"/>
      <c r="AC724" s="589"/>
      <c r="AD724" s="589"/>
      <c r="AE724" s="329"/>
      <c r="AF724" s="329"/>
      <c r="AG724" s="329"/>
      <c r="AH724" s="329"/>
      <c r="AI724" s="329"/>
      <c r="AJ724" s="329"/>
      <c r="AK724" s="329"/>
      <c r="AL724" s="329"/>
    </row>
    <row r="725" spans="1:38" s="30" customFormat="1" ht="17.100000000000001" customHeight="1">
      <c r="A725" s="665"/>
      <c r="B725" s="626"/>
      <c r="C725" s="655"/>
      <c r="D725" s="656"/>
      <c r="E725" s="655"/>
      <c r="H725" s="655"/>
      <c r="I725" s="589">
        <f t="shared" si="10"/>
        <v>0</v>
      </c>
      <c r="K725" s="589"/>
      <c r="L725" s="589"/>
      <c r="M725" s="589"/>
      <c r="N725" s="589"/>
      <c r="O725" s="589"/>
      <c r="P725" s="589"/>
      <c r="Q725" s="589"/>
      <c r="R725" s="589"/>
      <c r="S725" s="589"/>
      <c r="T725" s="589"/>
      <c r="U725" s="589"/>
      <c r="V725" s="589"/>
      <c r="W725" s="589"/>
      <c r="X725" s="589"/>
      <c r="Y725" s="589"/>
      <c r="Z725" s="589"/>
      <c r="AA725" s="589"/>
      <c r="AB725" s="589"/>
      <c r="AC725" s="589"/>
      <c r="AD725" s="589"/>
      <c r="AE725" s="329"/>
      <c r="AF725" s="329"/>
      <c r="AG725" s="329"/>
      <c r="AH725" s="329"/>
      <c r="AI725" s="329"/>
      <c r="AJ725" s="329"/>
      <c r="AK725" s="329"/>
      <c r="AL725" s="329"/>
    </row>
    <row r="726" spans="1:38" s="30" customFormat="1" ht="17.100000000000001" customHeight="1">
      <c r="A726" s="329" t="s">
        <v>634</v>
      </c>
      <c r="B726" s="626"/>
      <c r="C726" s="666" t="s">
        <v>380</v>
      </c>
      <c r="D726" s="571" t="s">
        <v>1307</v>
      </c>
      <c r="E726" s="655"/>
      <c r="H726" s="655"/>
      <c r="I726" s="589">
        <f t="shared" si="10"/>
        <v>0</v>
      </c>
      <c r="K726" s="589"/>
      <c r="L726" s="589"/>
      <c r="M726" s="589"/>
      <c r="N726" s="589"/>
      <c r="O726" s="589"/>
      <c r="P726" s="589"/>
      <c r="Q726" s="589"/>
      <c r="R726" s="589"/>
      <c r="S726" s="589"/>
      <c r="T726" s="589"/>
      <c r="U726" s="589"/>
      <c r="V726" s="589"/>
      <c r="W726" s="589"/>
      <c r="X726" s="589"/>
      <c r="Y726" s="589"/>
      <c r="Z726" s="589"/>
      <c r="AA726" s="589"/>
      <c r="AB726" s="589"/>
      <c r="AC726" s="589"/>
      <c r="AD726" s="589"/>
      <c r="AE726" s="329"/>
      <c r="AF726" s="329"/>
      <c r="AG726" s="329"/>
      <c r="AH726" s="329"/>
      <c r="AI726" s="329"/>
      <c r="AJ726" s="329"/>
      <c r="AK726" s="329"/>
      <c r="AL726" s="329"/>
    </row>
    <row r="727" spans="1:38" s="30" customFormat="1" ht="17.100000000000001" customHeight="1">
      <c r="A727" s="329" t="s">
        <v>381</v>
      </c>
      <c r="B727" s="626"/>
      <c r="C727" s="655" t="s">
        <v>382</v>
      </c>
      <c r="D727" s="571" t="s">
        <v>1307</v>
      </c>
      <c r="E727" s="646">
        <v>29400</v>
      </c>
      <c r="H727" s="646"/>
      <c r="I727" s="589">
        <f t="shared" ref="I727:I758" si="12">IF(E727=H727,0,1)</f>
        <v>1</v>
      </c>
      <c r="J727" s="30" t="s">
        <v>3386</v>
      </c>
      <c r="K727" s="589"/>
      <c r="L727" s="589"/>
      <c r="M727" s="589"/>
      <c r="N727" s="589"/>
      <c r="O727" s="589"/>
      <c r="P727" s="589"/>
      <c r="Q727" s="589"/>
      <c r="R727" s="589"/>
      <c r="S727" s="589"/>
      <c r="T727" s="589"/>
      <c r="U727" s="589"/>
      <c r="V727" s="589"/>
      <c r="W727" s="589"/>
      <c r="X727" s="589"/>
      <c r="Y727" s="589"/>
      <c r="Z727" s="589"/>
      <c r="AA727" s="589"/>
      <c r="AB727" s="589"/>
      <c r="AC727" s="589"/>
      <c r="AD727" s="589"/>
      <c r="AE727" s="329"/>
      <c r="AF727" s="329"/>
      <c r="AG727" s="329"/>
      <c r="AH727" s="329"/>
      <c r="AI727" s="329"/>
      <c r="AJ727" s="329"/>
      <c r="AK727" s="329"/>
      <c r="AL727" s="329"/>
    </row>
    <row r="728" spans="1:38" s="30" customFormat="1" ht="17.100000000000001" customHeight="1">
      <c r="A728" s="329" t="s">
        <v>383</v>
      </c>
      <c r="B728" s="626"/>
      <c r="C728" s="655" t="s">
        <v>1723</v>
      </c>
      <c r="D728" s="571" t="s">
        <v>1307</v>
      </c>
      <c r="E728" s="646">
        <v>35500</v>
      </c>
      <c r="H728" s="646"/>
      <c r="I728" s="589">
        <f t="shared" si="12"/>
        <v>1</v>
      </c>
      <c r="K728" s="589"/>
      <c r="L728" s="589"/>
      <c r="M728" s="589"/>
      <c r="N728" s="589"/>
      <c r="O728" s="589"/>
      <c r="P728" s="589"/>
      <c r="Q728" s="589"/>
      <c r="R728" s="589"/>
      <c r="S728" s="589"/>
      <c r="T728" s="589"/>
      <c r="U728" s="589"/>
      <c r="V728" s="589"/>
      <c r="W728" s="589"/>
      <c r="X728" s="589"/>
      <c r="Y728" s="589"/>
      <c r="Z728" s="589"/>
      <c r="AA728" s="589"/>
      <c r="AB728" s="589"/>
      <c r="AC728" s="589"/>
      <c r="AD728" s="589"/>
      <c r="AE728" s="329"/>
      <c r="AF728" s="329"/>
      <c r="AG728" s="329"/>
      <c r="AH728" s="329"/>
      <c r="AI728" s="329"/>
      <c r="AJ728" s="329"/>
      <c r="AK728" s="329"/>
      <c r="AL728" s="329"/>
    </row>
    <row r="729" spans="1:38" s="30" customFormat="1" ht="17.100000000000001" customHeight="1">
      <c r="A729" s="329" t="s">
        <v>1724</v>
      </c>
      <c r="B729" s="626"/>
      <c r="C729" s="655" t="s">
        <v>1725</v>
      </c>
      <c r="D729" s="571" t="s">
        <v>1307</v>
      </c>
      <c r="E729" s="646">
        <v>42800</v>
      </c>
      <c r="H729" s="646"/>
      <c r="I729" s="589">
        <f t="shared" si="12"/>
        <v>1</v>
      </c>
      <c r="K729" s="589"/>
      <c r="L729" s="589"/>
      <c r="M729" s="589"/>
      <c r="N729" s="589"/>
      <c r="O729" s="589"/>
      <c r="P729" s="589"/>
      <c r="Q729" s="589"/>
      <c r="R729" s="589"/>
      <c r="S729" s="589"/>
      <c r="T729" s="589"/>
      <c r="U729" s="589"/>
      <c r="V729" s="589"/>
      <c r="W729" s="589"/>
      <c r="X729" s="589"/>
      <c r="Y729" s="589"/>
      <c r="Z729" s="589"/>
      <c r="AA729" s="589"/>
      <c r="AB729" s="589"/>
      <c r="AC729" s="589"/>
      <c r="AD729" s="589"/>
      <c r="AE729" s="329"/>
      <c r="AF729" s="329"/>
      <c r="AG729" s="329"/>
      <c r="AH729" s="329"/>
      <c r="AI729" s="329"/>
      <c r="AJ729" s="329"/>
      <c r="AK729" s="329"/>
      <c r="AL729" s="329"/>
    </row>
    <row r="730" spans="1:38" s="30" customFormat="1" ht="17.100000000000001" customHeight="1">
      <c r="A730" s="329" t="s">
        <v>1726</v>
      </c>
      <c r="B730" s="626"/>
      <c r="C730" s="655" t="s">
        <v>1727</v>
      </c>
      <c r="D730" s="571" t="s">
        <v>1307</v>
      </c>
      <c r="E730" s="646">
        <v>41475</v>
      </c>
      <c r="H730" s="646"/>
      <c r="I730" s="589">
        <f t="shared" si="12"/>
        <v>1</v>
      </c>
      <c r="K730" s="589"/>
      <c r="L730" s="589"/>
      <c r="M730" s="589"/>
      <c r="N730" s="589"/>
      <c r="O730" s="589"/>
      <c r="P730" s="589"/>
      <c r="Q730" s="589"/>
      <c r="R730" s="589"/>
      <c r="S730" s="589"/>
      <c r="T730" s="589"/>
      <c r="U730" s="589"/>
      <c r="V730" s="589"/>
      <c r="W730" s="589"/>
      <c r="X730" s="589"/>
      <c r="Y730" s="589"/>
      <c r="Z730" s="589"/>
      <c r="AA730" s="589"/>
      <c r="AB730" s="589"/>
      <c r="AC730" s="589"/>
      <c r="AD730" s="589"/>
      <c r="AE730" s="329"/>
      <c r="AF730" s="329"/>
      <c r="AG730" s="329"/>
      <c r="AH730" s="329"/>
      <c r="AI730" s="329"/>
      <c r="AJ730" s="329"/>
      <c r="AK730" s="329"/>
      <c r="AL730" s="329"/>
    </row>
    <row r="731" spans="1:38" s="30" customFormat="1" ht="17.100000000000001" customHeight="1">
      <c r="A731" s="329" t="s">
        <v>1728</v>
      </c>
      <c r="B731" s="626"/>
      <c r="C731" s="655" t="s">
        <v>6390</v>
      </c>
      <c r="D731" s="571" t="s">
        <v>1307</v>
      </c>
      <c r="E731" s="646">
        <v>71500</v>
      </c>
      <c r="H731" s="655"/>
      <c r="I731" s="589">
        <f t="shared" si="12"/>
        <v>1</v>
      </c>
      <c r="K731" s="589"/>
      <c r="L731" s="589"/>
      <c r="M731" s="589"/>
      <c r="N731" s="589"/>
      <c r="O731" s="589"/>
      <c r="P731" s="589"/>
      <c r="Q731" s="589"/>
      <c r="R731" s="589"/>
      <c r="S731" s="589"/>
      <c r="T731" s="589"/>
      <c r="U731" s="589"/>
      <c r="V731" s="589"/>
      <c r="W731" s="589"/>
      <c r="X731" s="589"/>
      <c r="Y731" s="589"/>
      <c r="Z731" s="589"/>
      <c r="AA731" s="589"/>
      <c r="AB731" s="589"/>
      <c r="AC731" s="589"/>
      <c r="AD731" s="589"/>
      <c r="AE731" s="329"/>
      <c r="AF731" s="329"/>
      <c r="AG731" s="329"/>
      <c r="AH731" s="329"/>
      <c r="AI731" s="329"/>
      <c r="AJ731" s="329"/>
      <c r="AK731" s="329"/>
      <c r="AL731" s="329"/>
    </row>
    <row r="732" spans="1:38" s="30" customFormat="1" ht="17.100000000000001" customHeight="1">
      <c r="A732" s="329" t="s">
        <v>6391</v>
      </c>
      <c r="B732" s="626"/>
      <c r="C732" s="655" t="s">
        <v>6392</v>
      </c>
      <c r="D732" s="571" t="s">
        <v>1307</v>
      </c>
      <c r="E732" s="646">
        <v>85700</v>
      </c>
      <c r="H732" s="655"/>
      <c r="I732" s="589">
        <f t="shared" si="12"/>
        <v>1</v>
      </c>
      <c r="K732" s="589"/>
      <c r="L732" s="589"/>
      <c r="M732" s="589"/>
      <c r="N732" s="589"/>
      <c r="O732" s="589"/>
      <c r="P732" s="589"/>
      <c r="Q732" s="589"/>
      <c r="R732" s="589"/>
      <c r="S732" s="589"/>
      <c r="T732" s="589"/>
      <c r="U732" s="589"/>
      <c r="V732" s="589"/>
      <c r="W732" s="589"/>
      <c r="X732" s="589"/>
      <c r="Y732" s="589"/>
      <c r="Z732" s="589"/>
      <c r="AA732" s="589"/>
      <c r="AB732" s="589"/>
      <c r="AC732" s="589"/>
      <c r="AD732" s="589"/>
      <c r="AE732" s="329"/>
      <c r="AF732" s="329"/>
      <c r="AG732" s="329"/>
      <c r="AH732" s="329"/>
      <c r="AI732" s="329"/>
      <c r="AJ732" s="329"/>
      <c r="AK732" s="329"/>
      <c r="AL732" s="329"/>
    </row>
    <row r="733" spans="1:38" s="30" customFormat="1" ht="17.100000000000001" customHeight="1">
      <c r="A733" s="329" t="s">
        <v>6393</v>
      </c>
      <c r="B733" s="626"/>
      <c r="C733" s="655" t="s">
        <v>1921</v>
      </c>
      <c r="D733" s="571" t="s">
        <v>1307</v>
      </c>
      <c r="E733" s="646">
        <v>94000</v>
      </c>
      <c r="H733" s="655"/>
      <c r="I733" s="589">
        <f t="shared" si="12"/>
        <v>1</v>
      </c>
      <c r="K733" s="589"/>
      <c r="L733" s="589"/>
      <c r="M733" s="589"/>
      <c r="N733" s="589"/>
      <c r="O733" s="589"/>
      <c r="P733" s="589"/>
      <c r="Q733" s="589"/>
      <c r="R733" s="589"/>
      <c r="S733" s="589"/>
      <c r="T733" s="589"/>
      <c r="U733" s="589"/>
      <c r="V733" s="589"/>
      <c r="W733" s="589"/>
      <c r="X733" s="589"/>
      <c r="Y733" s="589"/>
      <c r="Z733" s="589"/>
      <c r="AA733" s="589"/>
      <c r="AB733" s="589"/>
      <c r="AC733" s="589"/>
      <c r="AD733" s="589"/>
      <c r="AE733" s="329"/>
      <c r="AF733" s="329"/>
      <c r="AG733" s="329"/>
      <c r="AH733" s="329"/>
      <c r="AI733" s="329"/>
      <c r="AJ733" s="329"/>
      <c r="AK733" s="329"/>
      <c r="AL733" s="329"/>
    </row>
    <row r="734" spans="1:38" s="30" customFormat="1" ht="17.100000000000001" customHeight="1">
      <c r="A734" s="329"/>
      <c r="B734" s="626"/>
      <c r="C734" s="655"/>
      <c r="D734" s="571"/>
      <c r="E734" s="655"/>
      <c r="H734" s="655"/>
      <c r="I734" s="589">
        <f t="shared" si="12"/>
        <v>0</v>
      </c>
      <c r="K734" s="589"/>
      <c r="L734" s="589"/>
      <c r="M734" s="589"/>
      <c r="N734" s="589"/>
      <c r="O734" s="589"/>
      <c r="P734" s="589"/>
      <c r="Q734" s="589"/>
      <c r="R734" s="589"/>
      <c r="S734" s="589"/>
      <c r="T734" s="589"/>
      <c r="U734" s="589"/>
      <c r="V734" s="589"/>
      <c r="W734" s="589"/>
      <c r="X734" s="589"/>
      <c r="Y734" s="589"/>
      <c r="Z734" s="589"/>
      <c r="AA734" s="589"/>
      <c r="AB734" s="589"/>
      <c r="AC734" s="589"/>
      <c r="AD734" s="589"/>
      <c r="AE734" s="329"/>
      <c r="AF734" s="329"/>
      <c r="AG734" s="329"/>
      <c r="AH734" s="329"/>
      <c r="AI734" s="329"/>
      <c r="AJ734" s="329"/>
      <c r="AK734" s="329"/>
      <c r="AL734" s="329"/>
    </row>
    <row r="735" spans="1:38" s="30" customFormat="1" ht="17.100000000000001" customHeight="1">
      <c r="A735" s="329" t="s">
        <v>6394</v>
      </c>
      <c r="B735" s="626"/>
      <c r="C735" s="666" t="s">
        <v>2334</v>
      </c>
      <c r="D735" s="571" t="s">
        <v>1307</v>
      </c>
      <c r="E735" s="655"/>
      <c r="H735" s="655"/>
      <c r="I735" s="589">
        <f t="shared" si="12"/>
        <v>0</v>
      </c>
      <c r="K735" s="589"/>
      <c r="L735" s="589"/>
      <c r="M735" s="589"/>
      <c r="N735" s="589"/>
      <c r="O735" s="589"/>
      <c r="P735" s="589"/>
      <c r="Q735" s="589"/>
      <c r="R735" s="589"/>
      <c r="S735" s="589"/>
      <c r="T735" s="589"/>
      <c r="U735" s="589"/>
      <c r="V735" s="589"/>
      <c r="W735" s="589"/>
      <c r="X735" s="589"/>
      <c r="Y735" s="589"/>
      <c r="Z735" s="589"/>
      <c r="AA735" s="589"/>
      <c r="AB735" s="589"/>
      <c r="AC735" s="589"/>
      <c r="AD735" s="589"/>
      <c r="AE735" s="329"/>
      <c r="AF735" s="329"/>
      <c r="AG735" s="329"/>
      <c r="AH735" s="329"/>
      <c r="AI735" s="329"/>
      <c r="AJ735" s="329"/>
      <c r="AK735" s="329"/>
      <c r="AL735" s="329"/>
    </row>
    <row r="736" spans="1:38" s="30" customFormat="1" ht="17.100000000000001" customHeight="1">
      <c r="A736" s="329" t="s">
        <v>1922</v>
      </c>
      <c r="B736" s="626"/>
      <c r="C736" s="655" t="s">
        <v>982</v>
      </c>
      <c r="D736" s="571" t="s">
        <v>1307</v>
      </c>
      <c r="E736" s="646">
        <v>29400</v>
      </c>
      <c r="H736" s="646"/>
      <c r="I736" s="589">
        <f t="shared" si="12"/>
        <v>1</v>
      </c>
      <c r="J736" s="30" t="s">
        <v>3386</v>
      </c>
      <c r="K736" s="589"/>
      <c r="L736" s="589"/>
      <c r="M736" s="589"/>
      <c r="N736" s="589"/>
      <c r="O736" s="589"/>
      <c r="P736" s="589"/>
      <c r="Q736" s="589"/>
      <c r="R736" s="589"/>
      <c r="S736" s="589"/>
      <c r="T736" s="589"/>
      <c r="U736" s="589"/>
      <c r="V736" s="589"/>
      <c r="W736" s="589"/>
      <c r="X736" s="589"/>
      <c r="Y736" s="589"/>
      <c r="Z736" s="589"/>
      <c r="AA736" s="589"/>
      <c r="AB736" s="589"/>
      <c r="AC736" s="589"/>
      <c r="AD736" s="589"/>
      <c r="AE736" s="329"/>
      <c r="AF736" s="329"/>
      <c r="AG736" s="329"/>
      <c r="AH736" s="329"/>
      <c r="AI736" s="329"/>
      <c r="AJ736" s="329"/>
      <c r="AK736" s="329"/>
      <c r="AL736" s="329"/>
    </row>
    <row r="737" spans="1:38" s="30" customFormat="1" ht="17.100000000000001" customHeight="1">
      <c r="A737" s="329" t="s">
        <v>2335</v>
      </c>
      <c r="B737" s="626"/>
      <c r="C737" s="655" t="s">
        <v>984</v>
      </c>
      <c r="D737" s="571" t="s">
        <v>1307</v>
      </c>
      <c r="E737" s="646">
        <v>35500</v>
      </c>
      <c r="H737" s="646"/>
      <c r="I737" s="589">
        <f t="shared" si="12"/>
        <v>1</v>
      </c>
      <c r="K737" s="589"/>
      <c r="L737" s="589"/>
      <c r="M737" s="589"/>
      <c r="N737" s="589"/>
      <c r="O737" s="589"/>
      <c r="P737" s="589"/>
      <c r="Q737" s="589"/>
      <c r="R737" s="589"/>
      <c r="S737" s="589"/>
      <c r="T737" s="589"/>
      <c r="U737" s="589"/>
      <c r="V737" s="589"/>
      <c r="W737" s="589"/>
      <c r="X737" s="589"/>
      <c r="Y737" s="589"/>
      <c r="Z737" s="589"/>
      <c r="AA737" s="589"/>
      <c r="AB737" s="589"/>
      <c r="AC737" s="589"/>
      <c r="AD737" s="589"/>
      <c r="AE737" s="329"/>
      <c r="AF737" s="329"/>
      <c r="AG737" s="329"/>
      <c r="AH737" s="329"/>
      <c r="AI737" s="329"/>
      <c r="AJ737" s="329"/>
      <c r="AK737" s="329"/>
      <c r="AL737" s="329"/>
    </row>
    <row r="738" spans="1:38" s="30" customFormat="1" ht="17.100000000000001" customHeight="1">
      <c r="A738" s="329" t="s">
        <v>983</v>
      </c>
      <c r="B738" s="626"/>
      <c r="C738" s="655" t="s">
        <v>3794</v>
      </c>
      <c r="D738" s="571" t="s">
        <v>1307</v>
      </c>
      <c r="E738" s="646">
        <v>42800</v>
      </c>
      <c r="H738" s="646"/>
      <c r="I738" s="589">
        <f t="shared" si="12"/>
        <v>1</v>
      </c>
      <c r="K738" s="589"/>
      <c r="L738" s="589"/>
      <c r="M738" s="589"/>
      <c r="N738" s="589"/>
      <c r="O738" s="589"/>
      <c r="P738" s="589"/>
      <c r="Q738" s="589"/>
      <c r="R738" s="589"/>
      <c r="S738" s="589"/>
      <c r="T738" s="589"/>
      <c r="U738" s="589"/>
      <c r="V738" s="589"/>
      <c r="W738" s="589"/>
      <c r="X738" s="589"/>
      <c r="Y738" s="589"/>
      <c r="Z738" s="589"/>
      <c r="AA738" s="589"/>
      <c r="AB738" s="589"/>
      <c r="AC738" s="589"/>
      <c r="AD738" s="589"/>
      <c r="AE738" s="329"/>
      <c r="AF738" s="329"/>
      <c r="AG738" s="329"/>
      <c r="AH738" s="329"/>
      <c r="AI738" s="329"/>
      <c r="AJ738" s="329"/>
      <c r="AK738" s="329"/>
      <c r="AL738" s="329"/>
    </row>
    <row r="739" spans="1:38" s="30" customFormat="1" ht="17.100000000000001" customHeight="1">
      <c r="A739" s="329" t="s">
        <v>985</v>
      </c>
      <c r="B739" s="626"/>
      <c r="C739" s="655" t="s">
        <v>2206</v>
      </c>
      <c r="D739" s="571" t="s">
        <v>1307</v>
      </c>
      <c r="E739" s="646">
        <v>41475</v>
      </c>
      <c r="H739" s="646"/>
      <c r="I739" s="589">
        <f t="shared" si="12"/>
        <v>1</v>
      </c>
      <c r="K739" s="589"/>
      <c r="L739" s="589"/>
      <c r="M739" s="589"/>
      <c r="N739" s="589"/>
      <c r="O739" s="589"/>
      <c r="P739" s="589"/>
      <c r="Q739" s="589"/>
      <c r="R739" s="589"/>
      <c r="S739" s="589"/>
      <c r="T739" s="589"/>
      <c r="U739" s="589"/>
      <c r="V739" s="589"/>
      <c r="W739" s="589"/>
      <c r="X739" s="589"/>
      <c r="Y739" s="589"/>
      <c r="Z739" s="589"/>
      <c r="AA739" s="589"/>
      <c r="AB739" s="589"/>
      <c r="AC739" s="589"/>
      <c r="AD739" s="589"/>
      <c r="AE739" s="329"/>
      <c r="AF739" s="329"/>
      <c r="AG739" s="329"/>
      <c r="AH739" s="329"/>
      <c r="AI739" s="329"/>
      <c r="AJ739" s="329"/>
      <c r="AK739" s="329"/>
      <c r="AL739" s="329"/>
    </row>
    <row r="740" spans="1:38" s="30" customFormat="1" ht="17.100000000000001" customHeight="1">
      <c r="A740" s="329" t="s">
        <v>3795</v>
      </c>
      <c r="B740" s="626"/>
      <c r="C740" s="655" t="s">
        <v>2208</v>
      </c>
      <c r="D740" s="571" t="s">
        <v>1307</v>
      </c>
      <c r="E740" s="646">
        <v>71500</v>
      </c>
      <c r="H740" s="646"/>
      <c r="I740" s="589">
        <f t="shared" si="12"/>
        <v>1</v>
      </c>
      <c r="K740" s="589"/>
      <c r="L740" s="589"/>
      <c r="M740" s="589"/>
      <c r="N740" s="589"/>
      <c r="O740" s="589"/>
      <c r="P740" s="589"/>
      <c r="Q740" s="589"/>
      <c r="R740" s="589"/>
      <c r="S740" s="589"/>
      <c r="T740" s="589"/>
      <c r="U740" s="589"/>
      <c r="V740" s="589"/>
      <c r="W740" s="589"/>
      <c r="X740" s="589"/>
      <c r="Y740" s="589"/>
      <c r="Z740" s="589"/>
      <c r="AA740" s="589"/>
      <c r="AB740" s="589"/>
      <c r="AC740" s="589"/>
      <c r="AD740" s="589"/>
      <c r="AE740" s="329"/>
      <c r="AF740" s="329"/>
      <c r="AG740" s="329"/>
      <c r="AH740" s="329"/>
      <c r="AI740" s="329"/>
      <c r="AJ740" s="329"/>
      <c r="AK740" s="329"/>
      <c r="AL740" s="329"/>
    </row>
    <row r="741" spans="1:38" s="30" customFormat="1" ht="17.100000000000001" customHeight="1">
      <c r="A741" s="329" t="s">
        <v>2207</v>
      </c>
      <c r="B741" s="626"/>
      <c r="C741" s="655" t="s">
        <v>4390</v>
      </c>
      <c r="D741" s="571" t="s">
        <v>1307</v>
      </c>
      <c r="E741" s="646">
        <v>85700</v>
      </c>
      <c r="H741" s="646"/>
      <c r="I741" s="589">
        <f>IF(E741=H741,0,1)</f>
        <v>1</v>
      </c>
      <c r="K741" s="589"/>
      <c r="L741" s="589"/>
      <c r="M741" s="589"/>
      <c r="N741" s="589"/>
      <c r="O741" s="589"/>
      <c r="P741" s="589"/>
      <c r="Q741" s="589"/>
      <c r="R741" s="589"/>
      <c r="S741" s="589"/>
      <c r="T741" s="589"/>
      <c r="U741" s="589"/>
      <c r="V741" s="589"/>
      <c r="W741" s="589"/>
      <c r="X741" s="589"/>
      <c r="Y741" s="589"/>
      <c r="Z741" s="589"/>
      <c r="AA741" s="589"/>
      <c r="AB741" s="589"/>
      <c r="AC741" s="589"/>
      <c r="AD741" s="589"/>
      <c r="AE741" s="329"/>
      <c r="AF741" s="329"/>
      <c r="AG741" s="329"/>
      <c r="AH741" s="329"/>
      <c r="AI741" s="329"/>
      <c r="AJ741" s="329"/>
      <c r="AK741" s="329"/>
      <c r="AL741" s="329"/>
    </row>
    <row r="742" spans="1:38" s="30" customFormat="1" ht="17.100000000000001" customHeight="1">
      <c r="A742" s="329" t="s">
        <v>2209</v>
      </c>
      <c r="B742" s="626"/>
      <c r="C742" s="655" t="s">
        <v>564</v>
      </c>
      <c r="D742" s="571" t="s">
        <v>1307</v>
      </c>
      <c r="E742" s="646">
        <v>94000</v>
      </c>
      <c r="H742" s="646"/>
      <c r="I742" s="589">
        <f t="shared" si="12"/>
        <v>1</v>
      </c>
      <c r="K742" s="589"/>
      <c r="L742" s="589"/>
      <c r="M742" s="589"/>
      <c r="N742" s="589"/>
      <c r="O742" s="589"/>
      <c r="P742" s="589"/>
      <c r="Q742" s="589"/>
      <c r="R742" s="589"/>
      <c r="S742" s="589"/>
      <c r="T742" s="589"/>
      <c r="U742" s="589"/>
      <c r="V742" s="589"/>
      <c r="W742" s="589"/>
      <c r="X742" s="589"/>
      <c r="Y742" s="589"/>
      <c r="Z742" s="589"/>
      <c r="AA742" s="589"/>
      <c r="AB742" s="589"/>
      <c r="AC742" s="589"/>
      <c r="AD742" s="589"/>
      <c r="AE742" s="329"/>
      <c r="AF742" s="329"/>
      <c r="AG742" s="329"/>
      <c r="AH742" s="329"/>
      <c r="AI742" s="329"/>
      <c r="AJ742" s="329"/>
      <c r="AK742" s="329"/>
      <c r="AL742" s="329"/>
    </row>
    <row r="743" spans="1:38">
      <c r="A743" s="679"/>
      <c r="B743" s="626"/>
      <c r="C743" s="614"/>
      <c r="D743" s="571"/>
      <c r="E743" s="655"/>
      <c r="F743" s="329"/>
      <c r="H743" s="655"/>
      <c r="I743" s="589">
        <f t="shared" si="12"/>
        <v>0</v>
      </c>
      <c r="K743" s="589"/>
      <c r="L743" s="589"/>
      <c r="M743" s="589"/>
      <c r="N743" s="589"/>
      <c r="O743" s="589"/>
      <c r="P743" s="589"/>
      <c r="Q743" s="589"/>
      <c r="R743" s="589"/>
      <c r="S743" s="589"/>
      <c r="T743" s="589"/>
      <c r="U743" s="589"/>
      <c r="V743" s="589"/>
      <c r="W743" s="589"/>
      <c r="X743" s="589"/>
      <c r="Y743" s="589"/>
      <c r="AA743" s="589"/>
      <c r="AB743" s="589"/>
      <c r="AC743" s="589"/>
      <c r="AD743" s="589"/>
    </row>
    <row r="744" spans="1:38">
      <c r="A744" s="329" t="s">
        <v>565</v>
      </c>
      <c r="B744" s="626"/>
      <c r="C744" s="655" t="s">
        <v>1054</v>
      </c>
      <c r="D744" s="571" t="s">
        <v>1307</v>
      </c>
      <c r="E744" s="646">
        <v>10800</v>
      </c>
      <c r="H744" s="655"/>
      <c r="I744" s="589">
        <f t="shared" si="12"/>
        <v>1</v>
      </c>
      <c r="K744" s="589"/>
      <c r="L744" s="589"/>
      <c r="M744" s="589"/>
      <c r="N744" s="589"/>
      <c r="O744" s="589"/>
      <c r="P744" s="589"/>
      <c r="Q744" s="589"/>
      <c r="R744" s="589"/>
      <c r="S744" s="589"/>
      <c r="T744" s="589"/>
      <c r="U744" s="589"/>
      <c r="V744" s="589"/>
      <c r="W744" s="589"/>
      <c r="X744" s="589"/>
      <c r="Y744" s="589"/>
      <c r="AA744" s="589"/>
      <c r="AB744" s="589"/>
      <c r="AC744" s="589"/>
      <c r="AD744" s="589"/>
    </row>
    <row r="745" spans="1:38">
      <c r="A745" s="329" t="s">
        <v>566</v>
      </c>
      <c r="B745" s="626"/>
      <c r="C745" s="655" t="s">
        <v>1055</v>
      </c>
      <c r="D745" s="571" t="s">
        <v>1307</v>
      </c>
      <c r="E745" s="646">
        <v>16500</v>
      </c>
      <c r="H745" s="655"/>
      <c r="I745" s="589">
        <f t="shared" si="12"/>
        <v>1</v>
      </c>
      <c r="K745" s="589"/>
      <c r="L745" s="589"/>
      <c r="M745" s="589"/>
      <c r="N745" s="589"/>
      <c r="O745" s="589"/>
      <c r="P745" s="589"/>
      <c r="Q745" s="589"/>
      <c r="R745" s="589"/>
      <c r="S745" s="589"/>
      <c r="T745" s="589"/>
      <c r="U745" s="589"/>
      <c r="V745" s="589"/>
      <c r="W745" s="589"/>
      <c r="X745" s="589"/>
      <c r="Y745" s="589"/>
      <c r="AA745" s="589"/>
      <c r="AB745" s="589"/>
      <c r="AC745" s="589"/>
      <c r="AD745" s="589"/>
    </row>
    <row r="746" spans="1:38">
      <c r="A746" s="329" t="s">
        <v>567</v>
      </c>
      <c r="B746" s="626"/>
      <c r="C746" s="655" t="s">
        <v>2899</v>
      </c>
      <c r="D746" s="571" t="s">
        <v>1307</v>
      </c>
      <c r="E746" s="646">
        <v>18400</v>
      </c>
      <c r="H746" s="655"/>
      <c r="I746" s="589">
        <f t="shared" si="12"/>
        <v>1</v>
      </c>
      <c r="K746" s="589"/>
      <c r="L746" s="589"/>
      <c r="M746" s="589"/>
      <c r="N746" s="589"/>
      <c r="O746" s="589"/>
      <c r="P746" s="589"/>
      <c r="Q746" s="589"/>
      <c r="R746" s="589"/>
      <c r="S746" s="589"/>
      <c r="T746" s="589"/>
      <c r="U746" s="589"/>
      <c r="V746" s="589"/>
      <c r="W746" s="589"/>
      <c r="X746" s="589"/>
      <c r="Y746" s="589"/>
      <c r="AA746" s="589"/>
      <c r="AB746" s="589"/>
      <c r="AC746" s="589"/>
      <c r="AD746" s="589"/>
    </row>
    <row r="747" spans="1:38">
      <c r="A747" s="329" t="s">
        <v>568</v>
      </c>
      <c r="B747" s="626"/>
      <c r="C747" s="655" t="s">
        <v>2900</v>
      </c>
      <c r="D747" s="571" t="s">
        <v>1307</v>
      </c>
      <c r="E747" s="646">
        <v>23200</v>
      </c>
      <c r="H747" s="655"/>
      <c r="I747" s="589">
        <f t="shared" si="12"/>
        <v>1</v>
      </c>
      <c r="K747" s="589"/>
      <c r="L747" s="589"/>
      <c r="M747" s="589"/>
      <c r="N747" s="589"/>
      <c r="O747" s="589"/>
      <c r="P747" s="589"/>
      <c r="Q747" s="589"/>
      <c r="R747" s="589"/>
      <c r="S747" s="589"/>
      <c r="T747" s="589"/>
      <c r="U747" s="589"/>
      <c r="V747" s="589"/>
      <c r="W747" s="589"/>
      <c r="X747" s="589"/>
      <c r="Y747" s="589"/>
      <c r="AA747" s="589"/>
      <c r="AB747" s="589"/>
      <c r="AC747" s="589"/>
      <c r="AD747" s="589"/>
    </row>
    <row r="748" spans="1:38">
      <c r="A748" s="329" t="s">
        <v>5431</v>
      </c>
      <c r="B748" s="626"/>
      <c r="C748" s="655" t="s">
        <v>3039</v>
      </c>
      <c r="D748" s="571" t="s">
        <v>1307</v>
      </c>
      <c r="E748" s="646">
        <v>25100</v>
      </c>
      <c r="H748" s="655"/>
      <c r="I748" s="589">
        <f t="shared" si="12"/>
        <v>1</v>
      </c>
      <c r="K748" s="589"/>
      <c r="L748" s="589"/>
      <c r="M748" s="589"/>
      <c r="N748" s="589"/>
      <c r="O748" s="589"/>
      <c r="P748" s="589"/>
      <c r="Q748" s="589"/>
      <c r="R748" s="589"/>
      <c r="S748" s="589"/>
      <c r="T748" s="589"/>
      <c r="U748" s="589"/>
      <c r="V748" s="589"/>
      <c r="W748" s="589"/>
      <c r="X748" s="589"/>
      <c r="Y748" s="589"/>
      <c r="AA748" s="589"/>
      <c r="AB748" s="589"/>
      <c r="AC748" s="589"/>
      <c r="AD748" s="589"/>
    </row>
    <row r="749" spans="1:38">
      <c r="A749" s="329" t="s">
        <v>5432</v>
      </c>
      <c r="B749" s="626"/>
      <c r="C749" s="655" t="s">
        <v>3040</v>
      </c>
      <c r="D749" s="571" t="s">
        <v>1307</v>
      </c>
      <c r="E749" s="646">
        <v>32400</v>
      </c>
      <c r="H749" s="655"/>
      <c r="I749" s="589">
        <f t="shared" si="12"/>
        <v>1</v>
      </c>
      <c r="K749" s="589"/>
      <c r="L749" s="589"/>
      <c r="M749" s="589"/>
      <c r="N749" s="589"/>
      <c r="O749" s="589"/>
      <c r="P749" s="589"/>
      <c r="Q749" s="589"/>
      <c r="R749" s="589"/>
      <c r="S749" s="589"/>
      <c r="T749" s="589"/>
      <c r="U749" s="589"/>
      <c r="V749" s="589"/>
      <c r="W749" s="589"/>
      <c r="X749" s="589"/>
      <c r="Y749" s="589"/>
      <c r="AA749" s="589"/>
      <c r="AB749" s="589"/>
      <c r="AC749" s="589"/>
      <c r="AD749" s="589"/>
    </row>
    <row r="750" spans="1:38">
      <c r="A750" s="329" t="s">
        <v>778</v>
      </c>
      <c r="B750" s="626"/>
      <c r="C750" s="655" t="s">
        <v>3041</v>
      </c>
      <c r="D750" s="571" t="s">
        <v>1307</v>
      </c>
      <c r="E750" s="646">
        <v>34100</v>
      </c>
      <c r="H750" s="655"/>
      <c r="I750" s="589">
        <f t="shared" si="12"/>
        <v>1</v>
      </c>
      <c r="K750" s="589"/>
      <c r="L750" s="589"/>
      <c r="M750" s="589"/>
      <c r="N750" s="589"/>
      <c r="O750" s="589"/>
      <c r="P750" s="589"/>
      <c r="Q750" s="589"/>
      <c r="R750" s="589"/>
      <c r="S750" s="589"/>
      <c r="T750" s="589"/>
      <c r="U750" s="589"/>
      <c r="V750" s="589"/>
      <c r="W750" s="589"/>
      <c r="X750" s="589"/>
      <c r="Y750" s="589"/>
      <c r="AA750" s="589"/>
      <c r="AB750" s="589"/>
      <c r="AC750" s="589"/>
      <c r="AD750" s="589"/>
    </row>
    <row r="751" spans="1:38">
      <c r="A751" s="329" t="s">
        <v>779</v>
      </c>
      <c r="B751" s="626"/>
      <c r="C751" s="655" t="s">
        <v>4045</v>
      </c>
      <c r="D751" s="571" t="s">
        <v>1307</v>
      </c>
      <c r="E751" s="646">
        <v>39200</v>
      </c>
      <c r="H751" s="655"/>
      <c r="I751" s="589">
        <f t="shared" si="12"/>
        <v>1</v>
      </c>
      <c r="K751" s="589"/>
      <c r="L751" s="589"/>
      <c r="M751" s="589"/>
      <c r="N751" s="589"/>
      <c r="O751" s="589"/>
      <c r="P751" s="589"/>
      <c r="Q751" s="589"/>
      <c r="R751" s="589"/>
      <c r="S751" s="589"/>
      <c r="T751" s="589"/>
      <c r="U751" s="589"/>
      <c r="V751" s="589"/>
      <c r="W751" s="589"/>
      <c r="X751" s="589"/>
      <c r="Y751" s="589"/>
      <c r="AA751" s="589"/>
      <c r="AB751" s="589"/>
      <c r="AC751" s="589"/>
      <c r="AD751" s="589"/>
    </row>
    <row r="752" spans="1:38">
      <c r="A752" s="329" t="s">
        <v>780</v>
      </c>
      <c r="B752" s="626"/>
      <c r="C752" s="655" t="s">
        <v>391</v>
      </c>
      <c r="D752" s="571" t="s">
        <v>1307</v>
      </c>
      <c r="E752" s="646">
        <v>41800</v>
      </c>
      <c r="H752" s="655"/>
      <c r="I752" s="589">
        <f t="shared" si="12"/>
        <v>1</v>
      </c>
      <c r="K752" s="589"/>
      <c r="L752" s="589"/>
      <c r="M752" s="589"/>
      <c r="N752" s="589"/>
      <c r="O752" s="589"/>
      <c r="P752" s="589"/>
      <c r="Q752" s="589"/>
      <c r="R752" s="589"/>
      <c r="S752" s="589"/>
      <c r="T752" s="589"/>
      <c r="U752" s="589"/>
      <c r="V752" s="589"/>
      <c r="W752" s="589"/>
      <c r="X752" s="589"/>
      <c r="Y752" s="589"/>
      <c r="AA752" s="589"/>
      <c r="AB752" s="589"/>
      <c r="AC752" s="589"/>
      <c r="AD752" s="589"/>
    </row>
    <row r="753" spans="1:30">
      <c r="A753" s="329" t="s">
        <v>781</v>
      </c>
      <c r="B753" s="626"/>
      <c r="C753" s="655" t="s">
        <v>392</v>
      </c>
      <c r="D753" s="571" t="s">
        <v>1307</v>
      </c>
      <c r="E753" s="646">
        <v>49500</v>
      </c>
      <c r="H753" s="655"/>
      <c r="I753" s="589">
        <f t="shared" si="12"/>
        <v>1</v>
      </c>
      <c r="K753" s="589"/>
      <c r="L753" s="589"/>
      <c r="M753" s="589"/>
      <c r="N753" s="589"/>
      <c r="O753" s="589"/>
      <c r="P753" s="589"/>
      <c r="Q753" s="589"/>
      <c r="R753" s="589"/>
      <c r="S753" s="589"/>
      <c r="T753" s="589"/>
      <c r="U753" s="589"/>
      <c r="V753" s="589"/>
      <c r="W753" s="589"/>
      <c r="X753" s="589"/>
      <c r="Y753" s="589"/>
      <c r="AA753" s="589"/>
      <c r="AB753" s="589"/>
      <c r="AC753" s="589"/>
      <c r="AD753" s="589"/>
    </row>
    <row r="754" spans="1:30">
      <c r="A754" s="329" t="s">
        <v>782</v>
      </c>
      <c r="B754" s="626"/>
      <c r="C754" s="655" t="s">
        <v>393</v>
      </c>
      <c r="D754" s="571" t="s">
        <v>1307</v>
      </c>
      <c r="E754" s="646">
        <v>51700</v>
      </c>
      <c r="H754" s="655"/>
      <c r="I754" s="589">
        <f t="shared" si="12"/>
        <v>1</v>
      </c>
      <c r="K754" s="589"/>
      <c r="L754" s="589"/>
      <c r="M754" s="589"/>
      <c r="N754" s="589"/>
      <c r="O754" s="589"/>
      <c r="P754" s="589"/>
      <c r="Q754" s="589"/>
      <c r="R754" s="589"/>
      <c r="S754" s="589"/>
      <c r="T754" s="589"/>
      <c r="U754" s="589"/>
      <c r="V754" s="589"/>
      <c r="W754" s="589"/>
      <c r="X754" s="589"/>
      <c r="Y754" s="589"/>
      <c r="AA754" s="589"/>
      <c r="AB754" s="589"/>
      <c r="AC754" s="589"/>
      <c r="AD754" s="589"/>
    </row>
    <row r="755" spans="1:30">
      <c r="A755" s="329" t="s">
        <v>783</v>
      </c>
      <c r="B755" s="626"/>
      <c r="C755" s="655" t="s">
        <v>394</v>
      </c>
      <c r="D755" s="571" t="s">
        <v>1307</v>
      </c>
      <c r="E755" s="646">
        <v>60700</v>
      </c>
      <c r="H755" s="655"/>
      <c r="I755" s="589">
        <f t="shared" si="12"/>
        <v>1</v>
      </c>
      <c r="K755" s="589"/>
      <c r="L755" s="589"/>
      <c r="M755" s="589"/>
      <c r="N755" s="589"/>
      <c r="O755" s="589"/>
      <c r="P755" s="589"/>
      <c r="Q755" s="589"/>
      <c r="R755" s="589"/>
      <c r="S755" s="589"/>
      <c r="T755" s="589"/>
      <c r="U755" s="589"/>
      <c r="V755" s="589"/>
      <c r="W755" s="589"/>
      <c r="X755" s="589"/>
      <c r="Y755" s="589"/>
      <c r="AA755" s="589"/>
      <c r="AB755" s="589"/>
      <c r="AC755" s="589"/>
      <c r="AD755" s="589"/>
    </row>
    <row r="756" spans="1:30">
      <c r="A756" s="329" t="s">
        <v>784</v>
      </c>
      <c r="B756" s="626"/>
      <c r="C756" s="655" t="s">
        <v>395</v>
      </c>
      <c r="D756" s="571" t="s">
        <v>1307</v>
      </c>
      <c r="E756" s="646">
        <v>63800</v>
      </c>
      <c r="H756" s="655"/>
      <c r="I756" s="589">
        <f t="shared" si="12"/>
        <v>1</v>
      </c>
      <c r="K756" s="589"/>
      <c r="L756" s="589"/>
      <c r="M756" s="589"/>
      <c r="N756" s="589"/>
      <c r="O756" s="589"/>
      <c r="P756" s="589"/>
      <c r="Q756" s="589"/>
      <c r="R756" s="589"/>
      <c r="S756" s="589"/>
      <c r="T756" s="589"/>
      <c r="U756" s="589"/>
      <c r="V756" s="589"/>
      <c r="W756" s="589"/>
      <c r="X756" s="589"/>
      <c r="Y756" s="589"/>
      <c r="AA756" s="589"/>
      <c r="AB756" s="589"/>
      <c r="AC756" s="589"/>
      <c r="AD756" s="589"/>
    </row>
    <row r="757" spans="1:30">
      <c r="A757" s="329" t="s">
        <v>1722</v>
      </c>
      <c r="B757" s="626"/>
      <c r="C757" s="655" t="s">
        <v>396</v>
      </c>
      <c r="D757" s="571" t="s">
        <v>1307</v>
      </c>
      <c r="E757" s="646">
        <v>72200</v>
      </c>
      <c r="H757" s="655"/>
      <c r="I757" s="589">
        <f t="shared" si="12"/>
        <v>1</v>
      </c>
      <c r="K757" s="589"/>
      <c r="L757" s="589"/>
      <c r="M757" s="589"/>
      <c r="N757" s="589"/>
      <c r="O757" s="589"/>
      <c r="P757" s="589"/>
      <c r="Q757" s="589"/>
      <c r="R757" s="589"/>
      <c r="S757" s="589"/>
      <c r="T757" s="589"/>
      <c r="U757" s="589"/>
      <c r="V757" s="589"/>
      <c r="W757" s="589"/>
      <c r="X757" s="589"/>
      <c r="Y757" s="589"/>
      <c r="AA757" s="589"/>
      <c r="AB757" s="589"/>
      <c r="AC757" s="589"/>
      <c r="AD757" s="589"/>
    </row>
    <row r="758" spans="1:30">
      <c r="A758" s="329" t="s">
        <v>1018</v>
      </c>
      <c r="B758" s="626"/>
      <c r="C758" s="655" t="s">
        <v>397</v>
      </c>
      <c r="D758" s="571" t="s">
        <v>1307</v>
      </c>
      <c r="E758" s="646">
        <v>75600</v>
      </c>
      <c r="H758" s="655"/>
      <c r="I758" s="589">
        <f t="shared" si="12"/>
        <v>1</v>
      </c>
      <c r="K758" s="589"/>
      <c r="L758" s="589"/>
      <c r="M758" s="589"/>
      <c r="N758" s="589"/>
      <c r="O758" s="589"/>
      <c r="P758" s="589"/>
      <c r="Q758" s="589"/>
      <c r="R758" s="589"/>
      <c r="S758" s="589"/>
      <c r="T758" s="589"/>
      <c r="U758" s="589"/>
      <c r="V758" s="589"/>
      <c r="W758" s="589"/>
      <c r="X758" s="589"/>
      <c r="Y758" s="589"/>
      <c r="AA758" s="589"/>
      <c r="AB758" s="589"/>
      <c r="AC758" s="589"/>
      <c r="AD758" s="589"/>
    </row>
    <row r="759" spans="1:30">
      <c r="B759" s="626"/>
      <c r="C759" s="655"/>
      <c r="D759" s="571"/>
      <c r="E759" s="655"/>
      <c r="H759" s="655"/>
      <c r="I759" s="589"/>
      <c r="K759" s="589"/>
      <c r="L759" s="589"/>
      <c r="M759" s="589"/>
      <c r="N759" s="589"/>
      <c r="O759" s="589"/>
      <c r="P759" s="589"/>
      <c r="Q759" s="589"/>
      <c r="R759" s="589"/>
      <c r="S759" s="589"/>
      <c r="T759" s="589"/>
      <c r="U759" s="589"/>
      <c r="V759" s="589"/>
      <c r="W759" s="589"/>
      <c r="X759" s="589"/>
      <c r="Y759" s="589"/>
      <c r="AA759" s="589"/>
      <c r="AB759" s="589"/>
      <c r="AC759" s="589"/>
      <c r="AD759" s="589"/>
    </row>
    <row r="760" spans="1:30">
      <c r="A760" s="329" t="s">
        <v>4037</v>
      </c>
      <c r="B760" s="626">
        <v>159</v>
      </c>
      <c r="C760" s="655" t="s">
        <v>2144</v>
      </c>
      <c r="D760" s="571" t="s">
        <v>1307</v>
      </c>
      <c r="E760" s="646">
        <v>8000</v>
      </c>
      <c r="H760" s="655"/>
      <c r="I760" s="589"/>
      <c r="J760" s="30" t="s">
        <v>3386</v>
      </c>
      <c r="K760" s="589"/>
      <c r="L760" s="589"/>
      <c r="M760" s="589"/>
      <c r="N760" s="589"/>
      <c r="O760" s="589"/>
      <c r="P760" s="589"/>
      <c r="Q760" s="589"/>
      <c r="R760" s="589"/>
      <c r="S760" s="589"/>
      <c r="T760" s="589"/>
      <c r="U760" s="589"/>
      <c r="V760" s="589"/>
      <c r="W760" s="589"/>
      <c r="X760" s="589"/>
      <c r="Y760" s="589"/>
      <c r="AA760" s="589"/>
      <c r="AB760" s="589"/>
      <c r="AC760" s="589"/>
      <c r="AD760" s="589"/>
    </row>
    <row r="761" spans="1:30">
      <c r="A761" s="329" t="s">
        <v>5125</v>
      </c>
      <c r="B761" s="626">
        <v>259</v>
      </c>
      <c r="C761" s="655" t="s">
        <v>5126</v>
      </c>
      <c r="D761" s="571" t="s">
        <v>1307</v>
      </c>
      <c r="E761" s="646">
        <v>8500</v>
      </c>
      <c r="H761" s="655"/>
      <c r="I761" s="589"/>
      <c r="K761" s="589"/>
      <c r="L761" s="589"/>
      <c r="M761" s="589"/>
      <c r="N761" s="589"/>
      <c r="O761" s="589"/>
      <c r="P761" s="589"/>
      <c r="Q761" s="589"/>
      <c r="R761" s="589"/>
      <c r="S761" s="589"/>
      <c r="T761" s="589"/>
      <c r="U761" s="589"/>
      <c r="V761" s="589"/>
      <c r="W761" s="589"/>
      <c r="X761" s="589"/>
      <c r="Y761" s="589"/>
      <c r="AA761" s="589"/>
      <c r="AB761" s="589"/>
      <c r="AC761" s="589"/>
      <c r="AD761" s="589"/>
    </row>
    <row r="762" spans="1:30">
      <c r="A762" s="329" t="s">
        <v>4321</v>
      </c>
      <c r="B762" s="626">
        <v>279</v>
      </c>
      <c r="C762" s="655" t="s">
        <v>5127</v>
      </c>
      <c r="D762" s="571" t="s">
        <v>1307</v>
      </c>
      <c r="E762" s="646">
        <v>10000</v>
      </c>
      <c r="H762" s="655"/>
      <c r="I762" s="589"/>
      <c r="K762" s="589"/>
      <c r="L762" s="589"/>
      <c r="M762" s="589"/>
      <c r="N762" s="589"/>
      <c r="O762" s="589"/>
      <c r="P762" s="589"/>
      <c r="Q762" s="589"/>
      <c r="R762" s="589"/>
      <c r="S762" s="589"/>
      <c r="T762" s="589"/>
      <c r="U762" s="589"/>
      <c r="V762" s="589"/>
      <c r="W762" s="589"/>
      <c r="X762" s="589"/>
      <c r="Y762" s="589"/>
      <c r="AA762" s="589"/>
      <c r="AB762" s="589"/>
      <c r="AC762" s="589"/>
      <c r="AD762" s="589"/>
    </row>
    <row r="763" spans="1:30">
      <c r="A763" s="329" t="s">
        <v>4322</v>
      </c>
      <c r="B763" s="626">
        <v>379</v>
      </c>
      <c r="C763" s="655" t="s">
        <v>357</v>
      </c>
      <c r="D763" s="571" t="s">
        <v>1307</v>
      </c>
      <c r="E763" s="646">
        <v>11000</v>
      </c>
      <c r="H763" s="655"/>
      <c r="I763" s="589"/>
      <c r="K763" s="589"/>
      <c r="L763" s="589"/>
      <c r="M763" s="589"/>
      <c r="N763" s="589"/>
      <c r="O763" s="589"/>
      <c r="P763" s="589"/>
      <c r="Q763" s="589"/>
      <c r="R763" s="589"/>
      <c r="S763" s="589"/>
      <c r="T763" s="589"/>
      <c r="U763" s="589"/>
      <c r="V763" s="589"/>
      <c r="W763" s="589"/>
      <c r="X763" s="589"/>
      <c r="Y763" s="589"/>
      <c r="AA763" s="589"/>
      <c r="AB763" s="589"/>
      <c r="AC763" s="589"/>
      <c r="AD763" s="589"/>
    </row>
    <row r="764" spans="1:30">
      <c r="A764" s="329" t="s">
        <v>4889</v>
      </c>
      <c r="B764" s="626">
        <v>399</v>
      </c>
      <c r="C764" s="655" t="s">
        <v>4315</v>
      </c>
      <c r="D764" s="571" t="s">
        <v>1307</v>
      </c>
      <c r="E764" s="646">
        <v>14000</v>
      </c>
      <c r="H764" s="655"/>
      <c r="I764" s="589"/>
      <c r="K764" s="589"/>
      <c r="L764" s="589"/>
      <c r="M764" s="589"/>
      <c r="N764" s="589"/>
      <c r="O764" s="589"/>
      <c r="P764" s="589"/>
      <c r="Q764" s="589"/>
      <c r="R764" s="589"/>
      <c r="S764" s="589"/>
      <c r="T764" s="589"/>
      <c r="U764" s="589"/>
      <c r="V764" s="589"/>
      <c r="W764" s="589"/>
      <c r="X764" s="589"/>
      <c r="Y764" s="589"/>
      <c r="AA764" s="589"/>
      <c r="AB764" s="589"/>
      <c r="AC764" s="589"/>
      <c r="AD764" s="589"/>
    </row>
    <row r="765" spans="1:30">
      <c r="A765" s="329" t="s">
        <v>4890</v>
      </c>
      <c r="B765" s="626">
        <v>419</v>
      </c>
      <c r="C765" s="655" t="s">
        <v>4316</v>
      </c>
      <c r="D765" s="571" t="s">
        <v>1307</v>
      </c>
      <c r="E765" s="646">
        <v>15000</v>
      </c>
      <c r="H765" s="655"/>
      <c r="I765" s="589"/>
      <c r="K765" s="589"/>
      <c r="L765" s="589"/>
      <c r="M765" s="589"/>
      <c r="N765" s="589"/>
      <c r="O765" s="589"/>
      <c r="P765" s="589"/>
      <c r="Q765" s="589"/>
      <c r="R765" s="589"/>
      <c r="S765" s="589"/>
      <c r="T765" s="589"/>
      <c r="U765" s="589"/>
      <c r="V765" s="589"/>
      <c r="W765" s="589"/>
      <c r="X765" s="589"/>
      <c r="Y765" s="589"/>
      <c r="AA765" s="589"/>
      <c r="AB765" s="589"/>
      <c r="AC765" s="589"/>
      <c r="AD765" s="589"/>
    </row>
    <row r="766" spans="1:30">
      <c r="A766" s="329" t="s">
        <v>4891</v>
      </c>
      <c r="B766" s="626">
        <v>815</v>
      </c>
      <c r="C766" s="655" t="s">
        <v>4317</v>
      </c>
      <c r="D766" s="571" t="s">
        <v>1307</v>
      </c>
      <c r="E766" s="646">
        <v>20000</v>
      </c>
      <c r="H766" s="655"/>
      <c r="I766" s="589"/>
      <c r="K766" s="589"/>
      <c r="L766" s="589"/>
      <c r="M766" s="589"/>
      <c r="N766" s="589"/>
      <c r="O766" s="589"/>
      <c r="P766" s="589"/>
      <c r="Q766" s="589"/>
      <c r="R766" s="589"/>
      <c r="S766" s="589"/>
      <c r="T766" s="589"/>
      <c r="U766" s="589"/>
      <c r="V766" s="589"/>
      <c r="W766" s="589"/>
      <c r="X766" s="589"/>
      <c r="Y766" s="589"/>
      <c r="AA766" s="589"/>
      <c r="AB766" s="589"/>
      <c r="AC766" s="589"/>
      <c r="AD766" s="589"/>
    </row>
    <row r="767" spans="1:30">
      <c r="A767" s="329" t="s">
        <v>4892</v>
      </c>
      <c r="B767" s="626">
        <v>835</v>
      </c>
      <c r="C767" s="655" t="s">
        <v>4318</v>
      </c>
      <c r="D767" s="571" t="s">
        <v>1307</v>
      </c>
      <c r="E767" s="646">
        <v>22000</v>
      </c>
      <c r="H767" s="655"/>
      <c r="I767" s="589"/>
      <c r="K767" s="589"/>
      <c r="L767" s="589"/>
      <c r="M767" s="589"/>
      <c r="N767" s="589"/>
      <c r="O767" s="589"/>
      <c r="P767" s="589"/>
      <c r="Q767" s="589"/>
      <c r="R767" s="589"/>
      <c r="S767" s="589"/>
      <c r="T767" s="589"/>
      <c r="U767" s="589"/>
      <c r="V767" s="589"/>
      <c r="W767" s="589"/>
      <c r="X767" s="589"/>
      <c r="Y767" s="589"/>
      <c r="AA767" s="589"/>
      <c r="AB767" s="589"/>
      <c r="AC767" s="589"/>
      <c r="AD767" s="589"/>
    </row>
    <row r="768" spans="1:30">
      <c r="A768" s="329" t="s">
        <v>4893</v>
      </c>
      <c r="B768" s="626">
        <v>909</v>
      </c>
      <c r="C768" s="655" t="s">
        <v>4319</v>
      </c>
      <c r="D768" s="571" t="s">
        <v>1307</v>
      </c>
      <c r="E768" s="646">
        <v>35000</v>
      </c>
      <c r="H768" s="655"/>
      <c r="I768" s="589"/>
      <c r="K768" s="589"/>
      <c r="L768" s="589"/>
      <c r="M768" s="589"/>
      <c r="N768" s="589"/>
      <c r="O768" s="589"/>
      <c r="P768" s="589"/>
      <c r="Q768" s="589"/>
      <c r="R768" s="589"/>
      <c r="S768" s="589"/>
      <c r="T768" s="589"/>
      <c r="U768" s="589"/>
      <c r="V768" s="589"/>
      <c r="W768" s="589"/>
      <c r="X768" s="589"/>
      <c r="Y768" s="589"/>
      <c r="AA768" s="589"/>
      <c r="AB768" s="589"/>
      <c r="AC768" s="589"/>
      <c r="AD768" s="589"/>
    </row>
    <row r="769" spans="1:30">
      <c r="A769" s="329" t="s">
        <v>5871</v>
      </c>
      <c r="B769" s="626">
        <v>929</v>
      </c>
      <c r="C769" s="655" t="s">
        <v>4320</v>
      </c>
      <c r="D769" s="571" t="s">
        <v>1307</v>
      </c>
      <c r="E769" s="646">
        <v>40000</v>
      </c>
      <c r="H769" s="655"/>
      <c r="I769" s="589"/>
      <c r="K769" s="589"/>
      <c r="L769" s="589"/>
      <c r="M769" s="589"/>
      <c r="N769" s="589"/>
      <c r="O769" s="589"/>
      <c r="P769" s="589"/>
      <c r="Q769" s="589"/>
      <c r="R769" s="589"/>
      <c r="S769" s="589"/>
      <c r="T769" s="589"/>
      <c r="U769" s="589"/>
      <c r="V769" s="589"/>
      <c r="W769" s="589"/>
      <c r="X769" s="589"/>
      <c r="Y769" s="589"/>
      <c r="AA769" s="589"/>
      <c r="AB769" s="589"/>
      <c r="AC769" s="589"/>
      <c r="AD769" s="589"/>
    </row>
    <row r="770" spans="1:30">
      <c r="B770" s="626"/>
      <c r="C770" s="655"/>
      <c r="D770" s="571"/>
      <c r="E770" s="646"/>
      <c r="H770" s="655"/>
      <c r="I770" s="589"/>
      <c r="K770" s="589"/>
      <c r="L770" s="589"/>
      <c r="M770" s="589"/>
      <c r="N770" s="589"/>
      <c r="O770" s="589"/>
      <c r="P770" s="589"/>
      <c r="Q770" s="589"/>
      <c r="R770" s="589"/>
      <c r="S770" s="589"/>
      <c r="T770" s="589"/>
      <c r="U770" s="589"/>
      <c r="V770" s="589"/>
      <c r="W770" s="589"/>
      <c r="X770" s="589"/>
      <c r="Y770" s="589"/>
      <c r="AA770" s="589"/>
      <c r="AB770" s="589"/>
      <c r="AC770" s="589"/>
      <c r="AD770" s="589"/>
    </row>
    <row r="771" spans="1:30">
      <c r="B771" s="626"/>
      <c r="C771" s="655"/>
      <c r="D771" s="571"/>
      <c r="E771" s="646"/>
      <c r="H771" s="655"/>
      <c r="I771" s="589"/>
      <c r="K771" s="589"/>
      <c r="L771" s="589"/>
      <c r="M771" s="589"/>
      <c r="N771" s="589"/>
      <c r="O771" s="589"/>
      <c r="P771" s="589"/>
      <c r="Q771" s="589"/>
      <c r="R771" s="589"/>
      <c r="S771" s="589"/>
      <c r="T771" s="589"/>
      <c r="U771" s="589"/>
      <c r="V771" s="589"/>
      <c r="W771" s="589"/>
      <c r="X771" s="589"/>
      <c r="Y771" s="589"/>
      <c r="AA771" s="589"/>
      <c r="AB771" s="589"/>
      <c r="AC771" s="589"/>
      <c r="AD771" s="589"/>
    </row>
    <row r="772" spans="1:30">
      <c r="B772" s="626"/>
      <c r="C772" s="655"/>
      <c r="D772" s="571"/>
      <c r="E772" s="646"/>
      <c r="H772" s="655"/>
      <c r="I772" s="589"/>
      <c r="K772" s="589"/>
      <c r="L772" s="589"/>
      <c r="M772" s="589"/>
      <c r="N772" s="589"/>
      <c r="O772" s="589"/>
      <c r="P772" s="589"/>
      <c r="Q772" s="589"/>
      <c r="R772" s="589"/>
      <c r="S772" s="589"/>
      <c r="T772" s="589"/>
      <c r="U772" s="589"/>
      <c r="V772" s="589"/>
      <c r="W772" s="589"/>
      <c r="X772" s="589"/>
      <c r="Y772" s="589"/>
      <c r="AA772" s="589"/>
      <c r="AB772" s="589"/>
      <c r="AC772" s="589"/>
      <c r="AD772" s="589"/>
    </row>
    <row r="773" spans="1:30">
      <c r="B773" s="626"/>
      <c r="C773" s="655"/>
      <c r="D773" s="571"/>
      <c r="E773" s="646"/>
      <c r="H773" s="655"/>
      <c r="I773" s="589"/>
      <c r="K773" s="589"/>
      <c r="L773" s="589"/>
      <c r="M773" s="589"/>
      <c r="N773" s="589"/>
      <c r="O773" s="589"/>
      <c r="P773" s="589"/>
      <c r="Q773" s="589"/>
      <c r="R773" s="589"/>
      <c r="S773" s="589"/>
      <c r="T773" s="589"/>
      <c r="U773" s="589"/>
      <c r="V773" s="589"/>
      <c r="W773" s="589"/>
      <c r="X773" s="589"/>
      <c r="Y773" s="589"/>
      <c r="AA773" s="589"/>
      <c r="AB773" s="589"/>
      <c r="AC773" s="589"/>
      <c r="AD773" s="589"/>
    </row>
    <row r="774" spans="1:30">
      <c r="B774" s="626"/>
      <c r="C774" s="655"/>
      <c r="D774" s="571"/>
      <c r="E774" s="646"/>
      <c r="H774" s="655"/>
      <c r="I774" s="589"/>
      <c r="K774" s="589"/>
      <c r="L774" s="589"/>
      <c r="M774" s="589"/>
      <c r="N774" s="589"/>
      <c r="O774" s="589"/>
      <c r="P774" s="589"/>
      <c r="Q774" s="589"/>
      <c r="R774" s="589"/>
      <c r="S774" s="589"/>
      <c r="T774" s="589"/>
      <c r="U774" s="589"/>
      <c r="V774" s="589"/>
      <c r="W774" s="589"/>
      <c r="X774" s="589"/>
      <c r="Y774" s="589"/>
      <c r="AA774" s="589"/>
      <c r="AB774" s="589"/>
      <c r="AC774" s="589"/>
      <c r="AD774" s="589"/>
    </row>
    <row r="775" spans="1:30">
      <c r="B775" s="626"/>
      <c r="C775" s="655"/>
      <c r="D775" s="571"/>
      <c r="E775" s="646"/>
      <c r="H775" s="655"/>
      <c r="I775" s="589"/>
      <c r="K775" s="589"/>
      <c r="L775" s="589"/>
      <c r="M775" s="589"/>
      <c r="N775" s="589"/>
      <c r="O775" s="589"/>
      <c r="P775" s="589"/>
      <c r="Q775" s="589"/>
      <c r="R775" s="589"/>
      <c r="S775" s="589"/>
      <c r="T775" s="589"/>
      <c r="U775" s="589"/>
      <c r="V775" s="589"/>
      <c r="W775" s="589"/>
      <c r="X775" s="589"/>
      <c r="Y775" s="589"/>
      <c r="AA775" s="589"/>
      <c r="AB775" s="589"/>
      <c r="AC775" s="589"/>
      <c r="AD775" s="589"/>
    </row>
    <row r="776" spans="1:30">
      <c r="B776" s="626"/>
      <c r="C776" s="655"/>
      <c r="D776" s="571"/>
      <c r="E776" s="646"/>
      <c r="H776" s="655"/>
      <c r="I776" s="589"/>
      <c r="K776" s="589"/>
      <c r="L776" s="589"/>
      <c r="M776" s="589"/>
      <c r="N776" s="589"/>
      <c r="O776" s="589"/>
      <c r="P776" s="589"/>
      <c r="Q776" s="589"/>
      <c r="R776" s="589"/>
      <c r="S776" s="589"/>
      <c r="T776" s="589"/>
      <c r="U776" s="589"/>
      <c r="V776" s="589"/>
      <c r="W776" s="589"/>
      <c r="X776" s="589"/>
      <c r="Y776" s="589"/>
      <c r="AA776" s="589"/>
      <c r="AB776" s="589"/>
      <c r="AC776" s="589"/>
      <c r="AD776" s="589"/>
    </row>
    <row r="777" spans="1:30">
      <c r="B777" s="626"/>
      <c r="C777" s="655"/>
      <c r="D777" s="571"/>
      <c r="E777" s="646"/>
      <c r="H777" s="655"/>
      <c r="I777" s="589"/>
      <c r="K777" s="589"/>
      <c r="L777" s="589"/>
      <c r="M777" s="589"/>
      <c r="N777" s="589"/>
      <c r="O777" s="589"/>
      <c r="P777" s="589"/>
      <c r="Q777" s="589"/>
      <c r="R777" s="589"/>
      <c r="S777" s="589"/>
      <c r="T777" s="589"/>
      <c r="U777" s="589"/>
      <c r="V777" s="589"/>
      <c r="W777" s="589"/>
      <c r="X777" s="589"/>
      <c r="Y777" s="589"/>
      <c r="AA777" s="589"/>
      <c r="AB777" s="589"/>
      <c r="AC777" s="589"/>
      <c r="AD777" s="589"/>
    </row>
    <row r="778" spans="1:30">
      <c r="B778" s="626"/>
      <c r="C778" s="655"/>
      <c r="D778" s="571"/>
      <c r="E778" s="646"/>
      <c r="H778" s="655"/>
      <c r="I778" s="589"/>
      <c r="K778" s="589"/>
      <c r="L778" s="589"/>
      <c r="M778" s="589"/>
      <c r="N778" s="589"/>
      <c r="O778" s="589"/>
      <c r="P778" s="589"/>
      <c r="Q778" s="589"/>
      <c r="R778" s="589"/>
      <c r="S778" s="589"/>
      <c r="T778" s="589"/>
      <c r="U778" s="589"/>
      <c r="V778" s="589"/>
      <c r="W778" s="589"/>
      <c r="X778" s="589"/>
      <c r="Y778" s="589"/>
      <c r="AA778" s="589"/>
      <c r="AB778" s="589"/>
      <c r="AC778" s="589"/>
      <c r="AD778" s="589"/>
    </row>
    <row r="779" spans="1:30">
      <c r="B779" s="626"/>
      <c r="C779" s="655"/>
      <c r="D779" s="571"/>
      <c r="E779" s="646"/>
      <c r="H779" s="655"/>
      <c r="I779" s="589"/>
      <c r="K779" s="589"/>
      <c r="L779" s="589"/>
      <c r="M779" s="589"/>
      <c r="N779" s="589"/>
      <c r="O779" s="589"/>
      <c r="P779" s="589"/>
      <c r="Q779" s="589"/>
      <c r="R779" s="589"/>
      <c r="S779" s="589"/>
      <c r="T779" s="589"/>
      <c r="U779" s="589"/>
      <c r="V779" s="589"/>
      <c r="W779" s="589"/>
      <c r="X779" s="589"/>
      <c r="Y779" s="589"/>
      <c r="AA779" s="589"/>
      <c r="AB779" s="589"/>
      <c r="AC779" s="589"/>
      <c r="AD779" s="589"/>
    </row>
    <row r="780" spans="1:30">
      <c r="B780" s="626"/>
      <c r="C780" s="655"/>
      <c r="D780" s="571"/>
      <c r="E780" s="646"/>
      <c r="H780" s="655"/>
      <c r="I780" s="589"/>
      <c r="K780" s="589"/>
      <c r="L780" s="589"/>
      <c r="M780" s="589"/>
      <c r="N780" s="589"/>
      <c r="O780" s="589"/>
      <c r="P780" s="589"/>
      <c r="Q780" s="589"/>
      <c r="R780" s="589"/>
      <c r="S780" s="589"/>
      <c r="T780" s="589"/>
      <c r="U780" s="589"/>
      <c r="V780" s="589"/>
      <c r="W780" s="589"/>
      <c r="X780" s="589"/>
      <c r="Y780" s="589"/>
      <c r="AA780" s="589"/>
      <c r="AB780" s="589"/>
      <c r="AC780" s="589"/>
      <c r="AD780" s="589"/>
    </row>
    <row r="781" spans="1:30">
      <c r="B781" s="626"/>
      <c r="C781" s="655"/>
      <c r="D781" s="571"/>
      <c r="E781" s="646"/>
      <c r="H781" s="655"/>
      <c r="I781" s="589"/>
      <c r="K781" s="589"/>
      <c r="L781" s="589"/>
      <c r="M781" s="589"/>
      <c r="N781" s="589"/>
      <c r="O781" s="589"/>
      <c r="P781" s="589"/>
      <c r="Q781" s="589"/>
      <c r="R781" s="589"/>
      <c r="S781" s="589"/>
      <c r="T781" s="589"/>
      <c r="U781" s="589"/>
      <c r="V781" s="589"/>
      <c r="W781" s="589"/>
      <c r="X781" s="589"/>
      <c r="Y781" s="589"/>
      <c r="AA781" s="589"/>
      <c r="AB781" s="589"/>
      <c r="AC781" s="589"/>
      <c r="AD781" s="589"/>
    </row>
    <row r="782" spans="1:30">
      <c r="B782" s="626"/>
      <c r="C782" s="655"/>
      <c r="D782" s="571"/>
      <c r="E782" s="646"/>
      <c r="H782" s="655"/>
      <c r="I782" s="589"/>
      <c r="K782" s="589"/>
      <c r="L782" s="589"/>
      <c r="M782" s="589"/>
      <c r="N782" s="589"/>
      <c r="O782" s="589"/>
      <c r="P782" s="589"/>
      <c r="Q782" s="589"/>
      <c r="R782" s="589"/>
      <c r="S782" s="589"/>
      <c r="T782" s="589"/>
      <c r="U782" s="589"/>
      <c r="V782" s="589"/>
      <c r="W782" s="589"/>
      <c r="X782" s="589"/>
      <c r="Y782" s="589"/>
      <c r="AA782" s="589"/>
      <c r="AB782" s="589"/>
      <c r="AC782" s="589"/>
      <c r="AD782" s="589"/>
    </row>
    <row r="783" spans="1:30">
      <c r="B783" s="626"/>
      <c r="C783" s="655"/>
      <c r="D783" s="571"/>
      <c r="E783" s="646"/>
      <c r="H783" s="655"/>
      <c r="I783" s="589"/>
      <c r="K783" s="589"/>
      <c r="L783" s="589"/>
      <c r="M783" s="589"/>
      <c r="N783" s="589"/>
      <c r="O783" s="589"/>
      <c r="P783" s="589"/>
      <c r="Q783" s="589"/>
      <c r="R783" s="589"/>
      <c r="S783" s="589"/>
      <c r="T783" s="589"/>
      <c r="U783" s="589"/>
      <c r="V783" s="589"/>
      <c r="W783" s="589"/>
      <c r="X783" s="589"/>
      <c r="Y783" s="589"/>
      <c r="AA783" s="589"/>
      <c r="AB783" s="589"/>
      <c r="AC783" s="589"/>
      <c r="AD783" s="589"/>
    </row>
    <row r="784" spans="1:30">
      <c r="B784" s="626"/>
      <c r="C784" s="655"/>
      <c r="D784" s="571"/>
      <c r="E784" s="646"/>
      <c r="H784" s="655"/>
      <c r="I784" s="589"/>
      <c r="K784" s="589"/>
      <c r="L784" s="589"/>
      <c r="M784" s="589"/>
      <c r="N784" s="589"/>
      <c r="O784" s="589"/>
      <c r="P784" s="589"/>
      <c r="Q784" s="589"/>
      <c r="R784" s="589"/>
      <c r="S784" s="589"/>
      <c r="T784" s="589"/>
      <c r="U784" s="589"/>
      <c r="V784" s="589"/>
      <c r="W784" s="589"/>
      <c r="X784" s="589"/>
      <c r="Y784" s="589"/>
      <c r="AA784" s="589"/>
      <c r="AB784" s="589"/>
      <c r="AC784" s="589"/>
      <c r="AD784" s="589"/>
    </row>
    <row r="785" spans="1:30">
      <c r="B785" s="626"/>
      <c r="C785" s="655"/>
      <c r="D785" s="571"/>
      <c r="E785" s="646"/>
      <c r="H785" s="655"/>
      <c r="I785" s="589"/>
      <c r="K785" s="589"/>
      <c r="L785" s="589"/>
      <c r="M785" s="589"/>
      <c r="N785" s="589"/>
      <c r="O785" s="589"/>
      <c r="P785" s="589"/>
      <c r="Q785" s="589"/>
      <c r="R785" s="589"/>
      <c r="S785" s="589"/>
      <c r="T785" s="589"/>
      <c r="U785" s="589"/>
      <c r="V785" s="589"/>
      <c r="W785" s="589"/>
      <c r="X785" s="589"/>
      <c r="Y785" s="589"/>
      <c r="AA785" s="589"/>
      <c r="AB785" s="589"/>
      <c r="AC785" s="589"/>
      <c r="AD785" s="589"/>
    </row>
    <row r="786" spans="1:30">
      <c r="B786" s="626"/>
      <c r="C786" s="655"/>
      <c r="D786" s="571"/>
      <c r="E786" s="646"/>
      <c r="H786" s="655"/>
      <c r="I786" s="589"/>
      <c r="K786" s="589"/>
      <c r="L786" s="589"/>
      <c r="M786" s="589"/>
      <c r="N786" s="589"/>
      <c r="O786" s="589"/>
      <c r="P786" s="589"/>
      <c r="Q786" s="589"/>
      <c r="R786" s="589"/>
      <c r="S786" s="589"/>
      <c r="T786" s="589"/>
      <c r="U786" s="589"/>
      <c r="V786" s="589"/>
      <c r="W786" s="589"/>
      <c r="X786" s="589"/>
      <c r="Y786" s="589"/>
      <c r="AA786" s="589"/>
      <c r="AB786" s="589"/>
      <c r="AC786" s="589"/>
      <c r="AD786" s="589"/>
    </row>
    <row r="787" spans="1:30">
      <c r="B787" s="626"/>
      <c r="C787" s="655"/>
      <c r="D787" s="571"/>
      <c r="E787" s="646"/>
      <c r="H787" s="655"/>
      <c r="I787" s="589"/>
      <c r="K787" s="589"/>
      <c r="L787" s="589"/>
      <c r="M787" s="589"/>
      <c r="N787" s="589"/>
      <c r="O787" s="589"/>
      <c r="P787" s="589"/>
      <c r="Q787" s="589"/>
      <c r="R787" s="589"/>
      <c r="S787" s="589"/>
      <c r="T787" s="589"/>
      <c r="U787" s="589"/>
      <c r="V787" s="589"/>
      <c r="W787" s="589"/>
      <c r="X787" s="589"/>
      <c r="Y787" s="589"/>
      <c r="AA787" s="589"/>
      <c r="AB787" s="589"/>
      <c r="AC787" s="589"/>
      <c r="AD787" s="589"/>
    </row>
    <row r="788" spans="1:30">
      <c r="B788" s="626"/>
      <c r="C788" s="655"/>
      <c r="D788" s="571"/>
      <c r="E788" s="646"/>
      <c r="H788" s="655"/>
      <c r="I788" s="589"/>
      <c r="K788" s="589"/>
      <c r="L788" s="589"/>
      <c r="M788" s="589"/>
      <c r="N788" s="589"/>
      <c r="O788" s="589"/>
      <c r="P788" s="589"/>
      <c r="Q788" s="589"/>
      <c r="R788" s="589"/>
      <c r="S788" s="589"/>
      <c r="T788" s="589"/>
      <c r="U788" s="589"/>
      <c r="V788" s="589"/>
      <c r="W788" s="589"/>
      <c r="X788" s="589"/>
      <c r="Y788" s="589"/>
      <c r="AA788" s="589"/>
      <c r="AB788" s="589"/>
      <c r="AC788" s="589"/>
      <c r="AD788" s="589"/>
    </row>
    <row r="789" spans="1:30">
      <c r="B789" s="626"/>
      <c r="C789" s="655"/>
      <c r="D789" s="571"/>
      <c r="E789" s="646"/>
      <c r="H789" s="655"/>
      <c r="I789" s="589"/>
      <c r="K789" s="589"/>
      <c r="L789" s="589"/>
      <c r="M789" s="589"/>
      <c r="N789" s="589"/>
      <c r="O789" s="589"/>
      <c r="P789" s="589"/>
      <c r="Q789" s="589"/>
      <c r="R789" s="589"/>
      <c r="S789" s="589"/>
      <c r="T789" s="589"/>
      <c r="U789" s="589"/>
      <c r="V789" s="589"/>
      <c r="W789" s="589"/>
      <c r="X789" s="589"/>
      <c r="Y789" s="589"/>
      <c r="AA789" s="589"/>
      <c r="AB789" s="589"/>
      <c r="AC789" s="589"/>
      <c r="AD789" s="589"/>
    </row>
    <row r="790" spans="1:30">
      <c r="B790" s="626"/>
      <c r="C790" s="655"/>
      <c r="D790" s="571"/>
      <c r="E790" s="646"/>
      <c r="H790" s="655"/>
      <c r="I790" s="589"/>
      <c r="K790" s="589"/>
      <c r="L790" s="589"/>
      <c r="M790" s="589"/>
      <c r="N790" s="589"/>
      <c r="O790" s="589"/>
      <c r="P790" s="589"/>
      <c r="Q790" s="589"/>
      <c r="R790" s="589"/>
      <c r="S790" s="589"/>
      <c r="T790" s="589"/>
      <c r="U790" s="589"/>
      <c r="V790" s="589"/>
      <c r="W790" s="589"/>
      <c r="X790" s="589"/>
      <c r="Y790" s="589"/>
      <c r="AA790" s="589"/>
      <c r="AB790" s="589"/>
      <c r="AC790" s="589"/>
      <c r="AD790" s="589"/>
    </row>
    <row r="791" spans="1:30">
      <c r="B791" s="626"/>
      <c r="C791" s="655"/>
      <c r="D791" s="571"/>
      <c r="E791" s="646"/>
      <c r="H791" s="655"/>
      <c r="I791" s="589"/>
      <c r="K791" s="589"/>
      <c r="L791" s="589"/>
      <c r="M791" s="589"/>
      <c r="N791" s="589"/>
      <c r="O791" s="589"/>
      <c r="P791" s="589"/>
      <c r="Q791" s="589"/>
      <c r="R791" s="589"/>
      <c r="S791" s="589"/>
      <c r="T791" s="589"/>
      <c r="U791" s="589"/>
      <c r="V791" s="589"/>
      <c r="W791" s="589"/>
      <c r="X791" s="589"/>
      <c r="Y791" s="589"/>
      <c r="AA791" s="589"/>
      <c r="AB791" s="589"/>
      <c r="AC791" s="589"/>
      <c r="AD791" s="589"/>
    </row>
    <row r="792" spans="1:30">
      <c r="B792" s="626"/>
      <c r="C792" s="655"/>
      <c r="D792" s="571"/>
      <c r="E792" s="646"/>
      <c r="H792" s="655"/>
      <c r="I792" s="589"/>
      <c r="K792" s="589"/>
      <c r="L792" s="589"/>
      <c r="M792" s="589"/>
      <c r="N792" s="589"/>
      <c r="O792" s="589"/>
      <c r="P792" s="589"/>
      <c r="Q792" s="589"/>
      <c r="R792" s="589"/>
      <c r="S792" s="589"/>
      <c r="T792" s="589"/>
      <c r="U792" s="589"/>
      <c r="V792" s="589"/>
      <c r="W792" s="589"/>
      <c r="X792" s="589"/>
      <c r="Y792" s="589"/>
      <c r="AA792" s="589"/>
      <c r="AB792" s="589"/>
      <c r="AC792" s="589"/>
      <c r="AD792" s="589"/>
    </row>
    <row r="793" spans="1:30">
      <c r="B793" s="626"/>
      <c r="C793" s="655"/>
      <c r="D793" s="571"/>
      <c r="E793" s="655"/>
      <c r="H793" s="655"/>
      <c r="I793" s="589"/>
      <c r="K793" s="589"/>
      <c r="L793" s="589"/>
      <c r="M793" s="589"/>
      <c r="N793" s="589"/>
      <c r="O793" s="589"/>
      <c r="P793" s="589"/>
      <c r="Q793" s="589"/>
      <c r="R793" s="589"/>
      <c r="S793" s="589"/>
      <c r="T793" s="589"/>
      <c r="U793" s="589"/>
      <c r="V793" s="589"/>
      <c r="W793" s="589"/>
      <c r="X793" s="589"/>
      <c r="Y793" s="589"/>
      <c r="AA793" s="589"/>
      <c r="AB793" s="589"/>
      <c r="AC793" s="589"/>
      <c r="AD793" s="589"/>
    </row>
    <row r="794" spans="1:30">
      <c r="B794" s="626"/>
      <c r="C794" s="655"/>
      <c r="D794" s="571"/>
      <c r="E794" s="655"/>
      <c r="H794" s="655"/>
      <c r="I794" s="589"/>
      <c r="K794" s="589"/>
      <c r="L794" s="589"/>
      <c r="M794" s="589"/>
      <c r="N794" s="589"/>
      <c r="O794" s="589"/>
      <c r="P794" s="589"/>
      <c r="Q794" s="589"/>
      <c r="R794" s="589"/>
      <c r="S794" s="589"/>
      <c r="T794" s="589"/>
      <c r="U794" s="589"/>
      <c r="V794" s="589"/>
      <c r="W794" s="589"/>
      <c r="X794" s="589"/>
      <c r="Y794" s="589"/>
      <c r="AA794" s="589"/>
      <c r="AB794" s="589"/>
      <c r="AC794" s="589"/>
      <c r="AD794" s="589"/>
    </row>
    <row r="795" spans="1:30">
      <c r="B795" s="626"/>
      <c r="C795" s="655"/>
      <c r="D795" s="571"/>
      <c r="E795" s="655"/>
      <c r="H795" s="655"/>
      <c r="I795" s="589"/>
      <c r="K795" s="589"/>
      <c r="L795" s="589"/>
      <c r="M795" s="589"/>
      <c r="N795" s="589"/>
      <c r="O795" s="589"/>
      <c r="P795" s="589"/>
      <c r="Q795" s="589"/>
      <c r="R795" s="589"/>
      <c r="S795" s="589"/>
      <c r="T795" s="589"/>
      <c r="U795" s="589"/>
      <c r="V795" s="589"/>
      <c r="W795" s="589"/>
      <c r="X795" s="589"/>
      <c r="Y795" s="589"/>
      <c r="AA795" s="589"/>
      <c r="AB795" s="589"/>
      <c r="AC795" s="589"/>
      <c r="AD795" s="589"/>
    </row>
    <row r="796" spans="1:30">
      <c r="B796" s="626"/>
      <c r="C796" s="655"/>
      <c r="D796" s="571"/>
      <c r="E796" s="655"/>
      <c r="H796" s="655"/>
      <c r="I796" s="589"/>
      <c r="K796" s="589"/>
      <c r="L796" s="589"/>
      <c r="M796" s="589"/>
      <c r="N796" s="589"/>
      <c r="O796" s="589"/>
      <c r="P796" s="589"/>
      <c r="Q796" s="589"/>
      <c r="R796" s="589"/>
      <c r="S796" s="589"/>
      <c r="T796" s="589"/>
      <c r="U796" s="589"/>
      <c r="V796" s="589"/>
      <c r="W796" s="589"/>
      <c r="X796" s="589"/>
      <c r="Y796" s="589"/>
      <c r="AA796" s="589"/>
      <c r="AB796" s="589"/>
      <c r="AC796" s="589"/>
      <c r="AD796" s="589"/>
    </row>
    <row r="797" spans="1:30">
      <c r="B797" s="626"/>
      <c r="C797" s="655"/>
      <c r="D797" s="571"/>
      <c r="E797" s="655"/>
      <c r="H797" s="655"/>
      <c r="I797" s="589"/>
      <c r="K797" s="589"/>
      <c r="L797" s="589"/>
      <c r="M797" s="589"/>
      <c r="N797" s="589"/>
      <c r="O797" s="589"/>
      <c r="P797" s="589"/>
      <c r="Q797" s="589"/>
      <c r="R797" s="589"/>
      <c r="S797" s="589"/>
      <c r="T797" s="589"/>
      <c r="U797" s="589"/>
      <c r="V797" s="589"/>
      <c r="W797" s="589"/>
      <c r="X797" s="589"/>
      <c r="Y797" s="589"/>
      <c r="AA797" s="589"/>
      <c r="AB797" s="589"/>
      <c r="AC797" s="589"/>
      <c r="AD797" s="589"/>
    </row>
    <row r="798" spans="1:30">
      <c r="B798" s="626"/>
      <c r="C798" s="655"/>
      <c r="D798" s="571"/>
      <c r="E798" s="655"/>
      <c r="H798" s="655"/>
      <c r="I798" s="589"/>
      <c r="K798" s="589"/>
      <c r="L798" s="589"/>
      <c r="M798" s="589"/>
      <c r="N798" s="589"/>
      <c r="O798" s="589"/>
      <c r="P798" s="589"/>
      <c r="Q798" s="589"/>
      <c r="R798" s="589"/>
      <c r="S798" s="589"/>
      <c r="T798" s="589"/>
      <c r="U798" s="589"/>
      <c r="V798" s="589"/>
      <c r="W798" s="589"/>
      <c r="X798" s="589"/>
      <c r="Y798" s="589"/>
      <c r="AA798" s="589"/>
      <c r="AB798" s="589"/>
      <c r="AC798" s="589"/>
      <c r="AD798" s="589"/>
    </row>
    <row r="799" spans="1:30">
      <c r="A799" s="610" t="s">
        <v>1019</v>
      </c>
      <c r="B799" s="611"/>
      <c r="C799" s="612"/>
      <c r="D799" s="613"/>
      <c r="E799" s="655"/>
      <c r="F799" s="329"/>
      <c r="H799" s="655"/>
      <c r="I799" s="589">
        <f t="shared" ref="I799:I862" si="13">IF(E799=H799,0,1)</f>
        <v>0</v>
      </c>
      <c r="K799" s="589"/>
      <c r="L799" s="589"/>
      <c r="M799" s="589"/>
      <c r="N799" s="589"/>
      <c r="O799" s="589"/>
      <c r="P799" s="589"/>
      <c r="Q799" s="589"/>
      <c r="R799" s="589"/>
      <c r="S799" s="589"/>
      <c r="T799" s="589"/>
      <c r="U799" s="589"/>
      <c r="V799" s="589"/>
      <c r="W799" s="589"/>
      <c r="X799" s="589"/>
      <c r="Y799" s="589"/>
      <c r="AA799" s="589"/>
      <c r="AB799" s="589"/>
      <c r="AC799" s="589"/>
      <c r="AD799" s="589"/>
    </row>
    <row r="800" spans="1:30">
      <c r="A800" s="329" t="s">
        <v>1020</v>
      </c>
      <c r="B800" s="626"/>
      <c r="C800" s="643" t="s">
        <v>3710</v>
      </c>
      <c r="D800" s="571" t="s">
        <v>1307</v>
      </c>
      <c r="E800" s="25">
        <v>48100</v>
      </c>
      <c r="H800" s="655"/>
      <c r="I800" s="589">
        <f t="shared" si="13"/>
        <v>1</v>
      </c>
      <c r="K800" s="589"/>
      <c r="L800" s="589"/>
      <c r="M800" s="589"/>
      <c r="N800" s="589"/>
      <c r="O800" s="589"/>
      <c r="P800" s="589"/>
      <c r="Q800" s="589"/>
      <c r="R800" s="589"/>
      <c r="S800" s="589"/>
      <c r="T800" s="589"/>
      <c r="U800" s="589"/>
      <c r="V800" s="589"/>
      <c r="W800" s="589"/>
      <c r="X800" s="589"/>
      <c r="Y800" s="589"/>
      <c r="AA800" s="589"/>
      <c r="AB800" s="589"/>
      <c r="AC800" s="589"/>
      <c r="AD800" s="589"/>
    </row>
    <row r="801" spans="1:30">
      <c r="A801" s="329" t="s">
        <v>3711</v>
      </c>
      <c r="B801" s="626"/>
      <c r="C801" s="643" t="s">
        <v>3712</v>
      </c>
      <c r="D801" s="571" t="s">
        <v>1307</v>
      </c>
      <c r="E801" s="25">
        <v>48100</v>
      </c>
      <c r="H801" s="655"/>
      <c r="I801" s="589">
        <f t="shared" si="13"/>
        <v>1</v>
      </c>
      <c r="K801" s="589"/>
      <c r="L801" s="589"/>
      <c r="M801" s="589"/>
      <c r="N801" s="589"/>
      <c r="O801" s="589"/>
      <c r="P801" s="589"/>
      <c r="Q801" s="589"/>
      <c r="R801" s="589"/>
      <c r="S801" s="589"/>
      <c r="T801" s="589"/>
      <c r="U801" s="589"/>
      <c r="V801" s="589"/>
      <c r="W801" s="589"/>
      <c r="X801" s="589"/>
      <c r="Y801" s="589"/>
      <c r="AA801" s="589"/>
      <c r="AB801" s="589"/>
      <c r="AC801" s="589"/>
      <c r="AD801" s="589"/>
    </row>
    <row r="802" spans="1:30">
      <c r="A802" s="329" t="s">
        <v>3713</v>
      </c>
      <c r="B802" s="626"/>
      <c r="C802" s="643" t="s">
        <v>4599</v>
      </c>
      <c r="D802" s="571" t="s">
        <v>1307</v>
      </c>
      <c r="E802" s="25">
        <v>57200</v>
      </c>
      <c r="H802" s="655"/>
      <c r="I802" s="589">
        <f t="shared" si="13"/>
        <v>1</v>
      </c>
      <c r="K802" s="589"/>
      <c r="L802" s="589"/>
      <c r="M802" s="589"/>
      <c r="N802" s="589"/>
      <c r="O802" s="589"/>
      <c r="P802" s="589"/>
      <c r="Q802" s="589"/>
      <c r="R802" s="589"/>
      <c r="S802" s="589"/>
      <c r="T802" s="589"/>
      <c r="U802" s="589"/>
      <c r="V802" s="589"/>
      <c r="W802" s="589"/>
      <c r="X802" s="589"/>
      <c r="Y802" s="589"/>
      <c r="AA802" s="589"/>
      <c r="AB802" s="589"/>
      <c r="AC802" s="589"/>
      <c r="AD802" s="589"/>
    </row>
    <row r="803" spans="1:30">
      <c r="A803" s="329" t="s">
        <v>2215</v>
      </c>
      <c r="B803" s="626"/>
      <c r="C803" s="643" t="s">
        <v>4623</v>
      </c>
      <c r="D803" s="571" t="s">
        <v>1307</v>
      </c>
      <c r="E803" s="25">
        <v>57200</v>
      </c>
      <c r="H803" s="655"/>
      <c r="I803" s="589">
        <f t="shared" si="13"/>
        <v>1</v>
      </c>
      <c r="K803" s="589"/>
      <c r="L803" s="589"/>
      <c r="M803" s="589"/>
      <c r="N803" s="589"/>
      <c r="O803" s="589"/>
      <c r="P803" s="589"/>
      <c r="Q803" s="589"/>
      <c r="R803" s="589"/>
      <c r="S803" s="589"/>
      <c r="T803" s="589"/>
      <c r="U803" s="589"/>
      <c r="V803" s="589"/>
      <c r="W803" s="589"/>
      <c r="X803" s="589"/>
      <c r="Y803" s="589"/>
      <c r="AA803" s="589"/>
      <c r="AB803" s="589"/>
      <c r="AC803" s="589"/>
      <c r="AD803" s="589"/>
    </row>
    <row r="804" spans="1:30">
      <c r="A804" s="329" t="s">
        <v>4624</v>
      </c>
      <c r="B804" s="626"/>
      <c r="C804" s="643" t="s">
        <v>4625</v>
      </c>
      <c r="D804" s="571" t="s">
        <v>1307</v>
      </c>
      <c r="E804" s="25">
        <v>57200</v>
      </c>
      <c r="H804" s="655"/>
      <c r="I804" s="589">
        <f t="shared" si="13"/>
        <v>1</v>
      </c>
      <c r="K804" s="589"/>
      <c r="L804" s="589"/>
      <c r="M804" s="589"/>
      <c r="N804" s="589"/>
      <c r="O804" s="589"/>
      <c r="P804" s="589"/>
      <c r="Q804" s="589"/>
      <c r="R804" s="589"/>
      <c r="S804" s="589"/>
      <c r="T804" s="589"/>
      <c r="U804" s="589"/>
      <c r="V804" s="589"/>
      <c r="W804" s="589"/>
      <c r="X804" s="589"/>
      <c r="Y804" s="589"/>
      <c r="AA804" s="589"/>
      <c r="AB804" s="589"/>
      <c r="AC804" s="589"/>
      <c r="AD804" s="589"/>
    </row>
    <row r="805" spans="1:30">
      <c r="A805" s="329" t="s">
        <v>4626</v>
      </c>
      <c r="B805" s="626"/>
      <c r="C805" s="643" t="s">
        <v>3552</v>
      </c>
      <c r="D805" s="571" t="s">
        <v>1307</v>
      </c>
      <c r="E805" s="25">
        <v>57200</v>
      </c>
      <c r="H805" s="655"/>
      <c r="I805" s="589">
        <f t="shared" si="13"/>
        <v>1</v>
      </c>
      <c r="K805" s="589"/>
      <c r="L805" s="589"/>
      <c r="M805" s="589"/>
      <c r="N805" s="589"/>
      <c r="O805" s="589"/>
      <c r="P805" s="589"/>
      <c r="Q805" s="589"/>
      <c r="R805" s="589"/>
      <c r="S805" s="589"/>
      <c r="T805" s="589"/>
      <c r="U805" s="589"/>
      <c r="V805" s="589"/>
      <c r="W805" s="589"/>
      <c r="X805" s="589"/>
      <c r="Y805" s="589"/>
      <c r="AA805" s="589"/>
      <c r="AB805" s="589"/>
      <c r="AC805" s="589"/>
      <c r="AD805" s="589"/>
    </row>
    <row r="806" spans="1:30">
      <c r="A806" s="329" t="s">
        <v>3553</v>
      </c>
      <c r="B806" s="626"/>
      <c r="C806" s="643" t="s">
        <v>5781</v>
      </c>
      <c r="D806" s="571" t="s">
        <v>1307</v>
      </c>
      <c r="E806" s="25">
        <v>66000</v>
      </c>
      <c r="H806" s="655"/>
      <c r="I806" s="589">
        <f t="shared" si="13"/>
        <v>1</v>
      </c>
      <c r="K806" s="589"/>
      <c r="L806" s="589"/>
      <c r="M806" s="589"/>
      <c r="N806" s="589"/>
      <c r="O806" s="589"/>
      <c r="P806" s="589"/>
      <c r="Q806" s="589"/>
      <c r="R806" s="589"/>
      <c r="S806" s="589"/>
      <c r="T806" s="589"/>
      <c r="U806" s="589"/>
      <c r="V806" s="589"/>
      <c r="W806" s="589"/>
      <c r="X806" s="589"/>
      <c r="Y806" s="589"/>
      <c r="AA806" s="589"/>
      <c r="AB806" s="589"/>
      <c r="AC806" s="589"/>
      <c r="AD806" s="589"/>
    </row>
    <row r="807" spans="1:30">
      <c r="A807" s="329" t="s">
        <v>5782</v>
      </c>
      <c r="B807" s="626"/>
      <c r="C807" s="643" t="s">
        <v>5783</v>
      </c>
      <c r="D807" s="571" t="s">
        <v>1307</v>
      </c>
      <c r="E807" s="25">
        <v>75200</v>
      </c>
      <c r="H807" s="655"/>
      <c r="I807" s="589">
        <f t="shared" si="13"/>
        <v>1</v>
      </c>
      <c r="K807" s="589"/>
      <c r="L807" s="589"/>
      <c r="M807" s="589"/>
      <c r="N807" s="589"/>
      <c r="O807" s="589"/>
      <c r="P807" s="589"/>
      <c r="Q807" s="589"/>
      <c r="R807" s="589"/>
      <c r="S807" s="589"/>
      <c r="T807" s="589"/>
      <c r="U807" s="589"/>
      <c r="V807" s="589"/>
      <c r="W807" s="589"/>
      <c r="X807" s="589"/>
      <c r="Y807" s="589"/>
      <c r="AA807" s="589"/>
      <c r="AB807" s="589"/>
      <c r="AC807" s="589"/>
      <c r="AD807" s="589"/>
    </row>
    <row r="808" spans="1:30">
      <c r="B808" s="626"/>
      <c r="C808" s="627"/>
      <c r="D808" s="571"/>
      <c r="E808" s="655"/>
      <c r="H808" s="655"/>
      <c r="I808" s="589">
        <f t="shared" si="13"/>
        <v>0</v>
      </c>
      <c r="K808" s="589"/>
      <c r="L808" s="589"/>
      <c r="M808" s="589"/>
      <c r="N808" s="589"/>
      <c r="O808" s="589"/>
      <c r="P808" s="589"/>
      <c r="Q808" s="589"/>
      <c r="R808" s="589"/>
      <c r="S808" s="589"/>
      <c r="T808" s="589"/>
      <c r="U808" s="589"/>
      <c r="V808" s="589"/>
      <c r="W808" s="589"/>
      <c r="X808" s="589"/>
      <c r="Y808" s="589"/>
      <c r="AA808" s="589"/>
      <c r="AB808" s="589"/>
      <c r="AC808" s="589"/>
      <c r="AD808" s="589"/>
    </row>
    <row r="809" spans="1:30">
      <c r="A809" s="329" t="s">
        <v>5784</v>
      </c>
      <c r="B809" s="626"/>
      <c r="C809" s="643" t="s">
        <v>398</v>
      </c>
      <c r="D809" s="571" t="s">
        <v>1307</v>
      </c>
      <c r="E809" s="25">
        <v>28650</v>
      </c>
      <c r="H809" s="655"/>
      <c r="I809" s="589">
        <f t="shared" si="13"/>
        <v>1</v>
      </c>
      <c r="K809" s="589"/>
      <c r="L809" s="589"/>
      <c r="M809" s="589"/>
      <c r="N809" s="589"/>
      <c r="O809" s="589"/>
      <c r="P809" s="589"/>
      <c r="Q809" s="589"/>
      <c r="R809" s="589"/>
      <c r="S809" s="589"/>
      <c r="T809" s="589"/>
      <c r="U809" s="589"/>
      <c r="V809" s="589"/>
      <c r="W809" s="589"/>
      <c r="X809" s="589"/>
      <c r="Y809" s="589"/>
      <c r="AA809" s="589"/>
      <c r="AB809" s="589"/>
      <c r="AC809" s="589"/>
      <c r="AD809" s="589"/>
    </row>
    <row r="810" spans="1:30">
      <c r="A810" s="329" t="s">
        <v>5785</v>
      </c>
      <c r="B810" s="626"/>
      <c r="C810" s="643" t="s">
        <v>399</v>
      </c>
      <c r="D810" s="571" t="s">
        <v>1307</v>
      </c>
      <c r="E810" s="25">
        <v>28650</v>
      </c>
      <c r="H810" s="655"/>
      <c r="I810" s="589">
        <f t="shared" si="13"/>
        <v>1</v>
      </c>
      <c r="K810" s="589"/>
      <c r="L810" s="589"/>
      <c r="M810" s="589"/>
      <c r="N810" s="589"/>
      <c r="O810" s="589"/>
      <c r="P810" s="589"/>
      <c r="Q810" s="589"/>
      <c r="R810" s="589"/>
      <c r="S810" s="589"/>
      <c r="T810" s="589"/>
      <c r="U810" s="589"/>
      <c r="V810" s="589"/>
      <c r="W810" s="589"/>
      <c r="X810" s="589"/>
      <c r="Y810" s="589"/>
      <c r="AA810" s="589"/>
      <c r="AB810" s="589"/>
      <c r="AC810" s="589"/>
      <c r="AD810" s="589"/>
    </row>
    <row r="811" spans="1:30">
      <c r="A811" s="329" t="s">
        <v>3230</v>
      </c>
      <c r="B811" s="626"/>
      <c r="C811" s="643" t="s">
        <v>400</v>
      </c>
      <c r="D811" s="571" t="s">
        <v>1307</v>
      </c>
      <c r="E811" s="25">
        <v>32450</v>
      </c>
      <c r="H811" s="655"/>
      <c r="I811" s="589">
        <f t="shared" si="13"/>
        <v>1</v>
      </c>
      <c r="K811" s="589"/>
      <c r="L811" s="589"/>
      <c r="M811" s="589"/>
      <c r="N811" s="589"/>
      <c r="O811" s="589"/>
      <c r="P811" s="589"/>
      <c r="Q811" s="589"/>
      <c r="R811" s="589"/>
      <c r="S811" s="589"/>
      <c r="T811" s="589"/>
      <c r="U811" s="589"/>
      <c r="V811" s="589"/>
      <c r="W811" s="589"/>
      <c r="X811" s="589"/>
      <c r="Y811" s="589"/>
      <c r="AA811" s="589"/>
      <c r="AB811" s="589"/>
      <c r="AC811" s="589"/>
      <c r="AD811" s="589"/>
    </row>
    <row r="812" spans="1:30">
      <c r="A812" s="329" t="s">
        <v>3231</v>
      </c>
      <c r="B812" s="626"/>
      <c r="C812" s="643" t="s">
        <v>3736</v>
      </c>
      <c r="D812" s="571" t="s">
        <v>1307</v>
      </c>
      <c r="E812" s="25">
        <v>32450</v>
      </c>
      <c r="H812" s="655"/>
      <c r="I812" s="589">
        <f t="shared" si="13"/>
        <v>1</v>
      </c>
      <c r="K812" s="589"/>
      <c r="L812" s="589"/>
      <c r="M812" s="589"/>
      <c r="N812" s="589"/>
      <c r="O812" s="589"/>
      <c r="P812" s="589"/>
      <c r="Q812" s="589"/>
      <c r="R812" s="589"/>
      <c r="S812" s="589"/>
      <c r="T812" s="589"/>
      <c r="U812" s="589"/>
      <c r="V812" s="589"/>
      <c r="W812" s="589"/>
      <c r="X812" s="589"/>
      <c r="Y812" s="589"/>
      <c r="AA812" s="589"/>
      <c r="AB812" s="589"/>
      <c r="AC812" s="589"/>
      <c r="AD812" s="589"/>
    </row>
    <row r="813" spans="1:30">
      <c r="A813" s="329" t="s">
        <v>3232</v>
      </c>
      <c r="B813" s="626"/>
      <c r="C813" s="643" t="s">
        <v>3737</v>
      </c>
      <c r="D813" s="571" t="s">
        <v>1307</v>
      </c>
      <c r="E813" s="25">
        <v>32450</v>
      </c>
      <c r="H813" s="655"/>
      <c r="I813" s="589">
        <f t="shared" si="13"/>
        <v>1</v>
      </c>
      <c r="K813" s="589"/>
      <c r="L813" s="589"/>
      <c r="M813" s="589"/>
      <c r="N813" s="589"/>
      <c r="O813" s="589"/>
      <c r="P813" s="589"/>
      <c r="Q813" s="589"/>
      <c r="R813" s="589"/>
      <c r="S813" s="589"/>
      <c r="T813" s="589"/>
      <c r="U813" s="589"/>
      <c r="V813" s="589"/>
      <c r="W813" s="589"/>
      <c r="X813" s="589"/>
      <c r="Y813" s="589"/>
      <c r="AA813" s="589"/>
      <c r="AB813" s="589"/>
      <c r="AC813" s="589"/>
      <c r="AD813" s="589"/>
    </row>
    <row r="814" spans="1:30">
      <c r="A814" s="329" t="s">
        <v>3233</v>
      </c>
      <c r="B814" s="626"/>
      <c r="C814" s="643" t="s">
        <v>3738</v>
      </c>
      <c r="D814" s="571" t="s">
        <v>1307</v>
      </c>
      <c r="E814" s="25">
        <v>32450</v>
      </c>
      <c r="H814" s="655"/>
      <c r="I814" s="589">
        <f t="shared" si="13"/>
        <v>1</v>
      </c>
      <c r="K814" s="589"/>
      <c r="L814" s="589"/>
      <c r="M814" s="589"/>
      <c r="N814" s="589"/>
      <c r="O814" s="589"/>
      <c r="P814" s="589"/>
      <c r="Q814" s="589"/>
      <c r="R814" s="589"/>
      <c r="S814" s="589"/>
      <c r="T814" s="589"/>
      <c r="U814" s="589"/>
      <c r="V814" s="589"/>
      <c r="W814" s="589"/>
      <c r="X814" s="589"/>
      <c r="Y814" s="589"/>
      <c r="AA814" s="589"/>
      <c r="AB814" s="589"/>
      <c r="AC814" s="589"/>
      <c r="AD814" s="589"/>
    </row>
    <row r="815" spans="1:30">
      <c r="A815" s="329" t="s">
        <v>3234</v>
      </c>
      <c r="B815" s="626"/>
      <c r="C815" s="643" t="s">
        <v>3739</v>
      </c>
      <c r="D815" s="571" t="s">
        <v>1307</v>
      </c>
      <c r="E815" s="25">
        <v>36300</v>
      </c>
      <c r="H815" s="655"/>
      <c r="I815" s="589">
        <f t="shared" si="13"/>
        <v>1</v>
      </c>
      <c r="K815" s="589"/>
      <c r="L815" s="589"/>
      <c r="M815" s="589"/>
      <c r="N815" s="589"/>
      <c r="O815" s="589"/>
      <c r="P815" s="589"/>
      <c r="Q815" s="589"/>
      <c r="R815" s="589"/>
      <c r="S815" s="589"/>
      <c r="T815" s="589"/>
      <c r="U815" s="589"/>
      <c r="V815" s="589"/>
      <c r="W815" s="589"/>
      <c r="X815" s="589"/>
      <c r="Y815" s="589"/>
      <c r="AA815" s="589"/>
      <c r="AB815" s="589"/>
      <c r="AC815" s="589"/>
      <c r="AD815" s="589"/>
    </row>
    <row r="816" spans="1:30">
      <c r="A816" s="329" t="s">
        <v>3235</v>
      </c>
      <c r="B816" s="626"/>
      <c r="C816" s="643" t="s">
        <v>3740</v>
      </c>
      <c r="D816" s="571" t="s">
        <v>1307</v>
      </c>
      <c r="E816" s="25">
        <v>38200</v>
      </c>
      <c r="H816" s="655"/>
      <c r="I816" s="589">
        <f t="shared" si="13"/>
        <v>1</v>
      </c>
      <c r="K816" s="589"/>
      <c r="L816" s="589"/>
      <c r="M816" s="589"/>
      <c r="N816" s="589"/>
      <c r="O816" s="589"/>
      <c r="P816" s="589"/>
      <c r="Q816" s="589"/>
      <c r="R816" s="589"/>
      <c r="S816" s="589"/>
      <c r="T816" s="589"/>
      <c r="U816" s="589"/>
      <c r="V816" s="589"/>
      <c r="W816" s="589"/>
      <c r="X816" s="589"/>
      <c r="Y816" s="589"/>
      <c r="AA816" s="589"/>
      <c r="AB816" s="589"/>
      <c r="AC816" s="589"/>
      <c r="AD816" s="589"/>
    </row>
    <row r="817" spans="1:30">
      <c r="B817" s="626"/>
      <c r="C817" s="627"/>
      <c r="D817" s="571"/>
      <c r="E817" s="655"/>
      <c r="H817" s="655"/>
      <c r="I817" s="589">
        <f t="shared" si="13"/>
        <v>0</v>
      </c>
      <c r="K817" s="589"/>
      <c r="L817" s="589"/>
      <c r="M817" s="589"/>
      <c r="N817" s="589"/>
      <c r="O817" s="589"/>
      <c r="P817" s="589"/>
      <c r="Q817" s="589"/>
      <c r="R817" s="589"/>
      <c r="S817" s="589"/>
      <c r="T817" s="589"/>
      <c r="U817" s="589"/>
      <c r="V817" s="589"/>
      <c r="W817" s="589"/>
      <c r="X817" s="589"/>
      <c r="Y817" s="589"/>
      <c r="AA817" s="589"/>
      <c r="AB817" s="589"/>
      <c r="AC817" s="589"/>
      <c r="AD817" s="589"/>
    </row>
    <row r="818" spans="1:30">
      <c r="A818" s="329" t="s">
        <v>3236</v>
      </c>
      <c r="B818" s="626"/>
      <c r="C818" s="643" t="s">
        <v>3237</v>
      </c>
      <c r="D818" s="571" t="s">
        <v>1307</v>
      </c>
      <c r="E818" s="25">
        <v>28650</v>
      </c>
      <c r="H818" s="655"/>
      <c r="I818" s="589">
        <f t="shared" si="13"/>
        <v>1</v>
      </c>
      <c r="K818" s="589"/>
      <c r="L818" s="589"/>
      <c r="M818" s="589"/>
      <c r="N818" s="589"/>
      <c r="O818" s="589"/>
      <c r="P818" s="589"/>
      <c r="Q818" s="589"/>
      <c r="R818" s="589"/>
      <c r="S818" s="589"/>
      <c r="T818" s="589"/>
      <c r="U818" s="589"/>
      <c r="V818" s="589"/>
      <c r="W818" s="589"/>
      <c r="X818" s="589"/>
      <c r="Y818" s="589"/>
      <c r="AA818" s="589"/>
      <c r="AB818" s="589"/>
      <c r="AC818" s="589"/>
      <c r="AD818" s="589"/>
    </row>
    <row r="819" spans="1:30">
      <c r="A819" s="329" t="s">
        <v>3238</v>
      </c>
      <c r="B819" s="626"/>
      <c r="C819" s="643" t="s">
        <v>341</v>
      </c>
      <c r="D819" s="571" t="s">
        <v>1307</v>
      </c>
      <c r="E819" s="25">
        <v>28650</v>
      </c>
      <c r="H819" s="655"/>
      <c r="I819" s="589">
        <f t="shared" si="13"/>
        <v>1</v>
      </c>
      <c r="K819" s="589"/>
      <c r="L819" s="589"/>
      <c r="M819" s="589"/>
      <c r="N819" s="589"/>
      <c r="O819" s="589"/>
      <c r="P819" s="589"/>
      <c r="Q819" s="589"/>
      <c r="R819" s="589"/>
      <c r="S819" s="589"/>
      <c r="T819" s="589"/>
      <c r="U819" s="589"/>
      <c r="V819" s="589"/>
      <c r="W819" s="589"/>
      <c r="X819" s="589"/>
      <c r="Y819" s="589"/>
      <c r="AA819" s="589"/>
      <c r="AB819" s="589"/>
      <c r="AC819" s="589"/>
      <c r="AD819" s="589"/>
    </row>
    <row r="820" spans="1:30">
      <c r="A820" s="329" t="s">
        <v>342</v>
      </c>
      <c r="B820" s="626"/>
      <c r="C820" s="643" t="s">
        <v>458</v>
      </c>
      <c r="D820" s="571" t="s">
        <v>1307</v>
      </c>
      <c r="E820" s="25">
        <v>32450</v>
      </c>
      <c r="H820" s="655"/>
      <c r="I820" s="589">
        <f t="shared" si="13"/>
        <v>1</v>
      </c>
      <c r="K820" s="589"/>
      <c r="L820" s="589"/>
      <c r="M820" s="589"/>
      <c r="N820" s="589"/>
      <c r="O820" s="589"/>
      <c r="P820" s="589"/>
      <c r="Q820" s="589"/>
      <c r="R820" s="589"/>
      <c r="S820" s="589"/>
      <c r="T820" s="589"/>
      <c r="U820" s="589"/>
      <c r="V820" s="589"/>
      <c r="W820" s="589"/>
      <c r="X820" s="589"/>
      <c r="Y820" s="589"/>
      <c r="AA820" s="589"/>
      <c r="AB820" s="589"/>
      <c r="AC820" s="589"/>
      <c r="AD820" s="589"/>
    </row>
    <row r="821" spans="1:30">
      <c r="A821" s="329" t="s">
        <v>459</v>
      </c>
      <c r="B821" s="626"/>
      <c r="C821" s="643" t="s">
        <v>460</v>
      </c>
      <c r="D821" s="571" t="s">
        <v>1307</v>
      </c>
      <c r="E821" s="25">
        <v>32450</v>
      </c>
      <c r="H821" s="655"/>
      <c r="I821" s="589">
        <f t="shared" si="13"/>
        <v>1</v>
      </c>
      <c r="K821" s="589"/>
      <c r="L821" s="589"/>
      <c r="M821" s="589"/>
      <c r="N821" s="589"/>
      <c r="O821" s="589"/>
      <c r="P821" s="589"/>
      <c r="Q821" s="589"/>
      <c r="R821" s="589"/>
      <c r="S821" s="589"/>
      <c r="T821" s="589"/>
      <c r="U821" s="589"/>
      <c r="V821" s="589"/>
      <c r="W821" s="589"/>
      <c r="X821" s="589"/>
      <c r="Y821" s="589"/>
      <c r="AA821" s="589"/>
      <c r="AB821" s="589"/>
      <c r="AC821" s="589"/>
      <c r="AD821" s="589"/>
    </row>
    <row r="822" spans="1:30">
      <c r="A822" s="329" t="s">
        <v>461</v>
      </c>
      <c r="B822" s="626"/>
      <c r="C822" s="643" t="s">
        <v>462</v>
      </c>
      <c r="D822" s="571" t="s">
        <v>1307</v>
      </c>
      <c r="E822" s="25">
        <v>32450</v>
      </c>
      <c r="H822" s="655"/>
      <c r="I822" s="589">
        <f t="shared" si="13"/>
        <v>1</v>
      </c>
      <c r="K822" s="589"/>
      <c r="L822" s="589"/>
      <c r="M822" s="589"/>
      <c r="N822" s="589"/>
      <c r="O822" s="589"/>
      <c r="P822" s="589"/>
      <c r="Q822" s="589"/>
      <c r="R822" s="589"/>
      <c r="S822" s="589"/>
      <c r="T822" s="589"/>
      <c r="U822" s="589"/>
      <c r="V822" s="589"/>
      <c r="W822" s="589"/>
      <c r="X822" s="589"/>
      <c r="Y822" s="589"/>
      <c r="AA822" s="589"/>
      <c r="AB822" s="589"/>
      <c r="AC822" s="589"/>
      <c r="AD822" s="589"/>
    </row>
    <row r="823" spans="1:30">
      <c r="A823" s="329" t="s">
        <v>463</v>
      </c>
      <c r="B823" s="626"/>
      <c r="C823" s="643" t="s">
        <v>464</v>
      </c>
      <c r="D823" s="571" t="s">
        <v>1307</v>
      </c>
      <c r="E823" s="25">
        <v>32450</v>
      </c>
      <c r="H823" s="655"/>
      <c r="I823" s="589">
        <f t="shared" si="13"/>
        <v>1</v>
      </c>
      <c r="K823" s="589"/>
      <c r="L823" s="589"/>
      <c r="M823" s="589"/>
      <c r="N823" s="589"/>
      <c r="O823" s="589"/>
      <c r="P823" s="589"/>
      <c r="Q823" s="589"/>
      <c r="R823" s="589"/>
      <c r="S823" s="589"/>
      <c r="T823" s="589"/>
      <c r="U823" s="589"/>
      <c r="V823" s="589"/>
      <c r="W823" s="589"/>
      <c r="X823" s="589"/>
      <c r="Y823" s="589"/>
      <c r="AA823" s="589"/>
      <c r="AB823" s="589"/>
      <c r="AC823" s="589"/>
      <c r="AD823" s="589"/>
    </row>
    <row r="824" spans="1:30">
      <c r="A824" s="329" t="s">
        <v>465</v>
      </c>
      <c r="B824" s="626"/>
      <c r="C824" s="643" t="s">
        <v>5260</v>
      </c>
      <c r="D824" s="571" t="s">
        <v>1307</v>
      </c>
      <c r="E824" s="25">
        <v>36300</v>
      </c>
      <c r="H824" s="655"/>
      <c r="I824" s="589">
        <f t="shared" si="13"/>
        <v>1</v>
      </c>
      <c r="K824" s="589"/>
      <c r="L824" s="589"/>
      <c r="M824" s="589"/>
      <c r="N824" s="589"/>
      <c r="O824" s="589"/>
      <c r="P824" s="589"/>
      <c r="Q824" s="589"/>
      <c r="R824" s="589"/>
      <c r="S824" s="589"/>
      <c r="T824" s="589"/>
      <c r="U824" s="589"/>
      <c r="V824" s="589"/>
      <c r="W824" s="589"/>
      <c r="X824" s="589"/>
      <c r="Y824" s="589"/>
      <c r="AA824" s="589"/>
      <c r="AB824" s="589"/>
      <c r="AC824" s="589"/>
      <c r="AD824" s="589"/>
    </row>
    <row r="825" spans="1:30">
      <c r="A825" s="329" t="s">
        <v>5261</v>
      </c>
      <c r="B825" s="626"/>
      <c r="C825" s="643" t="s">
        <v>5262</v>
      </c>
      <c r="D825" s="571" t="s">
        <v>1307</v>
      </c>
      <c r="E825" s="25">
        <v>38200</v>
      </c>
      <c r="H825" s="655"/>
      <c r="I825" s="589">
        <f t="shared" si="13"/>
        <v>1</v>
      </c>
      <c r="K825" s="589"/>
      <c r="L825" s="589"/>
      <c r="M825" s="589"/>
      <c r="N825" s="589"/>
      <c r="O825" s="589"/>
      <c r="P825" s="589"/>
      <c r="Q825" s="589"/>
      <c r="R825" s="589"/>
      <c r="S825" s="589"/>
      <c r="T825" s="589"/>
      <c r="U825" s="589"/>
      <c r="V825" s="589"/>
      <c r="W825" s="589"/>
      <c r="X825" s="589"/>
      <c r="Y825" s="589"/>
      <c r="AA825" s="589"/>
      <c r="AB825" s="589"/>
      <c r="AC825" s="589"/>
      <c r="AD825" s="589"/>
    </row>
    <row r="826" spans="1:30">
      <c r="B826" s="626"/>
      <c r="C826" s="575"/>
      <c r="D826" s="571"/>
      <c r="E826" s="655"/>
      <c r="H826" s="655"/>
      <c r="I826" s="589">
        <f t="shared" si="13"/>
        <v>0</v>
      </c>
      <c r="K826" s="589"/>
      <c r="L826" s="589"/>
      <c r="M826" s="589"/>
      <c r="N826" s="589"/>
      <c r="O826" s="589"/>
      <c r="P826" s="589"/>
      <c r="Q826" s="589"/>
      <c r="R826" s="589"/>
      <c r="S826" s="589"/>
      <c r="T826" s="589"/>
      <c r="U826" s="589"/>
      <c r="V826" s="589"/>
      <c r="W826" s="589"/>
      <c r="X826" s="589"/>
      <c r="Y826" s="589"/>
      <c r="AA826" s="589"/>
      <c r="AB826" s="589"/>
      <c r="AC826" s="589"/>
      <c r="AD826" s="589"/>
    </row>
    <row r="827" spans="1:30">
      <c r="A827" s="329" t="s">
        <v>5263</v>
      </c>
      <c r="B827" s="626">
        <v>32043855</v>
      </c>
      <c r="C827" s="575" t="s">
        <v>3741</v>
      </c>
      <c r="D827" s="571" t="s">
        <v>1307</v>
      </c>
      <c r="E827" s="25">
        <v>33000</v>
      </c>
      <c r="H827" s="655"/>
      <c r="I827" s="589">
        <f t="shared" si="13"/>
        <v>1</v>
      </c>
      <c r="K827" s="589"/>
      <c r="L827" s="589"/>
      <c r="M827" s="589"/>
      <c r="N827" s="589"/>
      <c r="O827" s="589"/>
      <c r="P827" s="589"/>
      <c r="Q827" s="589"/>
      <c r="R827" s="589"/>
      <c r="S827" s="589"/>
      <c r="T827" s="589"/>
      <c r="U827" s="589"/>
      <c r="V827" s="589"/>
      <c r="W827" s="589"/>
      <c r="X827" s="589"/>
      <c r="Y827" s="589"/>
      <c r="AA827" s="589"/>
      <c r="AB827" s="589"/>
      <c r="AC827" s="589"/>
      <c r="AD827" s="589"/>
    </row>
    <row r="828" spans="1:30">
      <c r="A828" s="329" t="s">
        <v>3190</v>
      </c>
      <c r="B828" s="626">
        <v>32022624</v>
      </c>
      <c r="C828" s="575" t="s">
        <v>3742</v>
      </c>
      <c r="D828" s="571" t="s">
        <v>1307</v>
      </c>
      <c r="E828" s="25">
        <v>35200</v>
      </c>
      <c r="H828" s="655"/>
      <c r="I828" s="589">
        <f t="shared" si="13"/>
        <v>1</v>
      </c>
      <c r="K828" s="589"/>
      <c r="L828" s="589"/>
      <c r="M828" s="589"/>
      <c r="N828" s="589"/>
      <c r="O828" s="589"/>
      <c r="P828" s="589"/>
      <c r="Q828" s="589"/>
      <c r="R828" s="589"/>
      <c r="S828" s="589"/>
      <c r="T828" s="589"/>
      <c r="U828" s="589"/>
      <c r="V828" s="589"/>
      <c r="W828" s="589"/>
      <c r="X828" s="589"/>
      <c r="Y828" s="589"/>
      <c r="AA828" s="589"/>
      <c r="AB828" s="589"/>
      <c r="AC828" s="589"/>
      <c r="AD828" s="589"/>
    </row>
    <row r="829" spans="1:30">
      <c r="A829" s="329" t="s">
        <v>3191</v>
      </c>
      <c r="B829" s="626"/>
      <c r="C829" s="638" t="s">
        <v>3743</v>
      </c>
      <c r="D829" s="629" t="s">
        <v>1307</v>
      </c>
      <c r="E829" s="25">
        <v>42900</v>
      </c>
      <c r="H829" s="655"/>
      <c r="I829" s="589">
        <f t="shared" si="13"/>
        <v>1</v>
      </c>
      <c r="K829" s="589"/>
      <c r="L829" s="589"/>
      <c r="M829" s="589"/>
      <c r="N829" s="589"/>
      <c r="O829" s="589"/>
      <c r="P829" s="589"/>
      <c r="Q829" s="589"/>
      <c r="R829" s="589"/>
      <c r="S829" s="589"/>
      <c r="T829" s="589"/>
      <c r="U829" s="589"/>
      <c r="V829" s="589"/>
      <c r="W829" s="589"/>
      <c r="X829" s="589"/>
      <c r="Y829" s="589"/>
      <c r="AA829" s="589"/>
      <c r="AB829" s="589"/>
      <c r="AC829" s="589"/>
      <c r="AD829" s="589"/>
    </row>
    <row r="830" spans="1:30">
      <c r="A830" s="329" t="s">
        <v>3192</v>
      </c>
      <c r="B830" s="626"/>
      <c r="C830" s="638" t="s">
        <v>3744</v>
      </c>
      <c r="D830" s="629" t="s">
        <v>1307</v>
      </c>
      <c r="E830" s="25">
        <v>51800</v>
      </c>
      <c r="H830" s="655"/>
      <c r="I830" s="589">
        <f t="shared" si="13"/>
        <v>1</v>
      </c>
      <c r="K830" s="589"/>
      <c r="L830" s="589"/>
      <c r="M830" s="589"/>
      <c r="N830" s="589"/>
      <c r="O830" s="589"/>
      <c r="P830" s="589"/>
      <c r="Q830" s="589"/>
      <c r="R830" s="589"/>
      <c r="S830" s="589"/>
      <c r="T830" s="589"/>
      <c r="U830" s="589"/>
      <c r="V830" s="589"/>
      <c r="W830" s="589"/>
      <c r="X830" s="589"/>
      <c r="Y830" s="589"/>
      <c r="AA830" s="589"/>
      <c r="AB830" s="589"/>
      <c r="AC830" s="589"/>
      <c r="AD830" s="589"/>
    </row>
    <row r="831" spans="1:30">
      <c r="A831" s="329" t="s">
        <v>3193</v>
      </c>
      <c r="B831" s="626"/>
      <c r="C831" s="638" t="s">
        <v>3745</v>
      </c>
      <c r="D831" s="629" t="s">
        <v>1307</v>
      </c>
      <c r="E831" s="25">
        <v>62500</v>
      </c>
      <c r="H831" s="655"/>
      <c r="I831" s="589">
        <f t="shared" si="13"/>
        <v>1</v>
      </c>
      <c r="K831" s="589"/>
      <c r="L831" s="589"/>
      <c r="M831" s="589"/>
      <c r="N831" s="589"/>
      <c r="O831" s="589"/>
      <c r="P831" s="589"/>
      <c r="Q831" s="589"/>
      <c r="R831" s="589"/>
      <c r="S831" s="589"/>
      <c r="T831" s="589"/>
      <c r="U831" s="589"/>
      <c r="V831" s="589"/>
      <c r="W831" s="589"/>
      <c r="X831" s="589"/>
      <c r="Y831" s="589"/>
      <c r="AA831" s="589"/>
      <c r="AB831" s="589"/>
      <c r="AC831" s="589"/>
      <c r="AD831" s="589"/>
    </row>
    <row r="832" spans="1:30">
      <c r="A832" s="329" t="s">
        <v>3194</v>
      </c>
      <c r="B832" s="626"/>
      <c r="C832" s="778" t="s">
        <v>3658</v>
      </c>
      <c r="D832" s="629" t="s">
        <v>1307</v>
      </c>
      <c r="E832" s="25"/>
      <c r="H832" s="655"/>
      <c r="I832" s="589">
        <f t="shared" si="13"/>
        <v>0</v>
      </c>
      <c r="K832" s="589"/>
      <c r="L832" s="589"/>
      <c r="M832" s="589"/>
      <c r="N832" s="589"/>
      <c r="O832" s="589"/>
      <c r="P832" s="589"/>
      <c r="Q832" s="589"/>
      <c r="R832" s="589"/>
      <c r="S832" s="589"/>
      <c r="T832" s="589"/>
      <c r="U832" s="589"/>
      <c r="V832" s="589"/>
      <c r="W832" s="589"/>
      <c r="X832" s="589"/>
      <c r="Y832" s="589"/>
      <c r="AA832" s="589"/>
      <c r="AB832" s="589"/>
      <c r="AC832" s="589"/>
      <c r="AD832" s="589"/>
    </row>
    <row r="833" spans="1:30">
      <c r="A833" s="329" t="s">
        <v>3659</v>
      </c>
      <c r="B833" s="626"/>
      <c r="C833" s="778" t="s">
        <v>3660</v>
      </c>
      <c r="D833" s="629" t="s">
        <v>1307</v>
      </c>
      <c r="E833" s="25"/>
      <c r="H833" s="655"/>
      <c r="I833" s="589">
        <f t="shared" si="13"/>
        <v>0</v>
      </c>
      <c r="K833" s="589"/>
      <c r="L833" s="589"/>
      <c r="M833" s="589"/>
      <c r="N833" s="589"/>
      <c r="O833" s="589"/>
      <c r="P833" s="589"/>
      <c r="Q833" s="589"/>
      <c r="R833" s="589"/>
      <c r="S833" s="589"/>
      <c r="T833" s="589"/>
      <c r="U833" s="589"/>
      <c r="V833" s="589"/>
      <c r="W833" s="589"/>
      <c r="X833" s="589"/>
      <c r="Y833" s="589"/>
      <c r="AA833" s="589"/>
      <c r="AB833" s="589"/>
      <c r="AC833" s="589"/>
      <c r="AD833" s="589"/>
    </row>
    <row r="834" spans="1:30">
      <c r="A834" s="329" t="s">
        <v>3661</v>
      </c>
      <c r="B834" s="626"/>
      <c r="C834" s="778" t="s">
        <v>3662</v>
      </c>
      <c r="D834" s="629" t="s">
        <v>1307</v>
      </c>
      <c r="E834" s="25"/>
      <c r="H834" s="655"/>
      <c r="I834" s="589">
        <f t="shared" si="13"/>
        <v>0</v>
      </c>
      <c r="K834" s="589"/>
      <c r="L834" s="589"/>
      <c r="M834" s="589"/>
      <c r="N834" s="589"/>
      <c r="O834" s="589"/>
      <c r="P834" s="589"/>
      <c r="Q834" s="589"/>
      <c r="R834" s="589"/>
      <c r="S834" s="589"/>
      <c r="T834" s="589"/>
      <c r="U834" s="589"/>
      <c r="V834" s="589"/>
      <c r="W834" s="589"/>
      <c r="X834" s="589"/>
      <c r="Y834" s="589"/>
      <c r="AA834" s="589"/>
      <c r="AB834" s="589"/>
      <c r="AC834" s="589"/>
      <c r="AD834" s="589"/>
    </row>
    <row r="835" spans="1:30">
      <c r="A835" s="329" t="s">
        <v>3663</v>
      </c>
      <c r="B835" s="626"/>
      <c r="C835" s="778" t="s">
        <v>3664</v>
      </c>
      <c r="D835" s="629" t="s">
        <v>1307</v>
      </c>
      <c r="E835" s="25"/>
      <c r="H835" s="655"/>
      <c r="I835" s="589">
        <f t="shared" si="13"/>
        <v>0</v>
      </c>
      <c r="K835" s="589"/>
      <c r="L835" s="589"/>
      <c r="M835" s="589"/>
      <c r="N835" s="589"/>
      <c r="O835" s="589"/>
      <c r="P835" s="589"/>
      <c r="Q835" s="589"/>
      <c r="R835" s="589"/>
      <c r="S835" s="589"/>
      <c r="T835" s="589"/>
      <c r="U835" s="589"/>
      <c r="V835" s="589"/>
      <c r="W835" s="589"/>
      <c r="X835" s="589"/>
      <c r="Y835" s="589"/>
      <c r="AA835" s="589"/>
      <c r="AB835" s="589"/>
      <c r="AC835" s="589"/>
      <c r="AD835" s="589"/>
    </row>
    <row r="836" spans="1:30">
      <c r="A836" s="329" t="s">
        <v>3746</v>
      </c>
      <c r="B836" s="626"/>
      <c r="C836" s="778" t="s">
        <v>3664</v>
      </c>
      <c r="D836" s="629" t="s">
        <v>1307</v>
      </c>
      <c r="E836" s="25"/>
      <c r="H836" s="655"/>
      <c r="I836" s="589">
        <f>IF(E836=H836,0,1)</f>
        <v>0</v>
      </c>
      <c r="K836" s="589"/>
      <c r="L836" s="589"/>
      <c r="M836" s="589"/>
      <c r="N836" s="589"/>
      <c r="O836" s="589"/>
      <c r="P836" s="589"/>
      <c r="Q836" s="589"/>
      <c r="R836" s="589"/>
      <c r="S836" s="589"/>
      <c r="T836" s="589"/>
      <c r="U836" s="589"/>
      <c r="V836" s="589"/>
      <c r="W836" s="589"/>
      <c r="X836" s="589"/>
      <c r="Y836" s="589"/>
      <c r="AA836" s="589"/>
      <c r="AB836" s="589"/>
      <c r="AC836" s="589"/>
      <c r="AD836" s="589"/>
    </row>
    <row r="837" spans="1:30">
      <c r="B837" s="626"/>
      <c r="C837" s="638"/>
      <c r="D837" s="629"/>
      <c r="E837" s="25"/>
      <c r="H837" s="655"/>
      <c r="I837" s="589">
        <f t="shared" si="13"/>
        <v>0</v>
      </c>
      <c r="K837" s="589"/>
      <c r="L837" s="589"/>
      <c r="M837" s="589"/>
      <c r="N837" s="589"/>
      <c r="O837" s="589"/>
      <c r="P837" s="589"/>
      <c r="Q837" s="589"/>
      <c r="R837" s="589"/>
      <c r="S837" s="589"/>
      <c r="T837" s="589"/>
      <c r="U837" s="589"/>
      <c r="V837" s="589"/>
      <c r="W837" s="589"/>
      <c r="X837" s="589"/>
      <c r="Y837" s="589"/>
      <c r="AA837" s="589"/>
      <c r="AB837" s="589"/>
      <c r="AC837" s="589"/>
      <c r="AD837" s="589"/>
    </row>
    <row r="838" spans="1:30">
      <c r="A838" s="329" t="s">
        <v>3665</v>
      </c>
      <c r="B838" s="626">
        <v>32043945</v>
      </c>
      <c r="C838" s="575" t="s">
        <v>3666</v>
      </c>
      <c r="D838" s="571" t="s">
        <v>1307</v>
      </c>
      <c r="E838" s="25"/>
      <c r="H838" s="655"/>
      <c r="I838" s="589">
        <f t="shared" si="13"/>
        <v>0</v>
      </c>
      <c r="K838" s="589"/>
      <c r="L838" s="589"/>
      <c r="M838" s="589"/>
      <c r="N838" s="589"/>
      <c r="O838" s="589"/>
      <c r="P838" s="589"/>
      <c r="Q838" s="589"/>
      <c r="R838" s="589"/>
      <c r="S838" s="589"/>
      <c r="T838" s="589"/>
      <c r="U838" s="589"/>
      <c r="V838" s="589"/>
      <c r="W838" s="589"/>
      <c r="X838" s="589"/>
      <c r="Y838" s="589"/>
      <c r="AA838" s="589"/>
      <c r="AB838" s="589"/>
      <c r="AC838" s="589"/>
      <c r="AD838" s="589"/>
    </row>
    <row r="839" spans="1:30">
      <c r="A839" s="329" t="s">
        <v>3667</v>
      </c>
      <c r="B839" s="626">
        <v>32043947</v>
      </c>
      <c r="C839" s="575" t="s">
        <v>3668</v>
      </c>
      <c r="D839" s="571" t="s">
        <v>1307</v>
      </c>
      <c r="E839" s="25"/>
      <c r="H839" s="655"/>
      <c r="I839" s="589">
        <f t="shared" si="13"/>
        <v>0</v>
      </c>
      <c r="K839" s="589"/>
      <c r="L839" s="589"/>
      <c r="M839" s="589"/>
      <c r="N839" s="589"/>
      <c r="O839" s="589"/>
      <c r="P839" s="589"/>
      <c r="Q839" s="589"/>
      <c r="R839" s="589"/>
      <c r="S839" s="589"/>
      <c r="T839" s="589"/>
      <c r="U839" s="589"/>
      <c r="V839" s="589"/>
      <c r="W839" s="589"/>
      <c r="X839" s="589"/>
      <c r="Y839" s="589"/>
      <c r="AA839" s="589"/>
      <c r="AB839" s="589"/>
      <c r="AC839" s="589"/>
      <c r="AD839" s="589"/>
    </row>
    <row r="840" spans="1:30">
      <c r="A840" s="329" t="s">
        <v>3669</v>
      </c>
      <c r="B840" s="626">
        <v>32043948</v>
      </c>
      <c r="C840" s="575" t="s">
        <v>3670</v>
      </c>
      <c r="D840" s="571" t="s">
        <v>1307</v>
      </c>
      <c r="E840" s="25">
        <v>241390</v>
      </c>
      <c r="H840" s="655"/>
      <c r="I840" s="589">
        <f t="shared" si="13"/>
        <v>1</v>
      </c>
      <c r="K840" s="589"/>
      <c r="L840" s="589"/>
      <c r="M840" s="589"/>
      <c r="N840" s="589"/>
      <c r="O840" s="589"/>
      <c r="P840" s="589"/>
      <c r="Q840" s="589"/>
      <c r="R840" s="589"/>
      <c r="S840" s="589"/>
      <c r="T840" s="589"/>
      <c r="U840" s="589"/>
      <c r="V840" s="589"/>
      <c r="W840" s="589"/>
      <c r="X840" s="589"/>
      <c r="Y840" s="589"/>
      <c r="AA840" s="589"/>
      <c r="AB840" s="589"/>
      <c r="AC840" s="589"/>
      <c r="AD840" s="589"/>
    </row>
    <row r="841" spans="1:30">
      <c r="A841" s="329" t="s">
        <v>3671</v>
      </c>
      <c r="B841" s="626">
        <v>32043923</v>
      </c>
      <c r="C841" s="575" t="s">
        <v>3747</v>
      </c>
      <c r="D841" s="571" t="s">
        <v>1307</v>
      </c>
      <c r="E841" s="25">
        <v>3100</v>
      </c>
      <c r="H841" s="655"/>
      <c r="I841" s="589">
        <f t="shared" si="13"/>
        <v>1</v>
      </c>
      <c r="K841" s="589"/>
      <c r="L841" s="589"/>
      <c r="M841" s="589"/>
      <c r="N841" s="589"/>
      <c r="O841" s="589"/>
      <c r="P841" s="589"/>
      <c r="Q841" s="589"/>
      <c r="R841" s="589"/>
      <c r="S841" s="589"/>
      <c r="T841" s="589"/>
      <c r="U841" s="589"/>
      <c r="V841" s="589"/>
      <c r="W841" s="589"/>
      <c r="X841" s="589"/>
      <c r="Y841" s="589"/>
      <c r="AA841" s="589"/>
      <c r="AB841" s="589"/>
      <c r="AC841" s="589"/>
      <c r="AD841" s="589"/>
    </row>
    <row r="842" spans="1:30">
      <c r="A842" s="329" t="s">
        <v>3748</v>
      </c>
      <c r="B842" s="626">
        <v>32043924</v>
      </c>
      <c r="C842" s="575" t="s">
        <v>2853</v>
      </c>
      <c r="D842" s="571" t="s">
        <v>1307</v>
      </c>
      <c r="E842" s="25">
        <v>3700</v>
      </c>
      <c r="H842" s="655"/>
      <c r="I842" s="589">
        <f>IF(E842=H842,0,1)</f>
        <v>1</v>
      </c>
      <c r="K842" s="589"/>
      <c r="L842" s="589"/>
      <c r="M842" s="589"/>
      <c r="N842" s="589"/>
      <c r="O842" s="589"/>
      <c r="P842" s="589"/>
      <c r="Q842" s="589"/>
      <c r="R842" s="589"/>
      <c r="S842" s="589"/>
      <c r="T842" s="589"/>
      <c r="U842" s="589"/>
      <c r="V842" s="589"/>
      <c r="W842" s="589"/>
      <c r="X842" s="589"/>
      <c r="Y842" s="589"/>
      <c r="AA842" s="589"/>
      <c r="AB842" s="589"/>
      <c r="AC842" s="589"/>
      <c r="AD842" s="589"/>
    </row>
    <row r="843" spans="1:30">
      <c r="A843" s="329" t="s">
        <v>2854</v>
      </c>
      <c r="B843" s="626">
        <v>32043925</v>
      </c>
      <c r="C843" s="575" t="s">
        <v>2855</v>
      </c>
      <c r="D843" s="571" t="s">
        <v>1307</v>
      </c>
      <c r="E843" s="25">
        <v>3700</v>
      </c>
      <c r="H843" s="655"/>
      <c r="I843" s="589">
        <f>IF(E843=H843,0,1)</f>
        <v>1</v>
      </c>
      <c r="K843" s="589"/>
      <c r="L843" s="589"/>
      <c r="M843" s="589"/>
      <c r="N843" s="589"/>
      <c r="O843" s="589"/>
      <c r="P843" s="589"/>
      <c r="Q843" s="589"/>
      <c r="R843" s="589"/>
      <c r="S843" s="589"/>
      <c r="T843" s="589"/>
      <c r="U843" s="589"/>
      <c r="V843" s="589"/>
      <c r="W843" s="589"/>
      <c r="X843" s="589"/>
      <c r="Y843" s="589"/>
      <c r="AA843" s="589"/>
      <c r="AB843" s="589"/>
      <c r="AC843" s="589"/>
      <c r="AD843" s="589"/>
    </row>
    <row r="844" spans="1:30">
      <c r="A844" s="329" t="s">
        <v>2856</v>
      </c>
      <c r="B844" s="626">
        <v>32043926</v>
      </c>
      <c r="C844" s="575" t="s">
        <v>5363</v>
      </c>
      <c r="D844" s="571" t="s">
        <v>1307</v>
      </c>
      <c r="E844" s="25">
        <v>5200</v>
      </c>
      <c r="H844" s="655"/>
      <c r="I844" s="589">
        <f>IF(E844=H844,0,1)</f>
        <v>1</v>
      </c>
      <c r="K844" s="589"/>
      <c r="L844" s="589"/>
      <c r="M844" s="589"/>
      <c r="N844" s="589"/>
      <c r="O844" s="589"/>
      <c r="P844" s="589"/>
      <c r="Q844" s="589"/>
      <c r="R844" s="589"/>
      <c r="S844" s="589"/>
      <c r="T844" s="589"/>
      <c r="U844" s="589"/>
      <c r="V844" s="589"/>
      <c r="W844" s="589"/>
      <c r="X844" s="589"/>
      <c r="Y844" s="589"/>
      <c r="AA844" s="589"/>
      <c r="AB844" s="589"/>
      <c r="AC844" s="589"/>
      <c r="AD844" s="589"/>
    </row>
    <row r="845" spans="1:30">
      <c r="A845" s="329" t="s">
        <v>5364</v>
      </c>
      <c r="B845" s="626"/>
      <c r="C845" s="575" t="s">
        <v>5365</v>
      </c>
      <c r="D845" s="571" t="s">
        <v>1307</v>
      </c>
      <c r="E845" s="25">
        <v>47500</v>
      </c>
      <c r="H845" s="655"/>
      <c r="I845" s="589">
        <f>IF(E845=H845,0,1)</f>
        <v>1</v>
      </c>
      <c r="K845" s="589"/>
      <c r="L845" s="589"/>
      <c r="M845" s="589"/>
      <c r="N845" s="589"/>
      <c r="O845" s="589"/>
      <c r="P845" s="589"/>
      <c r="Q845" s="589"/>
      <c r="R845" s="589"/>
      <c r="S845" s="589"/>
      <c r="T845" s="589"/>
      <c r="U845" s="589"/>
      <c r="V845" s="589"/>
      <c r="W845" s="589"/>
      <c r="X845" s="589"/>
      <c r="Y845" s="589"/>
      <c r="AA845" s="589"/>
      <c r="AB845" s="589"/>
      <c r="AC845" s="589"/>
      <c r="AD845" s="589"/>
    </row>
    <row r="846" spans="1:30">
      <c r="A846" s="329" t="s">
        <v>5366</v>
      </c>
      <c r="B846" s="626"/>
      <c r="C846" s="575" t="s">
        <v>6254</v>
      </c>
      <c r="D846" s="571" t="s">
        <v>1307</v>
      </c>
      <c r="E846" s="25">
        <v>42500</v>
      </c>
      <c r="H846" s="655"/>
      <c r="I846" s="589">
        <f>IF(E846=H846,0,1)</f>
        <v>1</v>
      </c>
      <c r="K846" s="589"/>
      <c r="L846" s="589"/>
      <c r="M846" s="589"/>
      <c r="N846" s="589"/>
      <c r="O846" s="589"/>
      <c r="P846" s="589"/>
      <c r="Q846" s="589"/>
      <c r="R846" s="589"/>
      <c r="S846" s="589"/>
      <c r="T846" s="589"/>
      <c r="U846" s="589"/>
      <c r="V846" s="589"/>
      <c r="W846" s="589"/>
      <c r="X846" s="589"/>
      <c r="Y846" s="589"/>
      <c r="AA846" s="589"/>
      <c r="AB846" s="589"/>
      <c r="AC846" s="589"/>
      <c r="AD846" s="589"/>
    </row>
    <row r="847" spans="1:30">
      <c r="A847" s="610" t="s">
        <v>3672</v>
      </c>
      <c r="B847" s="611"/>
      <c r="C847" s="612"/>
      <c r="D847" s="613"/>
      <c r="E847" s="25"/>
      <c r="F847" s="329"/>
      <c r="H847" s="614"/>
      <c r="I847" s="589">
        <f t="shared" si="13"/>
        <v>0</v>
      </c>
      <c r="K847" s="589"/>
      <c r="L847" s="589"/>
      <c r="M847" s="589"/>
      <c r="N847" s="589"/>
      <c r="O847" s="589"/>
      <c r="P847" s="589"/>
      <c r="Q847" s="589"/>
      <c r="R847" s="589"/>
      <c r="S847" s="589"/>
      <c r="T847" s="589"/>
      <c r="U847" s="589"/>
      <c r="V847" s="589"/>
      <c r="W847" s="589"/>
      <c r="X847" s="589"/>
      <c r="Y847" s="589"/>
      <c r="AA847" s="589"/>
      <c r="AB847" s="589"/>
      <c r="AC847" s="589"/>
      <c r="AD847" s="589"/>
    </row>
    <row r="848" spans="1:30">
      <c r="A848" s="329" t="s">
        <v>2894</v>
      </c>
      <c r="B848" s="626">
        <v>43806020</v>
      </c>
      <c r="C848" s="575" t="s">
        <v>2895</v>
      </c>
      <c r="D848" s="571" t="s">
        <v>1307</v>
      </c>
      <c r="E848" s="25"/>
      <c r="H848" s="641"/>
      <c r="I848" s="589">
        <f t="shared" si="13"/>
        <v>0</v>
      </c>
      <c r="K848" s="589"/>
      <c r="L848" s="589"/>
      <c r="M848" s="589"/>
      <c r="N848" s="589"/>
      <c r="O848" s="589"/>
      <c r="P848" s="589"/>
      <c r="Q848" s="589"/>
      <c r="R848" s="589"/>
      <c r="S848" s="589"/>
      <c r="T848" s="589"/>
      <c r="U848" s="589"/>
      <c r="V848" s="589"/>
      <c r="W848" s="589"/>
      <c r="X848" s="589"/>
      <c r="Y848" s="589"/>
      <c r="AA848" s="589"/>
      <c r="AB848" s="589"/>
      <c r="AC848" s="589"/>
      <c r="AD848" s="589"/>
    </row>
    <row r="849" spans="1:30">
      <c r="A849" s="329" t="s">
        <v>2896</v>
      </c>
      <c r="B849" s="626">
        <v>43806040</v>
      </c>
      <c r="C849" s="575" t="s">
        <v>2897</v>
      </c>
      <c r="D849" s="571" t="s">
        <v>1297</v>
      </c>
      <c r="E849" s="25"/>
      <c r="H849" s="641"/>
      <c r="I849" s="589">
        <f t="shared" si="13"/>
        <v>0</v>
      </c>
      <c r="K849" s="589"/>
      <c r="L849" s="589"/>
      <c r="M849" s="589"/>
      <c r="N849" s="589"/>
      <c r="O849" s="589"/>
      <c r="P849" s="589"/>
      <c r="Q849" s="589"/>
      <c r="R849" s="589"/>
      <c r="S849" s="589"/>
      <c r="T849" s="589"/>
      <c r="U849" s="589"/>
      <c r="V849" s="589"/>
      <c r="W849" s="589"/>
      <c r="X849" s="589"/>
      <c r="Y849" s="589"/>
      <c r="AA849" s="589"/>
      <c r="AB849" s="589"/>
      <c r="AC849" s="589"/>
      <c r="AD849" s="589"/>
    </row>
    <row r="850" spans="1:30">
      <c r="A850" s="329" t="s">
        <v>2898</v>
      </c>
      <c r="B850" s="626">
        <v>43806060</v>
      </c>
      <c r="C850" s="575" t="s">
        <v>3687</v>
      </c>
      <c r="D850" s="571" t="s">
        <v>1307</v>
      </c>
      <c r="E850" s="25"/>
      <c r="H850" s="641"/>
      <c r="I850" s="589">
        <f t="shared" si="13"/>
        <v>0</v>
      </c>
      <c r="K850" s="589"/>
      <c r="L850" s="589"/>
      <c r="M850" s="589"/>
      <c r="N850" s="589"/>
      <c r="O850" s="589"/>
      <c r="P850" s="589"/>
      <c r="Q850" s="589"/>
      <c r="R850" s="589"/>
      <c r="S850" s="589"/>
      <c r="T850" s="589"/>
      <c r="U850" s="589"/>
      <c r="V850" s="589"/>
      <c r="W850" s="589"/>
      <c r="X850" s="589"/>
      <c r="Y850" s="589"/>
      <c r="AA850" s="589"/>
      <c r="AB850" s="589"/>
      <c r="AC850" s="589"/>
      <c r="AD850" s="589"/>
    </row>
    <row r="851" spans="1:30">
      <c r="B851" s="626"/>
      <c r="C851" s="575"/>
      <c r="D851" s="571"/>
      <c r="E851" s="25"/>
      <c r="H851" s="641"/>
      <c r="I851" s="589">
        <f t="shared" si="13"/>
        <v>0</v>
      </c>
      <c r="K851" s="589"/>
      <c r="L851" s="589"/>
      <c r="M851" s="589"/>
      <c r="N851" s="589"/>
      <c r="O851" s="589"/>
      <c r="P851" s="589"/>
      <c r="Q851" s="589"/>
      <c r="R851" s="589"/>
      <c r="S851" s="589"/>
      <c r="T851" s="589"/>
      <c r="U851" s="589"/>
      <c r="V851" s="589"/>
      <c r="W851" s="589"/>
      <c r="X851" s="589"/>
      <c r="Y851" s="589"/>
      <c r="AA851" s="589"/>
      <c r="AB851" s="589"/>
      <c r="AC851" s="589"/>
      <c r="AD851" s="589"/>
    </row>
    <row r="852" spans="1:30">
      <c r="A852" s="329" t="s">
        <v>3688</v>
      </c>
      <c r="B852" s="626">
        <v>43808040</v>
      </c>
      <c r="C852" s="575" t="s">
        <v>3689</v>
      </c>
      <c r="D852" s="571" t="s">
        <v>1307</v>
      </c>
      <c r="E852" s="25">
        <v>1900</v>
      </c>
      <c r="H852" s="633">
        <v>1900</v>
      </c>
      <c r="I852" s="589">
        <f t="shared" si="13"/>
        <v>0</v>
      </c>
      <c r="K852" s="589"/>
      <c r="L852" s="589"/>
      <c r="M852" s="589"/>
      <c r="N852" s="589"/>
      <c r="O852" s="589"/>
      <c r="P852" s="589"/>
      <c r="Q852" s="589"/>
      <c r="R852" s="589"/>
      <c r="S852" s="589"/>
      <c r="T852" s="589"/>
      <c r="U852" s="589"/>
      <c r="V852" s="589"/>
      <c r="W852" s="589"/>
      <c r="X852" s="589"/>
      <c r="Y852" s="589"/>
      <c r="AA852" s="589"/>
      <c r="AB852" s="589"/>
      <c r="AC852" s="589"/>
      <c r="AD852" s="589"/>
    </row>
    <row r="853" spans="1:30">
      <c r="A853" s="329" t="s">
        <v>3690</v>
      </c>
      <c r="B853" s="626">
        <v>43808050</v>
      </c>
      <c r="C853" s="575" t="s">
        <v>2028</v>
      </c>
      <c r="D853" s="571" t="s">
        <v>1297</v>
      </c>
      <c r="E853" s="25">
        <v>2000</v>
      </c>
      <c r="H853" s="641">
        <v>2000</v>
      </c>
      <c r="I853" s="589">
        <f t="shared" si="13"/>
        <v>0</v>
      </c>
      <c r="K853" s="589"/>
      <c r="L853" s="589"/>
      <c r="M853" s="589"/>
      <c r="N853" s="589"/>
      <c r="O853" s="589"/>
      <c r="P853" s="589"/>
      <c r="Q853" s="589"/>
      <c r="R853" s="589"/>
      <c r="S853" s="589"/>
      <c r="T853" s="589"/>
      <c r="U853" s="589"/>
      <c r="V853" s="589"/>
      <c r="W853" s="589"/>
      <c r="X853" s="589"/>
      <c r="Y853" s="589"/>
      <c r="AA853" s="589"/>
      <c r="AB853" s="589"/>
      <c r="AC853" s="589"/>
      <c r="AD853" s="589"/>
    </row>
    <row r="854" spans="1:30">
      <c r="A854" s="329" t="s">
        <v>2029</v>
      </c>
      <c r="B854" s="626">
        <v>43808080</v>
      </c>
      <c r="C854" s="575" t="s">
        <v>2030</v>
      </c>
      <c r="D854" s="571" t="s">
        <v>1307</v>
      </c>
      <c r="E854" s="25">
        <v>2500</v>
      </c>
      <c r="H854" s="641">
        <v>2500</v>
      </c>
      <c r="I854" s="589">
        <f t="shared" si="13"/>
        <v>0</v>
      </c>
      <c r="K854" s="589"/>
      <c r="L854" s="589"/>
      <c r="M854" s="589"/>
      <c r="N854" s="589"/>
      <c r="O854" s="589"/>
      <c r="P854" s="589"/>
      <c r="Q854" s="589"/>
      <c r="R854" s="589"/>
      <c r="S854" s="589"/>
      <c r="T854" s="589"/>
      <c r="U854" s="589"/>
      <c r="V854" s="589"/>
      <c r="W854" s="589"/>
      <c r="X854" s="589"/>
      <c r="Y854" s="589"/>
      <c r="AA854" s="589"/>
      <c r="AB854" s="589"/>
      <c r="AC854" s="589"/>
      <c r="AD854" s="589"/>
    </row>
    <row r="855" spans="1:30">
      <c r="B855" s="626"/>
      <c r="C855" s="575"/>
      <c r="D855" s="571"/>
      <c r="E855" s="25"/>
      <c r="H855" s="641"/>
      <c r="I855" s="589">
        <f t="shared" si="13"/>
        <v>0</v>
      </c>
      <c r="K855" s="589"/>
      <c r="L855" s="589"/>
      <c r="M855" s="589"/>
      <c r="N855" s="589"/>
      <c r="O855" s="589"/>
      <c r="P855" s="589"/>
      <c r="Q855" s="589"/>
      <c r="R855" s="589"/>
      <c r="S855" s="589"/>
      <c r="T855" s="589"/>
      <c r="U855" s="589"/>
      <c r="V855" s="589"/>
      <c r="W855" s="589"/>
      <c r="X855" s="589"/>
      <c r="Y855" s="589"/>
      <c r="AA855" s="589"/>
      <c r="AB855" s="589"/>
      <c r="AC855" s="589"/>
      <c r="AD855" s="589"/>
    </row>
    <row r="856" spans="1:30">
      <c r="A856" s="329" t="s">
        <v>2031</v>
      </c>
      <c r="B856" s="626">
        <v>43810040</v>
      </c>
      <c r="C856" s="575" t="s">
        <v>3262</v>
      </c>
      <c r="D856" s="571" t="s">
        <v>1307</v>
      </c>
      <c r="E856" s="25"/>
      <c r="H856" s="641"/>
      <c r="I856" s="589">
        <f t="shared" si="13"/>
        <v>0</v>
      </c>
      <c r="K856" s="589"/>
      <c r="L856" s="589"/>
      <c r="M856" s="589"/>
      <c r="N856" s="589"/>
      <c r="O856" s="589"/>
      <c r="P856" s="589"/>
      <c r="Q856" s="589"/>
      <c r="R856" s="589"/>
      <c r="S856" s="589"/>
      <c r="T856" s="589"/>
      <c r="U856" s="589"/>
      <c r="V856" s="589"/>
      <c r="W856" s="589"/>
      <c r="X856" s="589"/>
      <c r="Y856" s="589"/>
      <c r="AA856" s="589"/>
      <c r="AB856" s="589"/>
      <c r="AC856" s="589"/>
      <c r="AD856" s="589"/>
    </row>
    <row r="857" spans="1:30">
      <c r="A857" s="329" t="s">
        <v>3263</v>
      </c>
      <c r="B857" s="663">
        <v>43810060</v>
      </c>
      <c r="C857" s="638" t="s">
        <v>3264</v>
      </c>
      <c r="D857" s="571" t="s">
        <v>1307</v>
      </c>
      <c r="E857" s="25"/>
      <c r="H857" s="641"/>
      <c r="I857" s="589">
        <f t="shared" si="13"/>
        <v>0</v>
      </c>
      <c r="K857" s="589"/>
      <c r="L857" s="589"/>
      <c r="M857" s="589"/>
      <c r="N857" s="589"/>
      <c r="O857" s="589"/>
      <c r="P857" s="589"/>
      <c r="Q857" s="589"/>
      <c r="R857" s="589"/>
      <c r="S857" s="589"/>
      <c r="T857" s="589"/>
      <c r="U857" s="589"/>
      <c r="V857" s="589"/>
      <c r="W857" s="589"/>
      <c r="X857" s="589"/>
      <c r="Y857" s="589"/>
      <c r="AA857" s="589"/>
      <c r="AB857" s="589"/>
      <c r="AC857" s="589"/>
      <c r="AD857" s="589"/>
    </row>
    <row r="858" spans="1:30">
      <c r="A858" s="329" t="s">
        <v>3399</v>
      </c>
      <c r="B858" s="626">
        <v>43810080</v>
      </c>
      <c r="C858" s="575" t="s">
        <v>6181</v>
      </c>
      <c r="D858" s="571" t="s">
        <v>1307</v>
      </c>
      <c r="E858" s="25"/>
      <c r="H858" s="641"/>
      <c r="I858" s="589">
        <f t="shared" si="13"/>
        <v>0</v>
      </c>
      <c r="K858" s="589"/>
      <c r="L858" s="589"/>
      <c r="M858" s="589"/>
      <c r="N858" s="589"/>
      <c r="O858" s="589"/>
      <c r="P858" s="589"/>
      <c r="Q858" s="589"/>
      <c r="R858" s="589"/>
      <c r="S858" s="589"/>
      <c r="T858" s="589"/>
      <c r="U858" s="589"/>
      <c r="V858" s="589"/>
      <c r="W858" s="589"/>
      <c r="X858" s="589"/>
      <c r="Y858" s="589"/>
      <c r="AA858" s="589"/>
      <c r="AB858" s="589"/>
      <c r="AC858" s="589"/>
      <c r="AD858" s="589"/>
    </row>
    <row r="859" spans="1:30">
      <c r="A859" s="329" t="s">
        <v>6182</v>
      </c>
      <c r="B859" s="626">
        <v>43810150</v>
      </c>
      <c r="C859" s="575" t="s">
        <v>6183</v>
      </c>
      <c r="D859" s="571" t="s">
        <v>1307</v>
      </c>
      <c r="E859" s="25"/>
      <c r="H859" s="641"/>
      <c r="I859" s="589">
        <f t="shared" si="13"/>
        <v>0</v>
      </c>
      <c r="K859" s="589"/>
      <c r="L859" s="589"/>
      <c r="M859" s="589"/>
      <c r="N859" s="589"/>
      <c r="O859" s="589"/>
      <c r="P859" s="589"/>
      <c r="Q859" s="589"/>
      <c r="R859" s="589"/>
      <c r="S859" s="589"/>
      <c r="T859" s="589"/>
      <c r="U859" s="589"/>
      <c r="V859" s="589"/>
      <c r="W859" s="589"/>
      <c r="X859" s="589"/>
      <c r="Y859" s="589"/>
      <c r="AA859" s="589"/>
      <c r="AB859" s="589"/>
      <c r="AC859" s="589"/>
      <c r="AD859" s="589"/>
    </row>
    <row r="860" spans="1:30">
      <c r="B860" s="626"/>
      <c r="C860" s="575"/>
      <c r="D860" s="571"/>
      <c r="E860" s="25"/>
      <c r="H860" s="641"/>
      <c r="I860" s="589">
        <f t="shared" si="13"/>
        <v>0</v>
      </c>
      <c r="K860" s="589"/>
      <c r="L860" s="589"/>
      <c r="M860" s="589"/>
      <c r="N860" s="589"/>
      <c r="O860" s="589"/>
      <c r="P860" s="589"/>
      <c r="Q860" s="589"/>
      <c r="R860" s="589"/>
      <c r="S860" s="589"/>
      <c r="T860" s="589"/>
      <c r="U860" s="589"/>
      <c r="V860" s="589"/>
      <c r="W860" s="589"/>
      <c r="X860" s="589"/>
      <c r="Y860" s="589"/>
      <c r="AA860" s="589"/>
      <c r="AB860" s="589"/>
      <c r="AC860" s="589"/>
      <c r="AD860" s="589"/>
    </row>
    <row r="861" spans="1:30">
      <c r="A861" s="329" t="s">
        <v>6184</v>
      </c>
      <c r="B861" s="626">
        <v>43812040</v>
      </c>
      <c r="C861" s="627" t="s">
        <v>594</v>
      </c>
      <c r="D861" s="571" t="s">
        <v>1307</v>
      </c>
      <c r="E861" s="25">
        <v>3000</v>
      </c>
      <c r="H861" s="641"/>
      <c r="I861" s="589">
        <f t="shared" si="13"/>
        <v>1</v>
      </c>
      <c r="K861" s="589"/>
      <c r="L861" s="589"/>
      <c r="M861" s="589"/>
      <c r="N861" s="589"/>
      <c r="O861" s="589"/>
      <c r="P861" s="589"/>
      <c r="Q861" s="589"/>
      <c r="R861" s="589"/>
      <c r="S861" s="589"/>
      <c r="T861" s="589"/>
      <c r="U861" s="589"/>
      <c r="V861" s="589"/>
      <c r="W861" s="589"/>
      <c r="X861" s="589"/>
      <c r="Y861" s="589"/>
      <c r="AA861" s="589"/>
      <c r="AB861" s="589"/>
      <c r="AC861" s="589"/>
      <c r="AD861" s="589"/>
    </row>
    <row r="862" spans="1:30">
      <c r="A862" s="329" t="s">
        <v>595</v>
      </c>
      <c r="B862" s="626">
        <v>43812050</v>
      </c>
      <c r="C862" s="575" t="s">
        <v>596</v>
      </c>
      <c r="D862" s="571" t="s">
        <v>1307</v>
      </c>
      <c r="E862" s="25">
        <v>3400</v>
      </c>
      <c r="H862" s="641">
        <v>3000</v>
      </c>
      <c r="I862" s="589">
        <f t="shared" si="13"/>
        <v>1</v>
      </c>
      <c r="K862" s="589"/>
      <c r="L862" s="589"/>
      <c r="M862" s="589"/>
      <c r="N862" s="589"/>
      <c r="O862" s="589"/>
      <c r="P862" s="589"/>
      <c r="Q862" s="589"/>
      <c r="R862" s="589"/>
      <c r="S862" s="589"/>
      <c r="T862" s="589"/>
      <c r="U862" s="589"/>
      <c r="V862" s="589"/>
      <c r="W862" s="589"/>
      <c r="X862" s="589"/>
      <c r="Y862" s="589"/>
      <c r="AA862" s="589"/>
      <c r="AB862" s="589"/>
      <c r="AC862" s="589"/>
      <c r="AD862" s="589"/>
    </row>
    <row r="863" spans="1:30">
      <c r="A863" s="329" t="s">
        <v>597</v>
      </c>
      <c r="B863" s="626">
        <v>43812150</v>
      </c>
      <c r="C863" s="575" t="s">
        <v>926</v>
      </c>
      <c r="D863" s="571" t="s">
        <v>1307</v>
      </c>
      <c r="E863" s="25">
        <v>5200</v>
      </c>
      <c r="H863" s="641"/>
      <c r="I863" s="589">
        <f t="shared" ref="I863:I926" si="14">IF(E863=H863,0,1)</f>
        <v>1</v>
      </c>
      <c r="K863" s="589"/>
      <c r="L863" s="589"/>
      <c r="M863" s="589"/>
      <c r="N863" s="589"/>
      <c r="O863" s="589"/>
      <c r="P863" s="589"/>
      <c r="Q863" s="589"/>
      <c r="R863" s="589"/>
      <c r="S863" s="589"/>
      <c r="T863" s="589"/>
      <c r="U863" s="589"/>
      <c r="V863" s="589"/>
      <c r="W863" s="589"/>
      <c r="X863" s="589"/>
      <c r="Y863" s="589"/>
      <c r="AA863" s="589"/>
      <c r="AB863" s="589"/>
      <c r="AC863" s="589"/>
      <c r="AD863" s="589"/>
    </row>
    <row r="864" spans="1:30">
      <c r="A864" s="329" t="s">
        <v>927</v>
      </c>
      <c r="B864" s="626"/>
      <c r="C864" s="638" t="s">
        <v>5534</v>
      </c>
      <c r="D864" s="571" t="s">
        <v>1307</v>
      </c>
      <c r="E864" s="25"/>
      <c r="H864" s="641"/>
      <c r="I864" s="589">
        <f t="shared" si="14"/>
        <v>0</v>
      </c>
      <c r="K864" s="589"/>
      <c r="L864" s="589"/>
      <c r="M864" s="589"/>
      <c r="N864" s="589"/>
      <c r="O864" s="589"/>
      <c r="P864" s="589"/>
      <c r="Q864" s="589"/>
      <c r="R864" s="589"/>
      <c r="S864" s="589"/>
      <c r="T864" s="589"/>
      <c r="U864" s="589"/>
      <c r="V864" s="589"/>
      <c r="W864" s="589"/>
      <c r="X864" s="589"/>
      <c r="Y864" s="589"/>
      <c r="AA864" s="589"/>
      <c r="AB864" s="589"/>
      <c r="AC864" s="589"/>
      <c r="AD864" s="589"/>
    </row>
    <row r="865" spans="1:30">
      <c r="B865" s="626"/>
      <c r="C865" s="638"/>
      <c r="D865" s="629"/>
      <c r="E865" s="25"/>
      <c r="H865" s="641"/>
      <c r="I865" s="589">
        <f t="shared" si="14"/>
        <v>0</v>
      </c>
      <c r="K865" s="589"/>
      <c r="L865" s="589"/>
      <c r="M865" s="589"/>
      <c r="N865" s="589"/>
      <c r="O865" s="589"/>
      <c r="P865" s="589"/>
      <c r="Q865" s="589"/>
      <c r="R865" s="589"/>
      <c r="S865" s="589"/>
      <c r="T865" s="589"/>
      <c r="U865" s="589"/>
      <c r="V865" s="589"/>
      <c r="W865" s="589"/>
      <c r="X865" s="589"/>
      <c r="Y865" s="589"/>
      <c r="AA865" s="589"/>
      <c r="AB865" s="589"/>
      <c r="AC865" s="589"/>
      <c r="AD865" s="589"/>
    </row>
    <row r="866" spans="1:30">
      <c r="A866" s="329" t="s">
        <v>5535</v>
      </c>
      <c r="B866" s="626">
        <v>43814040</v>
      </c>
      <c r="C866" s="575" t="s">
        <v>1731</v>
      </c>
      <c r="D866" s="571" t="s">
        <v>1297</v>
      </c>
      <c r="E866" s="25">
        <v>4000</v>
      </c>
      <c r="H866" s="641"/>
      <c r="I866" s="589">
        <f t="shared" si="14"/>
        <v>1</v>
      </c>
      <c r="K866" s="589"/>
      <c r="L866" s="589"/>
      <c r="M866" s="589"/>
      <c r="N866" s="589"/>
      <c r="O866" s="589"/>
      <c r="P866" s="589"/>
      <c r="Q866" s="589"/>
      <c r="R866" s="589"/>
      <c r="S866" s="589"/>
      <c r="T866" s="589"/>
      <c r="U866" s="589"/>
      <c r="V866" s="589"/>
      <c r="W866" s="589"/>
      <c r="X866" s="589"/>
      <c r="Y866" s="589"/>
      <c r="AA866" s="589"/>
      <c r="AB866" s="589"/>
      <c r="AC866" s="589"/>
      <c r="AD866" s="589"/>
    </row>
    <row r="867" spans="1:30">
      <c r="A867" s="329" t="s">
        <v>1732</v>
      </c>
      <c r="B867" s="626">
        <v>43814150</v>
      </c>
      <c r="C867" s="575" t="s">
        <v>1733</v>
      </c>
      <c r="D867" s="571" t="s">
        <v>1307</v>
      </c>
      <c r="E867" s="25">
        <v>6600</v>
      </c>
      <c r="H867" s="641"/>
      <c r="I867" s="589">
        <f t="shared" si="14"/>
        <v>1</v>
      </c>
      <c r="K867" s="589"/>
      <c r="L867" s="589"/>
      <c r="M867" s="589"/>
      <c r="N867" s="589"/>
      <c r="O867" s="589"/>
      <c r="P867" s="589"/>
      <c r="Q867" s="589"/>
      <c r="R867" s="589"/>
      <c r="S867" s="589"/>
      <c r="T867" s="589"/>
      <c r="U867" s="589"/>
      <c r="V867" s="589"/>
      <c r="W867" s="589"/>
      <c r="X867" s="589"/>
      <c r="Y867" s="589"/>
      <c r="AA867" s="589"/>
      <c r="AB867" s="589"/>
      <c r="AC867" s="589"/>
      <c r="AD867" s="589"/>
    </row>
    <row r="868" spans="1:30">
      <c r="A868" s="329" t="s">
        <v>1734</v>
      </c>
      <c r="B868" s="626">
        <v>43814200</v>
      </c>
      <c r="C868" s="575" t="s">
        <v>2992</v>
      </c>
      <c r="D868" s="571" t="s">
        <v>1307</v>
      </c>
      <c r="E868" s="25">
        <v>7800</v>
      </c>
      <c r="H868" s="641"/>
      <c r="I868" s="589">
        <f t="shared" si="14"/>
        <v>1</v>
      </c>
      <c r="K868" s="589"/>
      <c r="L868" s="589"/>
      <c r="M868" s="589"/>
      <c r="N868" s="589"/>
      <c r="O868" s="589"/>
      <c r="P868" s="589"/>
      <c r="Q868" s="589"/>
      <c r="R868" s="589"/>
      <c r="S868" s="589"/>
      <c r="T868" s="589"/>
      <c r="U868" s="589"/>
      <c r="V868" s="589"/>
      <c r="W868" s="589"/>
      <c r="X868" s="589"/>
      <c r="Y868" s="589"/>
      <c r="AA868" s="589"/>
      <c r="AB868" s="589"/>
      <c r="AC868" s="589"/>
      <c r="AD868" s="589"/>
    </row>
    <row r="869" spans="1:30">
      <c r="A869" s="329" t="s">
        <v>2993</v>
      </c>
      <c r="B869" s="626">
        <v>43810395</v>
      </c>
      <c r="C869" s="575" t="s">
        <v>3007</v>
      </c>
      <c r="D869" s="571" t="s">
        <v>1307</v>
      </c>
      <c r="E869" s="25">
        <v>9120</v>
      </c>
      <c r="F869" s="595"/>
      <c r="H869" s="641"/>
      <c r="I869" s="589">
        <f t="shared" si="14"/>
        <v>1</v>
      </c>
      <c r="K869" s="589"/>
      <c r="L869" s="589"/>
      <c r="M869" s="589"/>
      <c r="N869" s="589"/>
      <c r="O869" s="589"/>
      <c r="P869" s="589"/>
      <c r="Q869" s="589"/>
      <c r="R869" s="589"/>
      <c r="S869" s="589"/>
      <c r="T869" s="589"/>
      <c r="U869" s="589"/>
      <c r="V869" s="589"/>
      <c r="W869" s="589"/>
      <c r="X869" s="589"/>
      <c r="Y869" s="589"/>
      <c r="AA869" s="589"/>
      <c r="AB869" s="589"/>
      <c r="AC869" s="589"/>
      <c r="AD869" s="589"/>
    </row>
    <row r="870" spans="1:30">
      <c r="A870" s="329" t="s">
        <v>3008</v>
      </c>
      <c r="B870" s="626">
        <v>43814350</v>
      </c>
      <c r="C870" s="627" t="s">
        <v>3009</v>
      </c>
      <c r="D870" s="571" t="s">
        <v>1307</v>
      </c>
      <c r="E870" s="25">
        <v>10500</v>
      </c>
      <c r="H870" s="641"/>
      <c r="I870" s="589">
        <f t="shared" si="14"/>
        <v>1</v>
      </c>
      <c r="K870" s="589"/>
      <c r="L870" s="589"/>
      <c r="M870" s="589"/>
      <c r="N870" s="589"/>
      <c r="O870" s="589"/>
      <c r="P870" s="589"/>
      <c r="Q870" s="589"/>
      <c r="R870" s="589"/>
      <c r="S870" s="589"/>
      <c r="T870" s="589"/>
      <c r="U870" s="589"/>
      <c r="V870" s="589"/>
      <c r="W870" s="589"/>
      <c r="X870" s="589"/>
      <c r="Y870" s="589"/>
      <c r="AA870" s="589"/>
      <c r="AB870" s="589"/>
      <c r="AC870" s="589"/>
      <c r="AD870" s="589"/>
    </row>
    <row r="871" spans="1:30">
      <c r="B871" s="626"/>
      <c r="C871" s="627"/>
      <c r="D871" s="571"/>
      <c r="E871" s="25"/>
      <c r="H871" s="641"/>
      <c r="I871" s="589">
        <f t="shared" si="14"/>
        <v>0</v>
      </c>
      <c r="K871" s="589"/>
      <c r="L871" s="589"/>
      <c r="M871" s="589"/>
      <c r="N871" s="589"/>
      <c r="O871" s="589"/>
      <c r="P871" s="589"/>
      <c r="Q871" s="589"/>
      <c r="R871" s="589"/>
      <c r="S871" s="589"/>
      <c r="T871" s="589"/>
      <c r="U871" s="589"/>
      <c r="V871" s="589"/>
      <c r="W871" s="589"/>
      <c r="X871" s="589"/>
      <c r="Y871" s="589"/>
      <c r="AA871" s="589"/>
      <c r="AB871" s="589"/>
      <c r="AC871" s="589"/>
      <c r="AD871" s="589"/>
    </row>
    <row r="872" spans="1:30">
      <c r="A872" s="329" t="s">
        <v>3010</v>
      </c>
      <c r="B872" s="626">
        <v>43816050</v>
      </c>
      <c r="C872" s="575" t="s">
        <v>3011</v>
      </c>
      <c r="D872" s="571" t="s">
        <v>1307</v>
      </c>
      <c r="E872" s="645">
        <v>5500</v>
      </c>
      <c r="H872" s="633">
        <v>4000</v>
      </c>
      <c r="I872" s="589">
        <f t="shared" si="14"/>
        <v>1</v>
      </c>
      <c r="K872" s="589"/>
      <c r="L872" s="589"/>
      <c r="M872" s="589"/>
      <c r="N872" s="589"/>
      <c r="O872" s="589"/>
      <c r="P872" s="589"/>
      <c r="Q872" s="589"/>
      <c r="R872" s="589"/>
      <c r="S872" s="589"/>
      <c r="T872" s="589"/>
      <c r="U872" s="589"/>
      <c r="V872" s="589"/>
      <c r="W872" s="589"/>
      <c r="X872" s="589"/>
      <c r="Y872" s="589"/>
      <c r="AA872" s="589"/>
      <c r="AB872" s="589"/>
      <c r="AC872" s="589"/>
      <c r="AD872" s="589"/>
    </row>
    <row r="873" spans="1:30">
      <c r="A873" s="329" t="s">
        <v>3012</v>
      </c>
      <c r="B873" s="626">
        <v>43816100</v>
      </c>
      <c r="C873" s="575" t="s">
        <v>3013</v>
      </c>
      <c r="D873" s="571" t="s">
        <v>1307</v>
      </c>
      <c r="E873" s="645">
        <v>7200</v>
      </c>
      <c r="H873" s="633">
        <v>5000</v>
      </c>
      <c r="I873" s="589">
        <f t="shared" si="14"/>
        <v>1</v>
      </c>
      <c r="K873" s="589"/>
      <c r="L873" s="589"/>
      <c r="M873" s="589"/>
      <c r="N873" s="589"/>
      <c r="O873" s="589"/>
      <c r="P873" s="589"/>
      <c r="Q873" s="589"/>
      <c r="R873" s="589"/>
      <c r="S873" s="589"/>
      <c r="T873" s="589"/>
      <c r="U873" s="589"/>
      <c r="V873" s="589"/>
      <c r="W873" s="589"/>
      <c r="X873" s="589"/>
      <c r="Y873" s="589"/>
      <c r="AA873" s="589"/>
      <c r="AB873" s="589"/>
      <c r="AC873" s="589"/>
      <c r="AD873" s="589"/>
    </row>
    <row r="874" spans="1:30">
      <c r="A874" s="329" t="s">
        <v>3014</v>
      </c>
      <c r="B874" s="626">
        <v>43816150</v>
      </c>
      <c r="C874" s="575" t="s">
        <v>3015</v>
      </c>
      <c r="D874" s="571" t="s">
        <v>1307</v>
      </c>
      <c r="E874" s="645">
        <v>8900</v>
      </c>
      <c r="F874" s="595"/>
      <c r="H874" s="633">
        <v>6500</v>
      </c>
      <c r="I874" s="589">
        <f t="shared" si="14"/>
        <v>1</v>
      </c>
      <c r="K874" s="589"/>
      <c r="L874" s="589"/>
      <c r="M874" s="589"/>
      <c r="N874" s="589"/>
      <c r="O874" s="589"/>
      <c r="P874" s="589"/>
      <c r="Q874" s="589"/>
      <c r="R874" s="589"/>
      <c r="S874" s="589"/>
      <c r="T874" s="589"/>
      <c r="U874" s="589"/>
      <c r="V874" s="589"/>
      <c r="W874" s="589"/>
      <c r="X874" s="589"/>
      <c r="Y874" s="589"/>
      <c r="AA874" s="589"/>
      <c r="AB874" s="589"/>
      <c r="AC874" s="589"/>
      <c r="AD874" s="589"/>
    </row>
    <row r="875" spans="1:30">
      <c r="A875" s="329" t="s">
        <v>3016</v>
      </c>
      <c r="B875" s="626">
        <v>43816200</v>
      </c>
      <c r="C875" s="575" t="s">
        <v>3017</v>
      </c>
      <c r="D875" s="571" t="s">
        <v>1307</v>
      </c>
      <c r="E875" s="645">
        <v>10700</v>
      </c>
      <c r="F875" s="595"/>
      <c r="H875" s="633">
        <v>7800</v>
      </c>
      <c r="I875" s="589">
        <f t="shared" si="14"/>
        <v>1</v>
      </c>
      <c r="K875" s="589"/>
      <c r="L875" s="589"/>
      <c r="M875" s="589"/>
      <c r="N875" s="589"/>
      <c r="O875" s="589"/>
      <c r="P875" s="589"/>
      <c r="Q875" s="589"/>
      <c r="R875" s="589"/>
      <c r="S875" s="589"/>
      <c r="T875" s="589"/>
      <c r="U875" s="589"/>
      <c r="V875" s="589"/>
      <c r="W875" s="589"/>
      <c r="X875" s="589"/>
      <c r="Y875" s="589"/>
      <c r="AA875" s="589"/>
      <c r="AB875" s="589"/>
      <c r="AC875" s="589"/>
      <c r="AD875" s="589"/>
    </row>
    <row r="876" spans="1:30">
      <c r="A876" s="329" t="s">
        <v>865</v>
      </c>
      <c r="B876" s="626">
        <v>43816250</v>
      </c>
      <c r="C876" s="575" t="s">
        <v>3018</v>
      </c>
      <c r="D876" s="571" t="s">
        <v>1307</v>
      </c>
      <c r="E876" s="645">
        <v>12300</v>
      </c>
      <c r="F876" s="595"/>
      <c r="H876" s="633">
        <v>9100</v>
      </c>
      <c r="I876" s="589">
        <f t="shared" si="14"/>
        <v>1</v>
      </c>
      <c r="K876" s="589"/>
      <c r="L876" s="589"/>
      <c r="M876" s="589"/>
      <c r="N876" s="589"/>
      <c r="O876" s="589"/>
      <c r="P876" s="589"/>
      <c r="Q876" s="589"/>
      <c r="R876" s="589"/>
      <c r="S876" s="589"/>
      <c r="T876" s="589"/>
      <c r="U876" s="589"/>
      <c r="V876" s="589"/>
      <c r="W876" s="589"/>
      <c r="X876" s="589"/>
      <c r="Y876" s="589"/>
      <c r="AA876" s="589"/>
      <c r="AB876" s="589"/>
      <c r="AC876" s="589"/>
      <c r="AD876" s="589"/>
    </row>
    <row r="877" spans="1:30">
      <c r="A877" s="329" t="s">
        <v>3019</v>
      </c>
      <c r="B877" s="626">
        <v>43816300</v>
      </c>
      <c r="C877" s="575" t="s">
        <v>3439</v>
      </c>
      <c r="D877" s="571" t="s">
        <v>1307</v>
      </c>
      <c r="E877" s="645">
        <v>14000</v>
      </c>
      <c r="F877" s="595"/>
      <c r="H877" s="633">
        <v>12500</v>
      </c>
      <c r="I877" s="589">
        <f t="shared" si="14"/>
        <v>1</v>
      </c>
      <c r="K877" s="589"/>
      <c r="L877" s="589"/>
      <c r="M877" s="589"/>
      <c r="N877" s="589"/>
      <c r="O877" s="589"/>
      <c r="P877" s="589"/>
      <c r="Q877" s="589"/>
      <c r="R877" s="589"/>
      <c r="S877" s="589"/>
      <c r="T877" s="589"/>
      <c r="U877" s="589"/>
      <c r="V877" s="589"/>
      <c r="W877" s="589"/>
      <c r="X877" s="589"/>
      <c r="Y877" s="589"/>
      <c r="AA877" s="589"/>
      <c r="AB877" s="589"/>
      <c r="AC877" s="589"/>
      <c r="AD877" s="589"/>
    </row>
    <row r="878" spans="1:30">
      <c r="A878" s="329" t="s">
        <v>3440</v>
      </c>
      <c r="B878" s="626">
        <v>43816350</v>
      </c>
      <c r="C878" s="575" t="s">
        <v>3441</v>
      </c>
      <c r="D878" s="571" t="s">
        <v>1307</v>
      </c>
      <c r="E878" s="645">
        <v>15800</v>
      </c>
      <c r="H878" s="633">
        <v>13600</v>
      </c>
      <c r="I878" s="589">
        <f t="shared" si="14"/>
        <v>1</v>
      </c>
      <c r="K878" s="589"/>
      <c r="L878" s="589"/>
      <c r="M878" s="589"/>
      <c r="N878" s="589"/>
      <c r="O878" s="589"/>
      <c r="P878" s="589"/>
      <c r="Q878" s="589"/>
      <c r="R878" s="589"/>
      <c r="S878" s="589"/>
      <c r="T878" s="589"/>
      <c r="U878" s="589"/>
      <c r="V878" s="589"/>
      <c r="W878" s="589"/>
      <c r="X878" s="589"/>
      <c r="Y878" s="589"/>
      <c r="AA878" s="589"/>
      <c r="AB878" s="589"/>
      <c r="AC878" s="589"/>
      <c r="AD878" s="589"/>
    </row>
    <row r="879" spans="1:30">
      <c r="A879" s="329" t="s">
        <v>6216</v>
      </c>
      <c r="B879" s="626">
        <v>43816401</v>
      </c>
      <c r="C879" s="575" t="s">
        <v>6217</v>
      </c>
      <c r="D879" s="571" t="s">
        <v>1307</v>
      </c>
      <c r="E879" s="645">
        <v>17600</v>
      </c>
      <c r="H879" s="633">
        <v>15300</v>
      </c>
      <c r="I879" s="589">
        <f t="shared" si="14"/>
        <v>1</v>
      </c>
      <c r="K879" s="589"/>
      <c r="L879" s="589"/>
      <c r="M879" s="589"/>
      <c r="N879" s="589"/>
      <c r="O879" s="589"/>
      <c r="P879" s="589"/>
      <c r="Q879" s="589"/>
      <c r="R879" s="589"/>
      <c r="S879" s="589"/>
      <c r="T879" s="589"/>
      <c r="U879" s="589"/>
      <c r="V879" s="589"/>
      <c r="W879" s="589"/>
      <c r="X879" s="589"/>
      <c r="Y879" s="589"/>
      <c r="AA879" s="589"/>
      <c r="AB879" s="589"/>
      <c r="AC879" s="589"/>
      <c r="AD879" s="589"/>
    </row>
    <row r="880" spans="1:30">
      <c r="A880" s="329" t="s">
        <v>6218</v>
      </c>
      <c r="B880" s="626">
        <v>43816450</v>
      </c>
      <c r="C880" s="575" t="s">
        <v>4014</v>
      </c>
      <c r="D880" s="571" t="s">
        <v>1307</v>
      </c>
      <c r="E880" s="645">
        <v>19400</v>
      </c>
      <c r="H880" s="633">
        <v>16500</v>
      </c>
      <c r="I880" s="589">
        <f t="shared" si="14"/>
        <v>1</v>
      </c>
      <c r="K880" s="589"/>
      <c r="L880" s="589"/>
      <c r="M880" s="589"/>
      <c r="N880" s="589"/>
      <c r="O880" s="589"/>
      <c r="P880" s="589"/>
      <c r="Q880" s="589"/>
      <c r="R880" s="589"/>
      <c r="S880" s="589"/>
      <c r="T880" s="589"/>
      <c r="U880" s="589"/>
      <c r="V880" s="589"/>
      <c r="W880" s="589"/>
      <c r="X880" s="589"/>
      <c r="Y880" s="589"/>
      <c r="AA880" s="589"/>
      <c r="AB880" s="589"/>
      <c r="AC880" s="589"/>
      <c r="AD880" s="589"/>
    </row>
    <row r="881" spans="1:30">
      <c r="A881" s="329" t="s">
        <v>3607</v>
      </c>
      <c r="B881" s="626">
        <v>43816500</v>
      </c>
      <c r="C881" s="575" t="s">
        <v>3608</v>
      </c>
      <c r="D881" s="571" t="s">
        <v>1307</v>
      </c>
      <c r="E881" s="645">
        <v>21200</v>
      </c>
      <c r="H881" s="633">
        <v>17660</v>
      </c>
      <c r="I881" s="589">
        <f t="shared" si="14"/>
        <v>1</v>
      </c>
      <c r="K881" s="589"/>
      <c r="L881" s="589"/>
      <c r="M881" s="589"/>
      <c r="N881" s="589"/>
      <c r="O881" s="589"/>
      <c r="P881" s="589"/>
      <c r="Q881" s="589"/>
      <c r="R881" s="589"/>
      <c r="S881" s="589"/>
      <c r="T881" s="589"/>
      <c r="U881" s="589"/>
      <c r="V881" s="589"/>
      <c r="W881" s="589"/>
      <c r="X881" s="589"/>
      <c r="Y881" s="589"/>
      <c r="AA881" s="589"/>
      <c r="AB881" s="589"/>
      <c r="AC881" s="589"/>
      <c r="AD881" s="589"/>
    </row>
    <row r="882" spans="1:30">
      <c r="A882" s="329" t="s">
        <v>3609</v>
      </c>
      <c r="B882" s="626"/>
      <c r="C882" s="575" t="s">
        <v>647</v>
      </c>
      <c r="D882" s="571" t="s">
        <v>1307</v>
      </c>
      <c r="E882" s="633">
        <v>23000</v>
      </c>
      <c r="H882" s="633">
        <v>18000</v>
      </c>
      <c r="I882" s="589">
        <f t="shared" si="14"/>
        <v>1</v>
      </c>
      <c r="K882" s="589"/>
      <c r="L882" s="589"/>
      <c r="M882" s="589"/>
      <c r="N882" s="589"/>
      <c r="O882" s="589"/>
      <c r="P882" s="589"/>
      <c r="Q882" s="589"/>
      <c r="R882" s="589"/>
      <c r="S882" s="589"/>
      <c r="T882" s="589"/>
      <c r="U882" s="589"/>
      <c r="V882" s="589"/>
      <c r="W882" s="589"/>
      <c r="X882" s="589"/>
      <c r="Y882" s="589"/>
      <c r="AA882" s="589"/>
      <c r="AB882" s="589"/>
      <c r="AC882" s="589"/>
      <c r="AD882" s="589"/>
    </row>
    <row r="883" spans="1:30">
      <c r="A883" s="329" t="s">
        <v>648</v>
      </c>
      <c r="B883" s="626">
        <v>43816600</v>
      </c>
      <c r="C883" s="575" t="s">
        <v>649</v>
      </c>
      <c r="D883" s="571" t="s">
        <v>1307</v>
      </c>
      <c r="E883" s="633">
        <v>24800</v>
      </c>
      <c r="H883" s="633">
        <v>18400</v>
      </c>
      <c r="I883" s="589">
        <f t="shared" si="14"/>
        <v>1</v>
      </c>
      <c r="K883" s="589"/>
      <c r="L883" s="589"/>
      <c r="M883" s="589"/>
      <c r="N883" s="589"/>
      <c r="O883" s="589"/>
      <c r="P883" s="589"/>
      <c r="Q883" s="589"/>
      <c r="R883" s="589"/>
      <c r="S883" s="589"/>
      <c r="T883" s="589"/>
      <c r="U883" s="589"/>
      <c r="V883" s="589"/>
      <c r="W883" s="589"/>
      <c r="X883" s="589"/>
      <c r="Y883" s="589"/>
      <c r="AA883" s="589"/>
      <c r="AB883" s="589"/>
      <c r="AC883" s="589"/>
      <c r="AD883" s="589"/>
    </row>
    <row r="884" spans="1:30">
      <c r="A884" s="329" t="s">
        <v>650</v>
      </c>
      <c r="B884" s="626">
        <v>43816650</v>
      </c>
      <c r="C884" s="575" t="s">
        <v>651</v>
      </c>
      <c r="D884" s="571" t="s">
        <v>1307</v>
      </c>
      <c r="E884" s="633">
        <v>26600</v>
      </c>
      <c r="H884" s="633">
        <v>19500</v>
      </c>
      <c r="I884" s="589">
        <f t="shared" si="14"/>
        <v>1</v>
      </c>
      <c r="K884" s="589"/>
      <c r="L884" s="589"/>
      <c r="M884" s="589"/>
      <c r="N884" s="589"/>
      <c r="O884" s="589"/>
      <c r="P884" s="589"/>
      <c r="Q884" s="589"/>
      <c r="R884" s="589"/>
      <c r="S884" s="589"/>
      <c r="T884" s="589"/>
      <c r="U884" s="589"/>
      <c r="V884" s="589"/>
      <c r="W884" s="589"/>
      <c r="X884" s="589"/>
      <c r="Y884" s="589"/>
      <c r="AA884" s="589"/>
      <c r="AB884" s="589"/>
      <c r="AC884" s="589"/>
      <c r="AD884" s="589"/>
    </row>
    <row r="885" spans="1:30">
      <c r="A885" s="329" t="s">
        <v>652</v>
      </c>
      <c r="B885" s="626"/>
      <c r="C885" s="575" t="s">
        <v>653</v>
      </c>
      <c r="D885" s="571" t="s">
        <v>1307</v>
      </c>
      <c r="E885" s="633">
        <v>28400</v>
      </c>
      <c r="H885" s="633">
        <v>20100</v>
      </c>
      <c r="I885" s="589">
        <f t="shared" si="14"/>
        <v>1</v>
      </c>
      <c r="K885" s="589"/>
      <c r="L885" s="589"/>
      <c r="M885" s="589"/>
      <c r="N885" s="589"/>
      <c r="O885" s="589"/>
      <c r="P885" s="589"/>
      <c r="Q885" s="589"/>
      <c r="R885" s="589"/>
      <c r="S885" s="589"/>
      <c r="T885" s="589"/>
      <c r="U885" s="589"/>
      <c r="V885" s="589"/>
      <c r="W885" s="589"/>
      <c r="X885" s="589"/>
      <c r="Y885" s="589"/>
      <c r="AA885" s="589"/>
      <c r="AB885" s="589"/>
      <c r="AC885" s="589"/>
      <c r="AD885" s="589"/>
    </row>
    <row r="886" spans="1:30">
      <c r="A886" s="329" t="s">
        <v>654</v>
      </c>
      <c r="B886" s="626"/>
      <c r="C886" s="575" t="s">
        <v>655</v>
      </c>
      <c r="D886" s="571" t="s">
        <v>1307</v>
      </c>
      <c r="E886" s="633">
        <v>30200</v>
      </c>
      <c r="H886" s="633">
        <v>22600</v>
      </c>
      <c r="I886" s="589">
        <f t="shared" si="14"/>
        <v>1</v>
      </c>
      <c r="K886" s="589"/>
      <c r="L886" s="589"/>
      <c r="M886" s="589"/>
      <c r="N886" s="589"/>
      <c r="O886" s="589"/>
      <c r="P886" s="589"/>
      <c r="Q886" s="589"/>
      <c r="R886" s="589"/>
      <c r="S886" s="589"/>
      <c r="T886" s="589"/>
      <c r="U886" s="589"/>
      <c r="V886" s="589"/>
      <c r="W886" s="589"/>
      <c r="X886" s="589"/>
      <c r="Y886" s="589"/>
      <c r="AA886" s="589"/>
      <c r="AB886" s="589"/>
      <c r="AC886" s="589"/>
      <c r="AD886" s="589"/>
    </row>
    <row r="887" spans="1:30">
      <c r="A887" s="329" t="s">
        <v>3203</v>
      </c>
      <c r="B887" s="626"/>
      <c r="C887" s="575" t="s">
        <v>3204</v>
      </c>
      <c r="D887" s="571" t="s">
        <v>1307</v>
      </c>
      <c r="E887" s="633">
        <v>32000</v>
      </c>
      <c r="H887" s="633">
        <v>24000</v>
      </c>
      <c r="I887" s="589">
        <f t="shared" si="14"/>
        <v>1</v>
      </c>
      <c r="K887" s="589"/>
      <c r="L887" s="589"/>
      <c r="M887" s="589"/>
      <c r="N887" s="589"/>
      <c r="O887" s="589"/>
      <c r="P887" s="589"/>
      <c r="Q887" s="589"/>
      <c r="R887" s="589"/>
      <c r="S887" s="589"/>
      <c r="T887" s="589"/>
      <c r="U887" s="589"/>
      <c r="V887" s="589"/>
      <c r="W887" s="589"/>
      <c r="X887" s="589"/>
      <c r="Y887" s="589"/>
      <c r="AA887" s="589"/>
      <c r="AB887" s="589"/>
      <c r="AC887" s="589"/>
      <c r="AD887" s="589"/>
    </row>
    <row r="888" spans="1:30">
      <c r="B888" s="626"/>
      <c r="C888" s="638"/>
      <c r="D888" s="629"/>
      <c r="E888" s="641"/>
      <c r="H888" s="641"/>
      <c r="I888" s="589">
        <f t="shared" si="14"/>
        <v>0</v>
      </c>
      <c r="K888" s="589"/>
      <c r="L888" s="589"/>
      <c r="M888" s="589"/>
      <c r="N888" s="589"/>
      <c r="O888" s="589"/>
      <c r="P888" s="589"/>
      <c r="Q888" s="589"/>
      <c r="R888" s="589"/>
      <c r="S888" s="589"/>
      <c r="T888" s="589"/>
      <c r="U888" s="589"/>
      <c r="V888" s="589"/>
      <c r="W888" s="589"/>
      <c r="X888" s="589"/>
      <c r="Y888" s="589"/>
      <c r="AA888" s="589"/>
      <c r="AB888" s="589"/>
      <c r="AC888" s="589"/>
      <c r="AD888" s="589"/>
    </row>
    <row r="889" spans="1:30">
      <c r="A889" s="329" t="s">
        <v>3205</v>
      </c>
      <c r="B889" s="626">
        <v>44316100</v>
      </c>
      <c r="C889" s="575" t="s">
        <v>3206</v>
      </c>
      <c r="D889" s="571" t="s">
        <v>1307</v>
      </c>
      <c r="E889" s="645">
        <v>10500</v>
      </c>
      <c r="H889" s="633">
        <v>5500</v>
      </c>
      <c r="I889" s="589">
        <f t="shared" si="14"/>
        <v>1</v>
      </c>
      <c r="K889" s="589"/>
      <c r="L889" s="589"/>
      <c r="M889" s="589"/>
      <c r="N889" s="589"/>
      <c r="O889" s="589"/>
      <c r="P889" s="589"/>
      <c r="Q889" s="589"/>
      <c r="R889" s="589"/>
      <c r="S889" s="589"/>
      <c r="T889" s="589"/>
      <c r="U889" s="589"/>
      <c r="V889" s="589"/>
      <c r="W889" s="589"/>
      <c r="X889" s="589"/>
      <c r="Y889" s="589"/>
      <c r="AA889" s="589"/>
      <c r="AB889" s="589"/>
      <c r="AC889" s="589"/>
      <c r="AD889" s="589"/>
    </row>
    <row r="890" spans="1:30">
      <c r="A890" s="329" t="s">
        <v>3207</v>
      </c>
      <c r="B890" s="626">
        <v>44316150</v>
      </c>
      <c r="C890" s="575" t="s">
        <v>2237</v>
      </c>
      <c r="D890" s="571" t="s">
        <v>1307</v>
      </c>
      <c r="E890" s="645">
        <v>12500</v>
      </c>
      <c r="H890" s="633">
        <v>7000</v>
      </c>
      <c r="I890" s="589">
        <f t="shared" si="14"/>
        <v>1</v>
      </c>
      <c r="K890" s="589"/>
      <c r="L890" s="589"/>
      <c r="M890" s="589"/>
      <c r="N890" s="589"/>
      <c r="O890" s="589"/>
      <c r="P890" s="589"/>
      <c r="Q890" s="589"/>
      <c r="R890" s="589"/>
      <c r="S890" s="589"/>
      <c r="T890" s="589"/>
      <c r="U890" s="589"/>
      <c r="V890" s="589"/>
      <c r="W890" s="589"/>
      <c r="X890" s="589"/>
      <c r="Y890" s="589"/>
      <c r="AA890" s="589"/>
      <c r="AB890" s="589"/>
      <c r="AC890" s="589"/>
      <c r="AD890" s="589"/>
    </row>
    <row r="891" spans="1:30">
      <c r="A891" s="329" t="s">
        <v>2238</v>
      </c>
      <c r="B891" s="626"/>
      <c r="C891" s="575" t="s">
        <v>2239</v>
      </c>
      <c r="D891" s="571" t="s">
        <v>1307</v>
      </c>
      <c r="E891" s="645">
        <v>14500</v>
      </c>
      <c r="H891" s="633">
        <v>8800</v>
      </c>
      <c r="I891" s="589">
        <f t="shared" si="14"/>
        <v>1</v>
      </c>
      <c r="K891" s="589"/>
      <c r="L891" s="589"/>
      <c r="M891" s="589"/>
      <c r="N891" s="589"/>
      <c r="O891" s="589"/>
      <c r="P891" s="589"/>
      <c r="Q891" s="589"/>
      <c r="R891" s="589"/>
      <c r="S891" s="589"/>
      <c r="T891" s="589"/>
      <c r="U891" s="589"/>
      <c r="V891" s="589"/>
      <c r="W891" s="589"/>
      <c r="X891" s="589"/>
      <c r="Y891" s="589"/>
      <c r="AA891" s="589"/>
      <c r="AB891" s="589"/>
      <c r="AC891" s="589"/>
      <c r="AD891" s="589"/>
    </row>
    <row r="892" spans="1:30">
      <c r="A892" s="329" t="s">
        <v>2240</v>
      </c>
      <c r="B892" s="626">
        <v>44316250</v>
      </c>
      <c r="C892" s="575" t="s">
        <v>2241</v>
      </c>
      <c r="D892" s="571" t="s">
        <v>1307</v>
      </c>
      <c r="E892" s="645">
        <v>16500</v>
      </c>
      <c r="H892" s="633">
        <v>10100</v>
      </c>
      <c r="I892" s="589">
        <f t="shared" si="14"/>
        <v>1</v>
      </c>
      <c r="K892" s="589"/>
      <c r="L892" s="589"/>
      <c r="M892" s="589"/>
      <c r="N892" s="589"/>
      <c r="O892" s="589"/>
      <c r="P892" s="589"/>
      <c r="Q892" s="589"/>
      <c r="R892" s="589"/>
      <c r="S892" s="589"/>
      <c r="T892" s="589"/>
      <c r="U892" s="589"/>
      <c r="V892" s="589"/>
      <c r="W892" s="589"/>
      <c r="X892" s="589"/>
      <c r="Y892" s="589"/>
      <c r="AA892" s="589"/>
      <c r="AB892" s="589"/>
      <c r="AC892" s="589"/>
      <c r="AD892" s="589"/>
    </row>
    <row r="893" spans="1:30">
      <c r="A893" s="329" t="s">
        <v>2242</v>
      </c>
      <c r="B893" s="626">
        <v>44316300</v>
      </c>
      <c r="C893" s="575" t="s">
        <v>2243</v>
      </c>
      <c r="D893" s="571" t="s">
        <v>1307</v>
      </c>
      <c r="E893" s="645">
        <v>18500</v>
      </c>
      <c r="H893" s="633">
        <v>13500</v>
      </c>
      <c r="I893" s="589">
        <f t="shared" si="14"/>
        <v>1</v>
      </c>
      <c r="K893" s="589"/>
      <c r="L893" s="589"/>
      <c r="M893" s="589"/>
      <c r="N893" s="589"/>
      <c r="O893" s="589"/>
      <c r="P893" s="589"/>
      <c r="Q893" s="589"/>
      <c r="R893" s="589"/>
      <c r="S893" s="589"/>
      <c r="T893" s="589"/>
      <c r="U893" s="589"/>
      <c r="V893" s="589"/>
      <c r="W893" s="589"/>
      <c r="X893" s="589"/>
      <c r="Y893" s="589"/>
      <c r="AA893" s="589"/>
      <c r="AB893" s="589"/>
      <c r="AC893" s="589"/>
      <c r="AD893" s="589"/>
    </row>
    <row r="894" spans="1:30">
      <c r="A894" s="329" t="s">
        <v>2244</v>
      </c>
      <c r="B894" s="626">
        <v>44316350</v>
      </c>
      <c r="C894" s="575" t="s">
        <v>2245</v>
      </c>
      <c r="D894" s="571" t="s">
        <v>1307</v>
      </c>
      <c r="E894" s="645">
        <v>20500</v>
      </c>
      <c r="H894" s="633">
        <v>14600</v>
      </c>
      <c r="I894" s="589">
        <f t="shared" si="14"/>
        <v>1</v>
      </c>
      <c r="K894" s="589"/>
      <c r="L894" s="589"/>
      <c r="M894" s="589"/>
      <c r="N894" s="589"/>
      <c r="O894" s="589"/>
      <c r="P894" s="589"/>
      <c r="Q894" s="589"/>
      <c r="R894" s="589"/>
      <c r="S894" s="589"/>
      <c r="T894" s="589"/>
      <c r="U894" s="589"/>
      <c r="V894" s="589"/>
      <c r="W894" s="589"/>
      <c r="X894" s="589"/>
      <c r="Y894" s="589"/>
      <c r="AA894" s="589"/>
      <c r="AB894" s="589"/>
      <c r="AC894" s="589"/>
      <c r="AD894" s="589"/>
    </row>
    <row r="895" spans="1:30">
      <c r="A895" s="329" t="s">
        <v>2246</v>
      </c>
      <c r="B895" s="626">
        <v>44316400</v>
      </c>
      <c r="C895" s="575" t="s">
        <v>2247</v>
      </c>
      <c r="D895" s="571" t="s">
        <v>1307</v>
      </c>
      <c r="E895" s="645">
        <v>22500</v>
      </c>
      <c r="H895" s="633">
        <v>16300</v>
      </c>
      <c r="I895" s="589">
        <f t="shared" si="14"/>
        <v>1</v>
      </c>
      <c r="K895" s="589"/>
      <c r="L895" s="589"/>
      <c r="M895" s="589"/>
      <c r="N895" s="589"/>
      <c r="O895" s="589"/>
      <c r="P895" s="589"/>
      <c r="Q895" s="589"/>
      <c r="R895" s="589"/>
      <c r="S895" s="589"/>
      <c r="T895" s="589"/>
      <c r="U895" s="589"/>
      <c r="V895" s="589"/>
      <c r="W895" s="589"/>
      <c r="X895" s="589"/>
      <c r="Y895" s="589"/>
      <c r="AA895" s="589"/>
      <c r="AB895" s="589"/>
      <c r="AC895" s="589"/>
      <c r="AD895" s="589"/>
    </row>
    <row r="896" spans="1:30">
      <c r="A896" s="329" t="s">
        <v>2248</v>
      </c>
      <c r="B896" s="626">
        <v>44316450</v>
      </c>
      <c r="C896" s="575" t="s">
        <v>4794</v>
      </c>
      <c r="D896" s="571" t="s">
        <v>1307</v>
      </c>
      <c r="E896" s="645">
        <v>24500</v>
      </c>
      <c r="H896" s="633">
        <v>17500</v>
      </c>
      <c r="I896" s="589">
        <f t="shared" si="14"/>
        <v>1</v>
      </c>
      <c r="K896" s="589"/>
      <c r="L896" s="589"/>
      <c r="M896" s="589"/>
      <c r="N896" s="589"/>
      <c r="O896" s="589"/>
      <c r="P896" s="589"/>
      <c r="Q896" s="589"/>
      <c r="R896" s="589"/>
      <c r="S896" s="589"/>
      <c r="T896" s="589"/>
      <c r="U896" s="589"/>
      <c r="V896" s="589"/>
      <c r="W896" s="589"/>
      <c r="X896" s="589"/>
      <c r="Y896" s="589"/>
      <c r="AA896" s="589"/>
      <c r="AB896" s="589"/>
      <c r="AC896" s="589"/>
      <c r="AD896" s="589"/>
    </row>
    <row r="897" spans="1:30">
      <c r="A897" s="329" t="s">
        <v>4795</v>
      </c>
      <c r="B897" s="626"/>
      <c r="C897" s="575" t="s">
        <v>4796</v>
      </c>
      <c r="D897" s="571" t="s">
        <v>1307</v>
      </c>
      <c r="E897" s="645">
        <v>26500</v>
      </c>
      <c r="H897" s="633">
        <v>18660</v>
      </c>
      <c r="I897" s="589">
        <f t="shared" si="14"/>
        <v>1</v>
      </c>
      <c r="K897" s="589"/>
      <c r="L897" s="589"/>
      <c r="M897" s="589"/>
      <c r="N897" s="589"/>
      <c r="O897" s="589"/>
      <c r="P897" s="589"/>
      <c r="Q897" s="589"/>
      <c r="R897" s="589"/>
      <c r="S897" s="589"/>
      <c r="T897" s="589"/>
      <c r="U897" s="589"/>
      <c r="V897" s="589"/>
      <c r="W897" s="589"/>
      <c r="X897" s="589"/>
      <c r="Y897" s="589"/>
      <c r="AA897" s="589"/>
      <c r="AB897" s="589"/>
      <c r="AC897" s="589"/>
      <c r="AD897" s="589"/>
    </row>
    <row r="898" spans="1:30">
      <c r="A898" s="329" t="s">
        <v>4797</v>
      </c>
      <c r="B898" s="626"/>
      <c r="C898" s="575" t="s">
        <v>4798</v>
      </c>
      <c r="D898" s="571" t="s">
        <v>1307</v>
      </c>
      <c r="E898" s="645">
        <v>28500</v>
      </c>
      <c r="H898" s="633">
        <v>19000</v>
      </c>
      <c r="I898" s="589">
        <f t="shared" si="14"/>
        <v>1</v>
      </c>
      <c r="K898" s="589"/>
      <c r="L898" s="589"/>
      <c r="M898" s="589"/>
      <c r="N898" s="589"/>
      <c r="O898" s="589"/>
      <c r="P898" s="589"/>
      <c r="Q898" s="589"/>
      <c r="R898" s="589"/>
      <c r="S898" s="589"/>
      <c r="T898" s="589"/>
      <c r="U898" s="589"/>
      <c r="V898" s="589"/>
      <c r="W898" s="589"/>
      <c r="X898" s="589"/>
      <c r="Y898" s="589"/>
      <c r="AA898" s="589"/>
      <c r="AB898" s="589"/>
      <c r="AC898" s="589"/>
      <c r="AD898" s="589"/>
    </row>
    <row r="899" spans="1:30">
      <c r="A899" s="329" t="s">
        <v>4799</v>
      </c>
      <c r="B899" s="626">
        <v>44316600</v>
      </c>
      <c r="C899" s="575" t="s">
        <v>4800</v>
      </c>
      <c r="D899" s="571" t="s">
        <v>1307</v>
      </c>
      <c r="E899" s="645">
        <v>30500</v>
      </c>
      <c r="H899" s="633">
        <v>19400</v>
      </c>
      <c r="I899" s="589">
        <f t="shared" si="14"/>
        <v>1</v>
      </c>
      <c r="K899" s="589"/>
      <c r="L899" s="589"/>
      <c r="M899" s="589"/>
      <c r="N899" s="589"/>
      <c r="O899" s="589"/>
      <c r="P899" s="589"/>
      <c r="Q899" s="589"/>
      <c r="R899" s="589"/>
      <c r="S899" s="589"/>
      <c r="T899" s="589"/>
      <c r="U899" s="589"/>
      <c r="V899" s="589"/>
      <c r="W899" s="589"/>
      <c r="X899" s="589"/>
      <c r="Y899" s="589"/>
      <c r="AA899" s="589"/>
      <c r="AB899" s="589"/>
      <c r="AC899" s="589"/>
      <c r="AD899" s="589"/>
    </row>
    <row r="900" spans="1:30">
      <c r="A900" s="329" t="s">
        <v>4801</v>
      </c>
      <c r="B900" s="626"/>
      <c r="C900" s="575" t="s">
        <v>4802</v>
      </c>
      <c r="D900" s="571" t="s">
        <v>1307</v>
      </c>
      <c r="E900" s="645">
        <v>32500</v>
      </c>
      <c r="H900" s="633">
        <v>20500</v>
      </c>
      <c r="I900" s="589">
        <f t="shared" si="14"/>
        <v>1</v>
      </c>
      <c r="K900" s="589"/>
      <c r="L900" s="589"/>
      <c r="M900" s="589"/>
      <c r="N900" s="589"/>
      <c r="O900" s="589"/>
      <c r="P900" s="589"/>
      <c r="Q900" s="589"/>
      <c r="R900" s="589"/>
      <c r="S900" s="589"/>
      <c r="T900" s="589"/>
      <c r="U900" s="589"/>
      <c r="V900" s="589"/>
      <c r="W900" s="589"/>
      <c r="X900" s="589"/>
      <c r="Y900" s="589"/>
      <c r="AA900" s="589"/>
      <c r="AB900" s="589"/>
      <c r="AC900" s="589"/>
      <c r="AD900" s="589"/>
    </row>
    <row r="901" spans="1:30">
      <c r="A901" s="329" t="s">
        <v>4803</v>
      </c>
      <c r="B901" s="626">
        <v>44316700</v>
      </c>
      <c r="C901" s="575" t="s">
        <v>4804</v>
      </c>
      <c r="D901" s="571" t="s">
        <v>1307</v>
      </c>
      <c r="E901" s="645">
        <v>34500</v>
      </c>
      <c r="H901" s="633">
        <v>21100</v>
      </c>
      <c r="I901" s="589">
        <f t="shared" si="14"/>
        <v>1</v>
      </c>
      <c r="K901" s="589"/>
      <c r="L901" s="589"/>
      <c r="M901" s="589"/>
      <c r="N901" s="589"/>
      <c r="O901" s="589"/>
      <c r="P901" s="589"/>
      <c r="Q901" s="589"/>
      <c r="R901" s="589"/>
      <c r="S901" s="589"/>
      <c r="T901" s="589"/>
      <c r="U901" s="589"/>
      <c r="V901" s="589"/>
      <c r="W901" s="589"/>
      <c r="X901" s="589"/>
      <c r="Y901" s="589"/>
      <c r="AA901" s="589"/>
      <c r="AB901" s="589"/>
      <c r="AC901" s="589"/>
      <c r="AD901" s="589"/>
    </row>
    <row r="902" spans="1:30">
      <c r="A902" s="329" t="s">
        <v>4805</v>
      </c>
      <c r="B902" s="626"/>
      <c r="C902" s="575" t="s">
        <v>4806</v>
      </c>
      <c r="D902" s="571" t="s">
        <v>1307</v>
      </c>
      <c r="E902" s="645">
        <v>36500</v>
      </c>
      <c r="H902" s="633">
        <v>23600</v>
      </c>
      <c r="I902" s="589">
        <f t="shared" si="14"/>
        <v>1</v>
      </c>
      <c r="K902" s="589"/>
      <c r="L902" s="589"/>
      <c r="M902" s="589"/>
      <c r="N902" s="589"/>
      <c r="O902" s="589"/>
      <c r="P902" s="589"/>
      <c r="Q902" s="589"/>
      <c r="R902" s="589"/>
      <c r="S902" s="589"/>
      <c r="T902" s="589"/>
      <c r="U902" s="589"/>
      <c r="V902" s="589"/>
      <c r="W902" s="589"/>
      <c r="X902" s="589"/>
      <c r="Y902" s="589"/>
      <c r="AA902" s="589"/>
      <c r="AB902" s="589"/>
      <c r="AC902" s="589"/>
      <c r="AD902" s="589"/>
    </row>
    <row r="903" spans="1:30">
      <c r="A903" s="329" t="s">
        <v>4807</v>
      </c>
      <c r="B903" s="626"/>
      <c r="C903" s="575" t="s">
        <v>4808</v>
      </c>
      <c r="D903" s="571" t="s">
        <v>1307</v>
      </c>
      <c r="E903" s="645">
        <v>38500</v>
      </c>
      <c r="H903" s="633">
        <v>25000</v>
      </c>
      <c r="I903" s="589">
        <f t="shared" si="14"/>
        <v>1</v>
      </c>
      <c r="K903" s="589"/>
      <c r="L903" s="589"/>
      <c r="M903" s="589"/>
      <c r="N903" s="589"/>
      <c r="O903" s="589"/>
      <c r="P903" s="589"/>
      <c r="Q903" s="589"/>
      <c r="R903" s="589"/>
      <c r="S903" s="589"/>
      <c r="T903" s="589"/>
      <c r="U903" s="589"/>
      <c r="V903" s="589"/>
      <c r="W903" s="589"/>
      <c r="X903" s="589"/>
      <c r="Y903" s="589"/>
      <c r="AA903" s="589"/>
      <c r="AB903" s="589"/>
      <c r="AC903" s="589"/>
      <c r="AD903" s="589"/>
    </row>
    <row r="904" spans="1:30">
      <c r="B904" s="626"/>
      <c r="C904" s="575"/>
      <c r="D904" s="571"/>
      <c r="E904" s="641"/>
      <c r="H904" s="641"/>
      <c r="I904" s="589">
        <f t="shared" si="14"/>
        <v>0</v>
      </c>
      <c r="K904" s="589"/>
      <c r="L904" s="589"/>
      <c r="M904" s="589"/>
      <c r="N904" s="589"/>
      <c r="O904" s="589"/>
      <c r="P904" s="589"/>
      <c r="Q904" s="589"/>
      <c r="R904" s="589"/>
      <c r="S904" s="589"/>
      <c r="T904" s="589"/>
      <c r="U904" s="589"/>
      <c r="V904" s="589"/>
      <c r="W904" s="589"/>
      <c r="X904" s="589"/>
      <c r="Y904" s="589"/>
      <c r="AA904" s="589"/>
      <c r="AB904" s="589"/>
      <c r="AC904" s="589"/>
      <c r="AD904" s="589"/>
    </row>
    <row r="905" spans="1:30">
      <c r="A905" s="329" t="s">
        <v>4809</v>
      </c>
      <c r="B905" s="626">
        <v>44322400</v>
      </c>
      <c r="C905" s="575" t="s">
        <v>4810</v>
      </c>
      <c r="D905" s="571" t="s">
        <v>1307</v>
      </c>
      <c r="E905" s="645">
        <v>46900</v>
      </c>
      <c r="H905" s="633">
        <v>32000</v>
      </c>
      <c r="I905" s="589">
        <f t="shared" si="14"/>
        <v>1</v>
      </c>
      <c r="K905" s="589"/>
      <c r="L905" s="589"/>
      <c r="M905" s="589"/>
      <c r="N905" s="589"/>
      <c r="O905" s="589"/>
      <c r="P905" s="589"/>
      <c r="Q905" s="589"/>
      <c r="R905" s="589"/>
      <c r="S905" s="589"/>
      <c r="T905" s="589"/>
      <c r="U905" s="589"/>
      <c r="V905" s="589"/>
      <c r="W905" s="589"/>
      <c r="X905" s="589"/>
      <c r="Y905" s="589"/>
      <c r="AA905" s="589"/>
      <c r="AB905" s="589"/>
      <c r="AC905" s="589"/>
      <c r="AD905" s="589"/>
    </row>
    <row r="906" spans="1:30">
      <c r="A906" s="329" t="s">
        <v>5985</v>
      </c>
      <c r="B906" s="626">
        <v>44322450</v>
      </c>
      <c r="C906" s="575" t="s">
        <v>5986</v>
      </c>
      <c r="D906" s="571" t="s">
        <v>1307</v>
      </c>
      <c r="E906" s="645">
        <v>53800</v>
      </c>
      <c r="H906" s="633">
        <v>35000</v>
      </c>
      <c r="I906" s="589">
        <f t="shared" si="14"/>
        <v>1</v>
      </c>
      <c r="K906" s="589"/>
      <c r="L906" s="589"/>
      <c r="M906" s="589"/>
      <c r="N906" s="589"/>
      <c r="O906" s="589"/>
      <c r="P906" s="589"/>
      <c r="Q906" s="589"/>
      <c r="R906" s="589"/>
      <c r="S906" s="589"/>
      <c r="T906" s="589"/>
      <c r="U906" s="589"/>
      <c r="V906" s="589"/>
      <c r="W906" s="589"/>
      <c r="X906" s="589"/>
      <c r="Y906" s="589"/>
      <c r="AA906" s="589"/>
      <c r="AB906" s="589"/>
      <c r="AC906" s="589"/>
      <c r="AD906" s="589"/>
    </row>
    <row r="907" spans="1:30">
      <c r="A907" s="329" t="s">
        <v>5987</v>
      </c>
      <c r="B907" s="626">
        <v>44322500</v>
      </c>
      <c r="C907" s="575" t="s">
        <v>5988</v>
      </c>
      <c r="D907" s="571" t="s">
        <v>1307</v>
      </c>
      <c r="E907" s="645">
        <v>58100</v>
      </c>
      <c r="H907" s="633">
        <v>38000</v>
      </c>
      <c r="I907" s="589">
        <f t="shared" si="14"/>
        <v>1</v>
      </c>
      <c r="K907" s="589"/>
      <c r="L907" s="589"/>
      <c r="M907" s="589"/>
      <c r="N907" s="589"/>
      <c r="O907" s="589"/>
      <c r="P907" s="589"/>
      <c r="Q907" s="589"/>
      <c r="R907" s="589"/>
      <c r="S907" s="589"/>
      <c r="T907" s="589"/>
      <c r="U907" s="589"/>
      <c r="V907" s="589"/>
      <c r="W907" s="589"/>
      <c r="X907" s="589"/>
      <c r="Y907" s="589"/>
      <c r="AA907" s="589"/>
      <c r="AB907" s="589"/>
      <c r="AC907" s="589"/>
      <c r="AD907" s="589"/>
    </row>
    <row r="908" spans="1:30">
      <c r="A908" s="329" t="s">
        <v>5989</v>
      </c>
      <c r="B908" s="626">
        <v>44322550</v>
      </c>
      <c r="C908" s="575" t="s">
        <v>2529</v>
      </c>
      <c r="D908" s="571" t="s">
        <v>1307</v>
      </c>
      <c r="E908" s="645">
        <v>62500</v>
      </c>
      <c r="H908" s="633">
        <v>40000</v>
      </c>
      <c r="I908" s="589">
        <f t="shared" si="14"/>
        <v>1</v>
      </c>
      <c r="K908" s="589"/>
      <c r="L908" s="589"/>
      <c r="M908" s="589"/>
      <c r="N908" s="589"/>
      <c r="O908" s="589"/>
      <c r="P908" s="589"/>
      <c r="Q908" s="589"/>
      <c r="R908" s="589"/>
      <c r="S908" s="589"/>
      <c r="T908" s="589"/>
      <c r="U908" s="589"/>
      <c r="V908" s="589"/>
      <c r="W908" s="589"/>
      <c r="X908" s="589"/>
      <c r="Y908" s="589"/>
      <c r="AA908" s="589"/>
      <c r="AB908" s="589"/>
      <c r="AC908" s="589"/>
      <c r="AD908" s="589"/>
    </row>
    <row r="909" spans="1:30">
      <c r="A909" s="329" t="s">
        <v>2530</v>
      </c>
      <c r="B909" s="626">
        <v>44322600</v>
      </c>
      <c r="C909" s="575" t="s">
        <v>2531</v>
      </c>
      <c r="D909" s="571" t="s">
        <v>1307</v>
      </c>
      <c r="E909" s="645">
        <v>66900</v>
      </c>
      <c r="H909" s="633">
        <v>42000</v>
      </c>
      <c r="I909" s="589">
        <f t="shared" si="14"/>
        <v>1</v>
      </c>
      <c r="K909" s="589"/>
      <c r="L909" s="589"/>
      <c r="M909" s="589"/>
      <c r="N909" s="589"/>
      <c r="O909" s="589"/>
      <c r="P909" s="589"/>
      <c r="Q909" s="589"/>
      <c r="R909" s="589"/>
      <c r="S909" s="589"/>
      <c r="T909" s="589"/>
      <c r="U909" s="589"/>
      <c r="V909" s="589"/>
      <c r="W909" s="589"/>
      <c r="X909" s="589"/>
      <c r="Y909" s="589"/>
      <c r="AA909" s="589"/>
      <c r="AB909" s="589"/>
      <c r="AC909" s="589"/>
      <c r="AD909" s="589"/>
    </row>
    <row r="910" spans="1:30">
      <c r="A910" s="329" t="s">
        <v>2532</v>
      </c>
      <c r="B910" s="626">
        <v>44322650</v>
      </c>
      <c r="C910" s="575" t="s">
        <v>26</v>
      </c>
      <c r="D910" s="571" t="s">
        <v>1307</v>
      </c>
      <c r="E910" s="645">
        <v>71300</v>
      </c>
      <c r="H910" s="633">
        <v>44000</v>
      </c>
      <c r="I910" s="589">
        <f t="shared" si="14"/>
        <v>1</v>
      </c>
      <c r="K910" s="589"/>
      <c r="L910" s="589"/>
      <c r="M910" s="589"/>
      <c r="N910" s="589"/>
      <c r="O910" s="589"/>
      <c r="P910" s="589"/>
      <c r="Q910" s="589"/>
      <c r="R910" s="589"/>
      <c r="S910" s="589"/>
      <c r="T910" s="589"/>
      <c r="U910" s="589"/>
      <c r="V910" s="589"/>
      <c r="W910" s="589"/>
      <c r="X910" s="589"/>
      <c r="Y910" s="589"/>
      <c r="AA910" s="589"/>
      <c r="AB910" s="589"/>
      <c r="AC910" s="589"/>
      <c r="AD910" s="589"/>
    </row>
    <row r="911" spans="1:30">
      <c r="A911" s="329" t="s">
        <v>27</v>
      </c>
      <c r="B911" s="626">
        <v>44322700</v>
      </c>
      <c r="C911" s="575" t="s">
        <v>28</v>
      </c>
      <c r="D911" s="571" t="s">
        <v>1307</v>
      </c>
      <c r="E911" s="645">
        <v>75600</v>
      </c>
      <c r="H911" s="633">
        <v>45600</v>
      </c>
      <c r="I911" s="589">
        <f t="shared" si="14"/>
        <v>1</v>
      </c>
      <c r="K911" s="589"/>
      <c r="L911" s="589"/>
      <c r="M911" s="589"/>
      <c r="N911" s="589"/>
      <c r="O911" s="589"/>
      <c r="P911" s="589"/>
      <c r="Q911" s="589"/>
      <c r="R911" s="589"/>
      <c r="S911" s="589"/>
      <c r="T911" s="589"/>
      <c r="U911" s="589"/>
      <c r="V911" s="589"/>
      <c r="W911" s="589"/>
      <c r="X911" s="589"/>
      <c r="Y911" s="589"/>
      <c r="AA911" s="589"/>
      <c r="AB911" s="589"/>
      <c r="AC911" s="589"/>
      <c r="AD911" s="589"/>
    </row>
    <row r="912" spans="1:30">
      <c r="A912" s="329" t="s">
        <v>29</v>
      </c>
      <c r="B912" s="626">
        <v>44322750</v>
      </c>
      <c r="C912" s="575" t="s">
        <v>30</v>
      </c>
      <c r="D912" s="571" t="s">
        <v>1307</v>
      </c>
      <c r="E912" s="645">
        <v>80000</v>
      </c>
      <c r="H912" s="633">
        <v>46000</v>
      </c>
      <c r="I912" s="589">
        <f t="shared" si="14"/>
        <v>1</v>
      </c>
      <c r="K912" s="589"/>
      <c r="L912" s="589"/>
      <c r="M912" s="589"/>
      <c r="N912" s="589"/>
      <c r="O912" s="589"/>
      <c r="P912" s="589"/>
      <c r="Q912" s="589"/>
      <c r="R912" s="589"/>
      <c r="S912" s="589"/>
      <c r="T912" s="589"/>
      <c r="U912" s="589"/>
      <c r="V912" s="589"/>
      <c r="W912" s="589"/>
      <c r="X912" s="589"/>
      <c r="Y912" s="589"/>
      <c r="AA912" s="589"/>
      <c r="AB912" s="589"/>
      <c r="AC912" s="589"/>
      <c r="AD912" s="589"/>
    </row>
    <row r="913" spans="1:30">
      <c r="A913" s="329" t="s">
        <v>31</v>
      </c>
      <c r="B913" s="626">
        <v>44322800</v>
      </c>
      <c r="C913" s="575" t="s">
        <v>32</v>
      </c>
      <c r="D913" s="571" t="s">
        <v>1307</v>
      </c>
      <c r="E913" s="645">
        <v>84400</v>
      </c>
      <c r="H913" s="633">
        <v>51000</v>
      </c>
      <c r="I913" s="589">
        <f t="shared" si="14"/>
        <v>1</v>
      </c>
      <c r="K913" s="589"/>
      <c r="L913" s="589"/>
      <c r="M913" s="589"/>
      <c r="N913" s="589"/>
      <c r="O913" s="589"/>
      <c r="P913" s="589"/>
      <c r="Q913" s="589"/>
      <c r="R913" s="589"/>
      <c r="S913" s="589"/>
      <c r="T913" s="589"/>
      <c r="U913" s="589"/>
      <c r="V913" s="589"/>
      <c r="W913" s="589"/>
      <c r="X913" s="589"/>
      <c r="Y913" s="589"/>
      <c r="AA913" s="589"/>
      <c r="AB913" s="589"/>
      <c r="AC913" s="589"/>
      <c r="AD913" s="589"/>
    </row>
    <row r="914" spans="1:30">
      <c r="A914" s="329" t="s">
        <v>33</v>
      </c>
      <c r="B914" s="626">
        <v>44322850</v>
      </c>
      <c r="C914" s="575" t="s">
        <v>4172</v>
      </c>
      <c r="D914" s="571" t="s">
        <v>1307</v>
      </c>
      <c r="E914" s="645">
        <v>88800</v>
      </c>
      <c r="H914" s="633">
        <v>56000</v>
      </c>
      <c r="I914" s="589">
        <f t="shared" si="14"/>
        <v>1</v>
      </c>
      <c r="K914" s="589"/>
      <c r="L914" s="589"/>
      <c r="M914" s="589"/>
      <c r="N914" s="589"/>
      <c r="O914" s="589"/>
      <c r="P914" s="589"/>
      <c r="Q914" s="589"/>
      <c r="R914" s="589"/>
      <c r="S914" s="589"/>
      <c r="T914" s="589"/>
      <c r="U914" s="589"/>
      <c r="V914" s="589"/>
      <c r="W914" s="589"/>
      <c r="X914" s="589"/>
      <c r="Y914" s="589"/>
      <c r="AA914" s="589"/>
      <c r="AB914" s="589"/>
      <c r="AC914" s="589"/>
      <c r="AD914" s="589"/>
    </row>
    <row r="915" spans="1:30">
      <c r="A915" s="329" t="s">
        <v>4173</v>
      </c>
      <c r="B915" s="626"/>
      <c r="C915" s="575" t="s">
        <v>4174</v>
      </c>
      <c r="D915" s="571" t="s">
        <v>1307</v>
      </c>
      <c r="E915" s="645">
        <v>93100</v>
      </c>
      <c r="H915" s="633">
        <v>62000</v>
      </c>
      <c r="I915" s="589">
        <f t="shared" si="14"/>
        <v>1</v>
      </c>
      <c r="K915" s="589"/>
      <c r="L915" s="589"/>
      <c r="M915" s="589"/>
      <c r="N915" s="589"/>
      <c r="O915" s="589"/>
      <c r="P915" s="589"/>
      <c r="Q915" s="589"/>
      <c r="R915" s="589"/>
      <c r="S915" s="589"/>
      <c r="T915" s="589"/>
      <c r="U915" s="589"/>
      <c r="V915" s="589"/>
      <c r="W915" s="589"/>
      <c r="X915" s="589"/>
      <c r="Y915" s="589"/>
      <c r="AA915" s="589"/>
      <c r="AB915" s="589"/>
      <c r="AC915" s="589"/>
      <c r="AD915" s="589"/>
    </row>
    <row r="916" spans="1:30">
      <c r="A916" s="329" t="s">
        <v>4175</v>
      </c>
      <c r="B916" s="626">
        <v>44322950</v>
      </c>
      <c r="C916" s="575" t="s">
        <v>4176</v>
      </c>
      <c r="D916" s="571" t="s">
        <v>1307</v>
      </c>
      <c r="E916" s="645">
        <v>97500</v>
      </c>
      <c r="H916" s="633">
        <v>67000</v>
      </c>
      <c r="I916" s="589">
        <f t="shared" si="14"/>
        <v>1</v>
      </c>
      <c r="K916" s="589"/>
      <c r="L916" s="589"/>
      <c r="M916" s="589"/>
      <c r="N916" s="589"/>
      <c r="O916" s="589"/>
      <c r="P916" s="589"/>
      <c r="Q916" s="589"/>
      <c r="R916" s="589"/>
      <c r="S916" s="589"/>
      <c r="T916" s="589"/>
      <c r="U916" s="589"/>
      <c r="V916" s="589"/>
      <c r="W916" s="589"/>
      <c r="X916" s="589"/>
      <c r="Y916" s="589"/>
      <c r="AA916" s="589"/>
      <c r="AB916" s="589"/>
      <c r="AC916" s="589"/>
      <c r="AD916" s="589"/>
    </row>
    <row r="917" spans="1:30">
      <c r="A917" s="329" t="s">
        <v>4177</v>
      </c>
      <c r="B917" s="626">
        <v>44322000</v>
      </c>
      <c r="C917" s="575" t="s">
        <v>4178</v>
      </c>
      <c r="D917" s="571" t="s">
        <v>1307</v>
      </c>
      <c r="E917" s="645">
        <v>101900</v>
      </c>
      <c r="H917" s="633">
        <v>73000</v>
      </c>
      <c r="I917" s="589">
        <f t="shared" si="14"/>
        <v>1</v>
      </c>
      <c r="K917" s="589"/>
      <c r="L917" s="589"/>
      <c r="M917" s="589"/>
      <c r="N917" s="589"/>
      <c r="O917" s="589"/>
      <c r="P917" s="589"/>
      <c r="Q917" s="589"/>
      <c r="R917" s="589"/>
      <c r="S917" s="589"/>
      <c r="T917" s="589"/>
      <c r="U917" s="589"/>
      <c r="V917" s="589"/>
      <c r="W917" s="589"/>
      <c r="X917" s="589"/>
      <c r="Y917" s="589"/>
      <c r="AA917" s="589"/>
      <c r="AB917" s="589"/>
      <c r="AC917" s="589"/>
      <c r="AD917" s="589"/>
    </row>
    <row r="918" spans="1:30">
      <c r="A918" s="329" t="s">
        <v>5089</v>
      </c>
      <c r="B918" s="626"/>
      <c r="C918" s="575" t="s">
        <v>3370</v>
      </c>
      <c r="D918" s="571" t="s">
        <v>1307</v>
      </c>
      <c r="E918" s="633"/>
      <c r="H918" s="633">
        <v>79000</v>
      </c>
      <c r="I918" s="589">
        <f t="shared" si="14"/>
        <v>1</v>
      </c>
      <c r="K918" s="589"/>
      <c r="L918" s="589"/>
      <c r="M918" s="589"/>
      <c r="N918" s="589"/>
      <c r="O918" s="589"/>
      <c r="P918" s="589"/>
      <c r="Q918" s="589"/>
      <c r="R918" s="589"/>
      <c r="S918" s="589"/>
      <c r="T918" s="589"/>
      <c r="U918" s="589"/>
      <c r="V918" s="589"/>
      <c r="W918" s="589"/>
      <c r="X918" s="589"/>
      <c r="Y918" s="589"/>
      <c r="AA918" s="589"/>
      <c r="AB918" s="589"/>
      <c r="AC918" s="589"/>
      <c r="AD918" s="589"/>
    </row>
    <row r="919" spans="1:30">
      <c r="A919" s="329" t="s">
        <v>3371</v>
      </c>
      <c r="B919" s="626"/>
      <c r="C919" s="575" t="s">
        <v>3372</v>
      </c>
      <c r="D919" s="571" t="s">
        <v>1307</v>
      </c>
      <c r="E919" s="633"/>
      <c r="H919" s="633">
        <v>85000</v>
      </c>
      <c r="I919" s="589">
        <f t="shared" si="14"/>
        <v>1</v>
      </c>
      <c r="K919" s="589"/>
      <c r="L919" s="589"/>
      <c r="M919" s="589"/>
      <c r="N919" s="589"/>
      <c r="O919" s="589"/>
      <c r="P919" s="589"/>
      <c r="Q919" s="589"/>
      <c r="R919" s="589"/>
      <c r="S919" s="589"/>
      <c r="T919" s="589"/>
      <c r="U919" s="589"/>
      <c r="V919" s="589"/>
      <c r="W919" s="589"/>
      <c r="X919" s="589"/>
      <c r="Y919" s="589"/>
      <c r="AA919" s="589"/>
      <c r="AB919" s="589"/>
      <c r="AC919" s="589"/>
      <c r="AD919" s="589"/>
    </row>
    <row r="920" spans="1:30">
      <c r="A920" s="329" t="s">
        <v>3373</v>
      </c>
      <c r="B920" s="626"/>
      <c r="C920" s="575" t="s">
        <v>3374</v>
      </c>
      <c r="D920" s="571" t="s">
        <v>1307</v>
      </c>
      <c r="E920" s="633"/>
      <c r="H920" s="633">
        <v>91000</v>
      </c>
      <c r="I920" s="589">
        <f t="shared" si="14"/>
        <v>1</v>
      </c>
      <c r="K920" s="589"/>
      <c r="L920" s="589"/>
      <c r="M920" s="589"/>
      <c r="N920" s="589"/>
      <c r="O920" s="589"/>
      <c r="P920" s="589"/>
      <c r="Q920" s="589"/>
      <c r="R920" s="589"/>
      <c r="S920" s="589"/>
      <c r="T920" s="589"/>
      <c r="U920" s="589"/>
      <c r="V920" s="589"/>
      <c r="W920" s="589"/>
      <c r="X920" s="589"/>
      <c r="Y920" s="589"/>
      <c r="AA920" s="589"/>
      <c r="AB920" s="589"/>
      <c r="AC920" s="589"/>
      <c r="AD920" s="589"/>
    </row>
    <row r="921" spans="1:30">
      <c r="A921" s="329" t="s">
        <v>3375</v>
      </c>
      <c r="B921" s="626"/>
      <c r="C921" s="575" t="s">
        <v>3376</v>
      </c>
      <c r="D921" s="571" t="s">
        <v>1307</v>
      </c>
      <c r="E921" s="633"/>
      <c r="H921" s="633">
        <v>95000</v>
      </c>
      <c r="I921" s="589">
        <f t="shared" si="14"/>
        <v>1</v>
      </c>
      <c r="K921" s="589"/>
      <c r="L921" s="589"/>
      <c r="M921" s="589"/>
      <c r="N921" s="589"/>
      <c r="O921" s="589"/>
      <c r="P921" s="589"/>
      <c r="Q921" s="589"/>
      <c r="R921" s="589"/>
      <c r="S921" s="589"/>
      <c r="T921" s="589"/>
      <c r="U921" s="589"/>
      <c r="V921" s="589"/>
      <c r="W921" s="589"/>
      <c r="X921" s="589"/>
      <c r="Y921" s="589"/>
      <c r="AA921" s="589"/>
      <c r="AB921" s="589"/>
      <c r="AC921" s="589"/>
      <c r="AD921" s="589"/>
    </row>
    <row r="922" spans="1:30">
      <c r="B922" s="654"/>
      <c r="C922" s="661"/>
      <c r="D922" s="644"/>
      <c r="E922" s="641"/>
      <c r="H922" s="641"/>
      <c r="I922" s="589">
        <f t="shared" si="14"/>
        <v>0</v>
      </c>
      <c r="K922" s="589"/>
      <c r="L922" s="589"/>
      <c r="M922" s="589"/>
      <c r="N922" s="589"/>
      <c r="O922" s="589"/>
      <c r="P922" s="589"/>
      <c r="Q922" s="589"/>
      <c r="R922" s="589"/>
      <c r="S922" s="589"/>
      <c r="T922" s="589"/>
      <c r="U922" s="589"/>
      <c r="V922" s="589"/>
      <c r="W922" s="589"/>
      <c r="X922" s="589"/>
      <c r="Y922" s="589"/>
      <c r="AA922" s="589"/>
      <c r="AB922" s="589"/>
      <c r="AC922" s="589"/>
      <c r="AD922" s="589"/>
    </row>
    <row r="923" spans="1:30">
      <c r="A923" s="329" t="s">
        <v>3377</v>
      </c>
      <c r="B923" s="626"/>
      <c r="C923" s="575" t="s">
        <v>3378</v>
      </c>
      <c r="D923" s="571" t="s">
        <v>1307</v>
      </c>
      <c r="E923" s="633">
        <v>9500</v>
      </c>
      <c r="H923" s="633">
        <v>9500</v>
      </c>
      <c r="I923" s="589">
        <f t="shared" si="14"/>
        <v>0</v>
      </c>
      <c r="K923" s="589"/>
      <c r="L923" s="589"/>
      <c r="M923" s="589"/>
      <c r="N923" s="589"/>
      <c r="O923" s="589"/>
      <c r="P923" s="589"/>
      <c r="Q923" s="589"/>
      <c r="R923" s="589"/>
      <c r="S923" s="589"/>
      <c r="T923" s="589"/>
      <c r="U923" s="589"/>
      <c r="V923" s="589"/>
      <c r="W923" s="589"/>
      <c r="X923" s="589"/>
      <c r="Y923" s="589"/>
      <c r="AA923" s="589"/>
      <c r="AB923" s="589"/>
      <c r="AC923" s="589"/>
      <c r="AD923" s="589"/>
    </row>
    <row r="924" spans="1:30">
      <c r="A924" s="329" t="s">
        <v>3379</v>
      </c>
      <c r="B924" s="626"/>
      <c r="C924" s="575" t="s">
        <v>3380</v>
      </c>
      <c r="D924" s="571" t="s">
        <v>1307</v>
      </c>
      <c r="E924" s="633">
        <v>11600</v>
      </c>
      <c r="H924" s="633">
        <v>11600</v>
      </c>
      <c r="I924" s="589">
        <f t="shared" si="14"/>
        <v>0</v>
      </c>
      <c r="K924" s="589"/>
      <c r="L924" s="589"/>
      <c r="M924" s="589"/>
      <c r="N924" s="589"/>
      <c r="O924" s="589"/>
      <c r="P924" s="589"/>
      <c r="Q924" s="589"/>
      <c r="R924" s="589"/>
      <c r="S924" s="589"/>
      <c r="T924" s="589"/>
      <c r="U924" s="589"/>
      <c r="V924" s="589"/>
      <c r="W924" s="589"/>
      <c r="X924" s="589"/>
      <c r="Y924" s="589"/>
      <c r="AA924" s="589"/>
      <c r="AB924" s="589"/>
      <c r="AC924" s="589"/>
      <c r="AD924" s="589"/>
    </row>
    <row r="925" spans="1:30">
      <c r="A925" s="329" t="s">
        <v>2533</v>
      </c>
      <c r="B925" s="626"/>
      <c r="C925" s="575" t="s">
        <v>2534</v>
      </c>
      <c r="D925" s="571" t="s">
        <v>1307</v>
      </c>
      <c r="E925" s="633">
        <v>14500</v>
      </c>
      <c r="H925" s="633">
        <v>14500</v>
      </c>
      <c r="I925" s="589">
        <f t="shared" si="14"/>
        <v>0</v>
      </c>
      <c r="K925" s="589"/>
      <c r="L925" s="589"/>
      <c r="M925" s="589"/>
      <c r="N925" s="589"/>
      <c r="O925" s="589"/>
      <c r="P925" s="589"/>
      <c r="Q925" s="589"/>
      <c r="R925" s="589"/>
      <c r="S925" s="589"/>
      <c r="T925" s="589"/>
      <c r="U925" s="589"/>
      <c r="V925" s="589"/>
      <c r="W925" s="589"/>
      <c r="X925" s="589"/>
      <c r="Y925" s="589"/>
      <c r="AA925" s="589"/>
      <c r="AB925" s="589"/>
      <c r="AC925" s="589"/>
      <c r="AD925" s="589"/>
    </row>
    <row r="926" spans="1:30">
      <c r="A926" s="329" t="s">
        <v>2535</v>
      </c>
      <c r="B926" s="626"/>
      <c r="C926" s="575" t="s">
        <v>2801</v>
      </c>
      <c r="D926" s="571" t="s">
        <v>1307</v>
      </c>
      <c r="E926" s="633">
        <v>16000</v>
      </c>
      <c r="H926" s="633">
        <v>16000</v>
      </c>
      <c r="I926" s="589">
        <f t="shared" si="14"/>
        <v>0</v>
      </c>
      <c r="K926" s="589"/>
      <c r="L926" s="589"/>
      <c r="M926" s="589"/>
      <c r="N926" s="589"/>
      <c r="O926" s="589"/>
      <c r="P926" s="589"/>
      <c r="Q926" s="589"/>
      <c r="R926" s="589"/>
      <c r="S926" s="589"/>
      <c r="T926" s="589"/>
      <c r="U926" s="589"/>
      <c r="V926" s="589"/>
      <c r="W926" s="589"/>
      <c r="X926" s="589"/>
      <c r="Y926" s="589"/>
      <c r="AA926" s="589"/>
      <c r="AB926" s="589"/>
      <c r="AC926" s="589"/>
      <c r="AD926" s="589"/>
    </row>
    <row r="927" spans="1:30">
      <c r="A927" s="329" t="s">
        <v>2802</v>
      </c>
      <c r="B927" s="626"/>
      <c r="C927" s="575" t="s">
        <v>2803</v>
      </c>
      <c r="D927" s="571" t="s">
        <v>1307</v>
      </c>
      <c r="E927" s="633">
        <v>18500</v>
      </c>
      <c r="H927" s="633">
        <v>18500</v>
      </c>
      <c r="I927" s="589">
        <f t="shared" ref="I927:I990" si="15">IF(E927=H927,0,1)</f>
        <v>0</v>
      </c>
      <c r="K927" s="589"/>
      <c r="L927" s="589"/>
      <c r="M927" s="589"/>
      <c r="N927" s="589"/>
      <c r="O927" s="589"/>
      <c r="P927" s="589"/>
      <c r="Q927" s="589"/>
      <c r="R927" s="589"/>
      <c r="S927" s="589"/>
      <c r="T927" s="589"/>
      <c r="U927" s="589"/>
      <c r="V927" s="589"/>
      <c r="W927" s="589"/>
      <c r="X927" s="589"/>
      <c r="Y927" s="589"/>
      <c r="AA927" s="589"/>
      <c r="AB927" s="589"/>
      <c r="AC927" s="589"/>
      <c r="AD927" s="589"/>
    </row>
    <row r="928" spans="1:30">
      <c r="A928" s="329" t="s">
        <v>2804</v>
      </c>
      <c r="B928" s="626"/>
      <c r="C928" s="575" t="s">
        <v>2805</v>
      </c>
      <c r="D928" s="571" t="s">
        <v>1307</v>
      </c>
      <c r="E928" s="633">
        <v>19000</v>
      </c>
      <c r="H928" s="633">
        <v>19000</v>
      </c>
      <c r="I928" s="589">
        <f t="shared" si="15"/>
        <v>0</v>
      </c>
      <c r="K928" s="589"/>
      <c r="L928" s="589"/>
      <c r="M928" s="589"/>
      <c r="N928" s="589"/>
      <c r="O928" s="589"/>
      <c r="P928" s="589"/>
      <c r="Q928" s="589"/>
      <c r="R928" s="589"/>
      <c r="S928" s="589"/>
      <c r="T928" s="589"/>
      <c r="U928" s="589"/>
      <c r="V928" s="589"/>
      <c r="W928" s="589"/>
      <c r="X928" s="589"/>
      <c r="Y928" s="589"/>
      <c r="AA928" s="589"/>
      <c r="AB928" s="589"/>
      <c r="AC928" s="589"/>
      <c r="AD928" s="589"/>
    </row>
    <row r="929" spans="1:30">
      <c r="A929" s="329" t="s">
        <v>2806</v>
      </c>
      <c r="B929" s="626"/>
      <c r="C929" s="575" t="s">
        <v>2807</v>
      </c>
      <c r="D929" s="571" t="s">
        <v>1307</v>
      </c>
      <c r="E929" s="633">
        <v>21000</v>
      </c>
      <c r="H929" s="633">
        <v>21000</v>
      </c>
      <c r="I929" s="589">
        <f t="shared" si="15"/>
        <v>0</v>
      </c>
      <c r="K929" s="589"/>
      <c r="L929" s="589"/>
      <c r="M929" s="589"/>
      <c r="N929" s="589"/>
      <c r="O929" s="589"/>
      <c r="P929" s="589"/>
      <c r="Q929" s="589"/>
      <c r="R929" s="589"/>
      <c r="S929" s="589"/>
      <c r="T929" s="589"/>
      <c r="U929" s="589"/>
      <c r="V929" s="589"/>
      <c r="W929" s="589"/>
      <c r="X929" s="589"/>
      <c r="Y929" s="589"/>
      <c r="AA929" s="589"/>
      <c r="AB929" s="589"/>
      <c r="AC929" s="589"/>
      <c r="AD929" s="589"/>
    </row>
    <row r="930" spans="1:30">
      <c r="A930" s="329" t="s">
        <v>2808</v>
      </c>
      <c r="B930" s="626"/>
      <c r="C930" s="575" t="s">
        <v>2809</v>
      </c>
      <c r="D930" s="571" t="s">
        <v>1307</v>
      </c>
      <c r="E930" s="633">
        <v>21000</v>
      </c>
      <c r="H930" s="633">
        <v>21000</v>
      </c>
      <c r="I930" s="589">
        <f t="shared" si="15"/>
        <v>0</v>
      </c>
      <c r="K930" s="589"/>
      <c r="L930" s="589"/>
      <c r="M930" s="589"/>
      <c r="N930" s="589"/>
      <c r="O930" s="589"/>
      <c r="P930" s="589"/>
      <c r="Q930" s="589"/>
      <c r="R930" s="589"/>
      <c r="S930" s="589"/>
      <c r="T930" s="589"/>
      <c r="U930" s="589"/>
      <c r="V930" s="589"/>
      <c r="W930" s="589"/>
      <c r="X930" s="589"/>
      <c r="Y930" s="589"/>
      <c r="AA930" s="589"/>
      <c r="AB930" s="589"/>
      <c r="AC930" s="589"/>
      <c r="AD930" s="589"/>
    </row>
    <row r="931" spans="1:30">
      <c r="B931" s="654"/>
      <c r="C931" s="661"/>
      <c r="D931" s="644"/>
      <c r="E931" s="641"/>
      <c r="H931" s="641"/>
      <c r="I931" s="589">
        <f t="shared" si="15"/>
        <v>0</v>
      </c>
      <c r="K931" s="589"/>
      <c r="L931" s="589"/>
      <c r="M931" s="589"/>
      <c r="N931" s="589"/>
      <c r="O931" s="589"/>
      <c r="P931" s="589"/>
      <c r="Q931" s="589"/>
      <c r="R931" s="589"/>
      <c r="S931" s="589"/>
      <c r="T931" s="589"/>
      <c r="U931" s="589"/>
      <c r="V931" s="589"/>
      <c r="W931" s="589"/>
      <c r="X931" s="589"/>
      <c r="Y931" s="589"/>
      <c r="AA931" s="589"/>
      <c r="AB931" s="589"/>
      <c r="AC931" s="589"/>
      <c r="AD931" s="589"/>
    </row>
    <row r="932" spans="1:30">
      <c r="A932" s="329" t="s">
        <v>2810</v>
      </c>
      <c r="B932" s="626"/>
      <c r="C932" s="575" t="s">
        <v>2811</v>
      </c>
      <c r="D932" s="571" t="s">
        <v>1307</v>
      </c>
      <c r="E932" s="633">
        <v>9500</v>
      </c>
      <c r="H932" s="633">
        <v>9500</v>
      </c>
      <c r="I932" s="589">
        <f t="shared" si="15"/>
        <v>0</v>
      </c>
      <c r="K932" s="589"/>
      <c r="L932" s="589"/>
      <c r="M932" s="589"/>
      <c r="N932" s="589"/>
      <c r="O932" s="589"/>
      <c r="P932" s="589"/>
      <c r="Q932" s="589"/>
      <c r="R932" s="589"/>
      <c r="S932" s="589"/>
      <c r="T932" s="589"/>
      <c r="U932" s="589"/>
      <c r="V932" s="589"/>
      <c r="W932" s="589"/>
      <c r="X932" s="589"/>
      <c r="Y932" s="589"/>
      <c r="AA932" s="589"/>
      <c r="AB932" s="589"/>
      <c r="AC932" s="589"/>
      <c r="AD932" s="589"/>
    </row>
    <row r="933" spans="1:30">
      <c r="A933" s="329" t="s">
        <v>2812</v>
      </c>
      <c r="B933" s="626"/>
      <c r="C933" s="575" t="s">
        <v>2813</v>
      </c>
      <c r="D933" s="571" t="s">
        <v>1307</v>
      </c>
      <c r="E933" s="633">
        <v>11600</v>
      </c>
      <c r="H933" s="633">
        <v>11600</v>
      </c>
      <c r="I933" s="589">
        <f t="shared" si="15"/>
        <v>0</v>
      </c>
      <c r="K933" s="589"/>
      <c r="L933" s="589"/>
      <c r="M933" s="589"/>
      <c r="N933" s="589"/>
      <c r="O933" s="589"/>
      <c r="P933" s="589"/>
      <c r="Q933" s="589"/>
      <c r="R933" s="589"/>
      <c r="S933" s="589"/>
      <c r="T933" s="589"/>
      <c r="U933" s="589"/>
      <c r="V933" s="589"/>
      <c r="W933" s="589"/>
      <c r="X933" s="589"/>
      <c r="Y933" s="589"/>
      <c r="AA933" s="589"/>
      <c r="AB933" s="589"/>
      <c r="AC933" s="589"/>
      <c r="AD933" s="589"/>
    </row>
    <row r="934" spans="1:30">
      <c r="A934" s="329" t="s">
        <v>3836</v>
      </c>
      <c r="B934" s="626"/>
      <c r="C934" s="575" t="s">
        <v>3837</v>
      </c>
      <c r="D934" s="571" t="s">
        <v>1307</v>
      </c>
      <c r="E934" s="633">
        <v>14500</v>
      </c>
      <c r="H934" s="633">
        <v>14500</v>
      </c>
      <c r="I934" s="589">
        <f t="shared" si="15"/>
        <v>0</v>
      </c>
      <c r="K934" s="589"/>
      <c r="L934" s="589"/>
      <c r="M934" s="589"/>
      <c r="N934" s="589"/>
      <c r="O934" s="589"/>
      <c r="P934" s="589"/>
      <c r="Q934" s="589"/>
      <c r="R934" s="589"/>
      <c r="S934" s="589"/>
      <c r="T934" s="589"/>
      <c r="U934" s="589"/>
      <c r="V934" s="589"/>
      <c r="W934" s="589"/>
      <c r="X934" s="589"/>
      <c r="Y934" s="589"/>
      <c r="AA934" s="589"/>
      <c r="AB934" s="589"/>
      <c r="AC934" s="589"/>
      <c r="AD934" s="589"/>
    </row>
    <row r="935" spans="1:30">
      <c r="A935" s="329" t="s">
        <v>3838</v>
      </c>
      <c r="B935" s="626"/>
      <c r="C935" s="575" t="s">
        <v>3723</v>
      </c>
      <c r="D935" s="571" t="s">
        <v>1307</v>
      </c>
      <c r="E935" s="633">
        <v>16000</v>
      </c>
      <c r="H935" s="633">
        <v>16000</v>
      </c>
      <c r="I935" s="589">
        <f t="shared" si="15"/>
        <v>0</v>
      </c>
      <c r="K935" s="589"/>
      <c r="L935" s="589"/>
      <c r="M935" s="589"/>
      <c r="N935" s="589"/>
      <c r="O935" s="589"/>
      <c r="P935" s="589"/>
      <c r="Q935" s="589"/>
      <c r="R935" s="589"/>
      <c r="S935" s="589"/>
      <c r="T935" s="589"/>
      <c r="U935" s="589"/>
      <c r="V935" s="589"/>
      <c r="W935" s="589"/>
      <c r="X935" s="589"/>
      <c r="Y935" s="589"/>
      <c r="AA935" s="589"/>
      <c r="AB935" s="589"/>
      <c r="AC935" s="589"/>
      <c r="AD935" s="589"/>
    </row>
    <row r="936" spans="1:30">
      <c r="A936" s="329" t="s">
        <v>3724</v>
      </c>
      <c r="B936" s="626"/>
      <c r="C936" s="575" t="s">
        <v>3725</v>
      </c>
      <c r="D936" s="571" t="s">
        <v>1307</v>
      </c>
      <c r="E936" s="633">
        <v>18500</v>
      </c>
      <c r="H936" s="633">
        <v>18500</v>
      </c>
      <c r="I936" s="589">
        <f t="shared" si="15"/>
        <v>0</v>
      </c>
      <c r="K936" s="589"/>
      <c r="L936" s="589"/>
      <c r="M936" s="589"/>
      <c r="N936" s="589"/>
      <c r="O936" s="589"/>
      <c r="P936" s="589"/>
      <c r="Q936" s="589"/>
      <c r="R936" s="589"/>
      <c r="S936" s="589"/>
      <c r="T936" s="589"/>
      <c r="U936" s="589"/>
      <c r="V936" s="589"/>
      <c r="W936" s="589"/>
      <c r="X936" s="589"/>
      <c r="Y936" s="589"/>
      <c r="AA936" s="589"/>
      <c r="AB936" s="589"/>
      <c r="AC936" s="589"/>
      <c r="AD936" s="589"/>
    </row>
    <row r="937" spans="1:30">
      <c r="A937" s="329" t="s">
        <v>6075</v>
      </c>
      <c r="B937" s="626"/>
      <c r="C937" s="575" t="s">
        <v>6076</v>
      </c>
      <c r="D937" s="571" t="s">
        <v>1307</v>
      </c>
      <c r="E937" s="633">
        <v>19000</v>
      </c>
      <c r="H937" s="633">
        <v>19000</v>
      </c>
      <c r="I937" s="589">
        <f t="shared" si="15"/>
        <v>0</v>
      </c>
      <c r="K937" s="589"/>
      <c r="L937" s="589"/>
      <c r="M937" s="589"/>
      <c r="N937" s="589"/>
      <c r="O937" s="589"/>
      <c r="P937" s="589"/>
      <c r="Q937" s="589"/>
      <c r="R937" s="589"/>
      <c r="S937" s="589"/>
      <c r="T937" s="589"/>
      <c r="U937" s="589"/>
      <c r="V937" s="589"/>
      <c r="W937" s="589"/>
      <c r="X937" s="589"/>
      <c r="Y937" s="589"/>
      <c r="AA937" s="589"/>
      <c r="AB937" s="589"/>
      <c r="AC937" s="589"/>
      <c r="AD937" s="589"/>
    </row>
    <row r="938" spans="1:30">
      <c r="A938" s="329" t="s">
        <v>6077</v>
      </c>
      <c r="B938" s="626"/>
      <c r="C938" s="575" t="s">
        <v>6078</v>
      </c>
      <c r="D938" s="571" t="s">
        <v>1307</v>
      </c>
      <c r="E938" s="633">
        <v>21000</v>
      </c>
      <c r="H938" s="633">
        <v>21000</v>
      </c>
      <c r="I938" s="589">
        <f t="shared" si="15"/>
        <v>0</v>
      </c>
      <c r="K938" s="589"/>
      <c r="L938" s="589"/>
      <c r="M938" s="589"/>
      <c r="N938" s="589"/>
      <c r="O938" s="589"/>
      <c r="P938" s="589"/>
      <c r="Q938" s="589"/>
      <c r="R938" s="589"/>
      <c r="S938" s="589"/>
      <c r="T938" s="589"/>
      <c r="U938" s="589"/>
      <c r="V938" s="589"/>
      <c r="W938" s="589"/>
      <c r="X938" s="589"/>
      <c r="Y938" s="589"/>
      <c r="AA938" s="589"/>
      <c r="AB938" s="589"/>
      <c r="AC938" s="589"/>
      <c r="AD938" s="589"/>
    </row>
    <row r="939" spans="1:30">
      <c r="B939" s="654"/>
      <c r="C939" s="661"/>
      <c r="D939" s="644"/>
      <c r="E939" s="641"/>
      <c r="H939" s="641"/>
      <c r="I939" s="589">
        <f t="shared" si="15"/>
        <v>0</v>
      </c>
      <c r="K939" s="589"/>
      <c r="L939" s="589"/>
      <c r="M939" s="589"/>
      <c r="N939" s="589"/>
      <c r="O939" s="589"/>
      <c r="P939" s="589"/>
      <c r="Q939" s="589"/>
      <c r="R939" s="589"/>
      <c r="S939" s="589"/>
      <c r="T939" s="589"/>
      <c r="U939" s="589"/>
      <c r="V939" s="589"/>
      <c r="W939" s="589"/>
      <c r="X939" s="589"/>
      <c r="Y939" s="589"/>
      <c r="AA939" s="589"/>
      <c r="AB939" s="589"/>
      <c r="AC939" s="589"/>
      <c r="AD939" s="589"/>
    </row>
    <row r="940" spans="1:30">
      <c r="A940" s="329" t="s">
        <v>6079</v>
      </c>
      <c r="B940" s="654"/>
      <c r="C940" s="575" t="s">
        <v>6080</v>
      </c>
      <c r="D940" s="571" t="s">
        <v>1307</v>
      </c>
      <c r="E940" s="641"/>
      <c r="H940" s="641"/>
      <c r="I940" s="589">
        <f t="shared" si="15"/>
        <v>0</v>
      </c>
      <c r="K940" s="589"/>
      <c r="L940" s="589"/>
      <c r="M940" s="589"/>
      <c r="N940" s="589"/>
      <c r="O940" s="589"/>
      <c r="P940" s="589"/>
      <c r="Q940" s="589"/>
      <c r="R940" s="589"/>
      <c r="S940" s="589"/>
      <c r="T940" s="589"/>
      <c r="U940" s="589"/>
      <c r="V940" s="589"/>
      <c r="W940" s="589"/>
      <c r="X940" s="589"/>
      <c r="Y940" s="589"/>
      <c r="AA940" s="589"/>
      <c r="AB940" s="589"/>
      <c r="AC940" s="589"/>
      <c r="AD940" s="589"/>
    </row>
    <row r="941" spans="1:30">
      <c r="A941" s="329" t="s">
        <v>6081</v>
      </c>
      <c r="B941" s="654"/>
      <c r="C941" s="575" t="s">
        <v>6082</v>
      </c>
      <c r="D941" s="571" t="s">
        <v>1307</v>
      </c>
      <c r="E941" s="641"/>
      <c r="H941" s="641"/>
      <c r="I941" s="589">
        <f t="shared" si="15"/>
        <v>0</v>
      </c>
      <c r="K941" s="589"/>
      <c r="L941" s="589"/>
      <c r="M941" s="589"/>
      <c r="N941" s="589"/>
      <c r="O941" s="589"/>
      <c r="P941" s="589"/>
      <c r="Q941" s="589"/>
      <c r="R941" s="589"/>
      <c r="S941" s="589"/>
      <c r="T941" s="589"/>
      <c r="U941" s="589"/>
      <c r="V941" s="589"/>
      <c r="W941" s="589"/>
      <c r="X941" s="589"/>
      <c r="Y941" s="589"/>
      <c r="AA941" s="589"/>
      <c r="AB941" s="589"/>
      <c r="AC941" s="589"/>
      <c r="AD941" s="589"/>
    </row>
    <row r="942" spans="1:30">
      <c r="A942" s="329" t="s">
        <v>3217</v>
      </c>
      <c r="B942" s="654"/>
      <c r="C942" s="575" t="s">
        <v>2056</v>
      </c>
      <c r="D942" s="571" t="s">
        <v>1307</v>
      </c>
      <c r="E942" s="641"/>
      <c r="H942" s="641"/>
      <c r="I942" s="589">
        <f t="shared" si="15"/>
        <v>0</v>
      </c>
      <c r="K942" s="589"/>
      <c r="L942" s="589"/>
      <c r="M942" s="589"/>
      <c r="N942" s="589"/>
      <c r="O942" s="589"/>
      <c r="P942" s="589"/>
      <c r="Q942" s="589"/>
      <c r="R942" s="589"/>
      <c r="S942" s="589"/>
      <c r="T942" s="589"/>
      <c r="U942" s="589"/>
      <c r="V942" s="589"/>
      <c r="W942" s="589"/>
      <c r="X942" s="589"/>
      <c r="Y942" s="589"/>
      <c r="AA942" s="589"/>
      <c r="AB942" s="589"/>
      <c r="AC942" s="589"/>
      <c r="AD942" s="589"/>
    </row>
    <row r="943" spans="1:30">
      <c r="A943" s="329" t="s">
        <v>2057</v>
      </c>
      <c r="B943" s="654"/>
      <c r="C943" s="575" t="s">
        <v>2058</v>
      </c>
      <c r="D943" s="571" t="s">
        <v>1307</v>
      </c>
      <c r="E943" s="641"/>
      <c r="H943" s="641"/>
      <c r="I943" s="589">
        <f t="shared" si="15"/>
        <v>0</v>
      </c>
      <c r="K943" s="589"/>
      <c r="L943" s="589"/>
      <c r="M943" s="589"/>
      <c r="N943" s="589"/>
      <c r="O943" s="589"/>
      <c r="P943" s="589"/>
      <c r="Q943" s="589"/>
      <c r="R943" s="589"/>
      <c r="S943" s="589"/>
      <c r="T943" s="589"/>
      <c r="U943" s="589"/>
      <c r="V943" s="589"/>
      <c r="W943" s="589"/>
      <c r="X943" s="589"/>
      <c r="Y943" s="589"/>
      <c r="AA943" s="589"/>
      <c r="AB943" s="589"/>
      <c r="AC943" s="589"/>
      <c r="AD943" s="589"/>
    </row>
    <row r="944" spans="1:30">
      <c r="A944" s="329" t="s">
        <v>2059</v>
      </c>
      <c r="B944" s="654"/>
      <c r="C944" s="575" t="s">
        <v>2060</v>
      </c>
      <c r="D944" s="571" t="s">
        <v>1307</v>
      </c>
      <c r="E944" s="641"/>
      <c r="H944" s="641"/>
      <c r="I944" s="589">
        <f t="shared" si="15"/>
        <v>0</v>
      </c>
      <c r="K944" s="589"/>
      <c r="L944" s="589"/>
      <c r="M944" s="589"/>
      <c r="N944" s="589"/>
      <c r="O944" s="589"/>
      <c r="P944" s="589"/>
      <c r="Q944" s="589"/>
      <c r="R944" s="589"/>
      <c r="S944" s="589"/>
      <c r="T944" s="589"/>
      <c r="U944" s="589"/>
      <c r="V944" s="589"/>
      <c r="W944" s="589"/>
      <c r="X944" s="589"/>
      <c r="Y944" s="589"/>
      <c r="AA944" s="589"/>
      <c r="AB944" s="589"/>
      <c r="AC944" s="589"/>
      <c r="AD944" s="589"/>
    </row>
    <row r="945" spans="1:30">
      <c r="A945" s="329" t="s">
        <v>866</v>
      </c>
      <c r="B945" s="654"/>
      <c r="C945" s="575" t="s">
        <v>4038</v>
      </c>
      <c r="D945" s="571" t="s">
        <v>1307</v>
      </c>
      <c r="E945" s="645">
        <v>1900</v>
      </c>
      <c r="H945" s="633">
        <v>1200</v>
      </c>
      <c r="I945" s="589">
        <f t="shared" si="15"/>
        <v>1</v>
      </c>
      <c r="K945" s="589"/>
      <c r="L945" s="589"/>
      <c r="M945" s="589"/>
      <c r="N945" s="589"/>
      <c r="O945" s="589"/>
      <c r="P945" s="589"/>
      <c r="Q945" s="589"/>
      <c r="R945" s="589"/>
      <c r="S945" s="589"/>
      <c r="T945" s="589"/>
      <c r="U945" s="589"/>
      <c r="V945" s="589"/>
      <c r="W945" s="589"/>
      <c r="X945" s="589"/>
      <c r="Y945" s="589"/>
      <c r="AA945" s="589"/>
      <c r="AB945" s="589"/>
      <c r="AC945" s="589"/>
      <c r="AD945" s="589"/>
    </row>
    <row r="946" spans="1:30">
      <c r="A946" s="329" t="s">
        <v>4039</v>
      </c>
      <c r="B946" s="626">
        <v>47087092</v>
      </c>
      <c r="C946" s="575" t="s">
        <v>4040</v>
      </c>
      <c r="D946" s="571" t="s">
        <v>1307</v>
      </c>
      <c r="E946" s="645">
        <v>11800</v>
      </c>
      <c r="H946" s="633">
        <v>5200</v>
      </c>
      <c r="I946" s="589">
        <f t="shared" si="15"/>
        <v>1</v>
      </c>
      <c r="K946" s="589"/>
      <c r="L946" s="589"/>
      <c r="M946" s="589"/>
      <c r="N946" s="589"/>
      <c r="O946" s="589"/>
      <c r="P946" s="589"/>
      <c r="Q946" s="589"/>
      <c r="R946" s="589"/>
      <c r="S946" s="589"/>
      <c r="T946" s="589"/>
      <c r="U946" s="589"/>
      <c r="V946" s="589"/>
      <c r="W946" s="589"/>
      <c r="X946" s="589"/>
      <c r="Y946" s="589"/>
      <c r="AA946" s="589"/>
      <c r="AB946" s="589"/>
      <c r="AC946" s="589"/>
      <c r="AD946" s="589"/>
    </row>
    <row r="947" spans="1:30">
      <c r="A947" s="558"/>
      <c r="B947" s="659"/>
      <c r="C947" s="680"/>
      <c r="D947" s="613"/>
      <c r="E947" s="641"/>
      <c r="H947" s="641"/>
      <c r="I947" s="589">
        <f t="shared" si="15"/>
        <v>0</v>
      </c>
      <c r="K947" s="589"/>
      <c r="L947" s="589"/>
      <c r="M947" s="589"/>
      <c r="N947" s="589"/>
      <c r="O947" s="589"/>
      <c r="P947" s="589"/>
      <c r="Q947" s="589"/>
      <c r="R947" s="589"/>
      <c r="S947" s="589"/>
      <c r="T947" s="589"/>
      <c r="U947" s="589"/>
      <c r="V947" s="589"/>
      <c r="W947" s="589"/>
      <c r="X947" s="589"/>
      <c r="Y947" s="589"/>
      <c r="AA947" s="589"/>
      <c r="AB947" s="589"/>
      <c r="AC947" s="589"/>
      <c r="AD947" s="589"/>
    </row>
    <row r="948" spans="1:30">
      <c r="A948" s="329" t="s">
        <v>860</v>
      </c>
      <c r="B948" s="626">
        <v>32043911</v>
      </c>
      <c r="C948" s="575" t="s">
        <v>4041</v>
      </c>
      <c r="D948" s="571" t="s">
        <v>1307</v>
      </c>
      <c r="E948" s="646">
        <v>58500</v>
      </c>
      <c r="H948" s="646">
        <v>58500</v>
      </c>
      <c r="I948" s="589">
        <f t="shared" si="15"/>
        <v>0</v>
      </c>
      <c r="K948" s="589"/>
      <c r="L948" s="589"/>
      <c r="M948" s="589"/>
      <c r="N948" s="589"/>
      <c r="O948" s="589"/>
      <c r="P948" s="589"/>
      <c r="Q948" s="589"/>
      <c r="R948" s="589"/>
      <c r="S948" s="589"/>
      <c r="T948" s="589"/>
      <c r="U948" s="589"/>
      <c r="V948" s="589"/>
      <c r="W948" s="589"/>
      <c r="X948" s="589"/>
      <c r="Y948" s="589"/>
      <c r="AA948" s="589"/>
      <c r="AB948" s="589"/>
      <c r="AC948" s="589"/>
      <c r="AD948" s="589"/>
    </row>
    <row r="949" spans="1:30">
      <c r="A949" s="329" t="s">
        <v>4042</v>
      </c>
      <c r="B949" s="626">
        <v>32043908</v>
      </c>
      <c r="C949" s="575" t="s">
        <v>4043</v>
      </c>
      <c r="D949" s="571" t="s">
        <v>1307</v>
      </c>
      <c r="E949" s="646">
        <v>64500</v>
      </c>
      <c r="H949" s="646">
        <v>64500</v>
      </c>
      <c r="I949" s="589">
        <f t="shared" si="15"/>
        <v>0</v>
      </c>
      <c r="K949" s="589"/>
      <c r="L949" s="589"/>
      <c r="M949" s="589"/>
      <c r="N949" s="589"/>
      <c r="O949" s="589"/>
      <c r="P949" s="589"/>
      <c r="Q949" s="589"/>
      <c r="R949" s="589"/>
      <c r="S949" s="589"/>
      <c r="T949" s="589"/>
      <c r="U949" s="589"/>
      <c r="V949" s="589"/>
      <c r="W949" s="589"/>
      <c r="X949" s="589"/>
      <c r="Y949" s="589"/>
      <c r="AA949" s="589"/>
      <c r="AB949" s="589"/>
      <c r="AC949" s="589"/>
      <c r="AD949" s="589"/>
    </row>
    <row r="950" spans="1:30">
      <c r="A950" s="329" t="s">
        <v>4285</v>
      </c>
      <c r="B950" s="626">
        <v>32043910</v>
      </c>
      <c r="C950" s="575" t="s">
        <v>4286</v>
      </c>
      <c r="D950" s="571" t="s">
        <v>1307</v>
      </c>
      <c r="E950" s="646">
        <v>96310</v>
      </c>
      <c r="H950" s="646">
        <v>96310</v>
      </c>
      <c r="I950" s="589">
        <f t="shared" si="15"/>
        <v>0</v>
      </c>
      <c r="K950" s="589"/>
      <c r="L950" s="589"/>
      <c r="M950" s="589"/>
      <c r="N950" s="589"/>
      <c r="O950" s="589"/>
      <c r="P950" s="589"/>
      <c r="Q950" s="589"/>
      <c r="R950" s="589"/>
      <c r="S950" s="589"/>
      <c r="T950" s="589"/>
      <c r="U950" s="589"/>
      <c r="V950" s="589"/>
      <c r="W950" s="589"/>
      <c r="X950" s="589"/>
      <c r="Y950" s="589"/>
      <c r="AA950" s="589"/>
      <c r="AB950" s="589"/>
      <c r="AC950" s="589"/>
      <c r="AD950" s="589"/>
    </row>
    <row r="951" spans="1:30">
      <c r="B951" s="626"/>
      <c r="C951" s="575"/>
      <c r="D951" s="571"/>
      <c r="E951" s="646"/>
      <c r="H951" s="646"/>
      <c r="I951" s="589">
        <f t="shared" si="15"/>
        <v>0</v>
      </c>
      <c r="K951" s="589"/>
      <c r="L951" s="589"/>
      <c r="M951" s="589"/>
      <c r="N951" s="589"/>
      <c r="O951" s="589"/>
      <c r="P951" s="589"/>
      <c r="Q951" s="589"/>
      <c r="R951" s="589"/>
      <c r="S951" s="589"/>
      <c r="T951" s="589"/>
      <c r="U951" s="589"/>
      <c r="V951" s="589"/>
      <c r="W951" s="589"/>
      <c r="X951" s="589"/>
      <c r="Y951" s="589"/>
      <c r="AA951" s="589"/>
      <c r="AB951" s="589"/>
      <c r="AC951" s="589"/>
      <c r="AD951" s="589"/>
    </row>
    <row r="952" spans="1:30">
      <c r="A952" s="329" t="s">
        <v>868</v>
      </c>
      <c r="B952" s="626">
        <v>32051223</v>
      </c>
      <c r="C952" s="575" t="s">
        <v>4287</v>
      </c>
      <c r="D952" s="571" t="s">
        <v>1307</v>
      </c>
      <c r="E952" s="619">
        <v>9600</v>
      </c>
      <c r="H952" s="619">
        <v>9600</v>
      </c>
      <c r="I952" s="589">
        <f t="shared" si="15"/>
        <v>0</v>
      </c>
      <c r="K952" s="589"/>
      <c r="L952" s="589"/>
      <c r="M952" s="589"/>
      <c r="N952" s="589"/>
      <c r="O952" s="589"/>
      <c r="P952" s="589"/>
      <c r="Q952" s="589"/>
      <c r="R952" s="589"/>
      <c r="S952" s="589"/>
      <c r="T952" s="589"/>
      <c r="U952" s="589"/>
      <c r="V952" s="589"/>
      <c r="W952" s="589"/>
      <c r="X952" s="589"/>
      <c r="Y952" s="589"/>
      <c r="AA952" s="589"/>
      <c r="AB952" s="589"/>
      <c r="AC952" s="589"/>
      <c r="AD952" s="589"/>
    </row>
    <row r="953" spans="1:30">
      <c r="A953" s="329" t="s">
        <v>4288</v>
      </c>
      <c r="B953" s="626">
        <v>32051225</v>
      </c>
      <c r="C953" s="575" t="s">
        <v>4289</v>
      </c>
      <c r="D953" s="571" t="s">
        <v>1307</v>
      </c>
      <c r="E953" s="619">
        <v>12500</v>
      </c>
      <c r="H953" s="619">
        <v>12500</v>
      </c>
      <c r="I953" s="589">
        <f t="shared" si="15"/>
        <v>0</v>
      </c>
      <c r="K953" s="589"/>
      <c r="L953" s="589"/>
      <c r="M953" s="589"/>
      <c r="N953" s="589"/>
      <c r="O953" s="589"/>
      <c r="P953" s="589"/>
      <c r="Q953" s="589"/>
      <c r="R953" s="589"/>
      <c r="S953" s="589"/>
      <c r="T953" s="589"/>
      <c r="U953" s="589"/>
      <c r="V953" s="589"/>
      <c r="W953" s="589"/>
      <c r="X953" s="589"/>
      <c r="Y953" s="589"/>
      <c r="AA953" s="589"/>
      <c r="AB953" s="589"/>
      <c r="AC953" s="589"/>
      <c r="AD953" s="589"/>
    </row>
    <row r="954" spans="1:30">
      <c r="A954" s="329" t="s">
        <v>6335</v>
      </c>
      <c r="B954" s="626">
        <v>32042186</v>
      </c>
      <c r="C954" s="575" t="s">
        <v>6336</v>
      </c>
      <c r="D954" s="571" t="s">
        <v>1307</v>
      </c>
      <c r="E954" s="645">
        <v>30500</v>
      </c>
      <c r="H954" s="619">
        <v>15200</v>
      </c>
      <c r="I954" s="589">
        <f t="shared" si="15"/>
        <v>1</v>
      </c>
      <c r="J954" s="30" t="s">
        <v>5573</v>
      </c>
      <c r="K954" s="589"/>
      <c r="L954" s="589"/>
      <c r="M954" s="589"/>
      <c r="N954" s="589"/>
      <c r="O954" s="589"/>
      <c r="P954" s="589"/>
      <c r="Q954" s="589"/>
      <c r="R954" s="589"/>
      <c r="S954" s="589"/>
      <c r="T954" s="589"/>
      <c r="U954" s="589"/>
      <c r="V954" s="589"/>
      <c r="W954" s="589"/>
      <c r="X954" s="589"/>
      <c r="Y954" s="589"/>
      <c r="AA954" s="589"/>
      <c r="AB954" s="589"/>
      <c r="AC954" s="589"/>
      <c r="AD954" s="589"/>
    </row>
    <row r="955" spans="1:30">
      <c r="A955" s="329" t="s">
        <v>6337</v>
      </c>
      <c r="B955" s="626">
        <v>32042190</v>
      </c>
      <c r="C955" s="575" t="s">
        <v>6338</v>
      </c>
      <c r="D955" s="571" t="s">
        <v>1307</v>
      </c>
      <c r="E955" s="645">
        <v>49525</v>
      </c>
      <c r="H955" s="619">
        <v>21500</v>
      </c>
      <c r="I955" s="589">
        <f t="shared" si="15"/>
        <v>1</v>
      </c>
      <c r="J955" s="30" t="s">
        <v>5573</v>
      </c>
      <c r="K955" s="589"/>
      <c r="L955" s="589"/>
      <c r="M955" s="589"/>
      <c r="N955" s="589"/>
      <c r="O955" s="589"/>
      <c r="P955" s="589"/>
      <c r="Q955" s="589"/>
      <c r="R955" s="589"/>
      <c r="S955" s="589"/>
      <c r="T955" s="589"/>
      <c r="U955" s="589"/>
      <c r="V955" s="589"/>
      <c r="W955" s="589"/>
      <c r="X955" s="589"/>
      <c r="Y955" s="589"/>
      <c r="AA955" s="589"/>
      <c r="AB955" s="589"/>
      <c r="AC955" s="589"/>
      <c r="AD955" s="589"/>
    </row>
    <row r="956" spans="1:30">
      <c r="B956" s="626"/>
      <c r="C956" s="575"/>
      <c r="D956" s="571"/>
      <c r="E956" s="681"/>
      <c r="H956" s="681"/>
      <c r="I956" s="589">
        <f t="shared" si="15"/>
        <v>0</v>
      </c>
      <c r="K956" s="589"/>
      <c r="L956" s="589"/>
      <c r="M956" s="589"/>
      <c r="N956" s="589"/>
      <c r="O956" s="589"/>
      <c r="P956" s="589"/>
      <c r="Q956" s="589"/>
      <c r="R956" s="589"/>
      <c r="S956" s="589"/>
      <c r="T956" s="589"/>
      <c r="U956" s="589"/>
      <c r="V956" s="589"/>
      <c r="W956" s="589"/>
      <c r="X956" s="589"/>
      <c r="Y956" s="589"/>
      <c r="AA956" s="589"/>
      <c r="AB956" s="589"/>
      <c r="AC956" s="589"/>
      <c r="AD956" s="589"/>
    </row>
    <row r="957" spans="1:30">
      <c r="A957" s="329" t="s">
        <v>867</v>
      </c>
      <c r="B957" s="626"/>
      <c r="C957" s="575" t="s">
        <v>6339</v>
      </c>
      <c r="D957" s="571" t="s">
        <v>1307</v>
      </c>
      <c r="E957" s="619">
        <v>12000</v>
      </c>
      <c r="F957" s="329"/>
      <c r="H957" s="619">
        <v>12000</v>
      </c>
      <c r="I957" s="589">
        <f t="shared" si="15"/>
        <v>0</v>
      </c>
      <c r="K957" s="589"/>
      <c r="L957" s="589"/>
      <c r="M957" s="589"/>
      <c r="N957" s="589"/>
      <c r="O957" s="589"/>
      <c r="P957" s="589"/>
      <c r="Q957" s="589"/>
      <c r="R957" s="589"/>
      <c r="S957" s="589"/>
      <c r="T957" s="589"/>
      <c r="U957" s="589"/>
      <c r="V957" s="589"/>
      <c r="W957" s="589"/>
      <c r="X957" s="589"/>
      <c r="Y957" s="589"/>
      <c r="AA957" s="589"/>
      <c r="AB957" s="589"/>
      <c r="AC957" s="589"/>
      <c r="AD957" s="589"/>
    </row>
    <row r="958" spans="1:30">
      <c r="A958" s="329" t="s">
        <v>6340</v>
      </c>
      <c r="B958" s="626"/>
      <c r="C958" s="575" t="s">
        <v>844</v>
      </c>
      <c r="D958" s="571" t="s">
        <v>1307</v>
      </c>
      <c r="E958" s="682">
        <v>14000</v>
      </c>
      <c r="F958" s="329"/>
      <c r="H958" s="682">
        <v>14000</v>
      </c>
      <c r="I958" s="589">
        <f t="shared" si="15"/>
        <v>0</v>
      </c>
      <c r="K958" s="589"/>
      <c r="L958" s="589"/>
      <c r="M958" s="589"/>
      <c r="N958" s="589"/>
      <c r="O958" s="589"/>
      <c r="P958" s="589"/>
      <c r="Q958" s="589"/>
      <c r="R958" s="589"/>
      <c r="S958" s="589"/>
      <c r="T958" s="589"/>
      <c r="U958" s="589"/>
      <c r="V958" s="589"/>
      <c r="W958" s="589"/>
      <c r="X958" s="589"/>
      <c r="Y958" s="589"/>
      <c r="AA958" s="589"/>
      <c r="AB958" s="589"/>
      <c r="AC958" s="589"/>
      <c r="AD958" s="589"/>
    </row>
    <row r="959" spans="1:30">
      <c r="A959" s="329" t="s">
        <v>845</v>
      </c>
      <c r="B959" s="626"/>
      <c r="C959" s="575" t="s">
        <v>6138</v>
      </c>
      <c r="D959" s="571" t="s">
        <v>1307</v>
      </c>
      <c r="E959" s="682">
        <v>19500</v>
      </c>
      <c r="F959" s="329"/>
      <c r="H959" s="682">
        <v>19500</v>
      </c>
      <c r="I959" s="589">
        <f t="shared" si="15"/>
        <v>0</v>
      </c>
      <c r="K959" s="589"/>
      <c r="L959" s="589"/>
      <c r="M959" s="589"/>
      <c r="N959" s="589"/>
      <c r="O959" s="589"/>
      <c r="P959" s="589"/>
      <c r="Q959" s="589"/>
      <c r="R959" s="589"/>
      <c r="S959" s="589"/>
      <c r="T959" s="589"/>
      <c r="U959" s="589"/>
      <c r="V959" s="589"/>
      <c r="W959" s="589"/>
      <c r="X959" s="589"/>
      <c r="Y959" s="589"/>
      <c r="AA959" s="589"/>
      <c r="AB959" s="589"/>
      <c r="AC959" s="589"/>
      <c r="AD959" s="589"/>
    </row>
    <row r="960" spans="1:30">
      <c r="A960" s="329" t="s">
        <v>350</v>
      </c>
      <c r="B960" s="626"/>
      <c r="C960" s="575" t="s">
        <v>351</v>
      </c>
      <c r="D960" s="571" t="s">
        <v>1307</v>
      </c>
      <c r="E960" s="682">
        <v>23500</v>
      </c>
      <c r="F960" s="329"/>
      <c r="H960" s="682">
        <v>23500</v>
      </c>
      <c r="I960" s="589">
        <f t="shared" si="15"/>
        <v>0</v>
      </c>
      <c r="K960" s="589"/>
      <c r="L960" s="589"/>
      <c r="M960" s="589"/>
      <c r="N960" s="589"/>
      <c r="O960" s="589"/>
      <c r="P960" s="589"/>
      <c r="Q960" s="589"/>
      <c r="R960" s="589"/>
      <c r="S960" s="589"/>
      <c r="T960" s="589"/>
      <c r="U960" s="589"/>
      <c r="V960" s="589"/>
      <c r="W960" s="589"/>
      <c r="X960" s="589"/>
      <c r="Y960" s="589"/>
      <c r="AA960" s="589"/>
      <c r="AB960" s="589"/>
      <c r="AC960" s="589"/>
      <c r="AD960" s="589"/>
    </row>
    <row r="961" spans="1:30">
      <c r="A961" s="329" t="s">
        <v>352</v>
      </c>
      <c r="B961" s="626"/>
      <c r="C961" s="575" t="s">
        <v>353</v>
      </c>
      <c r="D961" s="571" t="s">
        <v>1307</v>
      </c>
      <c r="E961" s="682">
        <v>35200</v>
      </c>
      <c r="F961" s="329"/>
      <c r="H961" s="682">
        <v>35200</v>
      </c>
      <c r="I961" s="589">
        <f t="shared" si="15"/>
        <v>0</v>
      </c>
      <c r="K961" s="589"/>
      <c r="L961" s="589"/>
      <c r="M961" s="589"/>
      <c r="N961" s="589"/>
      <c r="O961" s="589"/>
      <c r="P961" s="589"/>
      <c r="Q961" s="589"/>
      <c r="R961" s="589"/>
      <c r="S961" s="589"/>
      <c r="T961" s="589"/>
      <c r="U961" s="589"/>
      <c r="V961" s="589"/>
      <c r="W961" s="589"/>
      <c r="X961" s="589"/>
      <c r="Y961" s="589"/>
      <c r="AA961" s="589"/>
      <c r="AB961" s="589"/>
      <c r="AC961" s="589"/>
      <c r="AD961" s="589"/>
    </row>
    <row r="962" spans="1:30">
      <c r="B962" s="626"/>
      <c r="C962" s="575"/>
      <c r="D962" s="571"/>
      <c r="E962" s="571"/>
      <c r="H962" s="571"/>
      <c r="I962" s="589">
        <f t="shared" si="15"/>
        <v>0</v>
      </c>
      <c r="K962" s="589"/>
      <c r="L962" s="589"/>
      <c r="M962" s="589"/>
      <c r="N962" s="589"/>
      <c r="O962" s="589"/>
      <c r="P962" s="589"/>
      <c r="Q962" s="589"/>
      <c r="R962" s="589"/>
      <c r="S962" s="589"/>
      <c r="T962" s="589"/>
      <c r="U962" s="589"/>
      <c r="V962" s="589"/>
      <c r="W962" s="589"/>
      <c r="X962" s="589"/>
      <c r="Y962" s="589"/>
      <c r="AA962" s="589"/>
      <c r="AB962" s="589"/>
      <c r="AC962" s="589"/>
      <c r="AD962" s="589"/>
    </row>
    <row r="963" spans="1:30">
      <c r="A963" s="329" t="s">
        <v>3981</v>
      </c>
      <c r="B963" s="626">
        <v>32042056</v>
      </c>
      <c r="C963" s="627" t="s">
        <v>928</v>
      </c>
      <c r="D963" s="571" t="s">
        <v>1294</v>
      </c>
      <c r="E963" s="683"/>
      <c r="H963" s="683">
        <v>39000</v>
      </c>
      <c r="I963" s="589">
        <f t="shared" si="15"/>
        <v>1</v>
      </c>
      <c r="K963" s="589"/>
      <c r="L963" s="589"/>
      <c r="M963" s="589"/>
      <c r="N963" s="589"/>
      <c r="O963" s="589"/>
      <c r="P963" s="589"/>
      <c r="Q963" s="589"/>
      <c r="R963" s="589"/>
      <c r="S963" s="589"/>
      <c r="T963" s="589"/>
      <c r="U963" s="589"/>
      <c r="V963" s="589"/>
      <c r="W963" s="589"/>
      <c r="X963" s="589"/>
      <c r="Y963" s="589"/>
      <c r="AA963" s="589"/>
      <c r="AB963" s="589"/>
      <c r="AC963" s="589"/>
      <c r="AD963" s="589"/>
    </row>
    <row r="964" spans="1:30">
      <c r="A964" s="329" t="s">
        <v>871</v>
      </c>
      <c r="B964" s="626">
        <v>32051200</v>
      </c>
      <c r="C964" s="575" t="s">
        <v>929</v>
      </c>
      <c r="D964" s="571" t="s">
        <v>1307</v>
      </c>
      <c r="E964" s="645">
        <v>31500</v>
      </c>
      <c r="H964" s="683">
        <v>23000</v>
      </c>
      <c r="I964" s="589">
        <f t="shared" si="15"/>
        <v>1</v>
      </c>
      <c r="J964" s="30" t="s">
        <v>5573</v>
      </c>
      <c r="K964" s="589"/>
      <c r="L964" s="589"/>
      <c r="M964" s="589"/>
      <c r="N964" s="589"/>
      <c r="O964" s="589"/>
      <c r="P964" s="589"/>
      <c r="Q964" s="589"/>
      <c r="R964" s="589"/>
      <c r="S964" s="589"/>
      <c r="T964" s="589"/>
      <c r="U964" s="589"/>
      <c r="V964" s="589"/>
      <c r="W964" s="589"/>
      <c r="X964" s="589"/>
      <c r="Y964" s="589"/>
      <c r="AA964" s="589"/>
      <c r="AB964" s="589"/>
      <c r="AC964" s="589"/>
      <c r="AD964" s="589"/>
    </row>
    <row r="965" spans="1:30">
      <c r="A965" s="329" t="s">
        <v>870</v>
      </c>
      <c r="B965" s="626">
        <v>32051215</v>
      </c>
      <c r="C965" s="575" t="s">
        <v>930</v>
      </c>
      <c r="D965" s="571" t="s">
        <v>1307</v>
      </c>
      <c r="E965" s="645">
        <v>42300</v>
      </c>
      <c r="H965" s="683">
        <v>34000</v>
      </c>
      <c r="I965" s="589">
        <f t="shared" si="15"/>
        <v>1</v>
      </c>
      <c r="J965" s="30" t="s">
        <v>5573</v>
      </c>
      <c r="K965" s="589"/>
      <c r="L965" s="589"/>
      <c r="M965" s="589"/>
      <c r="N965" s="589"/>
      <c r="O965" s="589"/>
      <c r="P965" s="589"/>
      <c r="Q965" s="589"/>
      <c r="R965" s="589"/>
      <c r="S965" s="589"/>
      <c r="T965" s="589"/>
      <c r="U965" s="589"/>
      <c r="V965" s="589"/>
      <c r="W965" s="589"/>
      <c r="X965" s="589"/>
      <c r="Y965" s="589"/>
      <c r="AA965" s="589"/>
      <c r="AB965" s="589"/>
      <c r="AC965" s="589"/>
      <c r="AD965" s="589"/>
    </row>
    <row r="966" spans="1:30">
      <c r="B966" s="626"/>
      <c r="C966" s="575"/>
      <c r="D966" s="571"/>
      <c r="E966" s="571"/>
      <c r="H966" s="571"/>
      <c r="I966" s="589">
        <f t="shared" si="15"/>
        <v>0</v>
      </c>
      <c r="K966" s="589"/>
      <c r="L966" s="589"/>
      <c r="M966" s="589"/>
      <c r="N966" s="589"/>
      <c r="O966" s="589"/>
      <c r="P966" s="589"/>
      <c r="Q966" s="589"/>
      <c r="R966" s="589"/>
      <c r="S966" s="589"/>
      <c r="T966" s="589"/>
      <c r="U966" s="589"/>
      <c r="V966" s="589"/>
      <c r="W966" s="589"/>
      <c r="X966" s="589"/>
      <c r="Y966" s="589"/>
      <c r="AA966" s="589"/>
      <c r="AB966" s="589"/>
      <c r="AC966" s="589"/>
      <c r="AD966" s="589"/>
    </row>
    <row r="967" spans="1:30">
      <c r="A967" s="329" t="s">
        <v>931</v>
      </c>
      <c r="B967" s="626">
        <v>32051085</v>
      </c>
      <c r="C967" s="575" t="s">
        <v>932</v>
      </c>
      <c r="D967" s="571" t="s">
        <v>1307</v>
      </c>
      <c r="E967" s="619">
        <v>21300</v>
      </c>
      <c r="H967" s="619">
        <v>6900</v>
      </c>
      <c r="I967" s="589">
        <f t="shared" si="15"/>
        <v>1</v>
      </c>
      <c r="K967" s="589"/>
      <c r="L967" s="589"/>
      <c r="M967" s="589"/>
      <c r="N967" s="589"/>
      <c r="O967" s="589"/>
      <c r="P967" s="589"/>
      <c r="Q967" s="589"/>
      <c r="R967" s="589"/>
      <c r="S967" s="589"/>
      <c r="T967" s="589"/>
      <c r="U967" s="589"/>
      <c r="V967" s="589"/>
      <c r="W967" s="589"/>
      <c r="X967" s="589"/>
      <c r="Y967" s="589"/>
      <c r="AA967" s="589"/>
      <c r="AB967" s="589"/>
      <c r="AC967" s="589"/>
      <c r="AD967" s="589"/>
    </row>
    <row r="968" spans="1:30">
      <c r="A968" s="329" t="s">
        <v>933</v>
      </c>
      <c r="B968" s="626">
        <v>32051072</v>
      </c>
      <c r="C968" s="575" t="s">
        <v>934</v>
      </c>
      <c r="D968" s="571" t="s">
        <v>1307</v>
      </c>
      <c r="E968" s="619">
        <v>27500</v>
      </c>
      <c r="H968" s="619">
        <v>8522</v>
      </c>
      <c r="I968" s="589">
        <f t="shared" si="15"/>
        <v>1</v>
      </c>
      <c r="K968" s="589"/>
      <c r="L968" s="589"/>
      <c r="M968" s="589"/>
      <c r="N968" s="589"/>
      <c r="O968" s="589"/>
      <c r="P968" s="589"/>
      <c r="Q968" s="589"/>
      <c r="R968" s="589"/>
      <c r="S968" s="589"/>
      <c r="T968" s="589"/>
      <c r="U968" s="589"/>
      <c r="V968" s="589"/>
      <c r="W968" s="589"/>
      <c r="X968" s="589"/>
      <c r="Y968" s="589"/>
      <c r="AA968" s="589"/>
      <c r="AB968" s="589"/>
      <c r="AC968" s="589"/>
      <c r="AD968" s="589"/>
    </row>
    <row r="969" spans="1:30">
      <c r="A969" s="329" t="s">
        <v>935</v>
      </c>
      <c r="B969" s="626">
        <v>32033653</v>
      </c>
      <c r="C969" s="575" t="s">
        <v>936</v>
      </c>
      <c r="D969" s="571" t="s">
        <v>1307</v>
      </c>
      <c r="E969" s="619">
        <v>35200</v>
      </c>
      <c r="H969" s="619">
        <v>16000</v>
      </c>
      <c r="I969" s="589">
        <f t="shared" si="15"/>
        <v>1</v>
      </c>
      <c r="K969" s="589"/>
      <c r="L969" s="589"/>
      <c r="M969" s="589"/>
      <c r="N969" s="589"/>
      <c r="O969" s="589"/>
      <c r="P969" s="589"/>
      <c r="Q969" s="589"/>
      <c r="R969" s="589"/>
      <c r="S969" s="589"/>
      <c r="T969" s="589"/>
      <c r="U969" s="589"/>
      <c r="V969" s="589"/>
      <c r="W969" s="589"/>
      <c r="X969" s="589"/>
      <c r="Y969" s="589"/>
      <c r="AA969" s="589"/>
      <c r="AB969" s="589"/>
      <c r="AC969" s="589"/>
      <c r="AD969" s="589"/>
    </row>
    <row r="970" spans="1:30">
      <c r="A970" s="329" t="s">
        <v>937</v>
      </c>
      <c r="B970" s="626">
        <v>32051085</v>
      </c>
      <c r="C970" s="575" t="s">
        <v>2687</v>
      </c>
      <c r="D970" s="571" t="s">
        <v>1307</v>
      </c>
      <c r="E970" s="571"/>
      <c r="H970" s="571"/>
      <c r="I970" s="589">
        <f t="shared" si="15"/>
        <v>0</v>
      </c>
      <c r="K970" s="589"/>
      <c r="L970" s="589"/>
      <c r="M970" s="589"/>
      <c r="N970" s="589"/>
      <c r="O970" s="589"/>
      <c r="P970" s="589"/>
      <c r="Q970" s="589"/>
      <c r="R970" s="589"/>
      <c r="S970" s="589"/>
      <c r="T970" s="589"/>
      <c r="U970" s="589"/>
      <c r="V970" s="589"/>
      <c r="W970" s="589"/>
      <c r="X970" s="589"/>
      <c r="Y970" s="589"/>
      <c r="AA970" s="589"/>
      <c r="AB970" s="589"/>
      <c r="AC970" s="589"/>
      <c r="AD970" s="589"/>
    </row>
    <row r="971" spans="1:30">
      <c r="A971" s="329" t="s">
        <v>873</v>
      </c>
      <c r="B971" s="626">
        <v>32033334</v>
      </c>
      <c r="C971" s="575" t="s">
        <v>2688</v>
      </c>
      <c r="D971" s="571" t="s">
        <v>1307</v>
      </c>
      <c r="E971" s="619">
        <v>15759</v>
      </c>
      <c r="H971" s="619">
        <v>15759</v>
      </c>
      <c r="I971" s="589">
        <f t="shared" si="15"/>
        <v>0</v>
      </c>
      <c r="K971" s="589"/>
      <c r="L971" s="589"/>
      <c r="M971" s="589"/>
      <c r="N971" s="589"/>
      <c r="O971" s="589"/>
      <c r="P971" s="589"/>
      <c r="Q971" s="589"/>
      <c r="R971" s="589"/>
      <c r="S971" s="589"/>
      <c r="T971" s="589"/>
      <c r="U971" s="589"/>
      <c r="V971" s="589"/>
      <c r="W971" s="589"/>
      <c r="X971" s="589"/>
      <c r="Y971" s="589"/>
      <c r="AA971" s="589"/>
      <c r="AB971" s="589"/>
      <c r="AC971" s="589"/>
      <c r="AD971" s="589"/>
    </row>
    <row r="972" spans="1:30">
      <c r="A972" s="329" t="s">
        <v>872</v>
      </c>
      <c r="B972" s="626">
        <v>32051110</v>
      </c>
      <c r="C972" s="575" t="s">
        <v>2689</v>
      </c>
      <c r="D972" s="571" t="s">
        <v>1307</v>
      </c>
      <c r="E972" s="619">
        <v>18759</v>
      </c>
      <c r="H972" s="619">
        <v>18759</v>
      </c>
      <c r="I972" s="589">
        <f t="shared" si="15"/>
        <v>0</v>
      </c>
      <c r="K972" s="589"/>
      <c r="L972" s="589"/>
      <c r="M972" s="589"/>
      <c r="N972" s="589"/>
      <c r="O972" s="589"/>
      <c r="P972" s="589"/>
      <c r="Q972" s="589"/>
      <c r="R972" s="589"/>
      <c r="S972" s="589"/>
      <c r="T972" s="589"/>
      <c r="U972" s="589"/>
      <c r="V972" s="589"/>
      <c r="W972" s="589"/>
      <c r="X972" s="589"/>
      <c r="Y972" s="589"/>
      <c r="AA972" s="589"/>
      <c r="AB972" s="589"/>
      <c r="AC972" s="589"/>
      <c r="AD972" s="589"/>
    </row>
    <row r="973" spans="1:30">
      <c r="B973" s="626"/>
      <c r="C973" s="575"/>
      <c r="D973" s="571"/>
      <c r="E973" s="571"/>
      <c r="H973" s="571"/>
      <c r="I973" s="589">
        <f t="shared" si="15"/>
        <v>0</v>
      </c>
      <c r="K973" s="589"/>
      <c r="L973" s="589"/>
      <c r="M973" s="589"/>
      <c r="N973" s="589"/>
      <c r="O973" s="589"/>
      <c r="P973" s="589"/>
      <c r="Q973" s="589"/>
      <c r="R973" s="589"/>
      <c r="S973" s="589"/>
      <c r="T973" s="589"/>
      <c r="U973" s="589"/>
      <c r="V973" s="589"/>
      <c r="W973" s="589"/>
      <c r="X973" s="589"/>
      <c r="Y973" s="589"/>
      <c r="AA973" s="589"/>
      <c r="AB973" s="589"/>
      <c r="AC973" s="589"/>
      <c r="AD973" s="589"/>
    </row>
    <row r="974" spans="1:30">
      <c r="A974" s="329" t="s">
        <v>2690</v>
      </c>
      <c r="B974" s="626">
        <v>59243210</v>
      </c>
      <c r="C974" s="575" t="s">
        <v>2691</v>
      </c>
      <c r="D974" s="571" t="s">
        <v>1307</v>
      </c>
      <c r="E974" s="619">
        <v>18000</v>
      </c>
      <c r="H974" s="619">
        <v>18000</v>
      </c>
      <c r="I974" s="589">
        <f t="shared" si="15"/>
        <v>0</v>
      </c>
      <c r="K974" s="589"/>
      <c r="L974" s="589"/>
      <c r="M974" s="589"/>
      <c r="N974" s="589"/>
      <c r="O974" s="589"/>
      <c r="P974" s="589"/>
      <c r="Q974" s="589"/>
      <c r="R974" s="589"/>
      <c r="S974" s="589"/>
      <c r="T974" s="589"/>
      <c r="U974" s="589"/>
      <c r="V974" s="589"/>
      <c r="W974" s="589"/>
      <c r="X974" s="589"/>
      <c r="Y974" s="589"/>
      <c r="AA974" s="589"/>
      <c r="AB974" s="589"/>
      <c r="AC974" s="589"/>
      <c r="AD974" s="589"/>
    </row>
    <row r="975" spans="1:30">
      <c r="A975" s="329" t="s">
        <v>2692</v>
      </c>
      <c r="B975" s="626">
        <v>32043200</v>
      </c>
      <c r="C975" s="575" t="s">
        <v>2693</v>
      </c>
      <c r="D975" s="571" t="s">
        <v>1307</v>
      </c>
      <c r="E975" s="619">
        <v>15000</v>
      </c>
      <c r="H975" s="619">
        <v>15000</v>
      </c>
      <c r="I975" s="589">
        <f t="shared" si="15"/>
        <v>0</v>
      </c>
      <c r="K975" s="589"/>
      <c r="L975" s="589"/>
      <c r="M975" s="589"/>
      <c r="N975" s="589"/>
      <c r="O975" s="589"/>
      <c r="P975" s="589"/>
      <c r="Q975" s="589"/>
      <c r="R975" s="589"/>
      <c r="S975" s="589"/>
      <c r="T975" s="589"/>
      <c r="U975" s="589"/>
      <c r="V975" s="589"/>
      <c r="W975" s="589"/>
      <c r="X975" s="589"/>
      <c r="Y975" s="589"/>
      <c r="AA975" s="589"/>
      <c r="AB975" s="589"/>
      <c r="AC975" s="589"/>
      <c r="AD975" s="589"/>
    </row>
    <row r="976" spans="1:30">
      <c r="B976" s="626"/>
      <c r="C976" s="575"/>
      <c r="D976" s="571"/>
      <c r="E976" s="593"/>
      <c r="H976" s="593"/>
      <c r="I976" s="589">
        <f t="shared" si="15"/>
        <v>0</v>
      </c>
      <c r="K976" s="589"/>
      <c r="L976" s="589"/>
      <c r="M976" s="589"/>
      <c r="N976" s="589"/>
      <c r="O976" s="589"/>
      <c r="P976" s="589"/>
      <c r="Q976" s="589"/>
      <c r="R976" s="589"/>
      <c r="S976" s="589"/>
      <c r="T976" s="589"/>
      <c r="U976" s="589"/>
      <c r="V976" s="589"/>
      <c r="W976" s="589"/>
      <c r="X976" s="589"/>
      <c r="Y976" s="589"/>
      <c r="AA976" s="589"/>
      <c r="AB976" s="589"/>
      <c r="AC976" s="589"/>
      <c r="AD976" s="589"/>
    </row>
    <row r="977" spans="1:30">
      <c r="A977" s="329" t="s">
        <v>2694</v>
      </c>
      <c r="B977" s="626">
        <v>37012756</v>
      </c>
      <c r="C977" s="627" t="s">
        <v>1776</v>
      </c>
      <c r="D977" s="571" t="s">
        <v>1777</v>
      </c>
      <c r="E977" s="683">
        <v>3500</v>
      </c>
      <c r="H977" s="683">
        <v>3500</v>
      </c>
      <c r="I977" s="589">
        <f t="shared" si="15"/>
        <v>0</v>
      </c>
      <c r="K977" s="589"/>
      <c r="L977" s="589"/>
      <c r="M977" s="589"/>
      <c r="N977" s="589"/>
      <c r="O977" s="589"/>
      <c r="P977" s="589"/>
      <c r="Q977" s="589"/>
      <c r="R977" s="589"/>
      <c r="S977" s="589"/>
      <c r="T977" s="589"/>
      <c r="U977" s="589"/>
      <c r="V977" s="589"/>
      <c r="W977" s="589"/>
      <c r="X977" s="589"/>
      <c r="Y977" s="589"/>
      <c r="AA977" s="589"/>
      <c r="AB977" s="589"/>
      <c r="AC977" s="589"/>
      <c r="AD977" s="589"/>
    </row>
    <row r="978" spans="1:30">
      <c r="A978" s="329" t="s">
        <v>5367</v>
      </c>
      <c r="B978" s="626" t="s">
        <v>5368</v>
      </c>
      <c r="C978" s="627" t="s">
        <v>5369</v>
      </c>
      <c r="D978" s="571" t="s">
        <v>1777</v>
      </c>
      <c r="E978" s="683"/>
      <c r="H978" s="683">
        <v>3500</v>
      </c>
      <c r="I978" s="589">
        <f>IF(E978=H978,0,1)</f>
        <v>1</v>
      </c>
      <c r="K978" s="589"/>
      <c r="L978" s="589"/>
      <c r="M978" s="589"/>
      <c r="N978" s="589"/>
      <c r="O978" s="589"/>
      <c r="P978" s="589"/>
      <c r="Q978" s="589"/>
      <c r="R978" s="589"/>
      <c r="S978" s="589"/>
      <c r="T978" s="589"/>
      <c r="U978" s="589"/>
      <c r="V978" s="589"/>
      <c r="W978" s="589"/>
      <c r="X978" s="589"/>
      <c r="Y978" s="589"/>
      <c r="AA978" s="589"/>
      <c r="AB978" s="589"/>
      <c r="AC978" s="589"/>
      <c r="AD978" s="589"/>
    </row>
    <row r="979" spans="1:30">
      <c r="A979" s="329" t="s">
        <v>5370</v>
      </c>
      <c r="B979" s="626" t="s">
        <v>5371</v>
      </c>
      <c r="C979" s="627" t="s">
        <v>5372</v>
      </c>
      <c r="D979" s="571" t="s">
        <v>1777</v>
      </c>
      <c r="E979" s="683"/>
      <c r="H979" s="683">
        <v>3500</v>
      </c>
      <c r="I979" s="589">
        <f>IF(E979=H979,0,1)</f>
        <v>1</v>
      </c>
      <c r="K979" s="589"/>
      <c r="L979" s="589"/>
      <c r="M979" s="589"/>
      <c r="N979" s="589"/>
      <c r="O979" s="589"/>
      <c r="P979" s="589"/>
      <c r="Q979" s="589"/>
      <c r="R979" s="589"/>
      <c r="S979" s="589"/>
      <c r="T979" s="589"/>
      <c r="U979" s="589"/>
      <c r="V979" s="589"/>
      <c r="W979" s="589"/>
      <c r="X979" s="589"/>
      <c r="Y979" s="589"/>
      <c r="AA979" s="589"/>
      <c r="AB979" s="589"/>
      <c r="AC979" s="589"/>
      <c r="AD979" s="589"/>
    </row>
    <row r="980" spans="1:30">
      <c r="A980" s="329" t="s">
        <v>1778</v>
      </c>
      <c r="B980" s="626">
        <v>17127759</v>
      </c>
      <c r="C980" s="575" t="s">
        <v>1779</v>
      </c>
      <c r="D980" s="571" t="s">
        <v>472</v>
      </c>
      <c r="E980" s="682">
        <v>12000</v>
      </c>
      <c r="H980" s="682">
        <v>12000</v>
      </c>
      <c r="I980" s="589">
        <f t="shared" si="15"/>
        <v>0</v>
      </c>
      <c r="K980" s="589"/>
      <c r="L980" s="589"/>
      <c r="M980" s="589"/>
      <c r="N980" s="589"/>
      <c r="O980" s="589"/>
      <c r="P980" s="589"/>
      <c r="Q980" s="589"/>
      <c r="R980" s="589"/>
      <c r="S980" s="589"/>
      <c r="T980" s="589"/>
      <c r="U980" s="589"/>
      <c r="V980" s="589"/>
      <c r="W980" s="589"/>
      <c r="X980" s="589"/>
      <c r="Y980" s="589"/>
      <c r="AA980" s="589"/>
      <c r="AB980" s="589"/>
      <c r="AC980" s="589"/>
      <c r="AD980" s="589"/>
    </row>
    <row r="981" spans="1:30" ht="12.95" customHeight="1">
      <c r="A981" s="329" t="s">
        <v>1780</v>
      </c>
      <c r="B981" s="654"/>
      <c r="C981" s="650" t="s">
        <v>1781</v>
      </c>
      <c r="D981" s="231" t="s">
        <v>3642</v>
      </c>
      <c r="E981" s="682">
        <v>21000</v>
      </c>
      <c r="H981" s="682">
        <v>21000</v>
      </c>
      <c r="I981" s="589">
        <f t="shared" si="15"/>
        <v>0</v>
      </c>
      <c r="K981" s="589"/>
      <c r="L981" s="589"/>
      <c r="M981" s="589"/>
      <c r="N981" s="589"/>
      <c r="O981" s="589"/>
      <c r="P981" s="589"/>
      <c r="Q981" s="589"/>
      <c r="R981" s="589"/>
      <c r="S981" s="589"/>
      <c r="T981" s="589"/>
      <c r="U981" s="589"/>
      <c r="V981" s="589"/>
      <c r="W981" s="589"/>
      <c r="X981" s="589"/>
      <c r="Y981" s="589"/>
      <c r="AA981" s="589"/>
      <c r="AB981" s="589"/>
      <c r="AC981" s="589"/>
      <c r="AD981" s="589"/>
    </row>
    <row r="982" spans="1:30" ht="12.95" customHeight="1">
      <c r="A982" s="329" t="s">
        <v>1782</v>
      </c>
      <c r="B982" s="684">
        <v>42505040</v>
      </c>
      <c r="C982" s="647" t="s">
        <v>5615</v>
      </c>
      <c r="D982" s="231" t="s">
        <v>1783</v>
      </c>
      <c r="E982" s="682">
        <v>56000</v>
      </c>
      <c r="H982" s="682">
        <v>56000</v>
      </c>
      <c r="I982" s="589">
        <f t="shared" si="15"/>
        <v>0</v>
      </c>
      <c r="K982" s="589"/>
      <c r="L982" s="589"/>
      <c r="M982" s="589"/>
      <c r="N982" s="589"/>
      <c r="O982" s="589"/>
      <c r="P982" s="589"/>
      <c r="Q982" s="589"/>
      <c r="R982" s="589"/>
      <c r="S982" s="589"/>
      <c r="T982" s="589"/>
      <c r="U982" s="589"/>
      <c r="V982" s="589"/>
      <c r="W982" s="589"/>
      <c r="X982" s="589"/>
      <c r="Y982" s="589"/>
      <c r="AA982" s="589"/>
      <c r="AB982" s="589"/>
      <c r="AC982" s="589"/>
      <c r="AD982" s="589"/>
    </row>
    <row r="983" spans="1:30" ht="12.95" customHeight="1">
      <c r="A983" s="329" t="s">
        <v>625</v>
      </c>
      <c r="B983" s="626"/>
      <c r="C983" s="627" t="s">
        <v>2045</v>
      </c>
      <c r="D983" s="571" t="s">
        <v>1783</v>
      </c>
      <c r="E983" s="571"/>
      <c r="H983" s="571"/>
      <c r="I983" s="589">
        <f t="shared" si="15"/>
        <v>0</v>
      </c>
      <c r="K983" s="589"/>
      <c r="L983" s="589"/>
      <c r="M983" s="589"/>
      <c r="N983" s="589"/>
      <c r="O983" s="589"/>
      <c r="P983" s="589"/>
      <c r="Q983" s="589"/>
      <c r="R983" s="589"/>
      <c r="S983" s="589"/>
      <c r="T983" s="589"/>
      <c r="U983" s="589"/>
      <c r="V983" s="589"/>
      <c r="W983" s="589"/>
      <c r="X983" s="589"/>
      <c r="Y983" s="589"/>
      <c r="AA983" s="589"/>
      <c r="AB983" s="589"/>
      <c r="AC983" s="589"/>
      <c r="AD983" s="589"/>
    </row>
    <row r="984" spans="1:30">
      <c r="A984" s="329" t="s">
        <v>2046</v>
      </c>
      <c r="B984" s="626">
        <v>42505051</v>
      </c>
      <c r="C984" s="627" t="s">
        <v>2047</v>
      </c>
      <c r="D984" s="571" t="s">
        <v>2048</v>
      </c>
      <c r="E984" s="571"/>
      <c r="H984" s="571"/>
      <c r="I984" s="589">
        <f t="shared" si="15"/>
        <v>0</v>
      </c>
      <c r="K984" s="589"/>
      <c r="L984" s="589"/>
      <c r="M984" s="589"/>
      <c r="N984" s="589"/>
      <c r="O984" s="589"/>
      <c r="P984" s="589"/>
      <c r="Q984" s="589"/>
      <c r="R984" s="589"/>
      <c r="S984" s="589"/>
      <c r="T984" s="589"/>
      <c r="U984" s="589"/>
      <c r="V984" s="589"/>
      <c r="W984" s="589"/>
      <c r="X984" s="589"/>
      <c r="Y984" s="589"/>
      <c r="AA984" s="589"/>
      <c r="AB984" s="589"/>
      <c r="AC984" s="589"/>
      <c r="AD984" s="589"/>
    </row>
    <row r="985" spans="1:30">
      <c r="A985" s="329" t="s">
        <v>2049</v>
      </c>
      <c r="B985" s="626">
        <v>42505047</v>
      </c>
      <c r="C985" s="627" t="s">
        <v>2050</v>
      </c>
      <c r="D985" s="571" t="s">
        <v>1783</v>
      </c>
      <c r="E985" s="571"/>
      <c r="H985" s="571"/>
      <c r="I985" s="589">
        <f t="shared" si="15"/>
        <v>0</v>
      </c>
      <c r="K985" s="589"/>
      <c r="L985" s="589"/>
      <c r="M985" s="589"/>
      <c r="N985" s="589"/>
      <c r="O985" s="589"/>
      <c r="P985" s="589"/>
      <c r="Q985" s="589"/>
      <c r="R985" s="589"/>
      <c r="S985" s="589"/>
      <c r="T985" s="589"/>
      <c r="U985" s="589"/>
      <c r="V985" s="589"/>
      <c r="W985" s="589"/>
      <c r="X985" s="589"/>
      <c r="Y985" s="589"/>
      <c r="AA985" s="589"/>
      <c r="AB985" s="589"/>
      <c r="AC985" s="589"/>
      <c r="AD985" s="589"/>
    </row>
    <row r="986" spans="1:30">
      <c r="A986" s="329" t="s">
        <v>801</v>
      </c>
      <c r="B986" s="626"/>
      <c r="C986" s="575" t="s">
        <v>802</v>
      </c>
      <c r="D986" s="571" t="s">
        <v>1783</v>
      </c>
      <c r="E986" s="619">
        <f>60000/50</f>
        <v>1200</v>
      </c>
      <c r="H986" s="619">
        <v>1100</v>
      </c>
      <c r="I986" s="589">
        <f t="shared" si="15"/>
        <v>1</v>
      </c>
      <c r="K986" s="589"/>
      <c r="L986" s="589"/>
      <c r="M986" s="589"/>
      <c r="N986" s="589"/>
      <c r="O986" s="589"/>
      <c r="P986" s="589"/>
      <c r="Q986" s="589"/>
      <c r="R986" s="589"/>
      <c r="S986" s="589"/>
      <c r="T986" s="589"/>
      <c r="U986" s="589"/>
      <c r="V986" s="589"/>
      <c r="W986" s="589"/>
      <c r="X986" s="589"/>
      <c r="Y986" s="589"/>
      <c r="AA986" s="589"/>
      <c r="AB986" s="589"/>
      <c r="AC986" s="589"/>
      <c r="AD986" s="589"/>
    </row>
    <row r="987" spans="1:30">
      <c r="A987" s="329" t="s">
        <v>5453</v>
      </c>
      <c r="B987" s="626"/>
      <c r="C987" s="575" t="s">
        <v>803</v>
      </c>
      <c r="D987" s="571" t="s">
        <v>1783</v>
      </c>
      <c r="E987" s="619">
        <f>63636/50</f>
        <v>1272.72</v>
      </c>
      <c r="H987" s="619">
        <v>1100</v>
      </c>
      <c r="I987" s="589">
        <f>IF(E987=H987,0,1)</f>
        <v>1</v>
      </c>
      <c r="K987" s="589"/>
      <c r="L987" s="589"/>
      <c r="M987" s="589"/>
      <c r="N987" s="589"/>
      <c r="O987" s="589"/>
      <c r="P987" s="589"/>
      <c r="Q987" s="589"/>
      <c r="R987" s="589"/>
      <c r="S987" s="589"/>
      <c r="T987" s="589"/>
      <c r="U987" s="589"/>
      <c r="V987" s="589"/>
      <c r="W987" s="589"/>
      <c r="X987" s="589"/>
      <c r="Y987" s="589"/>
      <c r="AA987" s="589"/>
      <c r="AB987" s="589"/>
      <c r="AC987" s="589"/>
      <c r="AD987" s="589"/>
    </row>
    <row r="988" spans="1:30">
      <c r="A988" s="329" t="s">
        <v>966</v>
      </c>
      <c r="B988" s="626">
        <v>41506010</v>
      </c>
      <c r="C988" s="575" t="s">
        <v>967</v>
      </c>
      <c r="D988" s="571" t="s">
        <v>968</v>
      </c>
      <c r="E988" s="619">
        <v>95238</v>
      </c>
      <c r="H988" s="619">
        <v>100000</v>
      </c>
      <c r="I988" s="589">
        <f t="shared" si="15"/>
        <v>1</v>
      </c>
      <c r="K988" s="589"/>
      <c r="L988" s="589"/>
      <c r="M988" s="589"/>
      <c r="N988" s="589"/>
      <c r="O988" s="589"/>
      <c r="P988" s="589"/>
      <c r="Q988" s="589"/>
      <c r="R988" s="589"/>
      <c r="S988" s="589"/>
      <c r="T988" s="589"/>
      <c r="U988" s="589"/>
      <c r="V988" s="589"/>
      <c r="W988" s="589"/>
      <c r="X988" s="589"/>
      <c r="Y988" s="589"/>
      <c r="AA988" s="589"/>
      <c r="AB988" s="589"/>
      <c r="AC988" s="589"/>
      <c r="AD988" s="589"/>
    </row>
    <row r="989" spans="1:30">
      <c r="A989" s="329" t="s">
        <v>969</v>
      </c>
      <c r="B989" s="626">
        <v>0</v>
      </c>
      <c r="C989" s="575" t="s">
        <v>970</v>
      </c>
      <c r="D989" s="571" t="s">
        <v>968</v>
      </c>
      <c r="E989" s="619">
        <v>285714</v>
      </c>
      <c r="H989" s="619">
        <v>240000</v>
      </c>
      <c r="I989" s="589">
        <f t="shared" si="15"/>
        <v>1</v>
      </c>
      <c r="K989" s="589"/>
      <c r="L989" s="589"/>
      <c r="M989" s="589"/>
      <c r="N989" s="589"/>
      <c r="O989" s="589"/>
      <c r="P989" s="589"/>
      <c r="Q989" s="589"/>
      <c r="R989" s="589"/>
      <c r="S989" s="589"/>
      <c r="T989" s="589"/>
      <c r="U989" s="589"/>
      <c r="V989" s="589"/>
      <c r="W989" s="589"/>
      <c r="X989" s="589"/>
      <c r="Y989" s="589"/>
      <c r="AA989" s="589"/>
      <c r="AB989" s="589"/>
      <c r="AC989" s="589"/>
      <c r="AD989" s="589"/>
    </row>
    <row r="990" spans="1:30">
      <c r="A990" s="329" t="s">
        <v>971</v>
      </c>
      <c r="B990" s="626">
        <v>0</v>
      </c>
      <c r="C990" s="575" t="s">
        <v>972</v>
      </c>
      <c r="D990" s="571" t="s">
        <v>968</v>
      </c>
      <c r="E990" s="619">
        <v>295238</v>
      </c>
      <c r="H990" s="619">
        <v>240000</v>
      </c>
      <c r="I990" s="589">
        <f t="shared" si="15"/>
        <v>1</v>
      </c>
      <c r="K990" s="589"/>
      <c r="L990" s="589"/>
      <c r="M990" s="589"/>
      <c r="N990" s="589"/>
      <c r="O990" s="589"/>
      <c r="P990" s="589"/>
      <c r="Q990" s="589"/>
      <c r="R990" s="589"/>
      <c r="S990" s="589"/>
      <c r="T990" s="589"/>
      <c r="U990" s="589"/>
      <c r="V990" s="589"/>
      <c r="W990" s="589"/>
      <c r="X990" s="589"/>
      <c r="Y990" s="589"/>
      <c r="AA990" s="589"/>
      <c r="AB990" s="589"/>
      <c r="AC990" s="589"/>
      <c r="AD990" s="589"/>
    </row>
    <row r="991" spans="1:30">
      <c r="A991" s="329" t="s">
        <v>973</v>
      </c>
      <c r="B991" s="626">
        <v>41506089</v>
      </c>
      <c r="C991" s="575" t="s">
        <v>974</v>
      </c>
      <c r="D991" s="571" t="s">
        <v>968</v>
      </c>
      <c r="E991" s="619">
        <v>314286</v>
      </c>
      <c r="H991" s="619">
        <v>260000</v>
      </c>
      <c r="I991" s="589">
        <f t="shared" ref="I991:I1010" si="16">IF(E991=H991,0,1)</f>
        <v>1</v>
      </c>
      <c r="K991" s="589"/>
      <c r="L991" s="589"/>
      <c r="M991" s="589"/>
      <c r="N991" s="589"/>
      <c r="O991" s="589"/>
      <c r="P991" s="589"/>
      <c r="Q991" s="589"/>
      <c r="R991" s="589"/>
      <c r="S991" s="589"/>
      <c r="T991" s="589"/>
      <c r="U991" s="589"/>
      <c r="V991" s="589"/>
      <c r="W991" s="589"/>
      <c r="X991" s="589"/>
      <c r="Y991" s="589"/>
      <c r="AA991" s="589"/>
      <c r="AB991" s="589"/>
      <c r="AC991" s="589"/>
      <c r="AD991" s="589"/>
    </row>
    <row r="992" spans="1:30">
      <c r="A992" s="329" t="s">
        <v>5373</v>
      </c>
      <c r="B992" s="626"/>
      <c r="C992" s="575" t="s">
        <v>5374</v>
      </c>
      <c r="D992" s="571" t="s">
        <v>968</v>
      </c>
      <c r="E992" s="619">
        <v>304726</v>
      </c>
      <c r="H992" s="619">
        <v>260000</v>
      </c>
      <c r="I992" s="589">
        <f>IF(E992=H992,0,1)</f>
        <v>1</v>
      </c>
      <c r="K992" s="589"/>
      <c r="L992" s="589"/>
      <c r="M992" s="589"/>
      <c r="N992" s="589"/>
      <c r="O992" s="589"/>
      <c r="P992" s="589"/>
      <c r="Q992" s="589"/>
      <c r="R992" s="589"/>
      <c r="S992" s="589"/>
      <c r="T992" s="589"/>
      <c r="U992" s="589"/>
      <c r="V992" s="589"/>
      <c r="W992" s="589"/>
      <c r="X992" s="589"/>
      <c r="Y992" s="589"/>
      <c r="AA992" s="589"/>
      <c r="AB992" s="589"/>
      <c r="AC992" s="589"/>
      <c r="AD992" s="589"/>
    </row>
    <row r="993" spans="1:30">
      <c r="A993" s="329" t="s">
        <v>541</v>
      </c>
      <c r="B993" s="654"/>
      <c r="C993" s="650" t="s">
        <v>5375</v>
      </c>
      <c r="D993" s="231" t="s">
        <v>542</v>
      </c>
      <c r="E993" s="619">
        <v>3182</v>
      </c>
      <c r="H993" s="619">
        <v>8000</v>
      </c>
      <c r="I993" s="589">
        <f t="shared" si="16"/>
        <v>1</v>
      </c>
      <c r="K993" s="589"/>
      <c r="L993" s="589"/>
      <c r="M993" s="589"/>
      <c r="N993" s="589"/>
      <c r="O993" s="589"/>
      <c r="P993" s="589"/>
      <c r="Q993" s="589"/>
      <c r="R993" s="589"/>
      <c r="S993" s="589"/>
      <c r="T993" s="589"/>
      <c r="U993" s="589"/>
      <c r="V993" s="589"/>
      <c r="W993" s="589"/>
      <c r="X993" s="589"/>
      <c r="Y993" s="589"/>
      <c r="AA993" s="589"/>
      <c r="AB993" s="589"/>
      <c r="AC993" s="589"/>
      <c r="AD993" s="589"/>
    </row>
    <row r="994" spans="1:30">
      <c r="A994" s="329" t="s">
        <v>5376</v>
      </c>
      <c r="B994" s="654"/>
      <c r="C994" s="650" t="s">
        <v>5377</v>
      </c>
      <c r="D994" s="231" t="s">
        <v>542</v>
      </c>
      <c r="E994" s="619">
        <v>818</v>
      </c>
      <c r="H994" s="619">
        <v>8000</v>
      </c>
      <c r="I994" s="589">
        <f t="shared" si="16"/>
        <v>1</v>
      </c>
      <c r="K994" s="589"/>
      <c r="L994" s="589"/>
      <c r="M994" s="589"/>
      <c r="N994" s="589"/>
      <c r="O994" s="589"/>
      <c r="P994" s="589"/>
      <c r="Q994" s="589"/>
      <c r="R994" s="589"/>
      <c r="S994" s="589"/>
      <c r="T994" s="589"/>
      <c r="U994" s="589"/>
      <c r="V994" s="589"/>
      <c r="W994" s="589"/>
      <c r="X994" s="589"/>
      <c r="Y994" s="589"/>
      <c r="AA994" s="589"/>
      <c r="AB994" s="589"/>
      <c r="AC994" s="589"/>
      <c r="AD994" s="589"/>
    </row>
    <row r="995" spans="1:30">
      <c r="A995" s="329" t="s">
        <v>5378</v>
      </c>
      <c r="B995" s="654"/>
      <c r="C995" s="650" t="s">
        <v>5379</v>
      </c>
      <c r="D995" s="231" t="s">
        <v>542</v>
      </c>
      <c r="E995" s="619">
        <v>818</v>
      </c>
      <c r="H995" s="619">
        <v>8000</v>
      </c>
      <c r="I995" s="589">
        <f>IF(E995=H995,0,1)</f>
        <v>1</v>
      </c>
      <c r="K995" s="589"/>
      <c r="L995" s="589"/>
      <c r="M995" s="589"/>
      <c r="N995" s="589"/>
      <c r="O995" s="589"/>
      <c r="P995" s="589"/>
      <c r="Q995" s="589"/>
      <c r="R995" s="589"/>
      <c r="S995" s="589"/>
      <c r="T995" s="589"/>
      <c r="U995" s="589"/>
      <c r="V995" s="589"/>
      <c r="W995" s="589"/>
      <c r="X995" s="589"/>
      <c r="Y995" s="589"/>
      <c r="AA995" s="589"/>
      <c r="AB995" s="589"/>
      <c r="AC995" s="589"/>
      <c r="AD995" s="589"/>
    </row>
    <row r="996" spans="1:30">
      <c r="A996" s="329" t="s">
        <v>2304</v>
      </c>
      <c r="B996" s="626">
        <v>46964440</v>
      </c>
      <c r="C996" s="575" t="s">
        <v>2305</v>
      </c>
      <c r="D996" s="571" t="s">
        <v>1307</v>
      </c>
      <c r="E996" s="633">
        <v>150</v>
      </c>
      <c r="H996" s="633">
        <v>150</v>
      </c>
      <c r="I996" s="589">
        <f t="shared" si="16"/>
        <v>0</v>
      </c>
      <c r="K996" s="589"/>
      <c r="L996" s="589"/>
      <c r="M996" s="589"/>
      <c r="N996" s="589"/>
      <c r="O996" s="589"/>
      <c r="P996" s="589"/>
      <c r="Q996" s="589"/>
      <c r="R996" s="589"/>
      <c r="S996" s="589"/>
      <c r="T996" s="589"/>
      <c r="U996" s="589"/>
      <c r="V996" s="589"/>
      <c r="W996" s="589"/>
      <c r="X996" s="589"/>
      <c r="Y996" s="589"/>
      <c r="AA996" s="589"/>
      <c r="AB996" s="589"/>
      <c r="AC996" s="589"/>
      <c r="AD996" s="589"/>
    </row>
    <row r="997" spans="1:30">
      <c r="A997" s="329" t="s">
        <v>2306</v>
      </c>
      <c r="B997" s="626">
        <v>46964660</v>
      </c>
      <c r="C997" s="575" t="s">
        <v>2307</v>
      </c>
      <c r="D997" s="571" t="s">
        <v>1307</v>
      </c>
      <c r="E997" s="633">
        <v>300</v>
      </c>
      <c r="H997" s="633">
        <v>300</v>
      </c>
      <c r="I997" s="589">
        <f t="shared" si="16"/>
        <v>0</v>
      </c>
      <c r="K997" s="589"/>
      <c r="L997" s="589"/>
      <c r="M997" s="589"/>
      <c r="N997" s="589"/>
      <c r="O997" s="589"/>
      <c r="P997" s="589"/>
      <c r="Q997" s="589"/>
      <c r="R997" s="589"/>
      <c r="S997" s="589"/>
      <c r="T997" s="589"/>
      <c r="U997" s="589"/>
      <c r="V997" s="589"/>
      <c r="W997" s="589"/>
      <c r="X997" s="589"/>
      <c r="Y997" s="589"/>
      <c r="AA997" s="589"/>
      <c r="AB997" s="589"/>
      <c r="AC997" s="589"/>
      <c r="AD997" s="589"/>
    </row>
    <row r="998" spans="1:30">
      <c r="A998" s="329" t="s">
        <v>2308</v>
      </c>
      <c r="B998" s="626">
        <v>0</v>
      </c>
      <c r="C998" s="575" t="s">
        <v>2309</v>
      </c>
      <c r="D998" s="571" t="s">
        <v>1307</v>
      </c>
      <c r="E998" s="633">
        <v>30000</v>
      </c>
      <c r="H998" s="633">
        <v>30000</v>
      </c>
      <c r="I998" s="589">
        <f t="shared" si="16"/>
        <v>0</v>
      </c>
      <c r="K998" s="589"/>
      <c r="L998" s="589"/>
      <c r="M998" s="589"/>
      <c r="N998" s="589"/>
      <c r="O998" s="589"/>
      <c r="P998" s="589"/>
      <c r="Q998" s="589"/>
      <c r="R998" s="589"/>
      <c r="S998" s="589"/>
      <c r="T998" s="589"/>
      <c r="U998" s="589"/>
      <c r="V998" s="589"/>
      <c r="W998" s="589"/>
      <c r="X998" s="589"/>
      <c r="Y998" s="589"/>
      <c r="AA998" s="589"/>
      <c r="AB998" s="589"/>
      <c r="AC998" s="589"/>
      <c r="AD998" s="589"/>
    </row>
    <row r="999" spans="1:30">
      <c r="A999" s="329" t="s">
        <v>2310</v>
      </c>
      <c r="B999" s="626">
        <v>41506089</v>
      </c>
      <c r="C999" s="575" t="s">
        <v>2311</v>
      </c>
      <c r="D999" s="571" t="s">
        <v>2312</v>
      </c>
      <c r="E999" s="703">
        <f>ROUND(3636364/50,0)</f>
        <v>72727</v>
      </c>
      <c r="H999" s="619">
        <v>260000</v>
      </c>
      <c r="I999" s="589">
        <f t="shared" si="16"/>
        <v>1</v>
      </c>
      <c r="K999" s="589"/>
      <c r="L999" s="589"/>
      <c r="M999" s="589"/>
      <c r="N999" s="589"/>
      <c r="O999" s="589"/>
      <c r="P999" s="589"/>
      <c r="Q999" s="589"/>
      <c r="R999" s="589"/>
      <c r="S999" s="589"/>
      <c r="T999" s="589"/>
      <c r="U999" s="589"/>
      <c r="V999" s="589"/>
      <c r="W999" s="589"/>
      <c r="X999" s="589"/>
      <c r="Y999" s="589"/>
      <c r="AA999" s="589"/>
      <c r="AB999" s="589"/>
      <c r="AC999" s="589"/>
      <c r="AD999" s="589"/>
    </row>
    <row r="1000" spans="1:30">
      <c r="A1000" s="329" t="s">
        <v>5380</v>
      </c>
      <c r="B1000" s="626" t="s">
        <v>5381</v>
      </c>
      <c r="C1000" s="575" t="s">
        <v>5382</v>
      </c>
      <c r="D1000" s="571" t="s">
        <v>5383</v>
      </c>
      <c r="E1000" s="703">
        <v>13333</v>
      </c>
      <c r="H1000" s="619">
        <v>260000</v>
      </c>
      <c r="I1000" s="589">
        <f>IF(E1000=H1000,0,1)</f>
        <v>1</v>
      </c>
      <c r="K1000" s="589"/>
      <c r="L1000" s="589"/>
      <c r="M1000" s="589"/>
      <c r="N1000" s="589"/>
      <c r="O1000" s="589"/>
      <c r="P1000" s="589"/>
      <c r="Q1000" s="589"/>
      <c r="R1000" s="589"/>
      <c r="S1000" s="589"/>
      <c r="T1000" s="589"/>
      <c r="U1000" s="589"/>
      <c r="V1000" s="589"/>
      <c r="W1000" s="589"/>
      <c r="X1000" s="589"/>
      <c r="Y1000" s="589"/>
      <c r="AA1000" s="589"/>
      <c r="AB1000" s="589"/>
      <c r="AC1000" s="589"/>
      <c r="AD1000" s="589"/>
    </row>
    <row r="1001" spans="1:30">
      <c r="A1001" s="329" t="s">
        <v>2313</v>
      </c>
      <c r="B1001" s="626">
        <v>41506089</v>
      </c>
      <c r="C1001" s="575" t="s">
        <v>2314</v>
      </c>
      <c r="D1001" s="571" t="s">
        <v>2660</v>
      </c>
      <c r="E1001" s="619">
        <v>17727</v>
      </c>
      <c r="H1001" s="619">
        <v>260000</v>
      </c>
      <c r="I1001" s="589">
        <f t="shared" si="16"/>
        <v>1</v>
      </c>
      <c r="K1001" s="589"/>
      <c r="L1001" s="589"/>
      <c r="M1001" s="589"/>
      <c r="N1001" s="589"/>
      <c r="O1001" s="589"/>
      <c r="P1001" s="589"/>
      <c r="Q1001" s="589"/>
      <c r="R1001" s="589"/>
      <c r="S1001" s="589"/>
      <c r="T1001" s="589"/>
      <c r="U1001" s="589"/>
      <c r="V1001" s="589"/>
      <c r="W1001" s="589"/>
      <c r="X1001" s="589"/>
      <c r="Y1001" s="589"/>
      <c r="AA1001" s="589"/>
      <c r="AB1001" s="589"/>
      <c r="AC1001" s="589"/>
      <c r="AD1001" s="589"/>
    </row>
    <row r="1002" spans="1:30">
      <c r="A1002" s="329" t="s">
        <v>2677</v>
      </c>
      <c r="B1002" s="626">
        <v>0</v>
      </c>
      <c r="C1002" s="575" t="s">
        <v>2678</v>
      </c>
      <c r="D1002" s="571" t="s">
        <v>2679</v>
      </c>
      <c r="E1002" s="633">
        <v>16400</v>
      </c>
      <c r="H1002" s="633">
        <v>300</v>
      </c>
      <c r="I1002" s="589">
        <f t="shared" si="16"/>
        <v>1</v>
      </c>
      <c r="K1002" s="589"/>
      <c r="L1002" s="589"/>
      <c r="M1002" s="589"/>
      <c r="N1002" s="589"/>
      <c r="O1002" s="589"/>
      <c r="P1002" s="589"/>
      <c r="Q1002" s="589"/>
      <c r="R1002" s="589"/>
      <c r="S1002" s="589"/>
      <c r="T1002" s="589"/>
      <c r="U1002" s="589"/>
      <c r="V1002" s="589"/>
      <c r="W1002" s="589"/>
      <c r="X1002" s="589"/>
      <c r="Y1002" s="589"/>
      <c r="AA1002" s="589"/>
      <c r="AB1002" s="589"/>
      <c r="AC1002" s="589"/>
      <c r="AD1002" s="589"/>
    </row>
    <row r="1003" spans="1:30">
      <c r="A1003" s="329" t="s">
        <v>4989</v>
      </c>
      <c r="B1003" s="626">
        <v>0</v>
      </c>
      <c r="C1003" s="575" t="s">
        <v>4990</v>
      </c>
      <c r="D1003" s="571" t="s">
        <v>2679</v>
      </c>
      <c r="E1003" s="633">
        <v>10</v>
      </c>
      <c r="H1003" s="633">
        <v>300</v>
      </c>
      <c r="I1003" s="589">
        <f t="shared" si="16"/>
        <v>1</v>
      </c>
      <c r="K1003" s="589"/>
      <c r="L1003" s="589"/>
      <c r="M1003" s="589"/>
      <c r="N1003" s="589"/>
      <c r="O1003" s="589"/>
      <c r="P1003" s="589"/>
      <c r="Q1003" s="589"/>
      <c r="R1003" s="589"/>
      <c r="S1003" s="589"/>
      <c r="T1003" s="589"/>
      <c r="U1003" s="589"/>
      <c r="V1003" s="589"/>
      <c r="W1003" s="589"/>
      <c r="X1003" s="589"/>
      <c r="Y1003" s="589"/>
      <c r="AA1003" s="589"/>
      <c r="AB1003" s="589"/>
      <c r="AC1003" s="589"/>
      <c r="AD1003" s="589"/>
    </row>
    <row r="1004" spans="1:30">
      <c r="B1004" s="626"/>
      <c r="C1004" s="575"/>
      <c r="D1004" s="571"/>
      <c r="E1004" s="593"/>
      <c r="H1004" s="593"/>
      <c r="I1004" s="589">
        <f t="shared" si="16"/>
        <v>0</v>
      </c>
      <c r="K1004" s="589"/>
      <c r="L1004" s="589"/>
      <c r="M1004" s="589"/>
      <c r="N1004" s="589"/>
      <c r="O1004" s="589"/>
      <c r="P1004" s="589"/>
      <c r="Q1004" s="589"/>
      <c r="R1004" s="589"/>
      <c r="S1004" s="589"/>
      <c r="T1004" s="589"/>
      <c r="U1004" s="589"/>
      <c r="V1004" s="589"/>
      <c r="W1004" s="589"/>
      <c r="X1004" s="589"/>
      <c r="Y1004" s="589"/>
      <c r="AA1004" s="589"/>
      <c r="AB1004" s="589"/>
      <c r="AC1004" s="589"/>
      <c r="AD1004" s="589"/>
    </row>
    <row r="1005" spans="1:30">
      <c r="A1005" s="329" t="s">
        <v>5384</v>
      </c>
      <c r="B1005" s="626">
        <v>0</v>
      </c>
      <c r="C1005" s="575" t="s">
        <v>5385</v>
      </c>
      <c r="D1005" s="571" t="s">
        <v>2660</v>
      </c>
      <c r="E1005" s="633">
        <v>16510</v>
      </c>
      <c r="H1005" s="633">
        <v>300</v>
      </c>
      <c r="I1005" s="589">
        <f t="shared" si="16"/>
        <v>1</v>
      </c>
      <c r="K1005" s="589"/>
      <c r="L1005" s="589"/>
      <c r="M1005" s="589"/>
      <c r="N1005" s="589"/>
      <c r="O1005" s="589"/>
      <c r="P1005" s="589"/>
      <c r="Q1005" s="589"/>
      <c r="R1005" s="589"/>
      <c r="S1005" s="589"/>
      <c r="T1005" s="589"/>
      <c r="U1005" s="589"/>
      <c r="V1005" s="589"/>
      <c r="W1005" s="589"/>
      <c r="X1005" s="589"/>
      <c r="Y1005" s="589"/>
      <c r="AA1005" s="589"/>
      <c r="AB1005" s="589"/>
      <c r="AC1005" s="589"/>
      <c r="AD1005" s="589"/>
    </row>
    <row r="1006" spans="1:30">
      <c r="A1006" s="329" t="s">
        <v>5386</v>
      </c>
      <c r="B1006" s="626">
        <v>0</v>
      </c>
      <c r="C1006" s="575" t="s">
        <v>5387</v>
      </c>
      <c r="D1006" s="571" t="s">
        <v>2660</v>
      </c>
      <c r="E1006" s="633">
        <v>16460</v>
      </c>
      <c r="H1006" s="633">
        <v>300</v>
      </c>
      <c r="I1006" s="589">
        <f t="shared" si="16"/>
        <v>1</v>
      </c>
      <c r="K1006" s="589"/>
      <c r="L1006" s="589"/>
      <c r="M1006" s="589"/>
      <c r="N1006" s="589"/>
      <c r="O1006" s="589"/>
      <c r="P1006" s="589"/>
      <c r="Q1006" s="589"/>
      <c r="R1006" s="589"/>
      <c r="S1006" s="589"/>
      <c r="T1006" s="589"/>
      <c r="U1006" s="589"/>
      <c r="V1006" s="589"/>
      <c r="W1006" s="589"/>
      <c r="X1006" s="589"/>
      <c r="Y1006" s="589"/>
      <c r="AA1006" s="589"/>
      <c r="AB1006" s="589"/>
      <c r="AC1006" s="589"/>
      <c r="AD1006" s="589"/>
    </row>
    <row r="1007" spans="1:30">
      <c r="A1007" s="329" t="s">
        <v>5388</v>
      </c>
      <c r="B1007" s="626">
        <v>0</v>
      </c>
      <c r="C1007" s="575" t="s">
        <v>5389</v>
      </c>
      <c r="D1007" s="571" t="s">
        <v>2660</v>
      </c>
      <c r="E1007" s="633">
        <v>16460</v>
      </c>
      <c r="H1007" s="633">
        <v>300</v>
      </c>
      <c r="I1007" s="589">
        <f t="shared" si="16"/>
        <v>1</v>
      </c>
      <c r="K1007" s="589"/>
      <c r="L1007" s="589"/>
      <c r="M1007" s="589"/>
      <c r="N1007" s="589"/>
      <c r="O1007" s="589"/>
      <c r="P1007" s="589"/>
      <c r="Q1007" s="589"/>
      <c r="R1007" s="589"/>
      <c r="S1007" s="589"/>
      <c r="T1007" s="589"/>
      <c r="U1007" s="589"/>
      <c r="V1007" s="589"/>
      <c r="W1007" s="589"/>
      <c r="X1007" s="589"/>
      <c r="Y1007" s="589"/>
      <c r="AA1007" s="589"/>
      <c r="AB1007" s="589"/>
      <c r="AC1007" s="589"/>
      <c r="AD1007" s="589"/>
    </row>
    <row r="1008" spans="1:30">
      <c r="A1008" s="329" t="s">
        <v>5390</v>
      </c>
      <c r="B1008" s="626">
        <v>0</v>
      </c>
      <c r="C1008" s="575" t="s">
        <v>5391</v>
      </c>
      <c r="D1008" s="571" t="s">
        <v>2660</v>
      </c>
      <c r="E1008" s="633">
        <v>16400</v>
      </c>
      <c r="H1008" s="633">
        <v>300</v>
      </c>
      <c r="I1008" s="589">
        <f t="shared" si="16"/>
        <v>1</v>
      </c>
      <c r="K1008" s="589"/>
      <c r="L1008" s="589"/>
      <c r="M1008" s="589"/>
      <c r="N1008" s="589"/>
      <c r="O1008" s="589"/>
      <c r="P1008" s="589"/>
      <c r="Q1008" s="589"/>
      <c r="R1008" s="589"/>
      <c r="S1008" s="589"/>
      <c r="T1008" s="589"/>
      <c r="U1008" s="589"/>
      <c r="V1008" s="589"/>
      <c r="W1008" s="589"/>
      <c r="X1008" s="589"/>
      <c r="Y1008" s="589"/>
      <c r="AA1008" s="589"/>
      <c r="AB1008" s="589"/>
      <c r="AC1008" s="589"/>
      <c r="AD1008" s="589"/>
    </row>
    <row r="1009" spans="1:30">
      <c r="A1009" s="329" t="s">
        <v>2758</v>
      </c>
      <c r="B1009" s="626">
        <v>0</v>
      </c>
      <c r="C1009" s="575" t="s">
        <v>2759</v>
      </c>
      <c r="D1009" s="571" t="s">
        <v>2660</v>
      </c>
      <c r="E1009" s="633">
        <v>16360</v>
      </c>
      <c r="H1009" s="633">
        <v>300</v>
      </c>
      <c r="I1009" s="589">
        <f t="shared" si="16"/>
        <v>1</v>
      </c>
      <c r="K1009" s="589"/>
      <c r="L1009" s="589"/>
      <c r="M1009" s="589"/>
      <c r="N1009" s="589"/>
      <c r="O1009" s="589"/>
      <c r="P1009" s="589"/>
      <c r="Q1009" s="589"/>
      <c r="R1009" s="589"/>
      <c r="S1009" s="589"/>
      <c r="T1009" s="589"/>
      <c r="U1009" s="589"/>
      <c r="V1009" s="589"/>
      <c r="W1009" s="589"/>
      <c r="X1009" s="589"/>
      <c r="Y1009" s="589"/>
      <c r="AA1009" s="589"/>
      <c r="AB1009" s="589"/>
      <c r="AC1009" s="589"/>
      <c r="AD1009" s="589"/>
    </row>
    <row r="1010" spans="1:30">
      <c r="A1010" s="329" t="s">
        <v>2760</v>
      </c>
      <c r="B1010" s="626">
        <v>0</v>
      </c>
      <c r="C1010" s="575" t="s">
        <v>2761</v>
      </c>
      <c r="D1010" s="571" t="s">
        <v>2660</v>
      </c>
      <c r="E1010" s="633">
        <v>16360</v>
      </c>
      <c r="H1010" s="633">
        <v>300</v>
      </c>
      <c r="I1010" s="589">
        <f t="shared" si="16"/>
        <v>1</v>
      </c>
      <c r="K1010" s="589"/>
      <c r="L1010" s="589"/>
      <c r="M1010" s="589"/>
      <c r="N1010" s="589"/>
      <c r="O1010" s="589"/>
      <c r="P1010" s="589"/>
      <c r="Q1010" s="589"/>
      <c r="R1010" s="589"/>
      <c r="S1010" s="589"/>
      <c r="T1010" s="589"/>
      <c r="U1010" s="589"/>
      <c r="V1010" s="589"/>
      <c r="W1010" s="589"/>
      <c r="X1010" s="589"/>
      <c r="Y1010" s="589"/>
      <c r="AA1010" s="589"/>
      <c r="AB1010" s="589"/>
      <c r="AC1010" s="589"/>
      <c r="AD1010" s="589"/>
    </row>
    <row r="1011" spans="1:30">
      <c r="G1011" s="589"/>
      <c r="H1011" s="589"/>
      <c r="I1011" s="589"/>
      <c r="K1011" s="589"/>
      <c r="L1011" s="589"/>
      <c r="M1011" s="589"/>
      <c r="N1011" s="589"/>
      <c r="O1011" s="589"/>
      <c r="P1011" s="589"/>
      <c r="Q1011" s="589"/>
      <c r="R1011" s="589"/>
      <c r="S1011" s="589"/>
      <c r="T1011" s="589"/>
      <c r="U1011" s="589"/>
      <c r="V1011" s="589"/>
      <c r="W1011" s="589"/>
      <c r="X1011" s="589"/>
      <c r="Y1011" s="589"/>
      <c r="AA1011" s="589"/>
      <c r="AB1011" s="589"/>
    </row>
    <row r="1012" spans="1:30">
      <c r="G1012" s="589"/>
      <c r="H1012" s="589"/>
      <c r="I1012" s="589"/>
      <c r="K1012" s="589"/>
      <c r="L1012" s="589"/>
      <c r="M1012" s="589"/>
      <c r="N1012" s="589"/>
      <c r="O1012" s="589"/>
      <c r="P1012" s="589"/>
      <c r="Q1012" s="589"/>
      <c r="R1012" s="589"/>
      <c r="S1012" s="589"/>
      <c r="T1012" s="589"/>
      <c r="U1012" s="589"/>
      <c r="V1012" s="589"/>
      <c r="W1012" s="589"/>
      <c r="X1012" s="589"/>
      <c r="Y1012" s="589"/>
      <c r="AA1012" s="589"/>
      <c r="AB1012" s="589"/>
    </row>
    <row r="1148" spans="1:28">
      <c r="B1148" s="679" t="s">
        <v>2515</v>
      </c>
      <c r="D1148" s="329"/>
      <c r="E1148" s="329"/>
      <c r="F1148" s="329"/>
    </row>
    <row r="1149" spans="1:28" ht="13.5">
      <c r="A1149" s="686"/>
      <c r="B1149" s="1854" t="s">
        <v>2680</v>
      </c>
      <c r="C1149" s="1854" t="s">
        <v>3142</v>
      </c>
      <c r="D1149" s="1854" t="s">
        <v>2681</v>
      </c>
      <c r="E1149" s="687" t="s">
        <v>516</v>
      </c>
      <c r="F1149" s="688"/>
      <c r="G1149" s="689"/>
      <c r="H1149" s="690" t="s">
        <v>5870</v>
      </c>
      <c r="K1149" s="691" t="s">
        <v>5870</v>
      </c>
      <c r="M1149" s="329"/>
      <c r="Q1149" s="685"/>
      <c r="R1149" s="685"/>
      <c r="S1149" s="329"/>
      <c r="U1149" s="593"/>
      <c r="Z1149" s="329"/>
      <c r="AB1149" s="589"/>
    </row>
    <row r="1150" spans="1:28" ht="13.5">
      <c r="A1150" s="589"/>
      <c r="B1150" s="1855"/>
      <c r="C1150" s="1855"/>
      <c r="D1150" s="1855"/>
      <c r="E1150" s="692" t="s">
        <v>3646</v>
      </c>
      <c r="F1150" s="692" t="s">
        <v>425</v>
      </c>
      <c r="G1150" s="692" t="s">
        <v>5440</v>
      </c>
      <c r="H1150" s="692"/>
      <c r="K1150" s="693"/>
      <c r="M1150" s="329"/>
      <c r="Q1150" s="685"/>
      <c r="R1150" s="685"/>
      <c r="S1150" s="329"/>
      <c r="U1150" s="593"/>
      <c r="Z1150" s="329"/>
      <c r="AB1150" s="589"/>
    </row>
    <row r="1151" spans="1:28" ht="13.5">
      <c r="A1151" s="589"/>
      <c r="B1151" s="694" t="s">
        <v>2682</v>
      </c>
      <c r="C1151" s="571"/>
      <c r="D1151" s="571"/>
      <c r="E1151" s="571"/>
      <c r="F1151" s="657"/>
      <c r="G1151" s="657"/>
      <c r="H1151" s="571"/>
      <c r="K1151" s="571"/>
      <c r="M1151" s="329"/>
      <c r="Q1151" s="685"/>
      <c r="R1151" s="685"/>
      <c r="S1151" s="329"/>
      <c r="U1151" s="593"/>
      <c r="Z1151" s="329"/>
      <c r="AB1151" s="589"/>
    </row>
    <row r="1152" spans="1:28">
      <c r="A1152" s="631" t="str">
        <f t="shared" ref="A1152:A1158" si="17">"TR."&amp;B1152</f>
        <v>TR.01.1411</v>
      </c>
      <c r="B1152" s="695" t="s">
        <v>2119</v>
      </c>
      <c r="C1152" s="559" t="s">
        <v>1968</v>
      </c>
      <c r="D1152" s="571" t="s">
        <v>1307</v>
      </c>
      <c r="E1152" s="696">
        <v>874438</v>
      </c>
      <c r="F1152" s="696">
        <v>366456</v>
      </c>
      <c r="G1152" s="696">
        <v>150004</v>
      </c>
      <c r="H1152" s="560" t="s">
        <v>5058</v>
      </c>
      <c r="I1152" s="697" t="s">
        <v>2118</v>
      </c>
      <c r="K1152" s="329" t="s">
        <v>2683</v>
      </c>
      <c r="Q1152" s="685"/>
      <c r="R1152" s="685"/>
      <c r="S1152" s="329"/>
      <c r="U1152" s="593"/>
      <c r="Z1152" s="329"/>
      <c r="AB1152" s="589"/>
    </row>
    <row r="1153" spans="1:28">
      <c r="A1153" s="631" t="str">
        <f t="shared" si="17"/>
        <v>TR.01.1412</v>
      </c>
      <c r="B1153" s="695" t="s">
        <v>2120</v>
      </c>
      <c r="C1153" s="575" t="s">
        <v>1969</v>
      </c>
      <c r="D1153" s="571" t="s">
        <v>1307</v>
      </c>
      <c r="E1153" s="696">
        <v>876371</v>
      </c>
      <c r="F1153" s="696">
        <v>412859</v>
      </c>
      <c r="G1153" s="696">
        <v>150004</v>
      </c>
      <c r="H1153" s="560" t="s">
        <v>5059</v>
      </c>
      <c r="I1153" s="697" t="s">
        <v>2118</v>
      </c>
      <c r="K1153" s="619" t="s">
        <v>2684</v>
      </c>
      <c r="M1153" s="329"/>
      <c r="Q1153" s="685"/>
      <c r="R1153" s="685"/>
      <c r="S1153" s="329"/>
      <c r="U1153" s="593"/>
      <c r="Z1153" s="329"/>
      <c r="AB1153" s="589"/>
    </row>
    <row r="1154" spans="1:28">
      <c r="A1154" s="631" t="str">
        <f t="shared" si="17"/>
        <v>TR.01.1413</v>
      </c>
      <c r="B1154" s="695" t="s">
        <v>2121</v>
      </c>
      <c r="C1154" s="575" t="s">
        <v>1970</v>
      </c>
      <c r="D1154" s="571" t="s">
        <v>1307</v>
      </c>
      <c r="E1154" s="696">
        <v>879521</v>
      </c>
      <c r="F1154" s="696">
        <v>504472</v>
      </c>
      <c r="G1154" s="696">
        <v>150004</v>
      </c>
      <c r="H1154" s="560" t="s">
        <v>5060</v>
      </c>
      <c r="I1154" s="697" t="s">
        <v>2118</v>
      </c>
      <c r="K1154" s="619" t="s">
        <v>2685</v>
      </c>
      <c r="M1154" s="329"/>
      <c r="Q1154" s="685"/>
      <c r="R1154" s="685"/>
      <c r="S1154" s="329"/>
      <c r="U1154" s="593"/>
      <c r="Z1154" s="329"/>
      <c r="AB1154" s="589"/>
    </row>
    <row r="1155" spans="1:28">
      <c r="A1155" s="631" t="str">
        <f t="shared" si="17"/>
        <v>TR.01.1414</v>
      </c>
      <c r="B1155" s="695" t="s">
        <v>5898</v>
      </c>
      <c r="C1155" s="575" t="s">
        <v>1971</v>
      </c>
      <c r="D1155" s="571" t="s">
        <v>1307</v>
      </c>
      <c r="E1155" s="696">
        <v>879521</v>
      </c>
      <c r="F1155" s="696">
        <v>591327</v>
      </c>
      <c r="G1155" s="696">
        <v>150004</v>
      </c>
      <c r="H1155" s="560" t="s">
        <v>5061</v>
      </c>
      <c r="I1155" s="697" t="s">
        <v>2118</v>
      </c>
      <c r="K1155" s="619" t="s">
        <v>2686</v>
      </c>
      <c r="M1155" s="329"/>
      <c r="Q1155" s="685"/>
      <c r="R1155" s="685"/>
      <c r="S1155" s="329"/>
      <c r="U1155" s="593"/>
      <c r="Z1155" s="329"/>
      <c r="AB1155" s="589"/>
    </row>
    <row r="1156" spans="1:28">
      <c r="A1156" s="631" t="str">
        <f t="shared" si="17"/>
        <v>TR.01.1415</v>
      </c>
      <c r="B1156" s="695" t="s">
        <v>5899</v>
      </c>
      <c r="C1156" s="575" t="s">
        <v>1972</v>
      </c>
      <c r="D1156" s="571" t="s">
        <v>1307</v>
      </c>
      <c r="E1156" s="696">
        <v>879521</v>
      </c>
      <c r="F1156" s="696">
        <v>691270</v>
      </c>
      <c r="G1156" s="696">
        <v>190390</v>
      </c>
      <c r="H1156" s="560" t="s">
        <v>5062</v>
      </c>
      <c r="I1156" s="697" t="s">
        <v>2118</v>
      </c>
      <c r="K1156" s="619">
        <v>98270</v>
      </c>
      <c r="M1156" s="329"/>
      <c r="Q1156" s="685"/>
      <c r="R1156" s="685"/>
      <c r="S1156" s="329"/>
      <c r="U1156" s="593"/>
      <c r="Z1156" s="329"/>
      <c r="AB1156" s="589"/>
    </row>
    <row r="1157" spans="1:28">
      <c r="A1157" s="631" t="str">
        <f t="shared" si="17"/>
        <v>TR.01.1416</v>
      </c>
      <c r="B1157" s="695" t="s">
        <v>5900</v>
      </c>
      <c r="C1157" s="575" t="s">
        <v>1973</v>
      </c>
      <c r="D1157" s="571" t="s">
        <v>1307</v>
      </c>
      <c r="E1157" s="696">
        <v>879521</v>
      </c>
      <c r="F1157" s="696">
        <v>824527</v>
      </c>
      <c r="G1157" s="696">
        <v>190390</v>
      </c>
      <c r="H1157" s="560" t="s">
        <v>5063</v>
      </c>
      <c r="I1157" s="697" t="s">
        <v>2118</v>
      </c>
      <c r="K1157" s="619">
        <v>117214</v>
      </c>
      <c r="M1157" s="329"/>
      <c r="Q1157" s="685"/>
      <c r="R1157" s="685"/>
      <c r="S1157" s="329"/>
      <c r="U1157" s="593"/>
      <c r="Z1157" s="329"/>
      <c r="AB1157" s="589"/>
    </row>
    <row r="1158" spans="1:28">
      <c r="A1158" s="631" t="str">
        <f t="shared" si="17"/>
        <v>TR.01.1417</v>
      </c>
      <c r="B1158" s="695" t="s">
        <v>5901</v>
      </c>
      <c r="C1158" s="575" t="s">
        <v>1165</v>
      </c>
      <c r="D1158" s="571" t="s">
        <v>1307</v>
      </c>
      <c r="E1158" s="696">
        <v>879521</v>
      </c>
      <c r="F1158" s="696">
        <v>870712</v>
      </c>
      <c r="G1158" s="696">
        <v>225007</v>
      </c>
      <c r="H1158" s="619"/>
      <c r="K1158" s="619">
        <v>136158</v>
      </c>
      <c r="M1158" s="329"/>
      <c r="Q1158" s="685"/>
      <c r="R1158" s="685"/>
      <c r="S1158" s="329"/>
      <c r="U1158" s="593"/>
      <c r="Z1158" s="329"/>
      <c r="AB1158" s="589"/>
    </row>
    <row r="1159" spans="1:28" ht="13.5">
      <c r="A1159" s="594"/>
      <c r="B1159" s="694" t="s">
        <v>515</v>
      </c>
      <c r="C1159" s="677"/>
      <c r="D1159" s="571"/>
      <c r="E1159" s="571"/>
      <c r="F1159" s="619"/>
      <c r="G1159" s="619"/>
      <c r="H1159" s="619"/>
      <c r="K1159" s="619"/>
      <c r="M1159" s="329"/>
      <c r="Q1159" s="685"/>
      <c r="R1159" s="685"/>
      <c r="S1159" s="329"/>
      <c r="U1159" s="593"/>
      <c r="Z1159" s="329"/>
      <c r="AB1159" s="589"/>
    </row>
    <row r="1160" spans="1:28">
      <c r="A1160" s="631" t="str">
        <f>"TR."&amp;B1160</f>
        <v>TR.01.1431</v>
      </c>
      <c r="B1160" s="695" t="s">
        <v>5902</v>
      </c>
      <c r="C1160" s="575" t="s">
        <v>1876</v>
      </c>
      <c r="D1160" s="571" t="s">
        <v>1307</v>
      </c>
      <c r="E1160" s="696">
        <v>844864</v>
      </c>
      <c r="F1160" s="696">
        <v>271273</v>
      </c>
      <c r="G1160" s="696">
        <v>150004</v>
      </c>
      <c r="H1160" s="560" t="s">
        <v>5905</v>
      </c>
      <c r="I1160" s="697" t="s">
        <v>2118</v>
      </c>
      <c r="K1160" s="619" t="s">
        <v>5114</v>
      </c>
      <c r="M1160" s="329"/>
      <c r="P1160" s="593"/>
      <c r="Q1160" s="685"/>
      <c r="R1160" s="685"/>
      <c r="S1160" s="329"/>
      <c r="U1160" s="593"/>
      <c r="Z1160" s="329"/>
      <c r="AB1160" s="589"/>
    </row>
    <row r="1161" spans="1:28">
      <c r="A1161" s="631" t="str">
        <f>"TR."&amp;B1161</f>
        <v>TR.01.1432</v>
      </c>
      <c r="B1161" s="695" t="s">
        <v>5903</v>
      </c>
      <c r="C1161" s="575" t="s">
        <v>1877</v>
      </c>
      <c r="D1161" s="571" t="s">
        <v>1307</v>
      </c>
      <c r="E1161" s="696">
        <v>846742</v>
      </c>
      <c r="F1161" s="696">
        <v>312916</v>
      </c>
      <c r="G1161" s="696">
        <v>150004</v>
      </c>
      <c r="H1161" s="560" t="s">
        <v>5906</v>
      </c>
      <c r="I1161" s="697" t="s">
        <v>2118</v>
      </c>
      <c r="K1161" s="619" t="s">
        <v>5115</v>
      </c>
      <c r="M1161" s="329"/>
      <c r="P1161" s="593"/>
      <c r="Q1161" s="685"/>
      <c r="R1161" s="685"/>
      <c r="S1161" s="329"/>
      <c r="U1161" s="593"/>
      <c r="Z1161" s="329"/>
      <c r="AB1161" s="589"/>
    </row>
    <row r="1162" spans="1:28">
      <c r="A1162" s="631" t="str">
        <f>"TR."&amp;B1162</f>
        <v>TR.01.1433</v>
      </c>
      <c r="B1162" s="695" t="s">
        <v>5904</v>
      </c>
      <c r="C1162" s="575" t="s">
        <v>1164</v>
      </c>
      <c r="D1162" s="571" t="s">
        <v>1307</v>
      </c>
      <c r="E1162" s="696">
        <v>849802</v>
      </c>
      <c r="F1162" s="696">
        <v>416428</v>
      </c>
      <c r="G1162" s="696">
        <v>150004</v>
      </c>
      <c r="H1162" s="560" t="s">
        <v>5907</v>
      </c>
      <c r="I1162" s="697" t="s">
        <v>2118</v>
      </c>
      <c r="K1162" s="619" t="s">
        <v>5116</v>
      </c>
      <c r="M1162" s="329"/>
      <c r="P1162" s="593"/>
      <c r="Q1162" s="685"/>
      <c r="R1162" s="685"/>
      <c r="S1162" s="329"/>
      <c r="U1162" s="593"/>
      <c r="Z1162" s="329"/>
      <c r="AB1162" s="589"/>
    </row>
    <row r="1163" spans="1:28" ht="13.5">
      <c r="A1163" s="594"/>
      <c r="B1163" s="694" t="s">
        <v>4337</v>
      </c>
      <c r="C1163" s="677"/>
      <c r="D1163" s="571"/>
      <c r="E1163" s="571"/>
      <c r="F1163" s="619"/>
      <c r="G1163" s="619"/>
      <c r="H1163" s="619"/>
      <c r="P1163" s="593"/>
      <c r="Q1163" s="685"/>
      <c r="R1163" s="685"/>
      <c r="S1163" s="329"/>
      <c r="U1163" s="593"/>
      <c r="Z1163" s="329"/>
      <c r="AB1163" s="589"/>
    </row>
    <row r="1164" spans="1:28">
      <c r="A1164" s="631" t="str">
        <f>"TR."&amp;B1164</f>
        <v>TR.02.1114</v>
      </c>
      <c r="B1164" s="695" t="s">
        <v>4608</v>
      </c>
      <c r="C1164" s="575" t="s">
        <v>2159</v>
      </c>
      <c r="D1164" s="571" t="s">
        <v>1297</v>
      </c>
      <c r="E1164" s="696">
        <v>12160</v>
      </c>
      <c r="F1164" s="696">
        <v>329390</v>
      </c>
      <c r="G1164" s="696">
        <v>115388</v>
      </c>
      <c r="H1164" s="560" t="s">
        <v>5908</v>
      </c>
      <c r="I1164" s="697" t="s">
        <v>5911</v>
      </c>
      <c r="K1164" s="619" t="s">
        <v>5116</v>
      </c>
      <c r="M1164" s="329"/>
      <c r="P1164" s="593"/>
      <c r="Q1164" s="685"/>
      <c r="R1164" s="685"/>
      <c r="S1164" s="329"/>
      <c r="U1164" s="593"/>
      <c r="Z1164" s="329"/>
      <c r="AB1164" s="589"/>
    </row>
    <row r="1165" spans="1:28">
      <c r="A1165" s="631" t="str">
        <f>"TR."&amp;B1165</f>
        <v>TR.02.1115</v>
      </c>
      <c r="B1165" s="695" t="s">
        <v>4609</v>
      </c>
      <c r="C1165" s="575" t="s">
        <v>2160</v>
      </c>
      <c r="D1165" s="571" t="s">
        <v>1297</v>
      </c>
      <c r="E1165" s="696">
        <v>6931</v>
      </c>
      <c r="F1165" s="696">
        <v>263512</v>
      </c>
      <c r="G1165" s="696">
        <v>115388</v>
      </c>
      <c r="H1165" s="560" t="s">
        <v>5909</v>
      </c>
      <c r="I1165" s="697" t="s">
        <v>5911</v>
      </c>
      <c r="K1165" s="619" t="s">
        <v>5116</v>
      </c>
      <c r="M1165" s="329"/>
      <c r="P1165" s="593"/>
      <c r="Q1165" s="685"/>
      <c r="R1165" s="685"/>
      <c r="S1165" s="329"/>
      <c r="U1165" s="593"/>
      <c r="Z1165" s="329"/>
      <c r="AB1165" s="589"/>
    </row>
    <row r="1166" spans="1:28">
      <c r="A1166" s="631" t="str">
        <f>"TR."&amp;B1166</f>
        <v>TR.02.1116</v>
      </c>
      <c r="B1166" s="695" t="s">
        <v>4610</v>
      </c>
      <c r="C1166" s="575" t="s">
        <v>2161</v>
      </c>
      <c r="D1166" s="571" t="s">
        <v>1297</v>
      </c>
      <c r="E1166" s="696">
        <v>9728</v>
      </c>
      <c r="F1166" s="696">
        <v>263512</v>
      </c>
      <c r="G1166" s="696">
        <v>86541</v>
      </c>
      <c r="H1166" s="560" t="s">
        <v>5909</v>
      </c>
      <c r="I1166" s="697" t="s">
        <v>5911</v>
      </c>
      <c r="K1166" s="619" t="s">
        <v>5116</v>
      </c>
      <c r="M1166" s="329"/>
      <c r="P1166" s="593"/>
      <c r="Q1166" s="685"/>
      <c r="R1166" s="685"/>
      <c r="S1166" s="329"/>
      <c r="U1166" s="593"/>
      <c r="Z1166" s="329"/>
      <c r="AB1166" s="589"/>
    </row>
    <row r="1167" spans="1:28">
      <c r="A1167" s="631" t="str">
        <f>"TR."&amp;B1167</f>
        <v>TR.02.1117</v>
      </c>
      <c r="B1167" s="695" t="s">
        <v>4611</v>
      </c>
      <c r="C1167" s="575" t="s">
        <v>2162</v>
      </c>
      <c r="D1167" s="571" t="s">
        <v>1297</v>
      </c>
      <c r="E1167" s="696">
        <v>5545</v>
      </c>
      <c r="F1167" s="696">
        <v>210810</v>
      </c>
      <c r="G1167" s="696">
        <v>86541</v>
      </c>
      <c r="H1167" s="560" t="s">
        <v>5910</v>
      </c>
      <c r="I1167" s="697" t="s">
        <v>5911</v>
      </c>
      <c r="K1167" s="619" t="s">
        <v>5116</v>
      </c>
      <c r="M1167" s="329"/>
      <c r="P1167" s="593"/>
      <c r="Q1167" s="685"/>
      <c r="R1167" s="685"/>
      <c r="S1167" s="329"/>
      <c r="U1167" s="593"/>
      <c r="Z1167" s="329"/>
      <c r="AB1167" s="589"/>
    </row>
    <row r="1168" spans="1:28" ht="13.5">
      <c r="A1168" s="594"/>
      <c r="B1168" s="694" t="s">
        <v>5803</v>
      </c>
      <c r="C1168" s="575"/>
      <c r="D1168" s="571"/>
      <c r="E1168" s="571"/>
      <c r="F1168" s="619"/>
      <c r="G1168" s="619"/>
      <c r="H1168" s="560"/>
      <c r="I1168" s="697"/>
      <c r="K1168" s="619" t="s">
        <v>5912</v>
      </c>
      <c r="M1168" s="329"/>
      <c r="P1168" s="593"/>
      <c r="Q1168" s="685"/>
      <c r="R1168" s="685"/>
      <c r="S1168" s="329"/>
      <c r="U1168" s="593"/>
      <c r="Z1168" s="329"/>
      <c r="AB1168" s="589"/>
    </row>
    <row r="1169" spans="1:28">
      <c r="A1169" s="631" t="str">
        <f>"TR."&amp;B1169</f>
        <v>TR.02.1124</v>
      </c>
      <c r="B1169" s="695" t="s">
        <v>5804</v>
      </c>
      <c r="C1169" s="575" t="s">
        <v>4820</v>
      </c>
      <c r="D1169" s="571" t="s">
        <v>1297</v>
      </c>
      <c r="E1169" s="696">
        <v>12160</v>
      </c>
      <c r="F1169" s="696">
        <v>329390</v>
      </c>
      <c r="G1169" s="696">
        <v>115388</v>
      </c>
      <c r="H1169" s="560" t="s">
        <v>5908</v>
      </c>
      <c r="I1169" s="697" t="s">
        <v>5911</v>
      </c>
      <c r="K1169" s="619" t="s">
        <v>5913</v>
      </c>
      <c r="M1169" s="329"/>
      <c r="P1169" s="593"/>
      <c r="Q1169" s="685"/>
      <c r="R1169" s="685"/>
      <c r="S1169" s="329"/>
      <c r="U1169" s="593"/>
      <c r="Z1169" s="329"/>
      <c r="AB1169" s="589"/>
    </row>
    <row r="1170" spans="1:28">
      <c r="A1170" s="631" t="str">
        <f>"TR."&amp;B1170</f>
        <v>TR.02.1125</v>
      </c>
      <c r="B1170" s="695" t="s">
        <v>3343</v>
      </c>
      <c r="C1170" s="575" t="s">
        <v>4821</v>
      </c>
      <c r="D1170" s="571" t="s">
        <v>1297</v>
      </c>
      <c r="E1170" s="696">
        <v>6931</v>
      </c>
      <c r="F1170" s="696">
        <v>263512</v>
      </c>
      <c r="G1170" s="696">
        <v>115388</v>
      </c>
      <c r="H1170" s="560" t="s">
        <v>5909</v>
      </c>
      <c r="I1170" s="697" t="s">
        <v>5911</v>
      </c>
      <c r="K1170" s="619" t="s">
        <v>5914</v>
      </c>
      <c r="M1170" s="329"/>
      <c r="P1170" s="593"/>
      <c r="Q1170" s="685"/>
      <c r="R1170" s="685"/>
      <c r="S1170" s="329"/>
      <c r="U1170" s="593"/>
      <c r="Z1170" s="329"/>
      <c r="AB1170" s="589"/>
    </row>
    <row r="1171" spans="1:28" ht="13.5">
      <c r="A1171" s="594"/>
      <c r="B1171" s="694" t="s">
        <v>1026</v>
      </c>
      <c r="C1171" s="575"/>
      <c r="D1171" s="571"/>
      <c r="E1171" s="571"/>
      <c r="F1171" s="619"/>
      <c r="G1171" s="619"/>
      <c r="H1171" s="619"/>
      <c r="I1171" s="697"/>
      <c r="J1171" s="30">
        <f>ROUND(F1171*1.1,0)</f>
        <v>0</v>
      </c>
      <c r="K1171" s="619" t="s">
        <v>5915</v>
      </c>
      <c r="M1171" s="329"/>
      <c r="P1171" s="593"/>
      <c r="Q1171" s="685"/>
      <c r="R1171" s="685"/>
      <c r="S1171" s="329"/>
      <c r="U1171" s="593"/>
      <c r="Z1171" s="329"/>
      <c r="AB1171" s="589"/>
    </row>
    <row r="1172" spans="1:28">
      <c r="A1172" s="631" t="str">
        <f>"TR."&amp;B1172</f>
        <v>TR.02.2113</v>
      </c>
      <c r="B1172" s="695" t="s">
        <v>5916</v>
      </c>
      <c r="C1172" s="575" t="s">
        <v>4822</v>
      </c>
      <c r="D1172" s="571" t="s">
        <v>1027</v>
      </c>
      <c r="E1172" s="696">
        <v>44105</v>
      </c>
      <c r="F1172" s="696">
        <v>1546731</v>
      </c>
      <c r="G1172" s="696">
        <v>230776</v>
      </c>
      <c r="H1172" s="619"/>
      <c r="K1172" s="619"/>
      <c r="M1172" s="329"/>
      <c r="P1172" s="593"/>
      <c r="Q1172" s="685"/>
      <c r="R1172" s="685"/>
      <c r="S1172" s="329"/>
      <c r="U1172" s="593"/>
      <c r="Z1172" s="329"/>
      <c r="AB1172" s="589"/>
    </row>
    <row r="1173" spans="1:28">
      <c r="A1173" s="631" t="str">
        <f>"TR."&amp;B1173</f>
        <v>TR.02.2124</v>
      </c>
      <c r="B1173" s="695" t="s">
        <v>1028</v>
      </c>
      <c r="C1173" s="575" t="s">
        <v>4823</v>
      </c>
      <c r="D1173" s="571" t="s">
        <v>1027</v>
      </c>
      <c r="E1173" s="696">
        <v>44105</v>
      </c>
      <c r="F1173" s="696">
        <v>1082712</v>
      </c>
      <c r="G1173" s="696">
        <v>115388</v>
      </c>
      <c r="H1173" s="619"/>
      <c r="K1173" s="619"/>
      <c r="M1173" s="329"/>
      <c r="P1173" s="593"/>
      <c r="Q1173" s="685"/>
      <c r="R1173" s="685"/>
      <c r="S1173" s="329"/>
      <c r="U1173" s="593"/>
      <c r="Z1173" s="329"/>
      <c r="AB1173" s="589"/>
    </row>
    <row r="1174" spans="1:28" ht="13.5">
      <c r="A1174" s="594"/>
      <c r="B1174" s="694" t="s">
        <v>1029</v>
      </c>
      <c r="C1174" s="575"/>
      <c r="D1174" s="571"/>
      <c r="E1174" s="571"/>
      <c r="F1174" s="619"/>
      <c r="G1174" s="619"/>
      <c r="H1174" s="619"/>
      <c r="K1174" s="619"/>
      <c r="M1174" s="329"/>
      <c r="P1174" s="593"/>
      <c r="Q1174" s="685"/>
      <c r="R1174" s="685"/>
      <c r="S1174" s="329"/>
      <c r="U1174" s="593"/>
      <c r="Z1174" s="329"/>
      <c r="AB1174" s="589"/>
    </row>
    <row r="1175" spans="1:28">
      <c r="A1175" s="631" t="str">
        <f>"TR."&amp;B1175</f>
        <v>TR.02.3114a</v>
      </c>
      <c r="B1175" s="695" t="s">
        <v>5917</v>
      </c>
      <c r="C1175" s="575" t="s">
        <v>457</v>
      </c>
      <c r="D1175" s="571" t="s">
        <v>1297</v>
      </c>
      <c r="E1175" s="561">
        <v>8450</v>
      </c>
      <c r="F1175" s="561">
        <v>246612</v>
      </c>
      <c r="G1175" s="561">
        <v>71310</v>
      </c>
      <c r="H1175" s="619"/>
      <c r="K1175" s="619"/>
      <c r="M1175" s="329"/>
      <c r="P1175" s="593"/>
      <c r="Q1175" s="685"/>
      <c r="R1175" s="685"/>
      <c r="S1175" s="329"/>
      <c r="U1175" s="593"/>
      <c r="Z1175" s="329"/>
      <c r="AB1175" s="589"/>
    </row>
    <row r="1176" spans="1:28">
      <c r="A1176" s="631" t="str">
        <f>"TR."&amp;B1176</f>
        <v>TR.02.3115a</v>
      </c>
      <c r="B1176" s="695" t="s">
        <v>4714</v>
      </c>
      <c r="C1176" s="575" t="s">
        <v>4207</v>
      </c>
      <c r="D1176" s="571" t="s">
        <v>1297</v>
      </c>
      <c r="E1176" s="561">
        <v>8450</v>
      </c>
      <c r="F1176" s="561">
        <v>205510</v>
      </c>
      <c r="G1176" s="561">
        <v>0</v>
      </c>
      <c r="H1176" s="619"/>
      <c r="K1176" s="619"/>
      <c r="M1176" s="329"/>
      <c r="P1176" s="593"/>
      <c r="Q1176" s="685"/>
      <c r="R1176" s="685"/>
      <c r="S1176" s="329"/>
      <c r="U1176" s="593"/>
      <c r="Z1176" s="329"/>
      <c r="AB1176" s="589"/>
    </row>
    <row r="1177" spans="1:28">
      <c r="A1177" s="631" t="str">
        <f>"TR."&amp;B1177</f>
        <v>TR.02.3123a</v>
      </c>
      <c r="B1177" s="698" t="s">
        <v>4715</v>
      </c>
      <c r="C1177" s="575" t="s">
        <v>4208</v>
      </c>
      <c r="D1177" s="571" t="s">
        <v>1297</v>
      </c>
      <c r="E1177" s="696">
        <v>22880</v>
      </c>
      <c r="F1177" s="696">
        <v>493223</v>
      </c>
      <c r="G1177" s="696">
        <v>142620</v>
      </c>
      <c r="H1177" s="619"/>
      <c r="K1177" s="619"/>
      <c r="M1177" s="329"/>
      <c r="P1177" s="593"/>
      <c r="Q1177" s="685"/>
      <c r="R1177" s="685"/>
      <c r="S1177" s="329"/>
      <c r="U1177" s="593"/>
      <c r="Z1177" s="329"/>
      <c r="AB1177" s="589"/>
    </row>
    <row r="1178" spans="1:28">
      <c r="A1178" s="631" t="str">
        <f>"TR."&amp;B1178</f>
        <v>TR.02.3124a</v>
      </c>
      <c r="B1178" s="698" t="s">
        <v>4716</v>
      </c>
      <c r="C1178" s="575" t="s">
        <v>2859</v>
      </c>
      <c r="D1178" s="571" t="s">
        <v>1297</v>
      </c>
      <c r="E1178" s="696">
        <v>20380</v>
      </c>
      <c r="F1178" s="696">
        <v>411019</v>
      </c>
      <c r="G1178" s="696">
        <v>0</v>
      </c>
      <c r="H1178" s="619"/>
      <c r="K1178" s="619"/>
      <c r="M1178" s="329"/>
      <c r="P1178" s="593"/>
      <c r="Q1178" s="685"/>
      <c r="R1178" s="685"/>
      <c r="S1178" s="329"/>
      <c r="U1178" s="593"/>
      <c r="Z1178" s="329"/>
      <c r="AB1178" s="589"/>
    </row>
    <row r="1179" spans="1:28" ht="13.5">
      <c r="A1179" s="594"/>
      <c r="B1179" s="694" t="s">
        <v>1030</v>
      </c>
      <c r="C1179" s="575"/>
      <c r="D1179" s="571"/>
      <c r="E1179" s="696"/>
      <c r="F1179" s="696"/>
      <c r="G1179" s="696"/>
      <c r="H1179" s="619"/>
      <c r="K1179" s="619"/>
      <c r="M1179" s="329"/>
      <c r="P1179" s="593"/>
      <c r="Q1179" s="685"/>
      <c r="R1179" s="685"/>
      <c r="S1179" s="329"/>
      <c r="U1179" s="593"/>
      <c r="Z1179" s="329"/>
      <c r="AB1179" s="589"/>
    </row>
    <row r="1180" spans="1:28">
      <c r="A1180" s="631" t="str">
        <f>"TR."&amp;B1180</f>
        <v>TR.02.3141</v>
      </c>
      <c r="B1180" s="695" t="s">
        <v>1031</v>
      </c>
      <c r="C1180" s="575" t="s">
        <v>2860</v>
      </c>
      <c r="D1180" s="571" t="s">
        <v>1297</v>
      </c>
      <c r="E1180" s="696">
        <v>800</v>
      </c>
      <c r="F1180" s="696">
        <v>49908</v>
      </c>
      <c r="G1180" s="561"/>
      <c r="H1180" s="619"/>
      <c r="K1180" s="619"/>
      <c r="M1180" s="329"/>
      <c r="P1180" s="593"/>
      <c r="Q1180" s="685"/>
      <c r="R1180" s="685"/>
      <c r="S1180" s="329"/>
      <c r="U1180" s="593"/>
      <c r="Z1180" s="329"/>
      <c r="AB1180" s="589"/>
    </row>
    <row r="1181" spans="1:28">
      <c r="A1181" s="631" t="str">
        <f>"TR."&amp;B1181</f>
        <v>TR.02.3142</v>
      </c>
      <c r="B1181" s="695" t="s">
        <v>1032</v>
      </c>
      <c r="C1181" s="575" t="s">
        <v>4245</v>
      </c>
      <c r="D1181" s="571" t="s">
        <v>1297</v>
      </c>
      <c r="E1181" s="696">
        <v>800</v>
      </c>
      <c r="F1181" s="696">
        <v>69871</v>
      </c>
      <c r="G1181" s="561"/>
      <c r="H1181" s="619"/>
      <c r="K1181" s="619"/>
      <c r="M1181" s="329"/>
      <c r="P1181" s="593"/>
      <c r="Q1181" s="685"/>
      <c r="R1181" s="685"/>
      <c r="S1181" s="329"/>
      <c r="U1181" s="593"/>
      <c r="Z1181" s="329"/>
      <c r="AB1181" s="589"/>
    </row>
    <row r="1182" spans="1:28">
      <c r="A1182" s="631" t="str">
        <f>"TR."&amp;B1182</f>
        <v>TR.02.3143</v>
      </c>
      <c r="B1182" s="695" t="s">
        <v>1033</v>
      </c>
      <c r="C1182" s="575" t="s">
        <v>4246</v>
      </c>
      <c r="D1182" s="571" t="s">
        <v>1297</v>
      </c>
      <c r="E1182" s="696">
        <v>1600</v>
      </c>
      <c r="F1182" s="696">
        <v>99815</v>
      </c>
      <c r="G1182" s="561"/>
      <c r="H1182" s="619"/>
      <c r="K1182" s="619"/>
      <c r="M1182" s="329"/>
      <c r="P1182" s="593"/>
      <c r="Q1182" s="685"/>
      <c r="R1182" s="685"/>
      <c r="S1182" s="329"/>
      <c r="U1182" s="593"/>
      <c r="Z1182" s="329"/>
      <c r="AB1182" s="589"/>
    </row>
    <row r="1183" spans="1:28">
      <c r="A1183" s="631" t="str">
        <f>"TR."&amp;B1183</f>
        <v>TR.02.3144</v>
      </c>
      <c r="B1183" s="695" t="s">
        <v>1034</v>
      </c>
      <c r="C1183" s="575" t="s">
        <v>4247</v>
      </c>
      <c r="D1183" s="571" t="s">
        <v>1297</v>
      </c>
      <c r="E1183" s="696">
        <v>1600</v>
      </c>
      <c r="F1183" s="696">
        <v>119778</v>
      </c>
      <c r="G1183" s="561"/>
      <c r="H1183" s="619"/>
      <c r="K1183" s="619"/>
      <c r="M1183" s="329"/>
      <c r="P1183" s="593"/>
      <c r="Q1183" s="685"/>
      <c r="R1183" s="685"/>
      <c r="S1183" s="329"/>
      <c r="U1183" s="593"/>
      <c r="Z1183" s="329"/>
      <c r="AB1183" s="589"/>
    </row>
    <row r="1184" spans="1:28">
      <c r="A1184" s="631" t="str">
        <f>"TR."&amp;B1184</f>
        <v>TR.02.3145</v>
      </c>
      <c r="B1184" s="695" t="s">
        <v>1035</v>
      </c>
      <c r="C1184" s="575" t="s">
        <v>1036</v>
      </c>
      <c r="D1184" s="571" t="s">
        <v>1297</v>
      </c>
      <c r="E1184" s="696">
        <v>1600</v>
      </c>
      <c r="F1184" s="696">
        <v>139741</v>
      </c>
      <c r="G1184" s="561"/>
      <c r="H1184" s="619"/>
      <c r="K1184" s="619"/>
      <c r="M1184" s="329"/>
      <c r="P1184" s="593"/>
      <c r="Q1184" s="685"/>
      <c r="R1184" s="685"/>
      <c r="S1184" s="329"/>
      <c r="U1184" s="593"/>
      <c r="Z1184" s="329"/>
      <c r="AB1184" s="589"/>
    </row>
    <row r="1185" spans="1:28" ht="13.5">
      <c r="A1185" s="594"/>
      <c r="B1185" s="694" t="s">
        <v>1037</v>
      </c>
      <c r="C1185" s="575"/>
      <c r="D1185" s="571"/>
      <c r="E1185" s="571"/>
      <c r="F1185" s="619"/>
      <c r="G1185" s="619"/>
      <c r="H1185" s="619"/>
      <c r="K1185" s="619"/>
      <c r="M1185" s="329"/>
      <c r="P1185" s="593"/>
      <c r="Q1185" s="685"/>
      <c r="R1185" s="685"/>
      <c r="S1185" s="329"/>
      <c r="U1185" s="593"/>
      <c r="Z1185" s="329"/>
      <c r="AB1185" s="589"/>
    </row>
    <row r="1186" spans="1:28">
      <c r="A1186" s="631" t="str">
        <f>"TR."&amp;B1186</f>
        <v>TR.02.3155</v>
      </c>
      <c r="B1186" s="564" t="s">
        <v>4717</v>
      </c>
      <c r="C1186" s="575" t="s">
        <v>1038</v>
      </c>
      <c r="D1186" s="571" t="s">
        <v>1297</v>
      </c>
      <c r="E1186" s="696">
        <v>13565</v>
      </c>
      <c r="F1186" s="696">
        <v>239556</v>
      </c>
      <c r="G1186" s="561"/>
      <c r="H1186" s="617"/>
      <c r="K1186" s="619"/>
      <c r="M1186" s="329"/>
      <c r="P1186" s="593"/>
      <c r="Q1186" s="685"/>
      <c r="R1186" s="685"/>
      <c r="S1186" s="329"/>
      <c r="U1186" s="593"/>
      <c r="Z1186" s="329"/>
      <c r="AB1186" s="589"/>
    </row>
    <row r="1187" spans="1:28">
      <c r="A1187" s="631" t="str">
        <f>"TR."&amp;B1187</f>
        <v>TR.02.5114</v>
      </c>
      <c r="B1187" s="564" t="s">
        <v>1039</v>
      </c>
      <c r="C1187" s="575" t="s">
        <v>4248</v>
      </c>
      <c r="D1187" s="571" t="s">
        <v>1297</v>
      </c>
      <c r="E1187" s="696">
        <v>14576</v>
      </c>
      <c r="F1187" s="696">
        <v>149723</v>
      </c>
      <c r="G1187" s="561"/>
      <c r="H1187" s="619"/>
      <c r="K1187" s="619"/>
      <c r="M1187" s="329"/>
      <c r="P1187" s="593"/>
      <c r="Q1187" s="685"/>
      <c r="R1187" s="685"/>
      <c r="S1187" s="329"/>
      <c r="U1187" s="593"/>
      <c r="Z1187" s="329"/>
      <c r="AB1187" s="589"/>
    </row>
    <row r="1188" spans="1:28" ht="13.5">
      <c r="A1188" s="594"/>
      <c r="B1188" s="694" t="s">
        <v>90</v>
      </c>
      <c r="C1188" s="575"/>
      <c r="D1188" s="571"/>
      <c r="E1188" s="571"/>
      <c r="F1188" s="619"/>
      <c r="G1188" s="619"/>
      <c r="H1188" s="619"/>
      <c r="K1188" s="619"/>
      <c r="M1188" s="329"/>
      <c r="P1188" s="593"/>
      <c r="Q1188" s="685"/>
      <c r="R1188" s="685"/>
      <c r="S1188" s="329"/>
      <c r="U1188" s="593"/>
      <c r="Z1188" s="329"/>
      <c r="AB1188" s="589"/>
    </row>
    <row r="1189" spans="1:28">
      <c r="A1189" s="699" t="s">
        <v>91</v>
      </c>
      <c r="B1189" s="695" t="s">
        <v>92</v>
      </c>
      <c r="C1189" s="575" t="s">
        <v>3065</v>
      </c>
      <c r="D1189" s="571" t="s">
        <v>1307</v>
      </c>
      <c r="E1189" s="696">
        <v>30541</v>
      </c>
      <c r="F1189" s="619">
        <v>99815</v>
      </c>
      <c r="G1189" s="619"/>
      <c r="H1189" s="619" t="s">
        <v>4719</v>
      </c>
      <c r="I1189" s="697" t="s">
        <v>5567</v>
      </c>
      <c r="K1189" s="619"/>
      <c r="M1189" s="329"/>
      <c r="P1189" s="593"/>
      <c r="Q1189" s="685"/>
      <c r="R1189" s="685"/>
      <c r="S1189" s="329"/>
      <c r="U1189" s="593"/>
      <c r="Z1189" s="329"/>
      <c r="AB1189" s="589"/>
    </row>
    <row r="1190" spans="1:28">
      <c r="A1190" s="699" t="s">
        <v>93</v>
      </c>
      <c r="B1190" s="695" t="s">
        <v>92</v>
      </c>
      <c r="C1190" s="575" t="s">
        <v>3066</v>
      </c>
      <c r="D1190" s="571" t="s">
        <v>1307</v>
      </c>
      <c r="E1190" s="696">
        <v>30541</v>
      </c>
      <c r="F1190" s="619">
        <v>124769</v>
      </c>
      <c r="G1190" s="619"/>
      <c r="H1190" s="619" t="s">
        <v>4720</v>
      </c>
      <c r="I1190" s="697" t="s">
        <v>5567</v>
      </c>
      <c r="K1190" s="619"/>
      <c r="M1190" s="329"/>
      <c r="P1190" s="593"/>
      <c r="Q1190" s="685"/>
      <c r="R1190" s="685"/>
      <c r="S1190" s="329"/>
      <c r="U1190" s="593"/>
      <c r="Z1190" s="329"/>
      <c r="AB1190" s="589"/>
    </row>
    <row r="1191" spans="1:28">
      <c r="A1191" s="699" t="s">
        <v>94</v>
      </c>
      <c r="B1191" s="695" t="s">
        <v>92</v>
      </c>
      <c r="C1191" s="575" t="s">
        <v>3067</v>
      </c>
      <c r="D1191" s="571" t="s">
        <v>1307</v>
      </c>
      <c r="E1191" s="696">
        <v>30541</v>
      </c>
      <c r="F1191" s="619">
        <v>162200</v>
      </c>
      <c r="G1191" s="619"/>
      <c r="H1191" s="619" t="s">
        <v>2590</v>
      </c>
      <c r="I1191" s="697" t="s">
        <v>5567</v>
      </c>
      <c r="K1191" s="619"/>
      <c r="M1191" s="329"/>
      <c r="P1191" s="593"/>
      <c r="Q1191" s="685"/>
      <c r="R1191" s="685"/>
      <c r="S1191" s="329"/>
      <c r="U1191" s="593"/>
      <c r="Z1191" s="329"/>
      <c r="AB1191" s="589"/>
    </row>
    <row r="1192" spans="1:28">
      <c r="A1192" s="699" t="s">
        <v>958</v>
      </c>
      <c r="B1192" s="695" t="s">
        <v>92</v>
      </c>
      <c r="C1192" s="575" t="s">
        <v>3068</v>
      </c>
      <c r="D1192" s="571" t="s">
        <v>1307</v>
      </c>
      <c r="E1192" s="696">
        <v>30541</v>
      </c>
      <c r="F1192" s="619">
        <v>187154</v>
      </c>
      <c r="G1192" s="619"/>
      <c r="H1192" s="619" t="s">
        <v>84</v>
      </c>
      <c r="I1192" s="697" t="s">
        <v>5567</v>
      </c>
      <c r="K1192" s="619"/>
      <c r="M1192" s="329"/>
      <c r="P1192" s="593"/>
      <c r="Q1192" s="685"/>
      <c r="R1192" s="685"/>
      <c r="S1192" s="329"/>
      <c r="U1192" s="593"/>
      <c r="Z1192" s="329"/>
      <c r="AB1192" s="589"/>
    </row>
    <row r="1193" spans="1:28">
      <c r="A1193" s="699" t="s">
        <v>4718</v>
      </c>
      <c r="B1193" s="695" t="s">
        <v>92</v>
      </c>
      <c r="C1193" s="575" t="s">
        <v>3069</v>
      </c>
      <c r="D1193" s="571" t="s">
        <v>1307</v>
      </c>
      <c r="E1193" s="696">
        <v>30541</v>
      </c>
      <c r="F1193" s="619">
        <v>212107</v>
      </c>
      <c r="G1193" s="619"/>
      <c r="H1193" s="619" t="s">
        <v>2478</v>
      </c>
      <c r="I1193" s="697" t="s">
        <v>5567</v>
      </c>
      <c r="K1193" s="619"/>
      <c r="M1193" s="329"/>
      <c r="P1193" s="593"/>
      <c r="Q1193" s="685"/>
      <c r="R1193" s="685"/>
      <c r="S1193" s="329"/>
      <c r="U1193" s="593"/>
      <c r="Z1193" s="329"/>
      <c r="AB1193" s="589"/>
    </row>
    <row r="1194" spans="1:28">
      <c r="A1194" s="699" t="s">
        <v>959</v>
      </c>
      <c r="B1194" s="695" t="s">
        <v>960</v>
      </c>
      <c r="C1194" s="575" t="s">
        <v>3070</v>
      </c>
      <c r="D1194" s="571" t="s">
        <v>1307</v>
      </c>
      <c r="E1194" s="696">
        <v>30541</v>
      </c>
      <c r="F1194" s="696">
        <v>249538</v>
      </c>
      <c r="G1194" s="619"/>
      <c r="H1194" s="619"/>
      <c r="K1194" s="619"/>
      <c r="M1194" s="329"/>
      <c r="P1194" s="593"/>
      <c r="Q1194" s="685"/>
      <c r="R1194" s="685"/>
      <c r="S1194" s="329"/>
      <c r="U1194" s="593"/>
      <c r="Z1194" s="329"/>
      <c r="AB1194" s="589"/>
    </row>
    <row r="1195" spans="1:28">
      <c r="A1195" s="699" t="s">
        <v>961</v>
      </c>
      <c r="B1195" s="695" t="s">
        <v>962</v>
      </c>
      <c r="C1195" s="575" t="s">
        <v>3071</v>
      </c>
      <c r="D1195" s="571" t="s">
        <v>1307</v>
      </c>
      <c r="E1195" s="696">
        <v>31732</v>
      </c>
      <c r="F1195" s="696">
        <v>349353</v>
      </c>
      <c r="G1195" s="619"/>
      <c r="H1195" s="619"/>
      <c r="K1195" s="619"/>
      <c r="M1195" s="329"/>
      <c r="P1195" s="593"/>
      <c r="Q1195" s="685"/>
      <c r="R1195" s="685"/>
      <c r="S1195" s="329"/>
      <c r="U1195" s="593"/>
      <c r="Z1195" s="329"/>
      <c r="AB1195" s="589"/>
    </row>
    <row r="1196" spans="1:28">
      <c r="A1196" s="699" t="s">
        <v>963</v>
      </c>
      <c r="B1196" s="695" t="s">
        <v>964</v>
      </c>
      <c r="C1196" s="575" t="s">
        <v>3072</v>
      </c>
      <c r="D1196" s="571" t="s">
        <v>1307</v>
      </c>
      <c r="E1196" s="696">
        <v>37867</v>
      </c>
      <c r="F1196" s="696">
        <v>399260</v>
      </c>
      <c r="G1196" s="619"/>
      <c r="H1196" s="619"/>
      <c r="K1196" s="619"/>
      <c r="M1196" s="329"/>
      <c r="P1196" s="593"/>
      <c r="Q1196" s="685"/>
      <c r="R1196" s="685"/>
      <c r="S1196" s="329"/>
      <c r="U1196" s="593"/>
      <c r="Z1196" s="329"/>
      <c r="AB1196" s="589"/>
    </row>
    <row r="1197" spans="1:28">
      <c r="A1197" s="699" t="s">
        <v>965</v>
      </c>
      <c r="B1197" s="695" t="s">
        <v>833</v>
      </c>
      <c r="C1197" s="575" t="s">
        <v>3073</v>
      </c>
      <c r="D1197" s="571" t="s">
        <v>1307</v>
      </c>
      <c r="E1197" s="696">
        <v>56798</v>
      </c>
      <c r="F1197" s="696">
        <v>499075</v>
      </c>
      <c r="G1197" s="619"/>
      <c r="H1197" s="619"/>
      <c r="K1197" s="619"/>
      <c r="M1197" s="329"/>
      <c r="P1197" s="593"/>
      <c r="Q1197" s="685"/>
      <c r="R1197" s="685"/>
      <c r="S1197" s="329"/>
      <c r="U1197" s="593"/>
      <c r="Z1197" s="329"/>
      <c r="AB1197" s="589"/>
    </row>
    <row r="1198" spans="1:28" ht="13.5">
      <c r="A1198" s="594"/>
      <c r="B1198" s="694" t="s">
        <v>4259</v>
      </c>
      <c r="C1198" s="575"/>
      <c r="D1198" s="571"/>
      <c r="E1198" s="571"/>
      <c r="F1198" s="619"/>
      <c r="G1198" s="619"/>
      <c r="H1198" s="619"/>
      <c r="K1198" s="619"/>
      <c r="M1198" s="329"/>
      <c r="P1198" s="593"/>
      <c r="Q1198" s="685"/>
      <c r="R1198" s="685"/>
      <c r="S1198" s="329"/>
      <c r="U1198" s="593"/>
      <c r="Z1198" s="329"/>
      <c r="AB1198" s="589"/>
    </row>
    <row r="1199" spans="1:28">
      <c r="A1199" s="631" t="str">
        <f>"TR."&amp;B1199</f>
        <v>TR.02.8504b</v>
      </c>
      <c r="B1199" s="700" t="s">
        <v>344</v>
      </c>
      <c r="C1199" s="575" t="s">
        <v>5616</v>
      </c>
      <c r="D1199" s="562" t="s">
        <v>346</v>
      </c>
      <c r="E1199" s="696">
        <v>3862</v>
      </c>
      <c r="F1199" s="696">
        <v>229306</v>
      </c>
      <c r="G1199" s="696">
        <v>66628</v>
      </c>
      <c r="H1199" s="619"/>
      <c r="K1199" s="619"/>
      <c r="M1199" s="329"/>
      <c r="P1199" s="593"/>
      <c r="Q1199" s="685"/>
      <c r="R1199" s="685"/>
      <c r="S1199" s="329"/>
      <c r="U1199" s="593"/>
      <c r="Z1199" s="329"/>
      <c r="AB1199" s="589"/>
    </row>
    <row r="1200" spans="1:28">
      <c r="A1200" s="631" t="str">
        <f>"TR."&amp;B1200</f>
        <v>TR.02.8505b</v>
      </c>
      <c r="B1200" s="700" t="s">
        <v>345</v>
      </c>
      <c r="C1200" s="575" t="s">
        <v>5617</v>
      </c>
      <c r="D1200" s="562" t="s">
        <v>347</v>
      </c>
      <c r="E1200" s="696">
        <v>3108</v>
      </c>
      <c r="F1200" s="696">
        <v>182795</v>
      </c>
      <c r="G1200" s="696">
        <v>57694</v>
      </c>
      <c r="H1200" s="619"/>
      <c r="K1200" s="619"/>
      <c r="M1200" s="329"/>
      <c r="P1200" s="593"/>
      <c r="Q1200" s="685"/>
      <c r="R1200" s="685"/>
      <c r="S1200" s="329"/>
      <c r="U1200" s="593"/>
      <c r="Z1200" s="329"/>
      <c r="AB1200" s="589"/>
    </row>
    <row r="1201" spans="1:28">
      <c r="A1201" s="631" t="str">
        <f>"TR."&amp;B1201</f>
        <v>TR.02.8504c</v>
      </c>
      <c r="B1201" s="700" t="s">
        <v>348</v>
      </c>
      <c r="C1201" s="575" t="s">
        <v>4260</v>
      </c>
      <c r="D1201" s="562" t="s">
        <v>346</v>
      </c>
      <c r="E1201" s="696">
        <v>3862</v>
      </c>
      <c r="F1201" s="696">
        <v>258510</v>
      </c>
      <c r="G1201" s="696">
        <v>66628</v>
      </c>
      <c r="H1201" s="619"/>
      <c r="K1201" s="619"/>
      <c r="M1201" s="329"/>
      <c r="P1201" s="593"/>
      <c r="Q1201" s="685"/>
      <c r="R1201" s="685"/>
      <c r="S1201" s="329"/>
      <c r="U1201" s="593"/>
      <c r="Z1201" s="329"/>
      <c r="AB1201" s="589"/>
    </row>
    <row r="1202" spans="1:28">
      <c r="A1202" s="631" t="str">
        <f>"TR."&amp;B1202</f>
        <v>TR.02.8505c</v>
      </c>
      <c r="B1202" s="700" t="s">
        <v>349</v>
      </c>
      <c r="C1202" s="575" t="s">
        <v>343</v>
      </c>
      <c r="D1202" s="562" t="s">
        <v>347</v>
      </c>
      <c r="E1202" s="696">
        <v>3108</v>
      </c>
      <c r="F1202" s="696">
        <v>206591</v>
      </c>
      <c r="G1202" s="696">
        <v>57694</v>
      </c>
      <c r="H1202" s="619"/>
      <c r="K1202" s="619"/>
      <c r="M1202" s="329"/>
      <c r="P1202" s="593"/>
      <c r="Q1202" s="685"/>
      <c r="R1202" s="685"/>
      <c r="S1202" s="329"/>
      <c r="U1202" s="593"/>
      <c r="Z1202" s="329"/>
      <c r="AB1202" s="589"/>
    </row>
    <row r="1203" spans="1:28" ht="13.5">
      <c r="A1203" s="594"/>
      <c r="B1203" s="694" t="s">
        <v>5774</v>
      </c>
      <c r="C1203" s="575"/>
      <c r="D1203" s="562"/>
      <c r="E1203" s="696"/>
      <c r="F1203" s="696"/>
      <c r="G1203" s="696"/>
      <c r="H1203" s="619"/>
      <c r="K1203" s="619"/>
      <c r="M1203" s="329"/>
      <c r="P1203" s="593"/>
      <c r="Q1203" s="685"/>
      <c r="R1203" s="685"/>
      <c r="S1203" s="329"/>
      <c r="U1203" s="593"/>
      <c r="Z1203" s="329"/>
      <c r="AB1203" s="589"/>
    </row>
    <row r="1204" spans="1:28">
      <c r="A1204" s="631" t="str">
        <f>"TR."&amp;B1204</f>
        <v>TR.03.1101</v>
      </c>
      <c r="B1204" s="698" t="s">
        <v>5775</v>
      </c>
      <c r="C1204" s="559" t="s">
        <v>4949</v>
      </c>
      <c r="D1204" s="562" t="s">
        <v>5276</v>
      </c>
      <c r="E1204" s="696">
        <v>6970</v>
      </c>
      <c r="F1204" s="696">
        <v>177671</v>
      </c>
      <c r="G1204" s="696"/>
      <c r="H1204" s="619"/>
      <c r="K1204" s="619"/>
      <c r="M1204" s="329"/>
      <c r="P1204" s="593"/>
      <c r="Q1204" s="685"/>
      <c r="R1204" s="685"/>
      <c r="S1204" s="329"/>
      <c r="U1204" s="593"/>
      <c r="Z1204" s="329"/>
      <c r="AB1204" s="589"/>
    </row>
    <row r="1205" spans="1:28">
      <c r="A1205" s="631" t="str">
        <f t="shared" ref="A1205:A1260" si="18">"TR."&amp;B1205</f>
        <v>TR.03.1102</v>
      </c>
      <c r="B1205" s="698" t="s">
        <v>671</v>
      </c>
      <c r="C1205" s="559" t="s">
        <v>4950</v>
      </c>
      <c r="D1205" s="562" t="s">
        <v>5276</v>
      </c>
      <c r="E1205" s="696">
        <v>6970</v>
      </c>
      <c r="F1205" s="696">
        <v>206617</v>
      </c>
      <c r="G1205" s="696"/>
      <c r="H1205" s="619"/>
      <c r="K1205" s="619"/>
      <c r="M1205" s="329"/>
      <c r="P1205" s="593"/>
      <c r="Q1205" s="685"/>
      <c r="R1205" s="685"/>
      <c r="S1205" s="329"/>
      <c r="U1205" s="593"/>
      <c r="Z1205" s="329"/>
      <c r="AB1205" s="589"/>
    </row>
    <row r="1206" spans="1:28">
      <c r="A1206" s="631" t="str">
        <f t="shared" si="18"/>
        <v>TR.03.1103</v>
      </c>
      <c r="B1206" s="698" t="s">
        <v>672</v>
      </c>
      <c r="C1206" s="559" t="s">
        <v>2272</v>
      </c>
      <c r="D1206" s="562" t="s">
        <v>5276</v>
      </c>
      <c r="E1206" s="696">
        <v>6970</v>
      </c>
      <c r="F1206" s="696">
        <v>274491</v>
      </c>
      <c r="G1206" s="696"/>
      <c r="H1206" s="619"/>
      <c r="K1206" s="619"/>
      <c r="M1206" s="329"/>
      <c r="P1206" s="593"/>
      <c r="Q1206" s="685"/>
      <c r="R1206" s="685"/>
      <c r="S1206" s="329"/>
      <c r="U1206" s="593"/>
      <c r="Z1206" s="329"/>
      <c r="AB1206" s="589"/>
    </row>
    <row r="1207" spans="1:28">
      <c r="A1207" s="631" t="str">
        <f t="shared" si="18"/>
        <v>TR.03.1104</v>
      </c>
      <c r="B1207" s="698" t="s">
        <v>673</v>
      </c>
      <c r="C1207" s="559" t="s">
        <v>2273</v>
      </c>
      <c r="D1207" s="562" t="s">
        <v>5276</v>
      </c>
      <c r="E1207" s="696">
        <v>8680</v>
      </c>
      <c r="F1207" s="696">
        <v>357338</v>
      </c>
      <c r="G1207" s="696"/>
      <c r="H1207" s="619"/>
      <c r="K1207" s="619"/>
      <c r="M1207" s="329"/>
      <c r="P1207" s="593"/>
      <c r="Q1207" s="685"/>
      <c r="R1207" s="685"/>
      <c r="S1207" s="329"/>
      <c r="U1207" s="593"/>
      <c r="Z1207" s="329"/>
      <c r="AB1207" s="589"/>
    </row>
    <row r="1208" spans="1:28">
      <c r="A1208" s="631" t="str">
        <f t="shared" si="18"/>
        <v>TR.03.1105</v>
      </c>
      <c r="B1208" s="698" t="s">
        <v>3812</v>
      </c>
      <c r="C1208" s="559" t="s">
        <v>2274</v>
      </c>
      <c r="D1208" s="562" t="s">
        <v>5276</v>
      </c>
      <c r="E1208" s="696">
        <v>8680</v>
      </c>
      <c r="F1208" s="696">
        <v>453160</v>
      </c>
      <c r="G1208" s="696"/>
      <c r="H1208" s="619"/>
      <c r="K1208" s="619"/>
      <c r="M1208" s="329"/>
      <c r="P1208" s="593"/>
      <c r="Q1208" s="685"/>
      <c r="R1208" s="685"/>
      <c r="S1208" s="329"/>
      <c r="U1208" s="593"/>
      <c r="Z1208" s="329"/>
      <c r="AB1208" s="589"/>
    </row>
    <row r="1209" spans="1:28">
      <c r="A1209" s="631" t="str">
        <f t="shared" si="18"/>
        <v>TR.03.1106</v>
      </c>
      <c r="B1209" s="698" t="s">
        <v>3813</v>
      </c>
      <c r="C1209" s="559" t="s">
        <v>2275</v>
      </c>
      <c r="D1209" s="562" t="s">
        <v>5276</v>
      </c>
      <c r="E1209" s="696">
        <v>10390</v>
      </c>
      <c r="F1209" s="696">
        <v>576931</v>
      </c>
      <c r="G1209" s="696"/>
      <c r="H1209" s="619"/>
      <c r="K1209" s="619"/>
      <c r="M1209" s="329"/>
      <c r="P1209" s="593"/>
      <c r="Q1209" s="685"/>
      <c r="R1209" s="685"/>
      <c r="S1209" s="329"/>
      <c r="U1209" s="593"/>
      <c r="Z1209" s="329"/>
      <c r="AB1209" s="589"/>
    </row>
    <row r="1210" spans="1:28">
      <c r="A1210" s="631" t="str">
        <f t="shared" si="18"/>
        <v>TR.03.1107</v>
      </c>
      <c r="B1210" s="698" t="s">
        <v>4602</v>
      </c>
      <c r="C1210" s="559" t="s">
        <v>2276</v>
      </c>
      <c r="D1210" s="562" t="s">
        <v>5276</v>
      </c>
      <c r="E1210" s="696">
        <v>10390</v>
      </c>
      <c r="F1210" s="696">
        <v>724657</v>
      </c>
      <c r="G1210" s="696"/>
      <c r="H1210" s="619"/>
      <c r="K1210" s="619"/>
      <c r="M1210" s="329"/>
      <c r="P1210" s="593"/>
      <c r="Q1210" s="685"/>
      <c r="R1210" s="685"/>
      <c r="S1210" s="329"/>
      <c r="U1210" s="593"/>
      <c r="Z1210" s="329"/>
      <c r="AB1210" s="589"/>
    </row>
    <row r="1211" spans="1:28">
      <c r="A1211" s="631" t="str">
        <f t="shared" si="18"/>
        <v>TR.03.1108</v>
      </c>
      <c r="B1211" s="698" t="s">
        <v>4603</v>
      </c>
      <c r="C1211" s="559" t="s">
        <v>2277</v>
      </c>
      <c r="D1211" s="562" t="s">
        <v>5276</v>
      </c>
      <c r="E1211" s="696">
        <v>11300</v>
      </c>
      <c r="F1211" s="696">
        <v>952235</v>
      </c>
      <c r="G1211" s="696"/>
      <c r="H1211" s="619"/>
      <c r="K1211" s="619"/>
      <c r="M1211" s="329"/>
      <c r="P1211" s="593"/>
      <c r="Q1211" s="685"/>
      <c r="R1211" s="685"/>
      <c r="S1211" s="329"/>
      <c r="U1211" s="593"/>
      <c r="Z1211" s="329"/>
      <c r="AB1211" s="589"/>
    </row>
    <row r="1212" spans="1:28">
      <c r="A1212" s="631" t="str">
        <f t="shared" si="18"/>
        <v>TR.03.1109</v>
      </c>
      <c r="B1212" s="698" t="s">
        <v>5950</v>
      </c>
      <c r="C1212" s="559" t="s">
        <v>2278</v>
      </c>
      <c r="D1212" s="562" t="s">
        <v>5276</v>
      </c>
      <c r="E1212" s="696">
        <v>11300</v>
      </c>
      <c r="F1212" s="696">
        <v>1187799</v>
      </c>
      <c r="G1212" s="696"/>
      <c r="H1212" s="619"/>
      <c r="K1212" s="619"/>
      <c r="M1212" s="329"/>
      <c r="P1212" s="593"/>
      <c r="Q1212" s="685"/>
      <c r="R1212" s="685"/>
      <c r="S1212" s="329"/>
      <c r="U1212" s="593"/>
      <c r="Z1212" s="329"/>
      <c r="AB1212" s="589"/>
    </row>
    <row r="1213" spans="1:28">
      <c r="A1213" s="631" t="str">
        <f t="shared" si="18"/>
        <v>TR.03.1110</v>
      </c>
      <c r="B1213" s="698" t="s">
        <v>5951</v>
      </c>
      <c r="C1213" s="559" t="s">
        <v>2279</v>
      </c>
      <c r="D1213" s="562" t="s">
        <v>5276</v>
      </c>
      <c r="E1213" s="696">
        <v>13120</v>
      </c>
      <c r="F1213" s="696">
        <v>1331532</v>
      </c>
      <c r="G1213" s="696"/>
      <c r="H1213" s="619"/>
      <c r="K1213" s="619"/>
      <c r="M1213" s="329"/>
      <c r="P1213" s="593"/>
      <c r="Q1213" s="685"/>
      <c r="R1213" s="685"/>
      <c r="S1213" s="329"/>
      <c r="U1213" s="593"/>
      <c r="Z1213" s="329"/>
      <c r="AB1213" s="589"/>
    </row>
    <row r="1214" spans="1:28">
      <c r="A1214" s="631" t="str">
        <f t="shared" si="18"/>
        <v>TR.03.1111</v>
      </c>
      <c r="B1214" s="698" t="s">
        <v>1415</v>
      </c>
      <c r="C1214" s="559" t="s">
        <v>2280</v>
      </c>
      <c r="D1214" s="562" t="s">
        <v>5276</v>
      </c>
      <c r="E1214" s="696">
        <v>13920</v>
      </c>
      <c r="F1214" s="696">
        <v>1729794</v>
      </c>
      <c r="G1214" s="696"/>
      <c r="H1214" s="619"/>
      <c r="K1214" s="619"/>
      <c r="M1214" s="329"/>
      <c r="P1214" s="593"/>
      <c r="Q1214" s="685"/>
      <c r="R1214" s="685"/>
      <c r="S1214" s="329"/>
      <c r="U1214" s="593"/>
      <c r="Z1214" s="329"/>
      <c r="AB1214" s="589"/>
    </row>
    <row r="1215" spans="1:28">
      <c r="A1215" s="631" t="str">
        <f t="shared" si="18"/>
        <v>TR.03.1112</v>
      </c>
      <c r="B1215" s="698" t="s">
        <v>1416</v>
      </c>
      <c r="C1215" s="559" t="s">
        <v>2281</v>
      </c>
      <c r="D1215" s="562" t="s">
        <v>5276</v>
      </c>
      <c r="E1215" s="696">
        <v>13920</v>
      </c>
      <c r="F1215" s="696">
        <v>2305727</v>
      </c>
      <c r="G1215" s="696"/>
      <c r="H1215" s="619"/>
      <c r="K1215" s="619"/>
      <c r="M1215" s="329"/>
      <c r="P1215" s="593"/>
      <c r="Q1215" s="685"/>
      <c r="R1215" s="685"/>
      <c r="S1215" s="329"/>
      <c r="U1215" s="593"/>
      <c r="Z1215" s="329"/>
      <c r="AB1215" s="589"/>
    </row>
    <row r="1216" spans="1:28">
      <c r="A1216" s="631" t="str">
        <f t="shared" si="18"/>
        <v>TR.03.1113</v>
      </c>
      <c r="B1216" s="698" t="s">
        <v>5273</v>
      </c>
      <c r="C1216" s="559" t="s">
        <v>2282</v>
      </c>
      <c r="D1216" s="562" t="s">
        <v>5276</v>
      </c>
      <c r="E1216" s="696">
        <v>15740</v>
      </c>
      <c r="F1216" s="696">
        <v>3074302</v>
      </c>
      <c r="G1216" s="696"/>
      <c r="H1216" s="619"/>
      <c r="K1216" s="619"/>
      <c r="M1216" s="329"/>
      <c r="P1216" s="593"/>
      <c r="Q1216" s="685"/>
      <c r="R1216" s="685"/>
      <c r="S1216" s="329"/>
      <c r="U1216" s="593"/>
      <c r="Z1216" s="329"/>
      <c r="AB1216" s="589"/>
    </row>
    <row r="1217" spans="1:28">
      <c r="A1217" s="631" t="str">
        <f t="shared" si="18"/>
        <v>TR.03.1114</v>
      </c>
      <c r="B1217" s="698" t="s">
        <v>5274</v>
      </c>
      <c r="C1217" s="559" t="s">
        <v>2283</v>
      </c>
      <c r="D1217" s="562" t="s">
        <v>5276</v>
      </c>
      <c r="E1217" s="696">
        <v>17200</v>
      </c>
      <c r="F1217" s="696">
        <v>3995594</v>
      </c>
      <c r="G1217" s="696"/>
      <c r="H1217" s="619"/>
      <c r="K1217" s="619"/>
      <c r="M1217" s="329"/>
      <c r="P1217" s="593"/>
      <c r="Q1217" s="685"/>
      <c r="R1217" s="685"/>
      <c r="S1217" s="329"/>
      <c r="U1217" s="593"/>
      <c r="Z1217" s="329"/>
      <c r="AB1217" s="589"/>
    </row>
    <row r="1218" spans="1:28">
      <c r="A1218" s="631" t="str">
        <f t="shared" si="18"/>
        <v>TR.03.1115</v>
      </c>
      <c r="B1218" s="698" t="s">
        <v>5275</v>
      </c>
      <c r="C1218" s="559" t="s">
        <v>2284</v>
      </c>
      <c r="D1218" s="562" t="s">
        <v>5276</v>
      </c>
      <c r="E1218" s="696">
        <v>17860</v>
      </c>
      <c r="F1218" s="696">
        <v>5193374</v>
      </c>
      <c r="G1218" s="696"/>
      <c r="H1218" s="619"/>
      <c r="K1218" s="619"/>
      <c r="M1218" s="329"/>
      <c r="P1218" s="593"/>
      <c r="Q1218" s="685"/>
      <c r="R1218" s="685"/>
      <c r="S1218" s="329"/>
      <c r="U1218" s="593"/>
      <c r="Z1218" s="329"/>
      <c r="AB1218" s="589"/>
    </row>
    <row r="1219" spans="1:28" ht="13.5">
      <c r="A1219" s="701"/>
      <c r="B1219" s="694" t="s">
        <v>2285</v>
      </c>
      <c r="C1219" s="559"/>
      <c r="D1219" s="562"/>
      <c r="E1219" s="696"/>
      <c r="F1219" s="696"/>
      <c r="G1219" s="696"/>
      <c r="H1219" s="619"/>
      <c r="K1219" s="619"/>
      <c r="M1219" s="329"/>
      <c r="P1219" s="593"/>
      <c r="Q1219" s="685"/>
      <c r="R1219" s="685"/>
      <c r="S1219" s="329"/>
      <c r="U1219" s="593"/>
      <c r="Z1219" s="329"/>
      <c r="AB1219" s="589"/>
    </row>
    <row r="1220" spans="1:28">
      <c r="A1220" s="631" t="str">
        <f t="shared" si="18"/>
        <v>TR.03.1201</v>
      </c>
      <c r="B1220" s="698" t="s">
        <v>2286</v>
      </c>
      <c r="C1220" s="559" t="s">
        <v>1166</v>
      </c>
      <c r="D1220" s="562" t="s">
        <v>5276</v>
      </c>
      <c r="E1220" s="696">
        <v>18970</v>
      </c>
      <c r="F1220" s="696">
        <v>247541</v>
      </c>
      <c r="G1220" s="696"/>
      <c r="H1220" s="619"/>
      <c r="K1220" s="619"/>
      <c r="M1220" s="329"/>
      <c r="P1220" s="593"/>
      <c r="Q1220" s="685"/>
      <c r="R1220" s="685"/>
      <c r="S1220" s="329"/>
      <c r="U1220" s="593"/>
      <c r="Z1220" s="329"/>
      <c r="AB1220" s="589"/>
    </row>
    <row r="1221" spans="1:28">
      <c r="A1221" s="631" t="str">
        <f t="shared" si="18"/>
        <v>TR.03.1202</v>
      </c>
      <c r="B1221" s="698" t="s">
        <v>2287</v>
      </c>
      <c r="C1221" s="559" t="s">
        <v>1167</v>
      </c>
      <c r="D1221" s="562" t="s">
        <v>5276</v>
      </c>
      <c r="E1221" s="696">
        <v>18970</v>
      </c>
      <c r="F1221" s="696">
        <v>274491</v>
      </c>
      <c r="G1221" s="696"/>
      <c r="H1221" s="619"/>
      <c r="K1221" s="619"/>
      <c r="M1221" s="329"/>
      <c r="P1221" s="593"/>
      <c r="Q1221" s="685"/>
      <c r="R1221" s="685"/>
      <c r="S1221" s="329"/>
      <c r="U1221" s="593"/>
      <c r="Z1221" s="329"/>
      <c r="AB1221" s="589"/>
    </row>
    <row r="1222" spans="1:28">
      <c r="A1222" s="631" t="str">
        <f t="shared" si="18"/>
        <v>TR.03.1203</v>
      </c>
      <c r="B1222" s="698" t="s">
        <v>2288</v>
      </c>
      <c r="C1222" s="559" t="s">
        <v>1872</v>
      </c>
      <c r="D1222" s="562" t="s">
        <v>5276</v>
      </c>
      <c r="E1222" s="696">
        <v>18970</v>
      </c>
      <c r="F1222" s="696">
        <v>357338</v>
      </c>
      <c r="G1222" s="696"/>
      <c r="H1222" s="619"/>
      <c r="K1222" s="619"/>
      <c r="M1222" s="329"/>
      <c r="P1222" s="593"/>
      <c r="Q1222" s="685"/>
      <c r="R1222" s="685"/>
      <c r="S1222" s="329"/>
      <c r="U1222" s="593"/>
      <c r="Z1222" s="329"/>
      <c r="AB1222" s="589"/>
    </row>
    <row r="1223" spans="1:28">
      <c r="A1223" s="631" t="str">
        <f t="shared" si="18"/>
        <v>TR.03.1204</v>
      </c>
      <c r="B1223" s="698" t="s">
        <v>2289</v>
      </c>
      <c r="C1223" s="559" t="s">
        <v>1873</v>
      </c>
      <c r="D1223" s="562" t="s">
        <v>5276</v>
      </c>
      <c r="E1223" s="696">
        <v>128680</v>
      </c>
      <c r="F1223" s="696">
        <v>467134</v>
      </c>
      <c r="G1223" s="696"/>
      <c r="H1223" s="619"/>
      <c r="K1223" s="619"/>
      <c r="M1223" s="329"/>
      <c r="P1223" s="593"/>
      <c r="Q1223" s="685"/>
      <c r="R1223" s="685"/>
      <c r="S1223" s="329"/>
      <c r="U1223" s="593"/>
      <c r="Z1223" s="329"/>
      <c r="AB1223" s="589"/>
    </row>
    <row r="1224" spans="1:28">
      <c r="A1224" s="631" t="str">
        <f t="shared" si="18"/>
        <v>TR.03.1205</v>
      </c>
      <c r="B1224" s="698" t="s">
        <v>2290</v>
      </c>
      <c r="C1224" s="559" t="s">
        <v>1874</v>
      </c>
      <c r="D1224" s="562" t="s">
        <v>5276</v>
      </c>
      <c r="E1224" s="696">
        <v>158680</v>
      </c>
      <c r="F1224" s="696">
        <v>548983</v>
      </c>
      <c r="G1224" s="696"/>
      <c r="H1224" s="619"/>
      <c r="K1224" s="619"/>
      <c r="M1224" s="329"/>
      <c r="P1224" s="593"/>
      <c r="Q1224" s="685"/>
      <c r="R1224" s="685"/>
      <c r="S1224" s="329"/>
      <c r="U1224" s="593"/>
      <c r="Z1224" s="329"/>
      <c r="AB1224" s="589"/>
    </row>
    <row r="1225" spans="1:28">
      <c r="A1225" s="631" t="str">
        <f t="shared" si="18"/>
        <v>TR.03.1206</v>
      </c>
      <c r="B1225" s="698" t="s">
        <v>2291</v>
      </c>
      <c r="C1225" s="559" t="s">
        <v>1875</v>
      </c>
      <c r="D1225" s="562" t="s">
        <v>5276</v>
      </c>
      <c r="E1225" s="696">
        <v>160390</v>
      </c>
      <c r="F1225" s="696">
        <v>686727</v>
      </c>
      <c r="G1225" s="696"/>
      <c r="H1225" s="619"/>
      <c r="K1225" s="619"/>
      <c r="M1225" s="329"/>
      <c r="P1225" s="593"/>
      <c r="Q1225" s="685"/>
      <c r="R1225" s="685"/>
      <c r="S1225" s="329"/>
      <c r="U1225" s="593"/>
      <c r="Z1225" s="329"/>
      <c r="AB1225" s="589"/>
    </row>
    <row r="1226" spans="1:28">
      <c r="A1226" s="631" t="str">
        <f t="shared" si="18"/>
        <v>TR.03.1207</v>
      </c>
      <c r="B1226" s="698" t="s">
        <v>2292</v>
      </c>
      <c r="C1226" s="559" t="s">
        <v>4261</v>
      </c>
      <c r="D1226" s="562" t="s">
        <v>5276</v>
      </c>
      <c r="E1226" s="696">
        <v>160390</v>
      </c>
      <c r="F1226" s="696">
        <v>851422</v>
      </c>
      <c r="G1226" s="696"/>
      <c r="H1226" s="619"/>
      <c r="K1226" s="619"/>
      <c r="M1226" s="329"/>
      <c r="P1226" s="593"/>
      <c r="Q1226" s="685"/>
      <c r="R1226" s="685"/>
      <c r="S1226" s="329"/>
      <c r="U1226" s="593"/>
      <c r="Z1226" s="329"/>
      <c r="AB1226" s="589"/>
    </row>
    <row r="1227" spans="1:28">
      <c r="A1227" s="631" t="str">
        <f t="shared" si="18"/>
        <v>TR.03.1208</v>
      </c>
      <c r="B1227" s="698" t="s">
        <v>474</v>
      </c>
      <c r="C1227" s="559" t="s">
        <v>4262</v>
      </c>
      <c r="D1227" s="562" t="s">
        <v>5276</v>
      </c>
      <c r="E1227" s="696">
        <v>161300</v>
      </c>
      <c r="F1227" s="696">
        <v>1030091</v>
      </c>
      <c r="G1227" s="696"/>
      <c r="H1227" s="619"/>
      <c r="K1227" s="619"/>
      <c r="M1227" s="329"/>
      <c r="P1227" s="593"/>
      <c r="Q1227" s="685"/>
      <c r="R1227" s="685"/>
      <c r="S1227" s="329"/>
      <c r="U1227" s="593"/>
      <c r="Z1227" s="329"/>
      <c r="AB1227" s="589"/>
    </row>
    <row r="1228" spans="1:28">
      <c r="A1228" s="631" t="str">
        <f t="shared" si="18"/>
        <v>TR.03.1209</v>
      </c>
      <c r="B1228" s="698" t="s">
        <v>475</v>
      </c>
      <c r="C1228" s="559" t="s">
        <v>4263</v>
      </c>
      <c r="D1228" s="562" t="s">
        <v>5276</v>
      </c>
      <c r="E1228" s="696">
        <v>161300</v>
      </c>
      <c r="F1228" s="696">
        <v>1194786</v>
      </c>
      <c r="G1228" s="696"/>
      <c r="H1228" s="619"/>
      <c r="K1228" s="619"/>
      <c r="M1228" s="329"/>
      <c r="P1228" s="593"/>
      <c r="Q1228" s="685"/>
      <c r="R1228" s="685"/>
      <c r="S1228" s="329"/>
      <c r="U1228" s="593"/>
      <c r="Z1228" s="329"/>
      <c r="AB1228" s="589"/>
    </row>
    <row r="1229" spans="1:28">
      <c r="A1229" s="631" t="str">
        <f t="shared" si="18"/>
        <v>TR.03.1210</v>
      </c>
      <c r="B1229" s="698" t="s">
        <v>4497</v>
      </c>
      <c r="C1229" s="559" t="s">
        <v>4264</v>
      </c>
      <c r="D1229" s="562" t="s">
        <v>5276</v>
      </c>
      <c r="E1229" s="696">
        <v>163120</v>
      </c>
      <c r="F1229" s="696">
        <v>1510201</v>
      </c>
      <c r="G1229" s="696"/>
      <c r="H1229" s="619"/>
      <c r="K1229" s="619"/>
      <c r="M1229" s="329"/>
      <c r="P1229" s="593"/>
      <c r="Q1229" s="685"/>
      <c r="R1229" s="685"/>
      <c r="S1229" s="329"/>
      <c r="U1229" s="593"/>
      <c r="Z1229" s="329"/>
      <c r="AB1229" s="589"/>
    </row>
    <row r="1230" spans="1:28">
      <c r="A1230" s="631" t="str">
        <f t="shared" si="18"/>
        <v>TR.03.1211</v>
      </c>
      <c r="B1230" s="698" t="s">
        <v>4498</v>
      </c>
      <c r="C1230" s="559" t="s">
        <v>4363</v>
      </c>
      <c r="D1230" s="562" t="s">
        <v>5276</v>
      </c>
      <c r="E1230" s="696">
        <v>193920</v>
      </c>
      <c r="F1230" s="696">
        <v>1921439</v>
      </c>
      <c r="G1230" s="696"/>
      <c r="H1230" s="619"/>
      <c r="K1230" s="619"/>
      <c r="M1230" s="329"/>
      <c r="P1230" s="593"/>
      <c r="Q1230" s="685"/>
      <c r="R1230" s="685"/>
      <c r="S1230" s="329"/>
      <c r="U1230" s="593"/>
      <c r="Z1230" s="329"/>
      <c r="AB1230" s="589"/>
    </row>
    <row r="1231" spans="1:28">
      <c r="A1231" s="631" t="str">
        <f t="shared" si="18"/>
        <v>TR.03.1212</v>
      </c>
      <c r="B1231" s="698" t="s">
        <v>1963</v>
      </c>
      <c r="C1231" s="559" t="s">
        <v>4364</v>
      </c>
      <c r="D1231" s="562" t="s">
        <v>5276</v>
      </c>
      <c r="E1231" s="696">
        <v>193920</v>
      </c>
      <c r="F1231" s="696">
        <v>2553268</v>
      </c>
      <c r="G1231" s="696"/>
      <c r="H1231" s="619"/>
      <c r="K1231" s="619"/>
      <c r="M1231" s="329"/>
      <c r="P1231" s="593"/>
      <c r="Q1231" s="685"/>
      <c r="R1231" s="685"/>
      <c r="S1231" s="329"/>
      <c r="U1231" s="593"/>
      <c r="Z1231" s="329"/>
      <c r="AB1231" s="589"/>
    </row>
    <row r="1232" spans="1:28">
      <c r="A1232" s="631" t="str">
        <f t="shared" si="18"/>
        <v>TR.03.1213</v>
      </c>
      <c r="B1232" s="698" t="s">
        <v>1964</v>
      </c>
      <c r="C1232" s="559" t="s">
        <v>786</v>
      </c>
      <c r="D1232" s="562" t="s">
        <v>5276</v>
      </c>
      <c r="E1232" s="696">
        <v>195740</v>
      </c>
      <c r="F1232" s="696">
        <v>3391714</v>
      </c>
      <c r="G1232" s="696"/>
      <c r="H1232" s="619"/>
      <c r="K1232" s="619"/>
      <c r="M1232" s="329"/>
      <c r="P1232" s="593"/>
      <c r="Q1232" s="685"/>
      <c r="R1232" s="685"/>
      <c r="S1232" s="329"/>
      <c r="U1232" s="593"/>
      <c r="Z1232" s="329"/>
      <c r="AB1232" s="589"/>
    </row>
    <row r="1233" spans="1:28">
      <c r="A1233" s="631" t="str">
        <f t="shared" si="18"/>
        <v>TR.03.1214</v>
      </c>
      <c r="B1233" s="698" t="s">
        <v>1965</v>
      </c>
      <c r="C1233" s="559" t="s">
        <v>787</v>
      </c>
      <c r="D1233" s="562" t="s">
        <v>5276</v>
      </c>
      <c r="E1233" s="696">
        <v>197200</v>
      </c>
      <c r="F1233" s="696">
        <v>4409827</v>
      </c>
      <c r="G1233" s="696"/>
      <c r="H1233" s="619"/>
      <c r="K1233" s="619"/>
      <c r="M1233" s="329"/>
      <c r="P1233" s="593"/>
      <c r="Q1233" s="685"/>
      <c r="R1233" s="685"/>
      <c r="S1233" s="329"/>
      <c r="U1233" s="593"/>
      <c r="Z1233" s="329"/>
      <c r="AB1233" s="589"/>
    </row>
    <row r="1234" spans="1:28">
      <c r="A1234" s="631" t="str">
        <f t="shared" si="18"/>
        <v>TR.03.1215</v>
      </c>
      <c r="B1234" s="698" t="s">
        <v>1966</v>
      </c>
      <c r="C1234" s="559" t="s">
        <v>788</v>
      </c>
      <c r="D1234" s="562" t="s">
        <v>5276</v>
      </c>
      <c r="E1234" s="696">
        <v>197860</v>
      </c>
      <c r="F1234" s="696">
        <v>5512782</v>
      </c>
      <c r="G1234" s="696"/>
      <c r="H1234" s="619"/>
      <c r="K1234" s="619"/>
      <c r="M1234" s="329"/>
      <c r="P1234" s="593"/>
      <c r="Q1234" s="685"/>
      <c r="R1234" s="685"/>
      <c r="S1234" s="329"/>
      <c r="U1234" s="593"/>
      <c r="Z1234" s="329"/>
      <c r="AB1234" s="589"/>
    </row>
    <row r="1235" spans="1:28" ht="13.5">
      <c r="A1235" s="701"/>
      <c r="B1235" s="694" t="s">
        <v>789</v>
      </c>
      <c r="C1235" s="559"/>
      <c r="D1235" s="562"/>
      <c r="E1235" s="696"/>
      <c r="F1235" s="696"/>
      <c r="G1235" s="696"/>
      <c r="H1235" s="619"/>
      <c r="K1235" s="619"/>
      <c r="M1235" s="329"/>
      <c r="P1235" s="593"/>
      <c r="Q1235" s="685"/>
      <c r="R1235" s="685"/>
      <c r="S1235" s="329"/>
      <c r="U1235" s="593"/>
      <c r="Z1235" s="329"/>
      <c r="AB1235" s="589"/>
    </row>
    <row r="1236" spans="1:28">
      <c r="A1236" s="631" t="str">
        <f t="shared" si="18"/>
        <v>TR.03.1301</v>
      </c>
      <c r="B1236" s="698" t="s">
        <v>790</v>
      </c>
      <c r="C1236" s="559" t="s">
        <v>1137</v>
      </c>
      <c r="D1236" s="562" t="s">
        <v>5276</v>
      </c>
      <c r="E1236" s="696">
        <v>1608631</v>
      </c>
      <c r="F1236" s="696">
        <v>371312</v>
      </c>
      <c r="G1236" s="696"/>
      <c r="H1236" s="619"/>
      <c r="K1236" s="619"/>
      <c r="M1236" s="329"/>
      <c r="P1236" s="593"/>
      <c r="Q1236" s="685"/>
      <c r="R1236" s="685"/>
      <c r="S1236" s="329"/>
      <c r="U1236" s="593"/>
      <c r="Z1236" s="329"/>
      <c r="AB1236" s="589"/>
    </row>
    <row r="1237" spans="1:28">
      <c r="A1237" s="631" t="str">
        <f t="shared" si="18"/>
        <v>TR.03.1302</v>
      </c>
      <c r="B1237" s="698" t="s">
        <v>791</v>
      </c>
      <c r="C1237" s="559" t="s">
        <v>1138</v>
      </c>
      <c r="D1237" s="562" t="s">
        <v>5276</v>
      </c>
      <c r="E1237" s="696">
        <v>1608631</v>
      </c>
      <c r="F1237" s="696">
        <v>412236</v>
      </c>
      <c r="G1237" s="696"/>
      <c r="H1237" s="619"/>
      <c r="K1237" s="619"/>
      <c r="M1237" s="329"/>
      <c r="P1237" s="593"/>
      <c r="Q1237" s="685"/>
      <c r="R1237" s="685"/>
      <c r="S1237" s="329"/>
      <c r="U1237" s="593"/>
      <c r="Z1237" s="329"/>
      <c r="AB1237" s="589"/>
    </row>
    <row r="1238" spans="1:28">
      <c r="A1238" s="631" t="str">
        <f t="shared" si="18"/>
        <v>TR.03.1303</v>
      </c>
      <c r="B1238" s="698" t="s">
        <v>1130</v>
      </c>
      <c r="C1238" s="559" t="s">
        <v>1139</v>
      </c>
      <c r="D1238" s="562" t="s">
        <v>5276</v>
      </c>
      <c r="E1238" s="696">
        <v>1609431</v>
      </c>
      <c r="F1238" s="696">
        <v>522032</v>
      </c>
      <c r="G1238" s="696"/>
      <c r="H1238" s="619"/>
      <c r="K1238" s="619"/>
      <c r="M1238" s="329"/>
      <c r="P1238" s="593"/>
      <c r="Q1238" s="685"/>
      <c r="R1238" s="685"/>
      <c r="S1238" s="329"/>
      <c r="U1238" s="593"/>
      <c r="Z1238" s="329"/>
      <c r="AB1238" s="589"/>
    </row>
    <row r="1239" spans="1:28">
      <c r="A1239" s="631" t="str">
        <f t="shared" si="18"/>
        <v>TR.03.1304</v>
      </c>
      <c r="B1239" s="698" t="s">
        <v>1131</v>
      </c>
      <c r="C1239" s="559" t="s">
        <v>2950</v>
      </c>
      <c r="D1239" s="562" t="s">
        <v>5276</v>
      </c>
      <c r="E1239" s="696">
        <v>1737340</v>
      </c>
      <c r="F1239" s="696">
        <v>699703</v>
      </c>
      <c r="G1239" s="696"/>
      <c r="H1239" s="619"/>
      <c r="K1239" s="619"/>
      <c r="M1239" s="329"/>
      <c r="P1239" s="593"/>
      <c r="Q1239" s="685"/>
      <c r="R1239" s="685"/>
      <c r="S1239" s="329"/>
      <c r="U1239" s="593"/>
      <c r="Z1239" s="329"/>
      <c r="AB1239" s="589"/>
    </row>
    <row r="1240" spans="1:28">
      <c r="A1240" s="631" t="str">
        <f t="shared" si="18"/>
        <v>TR.03.1305</v>
      </c>
      <c r="B1240" s="698" t="s">
        <v>1132</v>
      </c>
      <c r="C1240" s="559" t="s">
        <v>2951</v>
      </c>
      <c r="D1240" s="562" t="s">
        <v>5276</v>
      </c>
      <c r="E1240" s="696">
        <v>1738140</v>
      </c>
      <c r="F1240" s="696">
        <v>878372</v>
      </c>
      <c r="G1240" s="696"/>
      <c r="H1240" s="619"/>
      <c r="K1240" s="619"/>
      <c r="M1240" s="329"/>
      <c r="P1240" s="593"/>
      <c r="Q1240" s="685"/>
      <c r="R1240" s="685"/>
      <c r="S1240" s="329"/>
      <c r="U1240" s="593"/>
      <c r="Z1240" s="329"/>
      <c r="AB1240" s="589"/>
    </row>
    <row r="1241" spans="1:28">
      <c r="A1241" s="631" t="str">
        <f t="shared" si="18"/>
        <v>TR.03.1306</v>
      </c>
      <c r="B1241" s="698" t="s">
        <v>1133</v>
      </c>
      <c r="C1241" s="559" t="s">
        <v>2952</v>
      </c>
      <c r="D1241" s="562" t="s">
        <v>5276</v>
      </c>
      <c r="E1241" s="696">
        <v>1739050</v>
      </c>
      <c r="F1241" s="696">
        <v>1152863</v>
      </c>
      <c r="G1241" s="696"/>
      <c r="H1241" s="619"/>
      <c r="K1241" s="619"/>
      <c r="M1241" s="329"/>
      <c r="P1241" s="593"/>
      <c r="Q1241" s="685"/>
      <c r="R1241" s="685"/>
      <c r="S1241" s="329"/>
      <c r="U1241" s="593"/>
      <c r="Z1241" s="329"/>
      <c r="AB1241" s="589"/>
    </row>
    <row r="1242" spans="1:28">
      <c r="A1242" s="631" t="str">
        <f t="shared" si="18"/>
        <v>TR.03.1307</v>
      </c>
      <c r="B1242" s="698" t="s">
        <v>1134</v>
      </c>
      <c r="C1242" s="559" t="s">
        <v>5601</v>
      </c>
      <c r="D1242" s="562" t="s">
        <v>5276</v>
      </c>
      <c r="E1242" s="696">
        <v>1739050</v>
      </c>
      <c r="F1242" s="696">
        <v>1646948</v>
      </c>
      <c r="G1242" s="696"/>
      <c r="H1242" s="619"/>
      <c r="K1242" s="619"/>
      <c r="M1242" s="329"/>
      <c r="P1242" s="593"/>
      <c r="Q1242" s="685"/>
      <c r="R1242" s="685"/>
      <c r="S1242" s="329"/>
      <c r="U1242" s="593"/>
      <c r="Z1242" s="329"/>
      <c r="AB1242" s="589"/>
    </row>
    <row r="1243" spans="1:28">
      <c r="A1243" s="631" t="str">
        <f t="shared" si="18"/>
        <v>TR.03.1308</v>
      </c>
      <c r="B1243" s="698" t="s">
        <v>1135</v>
      </c>
      <c r="C1243" s="559" t="s">
        <v>520</v>
      </c>
      <c r="D1243" s="562" t="s">
        <v>5276</v>
      </c>
      <c r="E1243" s="696">
        <v>1740760</v>
      </c>
      <c r="F1243" s="696">
        <v>1921439</v>
      </c>
      <c r="G1243" s="696"/>
      <c r="H1243" s="619"/>
      <c r="K1243" s="619"/>
      <c r="M1243" s="329"/>
      <c r="P1243" s="593"/>
      <c r="Q1243" s="685"/>
      <c r="R1243" s="685"/>
      <c r="S1243" s="329"/>
      <c r="U1243" s="593"/>
      <c r="Z1243" s="329"/>
      <c r="AB1243" s="589"/>
    </row>
    <row r="1244" spans="1:28">
      <c r="A1244" s="631" t="str">
        <f t="shared" si="18"/>
        <v>TR.03.1309</v>
      </c>
      <c r="B1244" s="698" t="s">
        <v>1136</v>
      </c>
      <c r="C1244" s="559" t="s">
        <v>1923</v>
      </c>
      <c r="D1244" s="562" t="s">
        <v>5276</v>
      </c>
      <c r="E1244" s="696">
        <v>1740760</v>
      </c>
      <c r="F1244" s="696">
        <v>2195930</v>
      </c>
      <c r="G1244" s="696"/>
      <c r="H1244" s="619"/>
      <c r="K1244" s="619"/>
      <c r="M1244" s="329"/>
      <c r="P1244" s="593"/>
      <c r="Q1244" s="685"/>
      <c r="R1244" s="685"/>
      <c r="S1244" s="329"/>
      <c r="U1244" s="593"/>
      <c r="Z1244" s="329"/>
      <c r="AB1244" s="589"/>
    </row>
    <row r="1245" spans="1:28" ht="13.5">
      <c r="A1245" s="701"/>
      <c r="B1245" s="694" t="s">
        <v>834</v>
      </c>
      <c r="C1245" s="559"/>
      <c r="D1245" s="562"/>
      <c r="E1245" s="696"/>
      <c r="F1245" s="696"/>
      <c r="G1245" s="696"/>
      <c r="H1245" s="619"/>
      <c r="K1245" s="619"/>
      <c r="M1245" s="329"/>
      <c r="P1245" s="593"/>
      <c r="Q1245" s="685"/>
      <c r="R1245" s="685"/>
      <c r="S1245" s="329"/>
      <c r="U1245" s="593"/>
      <c r="Z1245" s="329"/>
      <c r="AB1245" s="589"/>
    </row>
    <row r="1246" spans="1:28">
      <c r="A1246" s="631" t="str">
        <f t="shared" si="18"/>
        <v>TR.03.1401</v>
      </c>
      <c r="B1246" s="698" t="s">
        <v>835</v>
      </c>
      <c r="C1246" s="559" t="s">
        <v>4155</v>
      </c>
      <c r="D1246" s="562" t="s">
        <v>5276</v>
      </c>
      <c r="E1246" s="696">
        <v>9610</v>
      </c>
      <c r="F1246" s="696">
        <v>288465</v>
      </c>
      <c r="G1246" s="696"/>
      <c r="H1246" s="619"/>
      <c r="K1246" s="619"/>
      <c r="M1246" s="329"/>
      <c r="P1246" s="593"/>
      <c r="Q1246" s="685"/>
      <c r="R1246" s="685"/>
      <c r="S1246" s="329"/>
      <c r="U1246" s="593"/>
      <c r="Z1246" s="329"/>
      <c r="AB1246" s="589"/>
    </row>
    <row r="1247" spans="1:28">
      <c r="A1247" s="631" t="str">
        <f t="shared" si="18"/>
        <v>TR.03.1402</v>
      </c>
      <c r="B1247" s="698" t="s">
        <v>836</v>
      </c>
      <c r="C1247" s="559" t="s">
        <v>4156</v>
      </c>
      <c r="D1247" s="562" t="s">
        <v>5276</v>
      </c>
      <c r="E1247" s="696">
        <v>9610</v>
      </c>
      <c r="F1247" s="696">
        <v>329390</v>
      </c>
      <c r="G1247" s="696"/>
      <c r="H1247" s="619"/>
      <c r="K1247" s="619"/>
      <c r="M1247" s="329"/>
      <c r="P1247" s="593"/>
      <c r="Q1247" s="685"/>
      <c r="R1247" s="685"/>
      <c r="S1247" s="329"/>
      <c r="U1247" s="593"/>
      <c r="Z1247" s="329"/>
      <c r="AB1247" s="589"/>
    </row>
    <row r="1248" spans="1:28">
      <c r="A1248" s="631" t="str">
        <f t="shared" si="18"/>
        <v>TR.03.1403</v>
      </c>
      <c r="B1248" s="698" t="s">
        <v>837</v>
      </c>
      <c r="C1248" s="559" t="s">
        <v>4157</v>
      </c>
      <c r="D1248" s="562" t="s">
        <v>5276</v>
      </c>
      <c r="E1248" s="696">
        <v>9610</v>
      </c>
      <c r="F1248" s="696">
        <v>412236</v>
      </c>
      <c r="G1248" s="696"/>
      <c r="H1248" s="619"/>
      <c r="K1248" s="619"/>
      <c r="M1248" s="329"/>
      <c r="P1248" s="593"/>
      <c r="Q1248" s="685"/>
      <c r="R1248" s="685"/>
      <c r="S1248" s="329"/>
      <c r="U1248" s="593"/>
      <c r="Z1248" s="329"/>
      <c r="AB1248" s="589"/>
    </row>
    <row r="1249" spans="1:28">
      <c r="A1249" s="631" t="str">
        <f t="shared" si="18"/>
        <v>TR.03.1404</v>
      </c>
      <c r="B1249" s="698" t="s">
        <v>1012</v>
      </c>
      <c r="C1249" s="559" t="s">
        <v>4158</v>
      </c>
      <c r="D1249" s="562" t="s">
        <v>5276</v>
      </c>
      <c r="E1249" s="696">
        <v>11320</v>
      </c>
      <c r="F1249" s="696">
        <v>548983</v>
      </c>
      <c r="G1249" s="696"/>
      <c r="H1249" s="619"/>
      <c r="K1249" s="619"/>
      <c r="M1249" s="329"/>
      <c r="P1249" s="593"/>
      <c r="Q1249" s="685"/>
      <c r="R1249" s="685"/>
      <c r="S1249" s="329"/>
      <c r="U1249" s="593"/>
      <c r="Z1249" s="329"/>
      <c r="AB1249" s="589"/>
    </row>
    <row r="1250" spans="1:28">
      <c r="A1250" s="631" t="str">
        <f t="shared" si="18"/>
        <v>TR.03.1405</v>
      </c>
      <c r="B1250" s="698" t="s">
        <v>1013</v>
      </c>
      <c r="C1250" s="559" t="s">
        <v>5514</v>
      </c>
      <c r="D1250" s="562" t="s">
        <v>5276</v>
      </c>
      <c r="E1250" s="696">
        <v>11320</v>
      </c>
      <c r="F1250" s="696">
        <v>699703</v>
      </c>
      <c r="G1250" s="696"/>
      <c r="H1250" s="619"/>
      <c r="K1250" s="619"/>
      <c r="M1250" s="329"/>
      <c r="P1250" s="593"/>
      <c r="Q1250" s="685"/>
      <c r="R1250" s="685"/>
      <c r="S1250" s="329"/>
      <c r="U1250" s="593"/>
      <c r="Z1250" s="329"/>
      <c r="AB1250" s="589"/>
    </row>
    <row r="1251" spans="1:28">
      <c r="A1251" s="631" t="str">
        <f t="shared" si="18"/>
        <v>TR.03.1406</v>
      </c>
      <c r="B1251" s="698" t="s">
        <v>1014</v>
      </c>
      <c r="C1251" s="559" t="s">
        <v>6332</v>
      </c>
      <c r="D1251" s="562" t="s">
        <v>5276</v>
      </c>
      <c r="E1251" s="696">
        <v>21247</v>
      </c>
      <c r="F1251" s="696">
        <v>906320</v>
      </c>
      <c r="G1251" s="696"/>
      <c r="H1251" s="619"/>
      <c r="K1251" s="619"/>
      <c r="M1251" s="329"/>
      <c r="P1251" s="593"/>
      <c r="Q1251" s="685"/>
      <c r="R1251" s="685"/>
      <c r="S1251" s="329"/>
      <c r="U1251" s="593"/>
      <c r="Z1251" s="329"/>
      <c r="AB1251" s="589"/>
    </row>
    <row r="1252" spans="1:28">
      <c r="A1252" s="631" t="str">
        <f t="shared" si="18"/>
        <v>TR.03.1407</v>
      </c>
      <c r="B1252" s="698" t="s">
        <v>1015</v>
      </c>
      <c r="C1252" s="559" t="s">
        <v>5190</v>
      </c>
      <c r="D1252" s="562" t="s">
        <v>5276</v>
      </c>
      <c r="E1252" s="696">
        <v>21247</v>
      </c>
      <c r="F1252" s="696">
        <v>1111939</v>
      </c>
      <c r="G1252" s="696"/>
      <c r="H1252" s="619"/>
      <c r="K1252" s="619"/>
      <c r="M1252" s="329"/>
      <c r="P1252" s="593"/>
      <c r="Q1252" s="685"/>
      <c r="R1252" s="685"/>
      <c r="S1252" s="329"/>
      <c r="U1252" s="593"/>
      <c r="Z1252" s="329"/>
      <c r="AB1252" s="589"/>
    </row>
    <row r="1253" spans="1:28">
      <c r="A1253" s="631" t="str">
        <f t="shared" si="18"/>
        <v>TR.03.1408</v>
      </c>
      <c r="B1253" s="698" t="s">
        <v>1016</v>
      </c>
      <c r="C1253" s="559" t="s">
        <v>1716</v>
      </c>
      <c r="D1253" s="562" t="s">
        <v>5276</v>
      </c>
      <c r="E1253" s="696">
        <v>22157</v>
      </c>
      <c r="F1253" s="696">
        <v>1345506</v>
      </c>
      <c r="G1253" s="696"/>
      <c r="H1253" s="619"/>
      <c r="K1253" s="619"/>
      <c r="M1253" s="329"/>
      <c r="P1253" s="593"/>
      <c r="Q1253" s="685"/>
      <c r="R1253" s="685"/>
      <c r="S1253" s="329"/>
      <c r="U1253" s="593"/>
      <c r="Z1253" s="329"/>
      <c r="AB1253" s="589"/>
    </row>
    <row r="1254" spans="1:28">
      <c r="A1254" s="631" t="str">
        <f t="shared" si="18"/>
        <v>TR.03.1409</v>
      </c>
      <c r="B1254" s="698" t="s">
        <v>1017</v>
      </c>
      <c r="C1254" s="559" t="s">
        <v>1717</v>
      </c>
      <c r="D1254" s="562" t="s">
        <v>5276</v>
      </c>
      <c r="E1254" s="696">
        <v>22157</v>
      </c>
      <c r="F1254" s="696">
        <v>1565099</v>
      </c>
      <c r="G1254" s="696"/>
      <c r="H1254" s="619"/>
      <c r="K1254" s="619"/>
      <c r="M1254" s="329"/>
      <c r="P1254" s="593"/>
      <c r="Q1254" s="685"/>
      <c r="R1254" s="685"/>
      <c r="S1254" s="329"/>
      <c r="U1254" s="593"/>
      <c r="Z1254" s="329"/>
      <c r="AB1254" s="589"/>
    </row>
    <row r="1255" spans="1:28">
      <c r="A1255" s="631" t="str">
        <f t="shared" si="18"/>
        <v>TR.03.1410</v>
      </c>
      <c r="B1255" s="698" t="s">
        <v>4732</v>
      </c>
      <c r="C1255" s="559" t="s">
        <v>1718</v>
      </c>
      <c r="D1255" s="562" t="s">
        <v>5276</v>
      </c>
      <c r="E1255" s="696">
        <v>23977</v>
      </c>
      <c r="F1255" s="696">
        <v>2004285</v>
      </c>
      <c r="G1255" s="696"/>
      <c r="H1255" s="619"/>
      <c r="K1255" s="619"/>
      <c r="M1255" s="329"/>
      <c r="P1255" s="593"/>
      <c r="Q1255" s="685"/>
      <c r="R1255" s="685"/>
      <c r="S1255" s="329"/>
      <c r="U1255" s="593"/>
      <c r="Z1255" s="329"/>
      <c r="AB1255" s="589"/>
    </row>
    <row r="1256" spans="1:28">
      <c r="A1256" s="631" t="str">
        <f t="shared" si="18"/>
        <v>TR.03.1411</v>
      </c>
      <c r="B1256" s="698" t="s">
        <v>2293</v>
      </c>
      <c r="C1256" s="559" t="s">
        <v>2698</v>
      </c>
      <c r="D1256" s="562" t="s">
        <v>5276</v>
      </c>
      <c r="E1256" s="696">
        <v>24777</v>
      </c>
      <c r="F1256" s="696">
        <v>2799811</v>
      </c>
      <c r="G1256" s="696"/>
      <c r="H1256" s="619"/>
      <c r="K1256" s="619"/>
      <c r="M1256" s="329"/>
      <c r="P1256" s="593"/>
      <c r="Q1256" s="685"/>
      <c r="R1256" s="685"/>
      <c r="S1256" s="329"/>
      <c r="U1256" s="593"/>
      <c r="Z1256" s="329"/>
      <c r="AB1256" s="589"/>
    </row>
    <row r="1257" spans="1:28">
      <c r="A1257" s="631" t="str">
        <f t="shared" si="18"/>
        <v>TR.03.1412</v>
      </c>
      <c r="B1257" s="698" t="s">
        <v>2294</v>
      </c>
      <c r="C1257" s="559" t="s">
        <v>2699</v>
      </c>
      <c r="D1257" s="562" t="s">
        <v>5276</v>
      </c>
      <c r="E1257" s="696">
        <v>24777</v>
      </c>
      <c r="F1257" s="696">
        <v>3458590</v>
      </c>
      <c r="G1257" s="696"/>
      <c r="H1257" s="619"/>
      <c r="K1257" s="619"/>
      <c r="M1257" s="329"/>
      <c r="P1257" s="593"/>
      <c r="Q1257" s="685"/>
      <c r="R1257" s="685"/>
      <c r="S1257" s="329"/>
      <c r="U1257" s="593"/>
      <c r="Z1257" s="329"/>
      <c r="AB1257" s="589"/>
    </row>
    <row r="1258" spans="1:28">
      <c r="A1258" s="631" t="str">
        <f t="shared" si="18"/>
        <v>TR.03.1413</v>
      </c>
      <c r="B1258" s="698" t="s">
        <v>2295</v>
      </c>
      <c r="C1258" s="559" t="s">
        <v>925</v>
      </c>
      <c r="D1258" s="562" t="s">
        <v>5276</v>
      </c>
      <c r="E1258" s="696">
        <v>26597</v>
      </c>
      <c r="F1258" s="696">
        <v>4271084</v>
      </c>
      <c r="G1258" s="696"/>
      <c r="H1258" s="619"/>
      <c r="K1258" s="619"/>
      <c r="M1258" s="329"/>
      <c r="P1258" s="593"/>
      <c r="Q1258" s="685"/>
      <c r="R1258" s="685"/>
      <c r="S1258" s="329"/>
      <c r="U1258" s="593"/>
      <c r="Z1258" s="329"/>
      <c r="AB1258" s="589"/>
    </row>
    <row r="1259" spans="1:28">
      <c r="A1259" s="631" t="str">
        <f t="shared" si="18"/>
        <v>TR.03.1414</v>
      </c>
      <c r="B1259" s="698" t="s">
        <v>2296</v>
      </c>
      <c r="C1259" s="559" t="s">
        <v>1720</v>
      </c>
      <c r="D1259" s="562" t="s">
        <v>5276</v>
      </c>
      <c r="E1259" s="696">
        <v>28057</v>
      </c>
      <c r="F1259" s="696">
        <v>5259252</v>
      </c>
      <c r="G1259" s="696"/>
      <c r="H1259" s="619"/>
      <c r="K1259" s="619"/>
      <c r="M1259" s="329"/>
      <c r="P1259" s="593"/>
      <c r="Q1259" s="685"/>
      <c r="R1259" s="685"/>
      <c r="S1259" s="329"/>
      <c r="U1259" s="593"/>
      <c r="Z1259" s="329"/>
      <c r="AB1259" s="589"/>
    </row>
    <row r="1260" spans="1:28">
      <c r="A1260" s="631" t="str">
        <f t="shared" si="18"/>
        <v>TR.03.1415</v>
      </c>
      <c r="B1260" s="698" t="s">
        <v>2297</v>
      </c>
      <c r="C1260" s="559" t="s">
        <v>1721</v>
      </c>
      <c r="D1260" s="562" t="s">
        <v>5276</v>
      </c>
      <c r="E1260" s="696">
        <v>28717</v>
      </c>
      <c r="F1260" s="696">
        <v>6302319</v>
      </c>
      <c r="G1260" s="696"/>
      <c r="H1260" s="619"/>
      <c r="K1260" s="619"/>
      <c r="M1260" s="329"/>
      <c r="P1260" s="593"/>
      <c r="Q1260" s="685"/>
      <c r="R1260" s="685"/>
      <c r="S1260" s="329"/>
      <c r="U1260" s="593"/>
      <c r="Z1260" s="329"/>
      <c r="AB1260" s="589"/>
    </row>
    <row r="1261" spans="1:28" ht="13.5">
      <c r="A1261" s="594"/>
      <c r="B1261" s="694" t="s">
        <v>4000</v>
      </c>
      <c r="C1261" s="559"/>
      <c r="D1261" s="562"/>
      <c r="E1261" s="696"/>
      <c r="F1261" s="696"/>
      <c r="G1261" s="696"/>
      <c r="H1261" s="619"/>
      <c r="K1261" s="619"/>
      <c r="M1261" s="329"/>
      <c r="P1261" s="593"/>
      <c r="Q1261" s="685"/>
      <c r="R1261" s="685"/>
      <c r="S1261" s="329"/>
      <c r="U1261" s="593"/>
      <c r="Z1261" s="329"/>
      <c r="AB1261" s="589"/>
    </row>
    <row r="1262" spans="1:28">
      <c r="A1262" s="631" t="str">
        <f t="shared" ref="A1262:A1268" si="19">"TR."&amp;B1262</f>
        <v>TR.03.2111</v>
      </c>
      <c r="B1262" s="698" t="s">
        <v>4001</v>
      </c>
      <c r="C1262" s="559" t="s">
        <v>3865</v>
      </c>
      <c r="D1262" s="562" t="s">
        <v>2117</v>
      </c>
      <c r="E1262" s="696">
        <v>2499</v>
      </c>
      <c r="F1262" s="696">
        <v>68359</v>
      </c>
      <c r="G1262" s="696"/>
      <c r="H1262" s="619" t="s">
        <v>5465</v>
      </c>
      <c r="I1262" s="697" t="s">
        <v>5464</v>
      </c>
      <c r="K1262" s="619"/>
      <c r="M1262" s="329"/>
      <c r="P1262" s="593"/>
      <c r="Q1262" s="685"/>
      <c r="R1262" s="685"/>
      <c r="S1262" s="329"/>
      <c r="U1262" s="593"/>
      <c r="Z1262" s="329"/>
      <c r="AB1262" s="589"/>
    </row>
    <row r="1263" spans="1:28">
      <c r="A1263" s="631" t="str">
        <f t="shared" si="19"/>
        <v>TR.03.2112</v>
      </c>
      <c r="B1263" s="698" t="s">
        <v>4002</v>
      </c>
      <c r="C1263" s="559" t="s">
        <v>3866</v>
      </c>
      <c r="D1263" s="562" t="s">
        <v>2117</v>
      </c>
      <c r="E1263" s="696">
        <v>2499</v>
      </c>
      <c r="F1263" s="696">
        <v>78742</v>
      </c>
      <c r="G1263" s="696"/>
      <c r="H1263" s="619" t="s">
        <v>5466</v>
      </c>
      <c r="I1263" s="697" t="s">
        <v>5464</v>
      </c>
      <c r="K1263" s="619"/>
      <c r="M1263" s="329"/>
      <c r="P1263" s="593"/>
      <c r="Q1263" s="685"/>
      <c r="R1263" s="685"/>
      <c r="S1263" s="329"/>
      <c r="U1263" s="593"/>
      <c r="Z1263" s="329"/>
      <c r="AB1263" s="589"/>
    </row>
    <row r="1264" spans="1:28">
      <c r="A1264" s="631" t="str">
        <f t="shared" si="19"/>
        <v>TR.03.2113</v>
      </c>
      <c r="B1264" s="698" t="s">
        <v>4003</v>
      </c>
      <c r="C1264" s="559" t="s">
        <v>3867</v>
      </c>
      <c r="D1264" s="562" t="s">
        <v>2117</v>
      </c>
      <c r="E1264" s="696">
        <v>2604</v>
      </c>
      <c r="F1264" s="696">
        <v>89126</v>
      </c>
      <c r="G1264" s="696"/>
      <c r="H1264" s="619" t="s">
        <v>5467</v>
      </c>
      <c r="I1264" s="697" t="s">
        <v>5464</v>
      </c>
      <c r="K1264" s="619"/>
      <c r="M1264" s="329"/>
      <c r="P1264" s="593"/>
      <c r="Q1264" s="685"/>
      <c r="R1264" s="685"/>
      <c r="S1264" s="329"/>
      <c r="U1264" s="593"/>
      <c r="Z1264" s="329"/>
      <c r="AB1264" s="589"/>
    </row>
    <row r="1265" spans="1:28">
      <c r="A1265" s="631" t="str">
        <f t="shared" si="19"/>
        <v>TR.03.2114</v>
      </c>
      <c r="B1265" s="698" t="s">
        <v>4004</v>
      </c>
      <c r="C1265" s="559" t="s">
        <v>3868</v>
      </c>
      <c r="D1265" s="562" t="s">
        <v>2117</v>
      </c>
      <c r="E1265" s="696">
        <v>3297</v>
      </c>
      <c r="F1265" s="696">
        <v>98645</v>
      </c>
      <c r="G1265" s="696"/>
      <c r="H1265" s="619" t="s">
        <v>5468</v>
      </c>
      <c r="I1265" s="697" t="s">
        <v>5464</v>
      </c>
      <c r="K1265" s="619"/>
      <c r="M1265" s="329"/>
      <c r="P1265" s="593"/>
      <c r="Q1265" s="685"/>
      <c r="R1265" s="685"/>
      <c r="S1265" s="329"/>
      <c r="U1265" s="593"/>
      <c r="Z1265" s="329"/>
      <c r="AB1265" s="589"/>
    </row>
    <row r="1266" spans="1:28">
      <c r="A1266" s="631" t="str">
        <f t="shared" si="19"/>
        <v>TR.03.2115</v>
      </c>
      <c r="B1266" s="698" t="s">
        <v>4005</v>
      </c>
      <c r="C1266" s="559" t="s">
        <v>3869</v>
      </c>
      <c r="D1266" s="562" t="s">
        <v>2117</v>
      </c>
      <c r="E1266" s="696">
        <v>3402</v>
      </c>
      <c r="F1266" s="696">
        <v>110759</v>
      </c>
      <c r="G1266" s="696"/>
      <c r="H1266" s="619" t="s">
        <v>5469</v>
      </c>
      <c r="I1266" s="697" t="s">
        <v>5464</v>
      </c>
      <c r="K1266" s="619"/>
      <c r="M1266" s="329"/>
      <c r="P1266" s="593"/>
      <c r="Q1266" s="685"/>
      <c r="R1266" s="685"/>
      <c r="S1266" s="329"/>
      <c r="U1266" s="593"/>
      <c r="Z1266" s="329"/>
      <c r="AB1266" s="589"/>
    </row>
    <row r="1267" spans="1:28">
      <c r="A1267" s="631" t="str">
        <f t="shared" si="19"/>
        <v>TR.03.2116</v>
      </c>
      <c r="B1267" s="698" t="s">
        <v>4006</v>
      </c>
      <c r="C1267" s="559" t="s">
        <v>697</v>
      </c>
      <c r="D1267" s="562" t="s">
        <v>2117</v>
      </c>
      <c r="E1267" s="696">
        <v>3402</v>
      </c>
      <c r="F1267" s="696">
        <v>124604</v>
      </c>
      <c r="G1267" s="696"/>
      <c r="H1267" s="619" t="s">
        <v>5470</v>
      </c>
      <c r="I1267" s="697" t="s">
        <v>5464</v>
      </c>
      <c r="K1267" s="619"/>
      <c r="M1267" s="329"/>
      <c r="P1267" s="593"/>
      <c r="Q1267" s="685"/>
      <c r="R1267" s="685"/>
      <c r="S1267" s="329"/>
      <c r="U1267" s="593"/>
      <c r="Z1267" s="329"/>
      <c r="AB1267" s="589"/>
    </row>
    <row r="1268" spans="1:28">
      <c r="A1268" s="631" t="str">
        <f t="shared" si="19"/>
        <v>TR.03.2117</v>
      </c>
      <c r="B1268" s="698" t="s">
        <v>4007</v>
      </c>
      <c r="C1268" s="559" t="s">
        <v>698</v>
      </c>
      <c r="D1268" s="562" t="s">
        <v>2117</v>
      </c>
      <c r="E1268" s="696">
        <v>4226</v>
      </c>
      <c r="F1268" s="696">
        <v>149698</v>
      </c>
      <c r="G1268" s="696"/>
      <c r="H1268" s="619" t="s">
        <v>5471</v>
      </c>
      <c r="I1268" s="697" t="s">
        <v>5464</v>
      </c>
      <c r="K1268" s="619"/>
      <c r="M1268" s="329"/>
      <c r="P1268" s="593"/>
      <c r="Q1268" s="685"/>
      <c r="R1268" s="685"/>
      <c r="S1268" s="329"/>
      <c r="U1268" s="593"/>
      <c r="Z1268" s="329"/>
      <c r="AB1268" s="589"/>
    </row>
    <row r="1269" spans="1:28">
      <c r="A1269" s="631" t="str">
        <f t="shared" ref="A1269:A1275" si="20">"TR."&amp;B1269&amp;"a"</f>
        <v>TR.03.2111a</v>
      </c>
      <c r="B1269" s="698" t="s">
        <v>4001</v>
      </c>
      <c r="C1269" s="559" t="s">
        <v>4008</v>
      </c>
      <c r="D1269" s="562" t="s">
        <v>2117</v>
      </c>
      <c r="E1269" s="696">
        <v>2499</v>
      </c>
      <c r="F1269" s="696">
        <v>85449</v>
      </c>
      <c r="G1269" s="696"/>
      <c r="H1269" s="619"/>
      <c r="K1269" s="619"/>
      <c r="M1269" s="329"/>
      <c r="P1269" s="593"/>
      <c r="Q1269" s="685"/>
      <c r="R1269" s="685"/>
      <c r="S1269" s="329"/>
      <c r="U1269" s="593"/>
      <c r="Z1269" s="329"/>
      <c r="AB1269" s="589"/>
    </row>
    <row r="1270" spans="1:28">
      <c r="A1270" s="631" t="str">
        <f t="shared" si="20"/>
        <v>TR.03.2112a</v>
      </c>
      <c r="B1270" s="698" t="s">
        <v>4002</v>
      </c>
      <c r="C1270" s="559" t="s">
        <v>4009</v>
      </c>
      <c r="D1270" s="562" t="s">
        <v>2117</v>
      </c>
      <c r="E1270" s="696">
        <v>2499</v>
      </c>
      <c r="F1270" s="696">
        <v>98428</v>
      </c>
      <c r="G1270" s="696"/>
      <c r="H1270" s="619"/>
      <c r="K1270" s="619"/>
      <c r="M1270" s="329"/>
      <c r="P1270" s="593"/>
      <c r="Q1270" s="685"/>
      <c r="R1270" s="685"/>
      <c r="S1270" s="329"/>
      <c r="U1270" s="593"/>
      <c r="Z1270" s="329"/>
      <c r="AB1270" s="589"/>
    </row>
    <row r="1271" spans="1:28">
      <c r="A1271" s="631" t="str">
        <f t="shared" si="20"/>
        <v>TR.03.2113a</v>
      </c>
      <c r="B1271" s="698" t="s">
        <v>4003</v>
      </c>
      <c r="C1271" s="559" t="s">
        <v>4010</v>
      </c>
      <c r="D1271" s="562" t="s">
        <v>2117</v>
      </c>
      <c r="E1271" s="696">
        <v>2604</v>
      </c>
      <c r="F1271" s="696">
        <v>111408</v>
      </c>
      <c r="G1271" s="696"/>
      <c r="H1271" s="619"/>
      <c r="K1271" s="619"/>
      <c r="M1271" s="329"/>
      <c r="P1271" s="593"/>
      <c r="Q1271" s="685"/>
      <c r="R1271" s="685"/>
      <c r="S1271" s="329"/>
      <c r="U1271" s="593"/>
      <c r="Z1271" s="329"/>
      <c r="AB1271" s="589"/>
    </row>
    <row r="1272" spans="1:28">
      <c r="A1272" s="631" t="str">
        <f t="shared" si="20"/>
        <v>TR.03.2114a</v>
      </c>
      <c r="B1272" s="698" t="s">
        <v>4004</v>
      </c>
      <c r="C1272" s="559" t="s">
        <v>798</v>
      </c>
      <c r="D1272" s="562" t="s">
        <v>2117</v>
      </c>
      <c r="E1272" s="696">
        <v>3297</v>
      </c>
      <c r="F1272" s="696">
        <v>123306</v>
      </c>
      <c r="G1272" s="696"/>
      <c r="H1272" s="619"/>
      <c r="K1272" s="619"/>
      <c r="M1272" s="329"/>
      <c r="P1272" s="593"/>
      <c r="Q1272" s="685"/>
      <c r="R1272" s="685"/>
      <c r="S1272" s="329"/>
      <c r="U1272" s="593"/>
      <c r="Z1272" s="329"/>
      <c r="AB1272" s="589"/>
    </row>
    <row r="1273" spans="1:28">
      <c r="A1273" s="631" t="str">
        <f t="shared" si="20"/>
        <v>TR.03.2115a</v>
      </c>
      <c r="B1273" s="698" t="s">
        <v>4005</v>
      </c>
      <c r="C1273" s="559" t="s">
        <v>799</v>
      </c>
      <c r="D1273" s="562" t="s">
        <v>2117</v>
      </c>
      <c r="E1273" s="696">
        <v>3402</v>
      </c>
      <c r="F1273" s="696">
        <v>138449</v>
      </c>
      <c r="G1273" s="696"/>
      <c r="H1273" s="619"/>
      <c r="K1273" s="619"/>
      <c r="M1273" s="329"/>
      <c r="P1273" s="593"/>
      <c r="Q1273" s="685"/>
      <c r="R1273" s="685"/>
      <c r="S1273" s="329"/>
      <c r="U1273" s="593"/>
      <c r="Z1273" s="329"/>
      <c r="AB1273" s="589"/>
    </row>
    <row r="1274" spans="1:28">
      <c r="A1274" s="631" t="str">
        <f t="shared" si="20"/>
        <v>TR.03.2116a</v>
      </c>
      <c r="B1274" s="698" t="s">
        <v>4006</v>
      </c>
      <c r="C1274" s="559" t="s">
        <v>800</v>
      </c>
      <c r="D1274" s="562" t="s">
        <v>2117</v>
      </c>
      <c r="E1274" s="696">
        <v>3402</v>
      </c>
      <c r="F1274" s="696">
        <v>155755</v>
      </c>
      <c r="G1274" s="696"/>
      <c r="H1274" s="619"/>
      <c r="K1274" s="619"/>
      <c r="M1274" s="329"/>
      <c r="P1274" s="593"/>
      <c r="Q1274" s="685"/>
      <c r="R1274" s="685"/>
      <c r="S1274" s="329"/>
      <c r="U1274" s="593"/>
      <c r="Z1274" s="329"/>
      <c r="AB1274" s="589"/>
    </row>
    <row r="1275" spans="1:28">
      <c r="A1275" s="631" t="str">
        <f t="shared" si="20"/>
        <v>TR.03.2117a</v>
      </c>
      <c r="B1275" s="698" t="s">
        <v>4007</v>
      </c>
      <c r="C1275" s="559" t="s">
        <v>622</v>
      </c>
      <c r="D1275" s="562" t="s">
        <v>2117</v>
      </c>
      <c r="E1275" s="696">
        <v>4226</v>
      </c>
      <c r="F1275" s="696">
        <v>187122</v>
      </c>
      <c r="G1275" s="696"/>
      <c r="H1275" s="619"/>
      <c r="K1275" s="619"/>
      <c r="M1275" s="329"/>
      <c r="P1275" s="593"/>
      <c r="Q1275" s="685"/>
      <c r="R1275" s="685"/>
      <c r="S1275" s="329"/>
      <c r="U1275" s="593"/>
      <c r="Z1275" s="329"/>
      <c r="AB1275" s="589"/>
    </row>
    <row r="1276" spans="1:28" ht="13.5">
      <c r="A1276" s="594"/>
      <c r="B1276" s="694" t="s">
        <v>3864</v>
      </c>
      <c r="C1276" s="559"/>
      <c r="D1276" s="562"/>
      <c r="E1276" s="696"/>
      <c r="F1276" s="696"/>
      <c r="G1276" s="696"/>
      <c r="H1276" s="619"/>
      <c r="K1276" s="619"/>
      <c r="M1276" s="329"/>
      <c r="P1276" s="593"/>
      <c r="Q1276" s="685"/>
      <c r="R1276" s="685"/>
      <c r="S1276" s="329"/>
      <c r="U1276" s="593"/>
      <c r="Z1276" s="329"/>
      <c r="AB1276" s="589"/>
    </row>
    <row r="1277" spans="1:28">
      <c r="A1277" s="631" t="str">
        <f t="shared" ref="A1277:A1283" si="21">"TR."&amp;B1277</f>
        <v>TR.03.2311a</v>
      </c>
      <c r="B1277" s="698" t="s">
        <v>5472</v>
      </c>
      <c r="C1277" s="559" t="s">
        <v>2421</v>
      </c>
      <c r="D1277" s="562" t="s">
        <v>2117</v>
      </c>
      <c r="E1277" s="696">
        <v>4578</v>
      </c>
      <c r="F1277" s="696">
        <v>200102</v>
      </c>
      <c r="G1277" s="696"/>
      <c r="H1277" s="619"/>
      <c r="K1277" s="619"/>
      <c r="M1277" s="329"/>
      <c r="P1277" s="593"/>
      <c r="Q1277" s="685"/>
      <c r="R1277" s="685"/>
      <c r="S1277" s="329"/>
      <c r="U1277" s="593"/>
      <c r="Z1277" s="329"/>
      <c r="AB1277" s="589"/>
    </row>
    <row r="1278" spans="1:28">
      <c r="A1278" s="631" t="str">
        <f t="shared" si="21"/>
        <v>TR.03.2312a</v>
      </c>
      <c r="B1278" s="698" t="s">
        <v>5473</v>
      </c>
      <c r="C1278" s="559" t="s">
        <v>2422</v>
      </c>
      <c r="D1278" s="562" t="s">
        <v>2117</v>
      </c>
      <c r="E1278" s="696">
        <v>4578</v>
      </c>
      <c r="F1278" s="696">
        <v>221734</v>
      </c>
      <c r="G1278" s="696"/>
      <c r="H1278" s="619"/>
      <c r="K1278" s="619"/>
      <c r="M1278" s="329"/>
      <c r="P1278" s="593"/>
      <c r="Q1278" s="685"/>
      <c r="R1278" s="685"/>
      <c r="S1278" s="329"/>
      <c r="U1278" s="593"/>
      <c r="Z1278" s="329"/>
      <c r="AB1278" s="589"/>
    </row>
    <row r="1279" spans="1:28">
      <c r="A1279" s="631" t="str">
        <f t="shared" si="21"/>
        <v>TR.03.2313a</v>
      </c>
      <c r="B1279" s="698" t="s">
        <v>5474</v>
      </c>
      <c r="C1279" s="559" t="s">
        <v>4101</v>
      </c>
      <c r="D1279" s="562" t="s">
        <v>2117</v>
      </c>
      <c r="E1279" s="696">
        <v>4683</v>
      </c>
      <c r="F1279" s="696">
        <v>245530</v>
      </c>
      <c r="G1279" s="696"/>
      <c r="H1279" s="619"/>
      <c r="K1279" s="619"/>
      <c r="M1279" s="329"/>
      <c r="P1279" s="593"/>
      <c r="Q1279" s="685"/>
      <c r="R1279" s="685"/>
      <c r="S1279" s="329"/>
      <c r="U1279" s="593"/>
      <c r="Z1279" s="329"/>
      <c r="AB1279" s="589"/>
    </row>
    <row r="1280" spans="1:28">
      <c r="A1280" s="631" t="str">
        <f t="shared" si="21"/>
        <v>TR.03.2314a</v>
      </c>
      <c r="B1280" s="698" t="s">
        <v>5475</v>
      </c>
      <c r="C1280" s="559" t="s">
        <v>4102</v>
      </c>
      <c r="D1280" s="562" t="s">
        <v>2117</v>
      </c>
      <c r="E1280" s="696">
        <v>5376</v>
      </c>
      <c r="F1280" s="696">
        <v>270408</v>
      </c>
      <c r="G1280" s="696"/>
      <c r="H1280" s="619"/>
      <c r="K1280" s="619"/>
      <c r="M1280" s="329"/>
      <c r="P1280" s="593"/>
      <c r="Q1280" s="685"/>
      <c r="R1280" s="685"/>
      <c r="S1280" s="329"/>
      <c r="U1280" s="593"/>
      <c r="Z1280" s="329"/>
      <c r="AB1280" s="589"/>
    </row>
    <row r="1281" spans="1:28">
      <c r="A1281" s="631" t="str">
        <f t="shared" si="21"/>
        <v>TR.03.2315a</v>
      </c>
      <c r="B1281" s="698" t="s">
        <v>5476</v>
      </c>
      <c r="C1281" s="559" t="s">
        <v>2398</v>
      </c>
      <c r="D1281" s="562" t="s">
        <v>2117</v>
      </c>
      <c r="E1281" s="696">
        <v>5481</v>
      </c>
      <c r="F1281" s="696">
        <v>301775</v>
      </c>
      <c r="G1281" s="696"/>
      <c r="H1281" s="619"/>
      <c r="K1281" s="619"/>
      <c r="M1281" s="329"/>
      <c r="P1281" s="593"/>
      <c r="Q1281" s="685"/>
      <c r="R1281" s="685"/>
      <c r="S1281" s="329"/>
      <c r="U1281" s="593"/>
      <c r="Z1281" s="329"/>
      <c r="AB1281" s="589"/>
    </row>
    <row r="1282" spans="1:28">
      <c r="A1282" s="631" t="str">
        <f t="shared" si="21"/>
        <v>TR.03.2316a</v>
      </c>
      <c r="B1282" s="698" t="s">
        <v>5477</v>
      </c>
      <c r="C1282" s="559" t="s">
        <v>4992</v>
      </c>
      <c r="D1282" s="562" t="s">
        <v>2117</v>
      </c>
      <c r="E1282" s="696">
        <v>5481</v>
      </c>
      <c r="F1282" s="696">
        <v>391550</v>
      </c>
      <c r="G1282" s="696"/>
      <c r="H1282" s="619"/>
      <c r="K1282" s="619"/>
      <c r="M1282" s="329"/>
      <c r="P1282" s="593"/>
      <c r="Q1282" s="685"/>
      <c r="R1282" s="685"/>
      <c r="S1282" s="329"/>
      <c r="U1282" s="593"/>
      <c r="Z1282" s="329"/>
      <c r="AB1282" s="589"/>
    </row>
    <row r="1283" spans="1:28">
      <c r="A1283" s="631" t="str">
        <f t="shared" si="21"/>
        <v>TR.03.2317a</v>
      </c>
      <c r="B1283" s="698" t="s">
        <v>5478</v>
      </c>
      <c r="C1283" s="559" t="s">
        <v>4993</v>
      </c>
      <c r="D1283" s="562" t="s">
        <v>2117</v>
      </c>
      <c r="E1283" s="696">
        <v>6582</v>
      </c>
      <c r="F1283" s="696">
        <v>469427</v>
      </c>
      <c r="G1283" s="696"/>
      <c r="H1283" s="619"/>
      <c r="K1283" s="619"/>
      <c r="M1283" s="329"/>
      <c r="P1283" s="593"/>
      <c r="Q1283" s="685"/>
      <c r="R1283" s="685"/>
      <c r="S1283" s="329"/>
      <c r="U1283" s="593"/>
      <c r="Z1283" s="329"/>
      <c r="AB1283" s="589"/>
    </row>
    <row r="1284" spans="1:28">
      <c r="A1284" s="631" t="str">
        <f>"TR."&amp;B1284&amp;"b"</f>
        <v>TR.03.2311ab</v>
      </c>
      <c r="B1284" s="698" t="s">
        <v>5472</v>
      </c>
      <c r="C1284" s="559" t="s">
        <v>4994</v>
      </c>
      <c r="D1284" s="562" t="s">
        <v>2117</v>
      </c>
      <c r="E1284" s="696">
        <v>4578</v>
      </c>
      <c r="F1284" s="696">
        <v>360184</v>
      </c>
      <c r="G1284" s="696"/>
      <c r="H1284" s="619" t="s">
        <v>3515</v>
      </c>
      <c r="I1284" s="697" t="s">
        <v>5464</v>
      </c>
      <c r="K1284" s="619"/>
      <c r="M1284" s="329"/>
      <c r="P1284" s="593"/>
      <c r="Q1284" s="685"/>
      <c r="R1284" s="685"/>
      <c r="S1284" s="329"/>
      <c r="U1284" s="593"/>
      <c r="Z1284" s="329"/>
      <c r="AB1284" s="589"/>
    </row>
    <row r="1285" spans="1:28">
      <c r="A1285" s="631" t="str">
        <f t="shared" ref="A1285:A1290" si="22">"TR."&amp;B1285&amp;"b"</f>
        <v>TR.03.2312ab</v>
      </c>
      <c r="B1285" s="698" t="s">
        <v>5473</v>
      </c>
      <c r="C1285" s="559" t="s">
        <v>4995</v>
      </c>
      <c r="D1285" s="562" t="s">
        <v>2117</v>
      </c>
      <c r="E1285" s="696">
        <v>4578</v>
      </c>
      <c r="F1285" s="696">
        <v>399121</v>
      </c>
      <c r="G1285" s="696"/>
      <c r="H1285" s="619" t="s">
        <v>3516</v>
      </c>
      <c r="I1285" s="697" t="s">
        <v>5464</v>
      </c>
      <c r="K1285" s="619"/>
      <c r="M1285" s="329"/>
      <c r="P1285" s="593"/>
      <c r="Q1285" s="685"/>
      <c r="R1285" s="685"/>
      <c r="S1285" s="329"/>
      <c r="U1285" s="593"/>
      <c r="Z1285" s="329"/>
      <c r="AB1285" s="589"/>
    </row>
    <row r="1286" spans="1:28">
      <c r="A1286" s="631" t="str">
        <f t="shared" si="22"/>
        <v>TR.03.2313ab</v>
      </c>
      <c r="B1286" s="698" t="s">
        <v>5474</v>
      </c>
      <c r="C1286" s="559" t="s">
        <v>4996</v>
      </c>
      <c r="D1286" s="562" t="s">
        <v>2117</v>
      </c>
      <c r="E1286" s="696">
        <v>4683</v>
      </c>
      <c r="F1286" s="696">
        <v>441954</v>
      </c>
      <c r="G1286" s="696"/>
      <c r="H1286" s="619" t="s">
        <v>3517</v>
      </c>
      <c r="I1286" s="697" t="s">
        <v>5464</v>
      </c>
      <c r="K1286" s="619"/>
      <c r="M1286" s="329"/>
      <c r="P1286" s="593"/>
      <c r="Q1286" s="685"/>
      <c r="R1286" s="685"/>
      <c r="S1286" s="329"/>
      <c r="U1286" s="593"/>
      <c r="Z1286" s="329"/>
      <c r="AB1286" s="589"/>
    </row>
    <row r="1287" spans="1:28">
      <c r="A1287" s="631" t="str">
        <f t="shared" si="22"/>
        <v>TR.03.2314ab</v>
      </c>
      <c r="B1287" s="698" t="s">
        <v>5475</v>
      </c>
      <c r="C1287" s="559" t="s">
        <v>4997</v>
      </c>
      <c r="D1287" s="562" t="s">
        <v>2117</v>
      </c>
      <c r="E1287" s="696">
        <v>5376</v>
      </c>
      <c r="F1287" s="696">
        <v>486734</v>
      </c>
      <c r="G1287" s="696"/>
      <c r="H1287" s="619" t="s">
        <v>3518</v>
      </c>
      <c r="I1287" s="697" t="s">
        <v>5464</v>
      </c>
      <c r="K1287" s="619"/>
      <c r="M1287" s="329"/>
      <c r="P1287" s="593"/>
      <c r="Q1287" s="685"/>
      <c r="R1287" s="685"/>
      <c r="S1287" s="329"/>
      <c r="U1287" s="593"/>
      <c r="Z1287" s="329"/>
      <c r="AB1287" s="589"/>
    </row>
    <row r="1288" spans="1:28">
      <c r="A1288" s="631" t="str">
        <f t="shared" si="22"/>
        <v>TR.03.2315ab</v>
      </c>
      <c r="B1288" s="698" t="s">
        <v>5476</v>
      </c>
      <c r="C1288" s="559" t="s">
        <v>4998</v>
      </c>
      <c r="D1288" s="562" t="s">
        <v>2117</v>
      </c>
      <c r="E1288" s="696">
        <v>5481</v>
      </c>
      <c r="F1288" s="696">
        <v>543195</v>
      </c>
      <c r="G1288" s="696"/>
      <c r="H1288" s="619" t="s">
        <v>3519</v>
      </c>
      <c r="I1288" s="697" t="s">
        <v>5464</v>
      </c>
      <c r="K1288" s="619"/>
      <c r="M1288" s="329"/>
      <c r="P1288" s="593"/>
      <c r="Q1288" s="685"/>
      <c r="R1288" s="685"/>
      <c r="S1288" s="329"/>
      <c r="U1288" s="593"/>
      <c r="Z1288" s="329"/>
      <c r="AB1288" s="589"/>
    </row>
    <row r="1289" spans="1:28">
      <c r="A1289" s="631" t="str">
        <f t="shared" si="22"/>
        <v>TR.03.2316ab</v>
      </c>
      <c r="B1289" s="698" t="s">
        <v>5477</v>
      </c>
      <c r="C1289" s="559" t="s">
        <v>4999</v>
      </c>
      <c r="D1289" s="562" t="s">
        <v>2117</v>
      </c>
      <c r="E1289" s="696">
        <v>5481</v>
      </c>
      <c r="F1289" s="696">
        <v>704790</v>
      </c>
      <c r="G1289" s="696"/>
      <c r="H1289" s="619" t="s">
        <v>3520</v>
      </c>
      <c r="I1289" s="697" t="s">
        <v>5464</v>
      </c>
      <c r="K1289" s="619"/>
      <c r="M1289" s="329"/>
      <c r="P1289" s="593"/>
      <c r="Q1289" s="685"/>
      <c r="R1289" s="685"/>
      <c r="S1289" s="329"/>
      <c r="U1289" s="593"/>
      <c r="Z1289" s="329"/>
      <c r="AB1289" s="589"/>
    </row>
    <row r="1290" spans="1:28">
      <c r="A1290" s="631" t="str">
        <f t="shared" si="22"/>
        <v>TR.03.2317ab</v>
      </c>
      <c r="B1290" s="698" t="s">
        <v>5478</v>
      </c>
      <c r="C1290" s="559" t="s">
        <v>3514</v>
      </c>
      <c r="D1290" s="562" t="s">
        <v>2117</v>
      </c>
      <c r="E1290" s="696">
        <v>6582</v>
      </c>
      <c r="F1290" s="696">
        <v>844969</v>
      </c>
      <c r="G1290" s="696"/>
      <c r="H1290" s="619" t="s">
        <v>5325</v>
      </c>
      <c r="I1290" s="697" t="s">
        <v>5464</v>
      </c>
      <c r="K1290" s="619"/>
      <c r="M1290" s="329"/>
      <c r="P1290" s="593"/>
      <c r="Q1290" s="685"/>
      <c r="R1290" s="685"/>
      <c r="S1290" s="329"/>
      <c r="U1290" s="593"/>
      <c r="Z1290" s="329"/>
      <c r="AB1290" s="589"/>
    </row>
    <row r="1291" spans="1:28" ht="13.5">
      <c r="A1291" s="594"/>
      <c r="B1291" s="694" t="s">
        <v>2795</v>
      </c>
      <c r="C1291" s="559"/>
      <c r="D1291" s="562"/>
      <c r="E1291" s="696"/>
      <c r="F1291" s="696"/>
      <c r="G1291" s="696"/>
      <c r="H1291" s="619"/>
      <c r="K1291" s="619"/>
      <c r="M1291" s="329"/>
      <c r="P1291" s="593"/>
      <c r="Q1291" s="685"/>
      <c r="R1291" s="685"/>
      <c r="S1291" s="329"/>
      <c r="U1291" s="593"/>
      <c r="Z1291" s="329"/>
      <c r="AB1291" s="589"/>
    </row>
    <row r="1292" spans="1:28">
      <c r="A1292" s="631" t="str">
        <f t="shared" ref="A1292:A1304" si="23">"TR."&amp;B1292</f>
        <v>TR.03.3111</v>
      </c>
      <c r="B1292" s="702" t="s">
        <v>2797</v>
      </c>
      <c r="C1292" s="559" t="s">
        <v>5068</v>
      </c>
      <c r="D1292" s="562" t="s">
        <v>2796</v>
      </c>
      <c r="E1292" s="696">
        <v>4946</v>
      </c>
      <c r="F1292" s="696">
        <v>205510</v>
      </c>
      <c r="G1292" s="696"/>
      <c r="H1292" s="619"/>
      <c r="K1292" s="619"/>
      <c r="M1292" s="329"/>
      <c r="P1292" s="593"/>
      <c r="Q1292" s="685"/>
      <c r="R1292" s="685"/>
      <c r="S1292" s="329"/>
      <c r="U1292" s="593"/>
      <c r="Z1292" s="329"/>
      <c r="AB1292" s="589"/>
    </row>
    <row r="1293" spans="1:28">
      <c r="A1293" s="631" t="str">
        <f t="shared" si="23"/>
        <v>TR.03.3112</v>
      </c>
      <c r="B1293" s="702" t="s">
        <v>2798</v>
      </c>
      <c r="C1293" s="559" t="s">
        <v>5069</v>
      </c>
      <c r="D1293" s="562" t="s">
        <v>2796</v>
      </c>
      <c r="E1293" s="696">
        <v>4946</v>
      </c>
      <c r="F1293" s="696">
        <v>209836</v>
      </c>
      <c r="G1293" s="696"/>
      <c r="H1293" s="619"/>
      <c r="K1293" s="619"/>
      <c r="M1293" s="329"/>
      <c r="P1293" s="593"/>
      <c r="Q1293" s="685"/>
      <c r="R1293" s="685"/>
      <c r="S1293" s="329"/>
      <c r="U1293" s="593"/>
      <c r="Z1293" s="329"/>
      <c r="AB1293" s="589"/>
    </row>
    <row r="1294" spans="1:28">
      <c r="A1294" s="631" t="str">
        <f t="shared" si="23"/>
        <v>TR.03.3113</v>
      </c>
      <c r="B1294" s="702" t="s">
        <v>2799</v>
      </c>
      <c r="C1294" s="559" t="s">
        <v>2473</v>
      </c>
      <c r="D1294" s="562" t="s">
        <v>2796</v>
      </c>
      <c r="E1294" s="696">
        <v>4946</v>
      </c>
      <c r="F1294" s="696">
        <v>231469</v>
      </c>
      <c r="G1294" s="696"/>
      <c r="H1294" s="619"/>
      <c r="K1294" s="619"/>
      <c r="M1294" s="329"/>
      <c r="P1294" s="593"/>
      <c r="Q1294" s="685"/>
      <c r="R1294" s="685"/>
      <c r="S1294" s="329"/>
      <c r="U1294" s="593"/>
      <c r="Z1294" s="329"/>
      <c r="AB1294" s="589"/>
    </row>
    <row r="1295" spans="1:28">
      <c r="A1295" s="631" t="str">
        <f t="shared" si="23"/>
        <v>TR.03.3114</v>
      </c>
      <c r="B1295" s="702" t="s">
        <v>2800</v>
      </c>
      <c r="C1295" s="559" t="s">
        <v>2474</v>
      </c>
      <c r="D1295" s="562" t="s">
        <v>2796</v>
      </c>
      <c r="E1295" s="696">
        <v>6248</v>
      </c>
      <c r="F1295" s="696">
        <v>256346</v>
      </c>
      <c r="G1295" s="696"/>
      <c r="H1295" s="619"/>
      <c r="K1295" s="619"/>
      <c r="M1295" s="329"/>
      <c r="P1295" s="593"/>
      <c r="Q1295" s="685"/>
      <c r="R1295" s="685"/>
      <c r="S1295" s="329"/>
      <c r="U1295" s="593"/>
      <c r="Z1295" s="329"/>
      <c r="AB1295" s="589"/>
    </row>
    <row r="1296" spans="1:28">
      <c r="A1296" s="631" t="str">
        <f t="shared" si="23"/>
        <v>TR.03.3115</v>
      </c>
      <c r="B1296" s="702" t="s">
        <v>5755</v>
      </c>
      <c r="C1296" s="559" t="s">
        <v>2475</v>
      </c>
      <c r="D1296" s="562" t="s">
        <v>2796</v>
      </c>
      <c r="E1296" s="696">
        <v>6248</v>
      </c>
      <c r="F1296" s="696">
        <v>277979</v>
      </c>
      <c r="G1296" s="696"/>
      <c r="H1296" s="619"/>
      <c r="K1296" s="619"/>
      <c r="M1296" s="329"/>
      <c r="P1296" s="593"/>
      <c r="Q1296" s="685"/>
      <c r="R1296" s="685"/>
      <c r="S1296" s="329"/>
      <c r="U1296" s="593"/>
      <c r="Z1296" s="329"/>
      <c r="AB1296" s="589"/>
    </row>
    <row r="1297" spans="1:28">
      <c r="A1297" s="631" t="str">
        <f t="shared" si="23"/>
        <v>TR.03.3116</v>
      </c>
      <c r="B1297" s="702" t="s">
        <v>5756</v>
      </c>
      <c r="C1297" s="559" t="s">
        <v>2476</v>
      </c>
      <c r="D1297" s="562" t="s">
        <v>2796</v>
      </c>
      <c r="E1297" s="696">
        <v>6248</v>
      </c>
      <c r="F1297" s="696">
        <v>301775</v>
      </c>
      <c r="G1297" s="696"/>
      <c r="H1297" s="619"/>
      <c r="K1297" s="619"/>
      <c r="M1297" s="329"/>
      <c r="P1297" s="593"/>
      <c r="Q1297" s="685"/>
      <c r="R1297" s="685"/>
      <c r="S1297" s="329"/>
      <c r="U1297" s="593"/>
      <c r="Z1297" s="329"/>
      <c r="AB1297" s="589"/>
    </row>
    <row r="1298" spans="1:28">
      <c r="A1298" s="631" t="str">
        <f t="shared" si="23"/>
        <v>TR.03.3117</v>
      </c>
      <c r="B1298" s="702" t="s">
        <v>5757</v>
      </c>
      <c r="C1298" s="559" t="s">
        <v>2477</v>
      </c>
      <c r="D1298" s="562" t="s">
        <v>2796</v>
      </c>
      <c r="E1298" s="696">
        <v>7497</v>
      </c>
      <c r="F1298" s="696">
        <v>362346</v>
      </c>
      <c r="G1298" s="696"/>
      <c r="H1298" s="619"/>
      <c r="K1298" s="619"/>
      <c r="M1298" s="329"/>
      <c r="P1298" s="593"/>
      <c r="Q1298" s="685"/>
      <c r="R1298" s="685"/>
      <c r="S1298" s="329"/>
      <c r="U1298" s="593"/>
      <c r="Z1298" s="329"/>
      <c r="AB1298" s="589"/>
    </row>
    <row r="1299" spans="1:28">
      <c r="A1299" s="631" t="str">
        <f t="shared" si="23"/>
        <v>TR.03.3311a</v>
      </c>
      <c r="B1299" s="702" t="s">
        <v>5758</v>
      </c>
      <c r="C1299" s="559" t="s">
        <v>4100</v>
      </c>
      <c r="D1299" s="562" t="s">
        <v>2796</v>
      </c>
      <c r="E1299" s="696">
        <v>11183</v>
      </c>
      <c r="F1299" s="696">
        <v>416428</v>
      </c>
      <c r="G1299" s="696"/>
      <c r="H1299" s="619"/>
      <c r="K1299" s="619"/>
      <c r="M1299" s="329"/>
      <c r="P1299" s="593"/>
      <c r="Q1299" s="685"/>
      <c r="R1299" s="685"/>
      <c r="S1299" s="329"/>
      <c r="U1299" s="593"/>
      <c r="Z1299" s="329"/>
      <c r="AB1299" s="589"/>
    </row>
    <row r="1300" spans="1:28">
      <c r="A1300" s="631" t="str">
        <f t="shared" si="23"/>
        <v>TR.03.3312a</v>
      </c>
      <c r="B1300" s="702" t="s">
        <v>5759</v>
      </c>
      <c r="C1300" s="559" t="s">
        <v>2225</v>
      </c>
      <c r="D1300" s="562" t="s">
        <v>2796</v>
      </c>
      <c r="E1300" s="696">
        <v>11183</v>
      </c>
      <c r="F1300" s="696">
        <v>451040</v>
      </c>
      <c r="G1300" s="696"/>
      <c r="H1300" s="619"/>
      <c r="K1300" s="619"/>
      <c r="M1300" s="329"/>
      <c r="P1300" s="593"/>
      <c r="Q1300" s="685"/>
      <c r="R1300" s="685"/>
      <c r="S1300" s="329"/>
      <c r="U1300" s="593"/>
      <c r="Z1300" s="329"/>
      <c r="AB1300" s="589"/>
    </row>
    <row r="1301" spans="1:28">
      <c r="A1301" s="631" t="str">
        <f t="shared" si="23"/>
        <v>TR.03.3313a</v>
      </c>
      <c r="B1301" s="702" t="s">
        <v>1934</v>
      </c>
      <c r="C1301" s="559" t="s">
        <v>1894</v>
      </c>
      <c r="D1301" s="562" t="s">
        <v>2796</v>
      </c>
      <c r="E1301" s="696">
        <v>11183</v>
      </c>
      <c r="F1301" s="696">
        <v>504040</v>
      </c>
      <c r="G1301" s="696"/>
      <c r="H1301" s="619"/>
      <c r="K1301" s="619"/>
      <c r="M1301" s="329"/>
      <c r="P1301" s="593"/>
      <c r="Q1301" s="685"/>
      <c r="R1301" s="685"/>
      <c r="S1301" s="329"/>
      <c r="U1301" s="593"/>
      <c r="Z1301" s="329"/>
      <c r="AB1301" s="589"/>
    </row>
    <row r="1302" spans="1:28">
      <c r="A1302" s="631" t="str">
        <f t="shared" si="23"/>
        <v>TR.03.3314a</v>
      </c>
      <c r="B1302" s="702" t="s">
        <v>1935</v>
      </c>
      <c r="C1302" s="559" t="s">
        <v>1895</v>
      </c>
      <c r="D1302" s="562" t="s">
        <v>2796</v>
      </c>
      <c r="E1302" s="696">
        <v>14910</v>
      </c>
      <c r="F1302" s="696">
        <v>554876</v>
      </c>
      <c r="G1302" s="696"/>
      <c r="H1302" s="619"/>
      <c r="K1302" s="619"/>
      <c r="M1302" s="329"/>
      <c r="P1302" s="593"/>
      <c r="Q1302" s="685"/>
      <c r="R1302" s="685"/>
      <c r="S1302" s="329"/>
      <c r="U1302" s="593"/>
      <c r="Z1302" s="329"/>
      <c r="AB1302" s="589"/>
    </row>
    <row r="1303" spans="1:28">
      <c r="A1303" s="631" t="str">
        <f t="shared" si="23"/>
        <v>TR.03.3315a</v>
      </c>
      <c r="B1303" s="702" t="s">
        <v>986</v>
      </c>
      <c r="C1303" s="559" t="s">
        <v>2780</v>
      </c>
      <c r="D1303" s="562" t="s">
        <v>2796</v>
      </c>
      <c r="E1303" s="696">
        <v>14910</v>
      </c>
      <c r="F1303" s="696">
        <v>606794</v>
      </c>
      <c r="G1303" s="696"/>
      <c r="H1303" s="619"/>
      <c r="K1303" s="619"/>
      <c r="M1303" s="329"/>
      <c r="P1303" s="593"/>
      <c r="Q1303" s="685"/>
      <c r="R1303" s="685"/>
      <c r="S1303" s="329"/>
      <c r="U1303" s="593"/>
      <c r="Z1303" s="329"/>
      <c r="AB1303" s="589"/>
    </row>
    <row r="1304" spans="1:28">
      <c r="A1304" s="631" t="str">
        <f t="shared" si="23"/>
        <v>TR.03.3316a</v>
      </c>
      <c r="B1304" s="702" t="s">
        <v>987</v>
      </c>
      <c r="C1304" s="559" t="s">
        <v>2781</v>
      </c>
      <c r="D1304" s="562" t="s">
        <v>2796</v>
      </c>
      <c r="E1304" s="696">
        <v>14910</v>
      </c>
      <c r="F1304" s="696">
        <v>666284</v>
      </c>
      <c r="G1304" s="696"/>
      <c r="H1304" s="619"/>
      <c r="K1304" s="619"/>
      <c r="M1304" s="329"/>
      <c r="P1304" s="593"/>
      <c r="Q1304" s="685"/>
      <c r="R1304" s="685"/>
      <c r="S1304" s="329"/>
      <c r="U1304" s="593"/>
      <c r="Z1304" s="329"/>
      <c r="AB1304" s="589"/>
    </row>
    <row r="1305" spans="1:28">
      <c r="A1305" s="631" t="str">
        <f>"TR."&amp;B1305</f>
        <v>TR.03.3317a</v>
      </c>
      <c r="B1305" s="702" t="s">
        <v>988</v>
      </c>
      <c r="C1305" s="559" t="s">
        <v>2782</v>
      </c>
      <c r="D1305" s="562" t="s">
        <v>2796</v>
      </c>
      <c r="E1305" s="696">
        <v>18391</v>
      </c>
      <c r="F1305" s="696">
        <v>799325</v>
      </c>
      <c r="G1305" s="696"/>
      <c r="H1305" s="619"/>
      <c r="K1305" s="619"/>
      <c r="M1305" s="329"/>
      <c r="P1305" s="593"/>
      <c r="Q1305" s="685"/>
      <c r="R1305" s="685"/>
      <c r="S1305" s="329"/>
      <c r="U1305" s="593"/>
      <c r="Z1305" s="329"/>
      <c r="AB1305" s="589"/>
    </row>
    <row r="1306" spans="1:28" ht="13.5">
      <c r="A1306" s="594"/>
      <c r="B1306" s="694" t="s">
        <v>838</v>
      </c>
      <c r="C1306" s="627"/>
      <c r="D1306" s="571"/>
      <c r="E1306" s="571"/>
      <c r="F1306" s="619"/>
      <c r="G1306" s="619"/>
      <c r="H1306" s="619"/>
      <c r="K1306" s="619"/>
      <c r="M1306" s="329"/>
      <c r="P1306" s="593"/>
      <c r="Q1306" s="685"/>
      <c r="R1306" s="685"/>
      <c r="S1306" s="329"/>
      <c r="U1306" s="593"/>
      <c r="Z1306" s="329"/>
      <c r="AB1306" s="589"/>
    </row>
    <row r="1307" spans="1:28">
      <c r="A1307" s="631" t="str">
        <f t="shared" ref="A1307:A1316" si="24">"TR."&amp;B1307</f>
        <v>TR.03.4001</v>
      </c>
      <c r="B1307" s="564" t="s">
        <v>839</v>
      </c>
      <c r="C1307" s="627" t="s">
        <v>3074</v>
      </c>
      <c r="D1307" s="562" t="s">
        <v>2783</v>
      </c>
      <c r="E1307" s="696">
        <v>3636</v>
      </c>
      <c r="F1307" s="696">
        <v>21633</v>
      </c>
      <c r="G1307" s="696">
        <v>14727</v>
      </c>
      <c r="H1307" s="619"/>
      <c r="K1307" s="619"/>
      <c r="M1307" s="329"/>
      <c r="P1307" s="593"/>
      <c r="Q1307" s="685"/>
      <c r="R1307" s="685"/>
      <c r="S1307" s="329"/>
      <c r="U1307" s="593"/>
      <c r="Z1307" s="329"/>
      <c r="AB1307" s="589"/>
    </row>
    <row r="1308" spans="1:28">
      <c r="A1308" s="631" t="str">
        <f t="shared" si="24"/>
        <v>TR.03.4002</v>
      </c>
      <c r="B1308" s="564" t="s">
        <v>840</v>
      </c>
      <c r="C1308" s="627" t="s">
        <v>287</v>
      </c>
      <c r="D1308" s="562" t="s">
        <v>2783</v>
      </c>
      <c r="E1308" s="696">
        <v>3636</v>
      </c>
      <c r="F1308" s="696">
        <v>37857</v>
      </c>
      <c r="G1308" s="696">
        <v>14727</v>
      </c>
      <c r="H1308" s="619"/>
      <c r="K1308" s="619"/>
      <c r="M1308" s="329"/>
      <c r="P1308" s="593"/>
      <c r="Q1308" s="685"/>
      <c r="R1308" s="685"/>
      <c r="S1308" s="329"/>
      <c r="U1308" s="593"/>
      <c r="Z1308" s="329"/>
      <c r="AB1308" s="589"/>
    </row>
    <row r="1309" spans="1:28">
      <c r="A1309" s="631" t="str">
        <f t="shared" si="24"/>
        <v>TR.03.4003</v>
      </c>
      <c r="B1309" s="564" t="s">
        <v>3831</v>
      </c>
      <c r="C1309" s="627" t="s">
        <v>8</v>
      </c>
      <c r="D1309" s="562" t="s">
        <v>2783</v>
      </c>
      <c r="E1309" s="696">
        <v>3636</v>
      </c>
      <c r="F1309" s="696">
        <v>59490</v>
      </c>
      <c r="G1309" s="696">
        <v>17672</v>
      </c>
      <c r="H1309" s="619"/>
      <c r="K1309" s="619"/>
      <c r="M1309" s="329"/>
      <c r="P1309" s="593"/>
      <c r="Q1309" s="685"/>
      <c r="R1309" s="685"/>
      <c r="S1309" s="329"/>
      <c r="U1309" s="593"/>
      <c r="Z1309" s="329"/>
      <c r="AB1309" s="589"/>
    </row>
    <row r="1310" spans="1:28">
      <c r="A1310" s="631" t="str">
        <f t="shared" si="24"/>
        <v>TR.03.4004</v>
      </c>
      <c r="B1310" s="564" t="s">
        <v>3832</v>
      </c>
      <c r="C1310" s="627" t="s">
        <v>9</v>
      </c>
      <c r="D1310" s="562" t="s">
        <v>2783</v>
      </c>
      <c r="E1310" s="696">
        <v>4040</v>
      </c>
      <c r="F1310" s="696">
        <v>75714</v>
      </c>
      <c r="G1310" s="696">
        <v>17672</v>
      </c>
      <c r="H1310" s="619"/>
      <c r="K1310" s="619"/>
      <c r="M1310" s="329"/>
      <c r="P1310" s="593"/>
      <c r="Q1310" s="685"/>
      <c r="R1310" s="685"/>
      <c r="S1310" s="329"/>
      <c r="U1310" s="593"/>
      <c r="Z1310" s="329"/>
      <c r="AB1310" s="589"/>
    </row>
    <row r="1311" spans="1:28">
      <c r="A1311" s="631" t="str">
        <f t="shared" si="24"/>
        <v>TR.03.4005</v>
      </c>
      <c r="B1311" s="564" t="s">
        <v>3833</v>
      </c>
      <c r="C1311" s="627" t="s">
        <v>10</v>
      </c>
      <c r="D1311" s="562" t="s">
        <v>2783</v>
      </c>
      <c r="E1311" s="696">
        <v>10908</v>
      </c>
      <c r="F1311" s="696">
        <v>97347</v>
      </c>
      <c r="G1311" s="696">
        <v>20617</v>
      </c>
      <c r="H1311" s="619"/>
      <c r="K1311" s="619"/>
      <c r="M1311" s="329"/>
      <c r="P1311" s="593"/>
      <c r="Q1311" s="685"/>
      <c r="R1311" s="685"/>
      <c r="S1311" s="329"/>
      <c r="U1311" s="593"/>
      <c r="Z1311" s="329"/>
      <c r="AB1311" s="589"/>
    </row>
    <row r="1312" spans="1:28">
      <c r="A1312" s="631" t="str">
        <f t="shared" si="24"/>
        <v>TR.03.4006</v>
      </c>
      <c r="B1312" s="564" t="s">
        <v>3834</v>
      </c>
      <c r="C1312" s="627" t="s">
        <v>11</v>
      </c>
      <c r="D1312" s="562" t="s">
        <v>2783</v>
      </c>
      <c r="E1312" s="696">
        <v>10908</v>
      </c>
      <c r="F1312" s="696">
        <v>118979</v>
      </c>
      <c r="G1312" s="696">
        <v>23563</v>
      </c>
      <c r="H1312" s="619"/>
      <c r="K1312" s="619"/>
      <c r="M1312" s="329"/>
      <c r="P1312" s="593"/>
      <c r="Q1312" s="685"/>
      <c r="R1312" s="685"/>
      <c r="S1312" s="329"/>
      <c r="U1312" s="593"/>
      <c r="Z1312" s="329"/>
      <c r="AB1312" s="589"/>
    </row>
    <row r="1313" spans="1:28">
      <c r="A1313" s="631" t="str">
        <f t="shared" si="24"/>
        <v>TR.03.4007</v>
      </c>
      <c r="B1313" s="564" t="s">
        <v>3835</v>
      </c>
      <c r="C1313" s="627" t="s">
        <v>12</v>
      </c>
      <c r="D1313" s="562" t="s">
        <v>2783</v>
      </c>
      <c r="E1313" s="696">
        <v>10908</v>
      </c>
      <c r="F1313" s="696">
        <v>142775</v>
      </c>
      <c r="G1313" s="696">
        <v>26508</v>
      </c>
      <c r="H1313" s="619"/>
      <c r="K1313" s="619"/>
      <c r="M1313" s="329"/>
      <c r="P1313" s="593"/>
      <c r="Q1313" s="685"/>
      <c r="R1313" s="685"/>
      <c r="S1313" s="329"/>
      <c r="U1313" s="593"/>
      <c r="Z1313" s="329"/>
      <c r="AB1313" s="589"/>
    </row>
    <row r="1314" spans="1:28">
      <c r="A1314" s="631" t="str">
        <f t="shared" si="24"/>
        <v>TR.03.4008</v>
      </c>
      <c r="B1314" s="564" t="s">
        <v>1863</v>
      </c>
      <c r="C1314" s="627" t="s">
        <v>5109</v>
      </c>
      <c r="D1314" s="562" t="s">
        <v>2783</v>
      </c>
      <c r="E1314" s="696">
        <v>26664</v>
      </c>
      <c r="F1314" s="696">
        <v>178469</v>
      </c>
      <c r="G1314" s="696">
        <v>29454</v>
      </c>
      <c r="H1314" s="619"/>
      <c r="K1314" s="619"/>
      <c r="M1314" s="329"/>
      <c r="P1314" s="593"/>
      <c r="Q1314" s="685"/>
      <c r="R1314" s="685"/>
      <c r="S1314" s="329"/>
      <c r="U1314" s="593"/>
      <c r="Z1314" s="329"/>
      <c r="AB1314" s="589"/>
    </row>
    <row r="1315" spans="1:28">
      <c r="A1315" s="631" t="str">
        <f t="shared" si="24"/>
        <v>TR.03.4009</v>
      </c>
      <c r="B1315" s="564" t="s">
        <v>1864</v>
      </c>
      <c r="C1315" s="627" t="s">
        <v>5110</v>
      </c>
      <c r="D1315" s="562" t="s">
        <v>2783</v>
      </c>
      <c r="E1315" s="696">
        <v>26664</v>
      </c>
      <c r="F1315" s="696">
        <v>211999</v>
      </c>
      <c r="G1315" s="696">
        <v>41235</v>
      </c>
      <c r="H1315" s="619"/>
      <c r="K1315" s="619"/>
      <c r="M1315" s="329"/>
      <c r="P1315" s="593"/>
      <c r="Q1315" s="685"/>
      <c r="R1315" s="685"/>
      <c r="S1315" s="329"/>
      <c r="U1315" s="593"/>
      <c r="Z1315" s="329"/>
      <c r="AB1315" s="589"/>
    </row>
    <row r="1316" spans="1:28">
      <c r="A1316" s="631" t="str">
        <f t="shared" si="24"/>
        <v>TR.03.4010</v>
      </c>
      <c r="B1316" s="564" t="s">
        <v>5553</v>
      </c>
      <c r="C1316" s="627" t="s">
        <v>5111</v>
      </c>
      <c r="D1316" s="562" t="s">
        <v>2783</v>
      </c>
      <c r="E1316" s="696">
        <v>26664</v>
      </c>
      <c r="F1316" s="696">
        <v>282305</v>
      </c>
      <c r="G1316" s="696">
        <v>53016</v>
      </c>
      <c r="H1316" s="619"/>
      <c r="K1316" s="619"/>
      <c r="M1316" s="329"/>
      <c r="P1316" s="593"/>
      <c r="Q1316" s="685"/>
      <c r="R1316" s="685"/>
      <c r="S1316" s="329"/>
      <c r="U1316" s="593"/>
      <c r="Z1316" s="329"/>
      <c r="AB1316" s="589"/>
    </row>
    <row r="1317" spans="1:28" ht="13.5">
      <c r="A1317" s="594"/>
      <c r="B1317" s="694" t="s">
        <v>5554</v>
      </c>
      <c r="C1317" s="627"/>
      <c r="D1317" s="571"/>
      <c r="E1317" s="571"/>
      <c r="F1317" s="619"/>
      <c r="G1317" s="619"/>
      <c r="H1317" s="703"/>
      <c r="K1317" s="619"/>
      <c r="M1317" s="329"/>
      <c r="P1317" s="593"/>
      <c r="Q1317" s="685"/>
      <c r="R1317" s="685"/>
      <c r="S1317" s="329"/>
      <c r="U1317" s="593"/>
      <c r="Z1317" s="329"/>
      <c r="AB1317" s="589"/>
    </row>
    <row r="1318" spans="1:28">
      <c r="A1318" s="631" t="str">
        <f t="shared" ref="A1318:A1330" si="25">"TR."&amp;B1318</f>
        <v>TR.04.1102</v>
      </c>
      <c r="B1318" s="702" t="s">
        <v>5555</v>
      </c>
      <c r="C1318" s="559" t="s">
        <v>1937</v>
      </c>
      <c r="D1318" s="562" t="s">
        <v>5276</v>
      </c>
      <c r="E1318" s="696">
        <v>315</v>
      </c>
      <c r="F1318" s="696">
        <v>121774</v>
      </c>
      <c r="G1318" s="619"/>
      <c r="H1318" s="703"/>
      <c r="K1318" s="619"/>
      <c r="M1318" s="329"/>
      <c r="P1318" s="593"/>
      <c r="Q1318" s="685"/>
      <c r="R1318" s="685"/>
      <c r="S1318" s="329"/>
      <c r="U1318" s="593"/>
      <c r="Z1318" s="329"/>
      <c r="AB1318" s="589"/>
    </row>
    <row r="1319" spans="1:28">
      <c r="A1319" s="631" t="str">
        <f t="shared" si="25"/>
        <v>TR.04.1103</v>
      </c>
      <c r="B1319" s="702" t="s">
        <v>5098</v>
      </c>
      <c r="C1319" s="559" t="s">
        <v>1938</v>
      </c>
      <c r="D1319" s="562" t="s">
        <v>5276</v>
      </c>
      <c r="E1319" s="696">
        <v>315</v>
      </c>
      <c r="F1319" s="696">
        <v>160403</v>
      </c>
      <c r="G1319" s="619"/>
      <c r="H1319" s="703"/>
      <c r="K1319" s="619"/>
      <c r="M1319" s="329"/>
      <c r="P1319" s="593"/>
      <c r="Q1319" s="685"/>
      <c r="R1319" s="685"/>
      <c r="S1319" s="329"/>
      <c r="U1319" s="593"/>
      <c r="Z1319" s="329"/>
      <c r="AB1319" s="589"/>
    </row>
    <row r="1320" spans="1:28">
      <c r="A1320" s="631" t="str">
        <f t="shared" si="25"/>
        <v>TR.04.1104</v>
      </c>
      <c r="B1320" s="702" t="s">
        <v>5099</v>
      </c>
      <c r="C1320" s="559" t="s">
        <v>2695</v>
      </c>
      <c r="D1320" s="562" t="s">
        <v>5276</v>
      </c>
      <c r="E1320" s="696">
        <v>315</v>
      </c>
      <c r="F1320" s="696">
        <v>214303</v>
      </c>
      <c r="G1320" s="619"/>
      <c r="H1320" s="703"/>
      <c r="K1320" s="619"/>
      <c r="M1320" s="329"/>
      <c r="P1320" s="593"/>
      <c r="Q1320" s="685"/>
      <c r="R1320" s="685"/>
      <c r="S1320" s="329"/>
      <c r="U1320" s="593"/>
      <c r="Z1320" s="329"/>
      <c r="AB1320" s="589"/>
    </row>
    <row r="1321" spans="1:28">
      <c r="A1321" s="631" t="str">
        <f t="shared" si="25"/>
        <v>TR.04.1105</v>
      </c>
      <c r="B1321" s="702" t="s">
        <v>5100</v>
      </c>
      <c r="C1321" s="559" t="s">
        <v>2696</v>
      </c>
      <c r="D1321" s="562" t="s">
        <v>5276</v>
      </c>
      <c r="E1321" s="696">
        <v>315</v>
      </c>
      <c r="F1321" s="696">
        <v>291859</v>
      </c>
      <c r="G1321" s="619"/>
      <c r="H1321" s="703"/>
      <c r="K1321" s="619"/>
      <c r="M1321" s="329"/>
      <c r="P1321" s="593"/>
      <c r="Q1321" s="685"/>
      <c r="R1321" s="685"/>
      <c r="S1321" s="329"/>
      <c r="U1321" s="593"/>
      <c r="Z1321" s="329"/>
      <c r="AB1321" s="589"/>
    </row>
    <row r="1322" spans="1:28">
      <c r="A1322" s="631" t="str">
        <f t="shared" si="25"/>
        <v>TR.04.1106</v>
      </c>
      <c r="B1322" s="702" t="s">
        <v>5101</v>
      </c>
      <c r="C1322" s="559" t="s">
        <v>2697</v>
      </c>
      <c r="D1322" s="562" t="s">
        <v>5276</v>
      </c>
      <c r="E1322" s="696">
        <v>315</v>
      </c>
      <c r="F1322" s="696">
        <v>327892</v>
      </c>
      <c r="G1322" s="619"/>
      <c r="H1322" s="703"/>
      <c r="K1322" s="619"/>
      <c r="M1322" s="329"/>
      <c r="P1322" s="593"/>
      <c r="Q1322" s="685"/>
      <c r="R1322" s="685"/>
      <c r="S1322" s="329"/>
      <c r="U1322" s="593"/>
      <c r="Z1322" s="329"/>
      <c r="AB1322" s="589"/>
    </row>
    <row r="1323" spans="1:28">
      <c r="A1323" s="631" t="str">
        <f t="shared" si="25"/>
        <v>TR.04.1107</v>
      </c>
      <c r="B1323" s="702" t="s">
        <v>5776</v>
      </c>
      <c r="C1323" s="559" t="s">
        <v>2341</v>
      </c>
      <c r="D1323" s="562" t="s">
        <v>5276</v>
      </c>
      <c r="E1323" s="696">
        <v>378</v>
      </c>
      <c r="F1323" s="696">
        <v>396765</v>
      </c>
      <c r="G1323" s="619"/>
      <c r="H1323" s="703"/>
      <c r="K1323" s="619"/>
      <c r="M1323" s="329"/>
      <c r="P1323" s="593"/>
      <c r="Q1323" s="685"/>
      <c r="R1323" s="685"/>
      <c r="S1323" s="329"/>
      <c r="U1323" s="593"/>
      <c r="Z1323" s="329"/>
      <c r="AB1323" s="589"/>
    </row>
    <row r="1324" spans="1:28">
      <c r="A1324" s="631" t="str">
        <f t="shared" si="25"/>
        <v>TR.04.1201</v>
      </c>
      <c r="B1324" s="702" t="s">
        <v>5102</v>
      </c>
      <c r="C1324" s="559" t="s">
        <v>2342</v>
      </c>
      <c r="D1324" s="562" t="s">
        <v>5276</v>
      </c>
      <c r="E1324" s="696">
        <v>378</v>
      </c>
      <c r="F1324" s="696">
        <v>468232</v>
      </c>
      <c r="G1324" s="619"/>
      <c r="H1324" s="703"/>
      <c r="K1324" s="619"/>
      <c r="M1324" s="329"/>
      <c r="P1324" s="593"/>
      <c r="Q1324" s="685"/>
      <c r="R1324" s="685"/>
      <c r="S1324" s="329"/>
      <c r="U1324" s="593"/>
      <c r="Z1324" s="329"/>
      <c r="AB1324" s="589"/>
    </row>
    <row r="1325" spans="1:28">
      <c r="A1325" s="631" t="str">
        <f t="shared" si="25"/>
        <v>TR.04.1202</v>
      </c>
      <c r="B1325" s="702" t="s">
        <v>5103</v>
      </c>
      <c r="C1325" s="559" t="s">
        <v>2343</v>
      </c>
      <c r="D1325" s="562" t="s">
        <v>5276</v>
      </c>
      <c r="E1325" s="696">
        <v>378</v>
      </c>
      <c r="F1325" s="696">
        <v>514946</v>
      </c>
      <c r="G1325" s="619"/>
      <c r="H1325" s="703"/>
      <c r="K1325" s="619"/>
      <c r="M1325" s="329"/>
      <c r="P1325" s="593"/>
      <c r="Q1325" s="685"/>
      <c r="R1325" s="685"/>
      <c r="S1325" s="329"/>
      <c r="U1325" s="593"/>
      <c r="Z1325" s="329"/>
      <c r="AB1325" s="589"/>
    </row>
    <row r="1326" spans="1:28">
      <c r="A1326" s="631" t="str">
        <f t="shared" si="25"/>
        <v>TR.04.1203</v>
      </c>
      <c r="B1326" s="702" t="s">
        <v>5104</v>
      </c>
      <c r="C1326" s="559" t="s">
        <v>2344</v>
      </c>
      <c r="D1326" s="562" t="s">
        <v>5276</v>
      </c>
      <c r="E1326" s="696">
        <v>567</v>
      </c>
      <c r="F1326" s="696">
        <v>649396</v>
      </c>
      <c r="G1326" s="619"/>
      <c r="H1326" s="703"/>
      <c r="K1326" s="619"/>
      <c r="M1326" s="329"/>
      <c r="P1326" s="593"/>
      <c r="Q1326" s="685"/>
      <c r="R1326" s="685"/>
      <c r="S1326" s="329"/>
      <c r="U1326" s="593"/>
      <c r="Z1326" s="329"/>
      <c r="AB1326" s="589"/>
    </row>
    <row r="1327" spans="1:28">
      <c r="A1327" s="631" t="str">
        <f t="shared" si="25"/>
        <v>TR.04.1204</v>
      </c>
      <c r="B1327" s="702" t="s">
        <v>5777</v>
      </c>
      <c r="C1327" s="559" t="s">
        <v>2345</v>
      </c>
      <c r="D1327" s="562" t="s">
        <v>5276</v>
      </c>
      <c r="E1327" s="696">
        <v>567</v>
      </c>
      <c r="F1327" s="696">
        <v>857810</v>
      </c>
      <c r="G1327" s="619"/>
      <c r="H1327" s="703"/>
      <c r="K1327" s="619"/>
      <c r="M1327" s="329"/>
      <c r="P1327" s="593"/>
      <c r="Q1327" s="685"/>
      <c r="R1327" s="685"/>
      <c r="S1327" s="329"/>
      <c r="U1327" s="593"/>
      <c r="Z1327" s="329"/>
      <c r="AB1327" s="589"/>
    </row>
    <row r="1328" spans="1:28">
      <c r="A1328" s="631" t="str">
        <f t="shared" si="25"/>
        <v>TR.04.1205</v>
      </c>
      <c r="B1328" s="702" t="s">
        <v>5778</v>
      </c>
      <c r="C1328" s="559" t="s">
        <v>2346</v>
      </c>
      <c r="D1328" s="562" t="s">
        <v>5276</v>
      </c>
      <c r="E1328" s="696">
        <v>567</v>
      </c>
      <c r="F1328" s="696">
        <v>1005137</v>
      </c>
      <c r="G1328" s="619"/>
      <c r="H1328" s="703"/>
      <c r="K1328" s="619"/>
      <c r="M1328" s="329"/>
      <c r="P1328" s="593"/>
      <c r="Q1328" s="685"/>
      <c r="R1328" s="685"/>
      <c r="S1328" s="329"/>
      <c r="U1328" s="593"/>
      <c r="Z1328" s="329"/>
      <c r="AB1328" s="589"/>
    </row>
    <row r="1329" spans="1:28">
      <c r="A1329" s="631" t="str">
        <f t="shared" si="25"/>
        <v>TR.04.1206</v>
      </c>
      <c r="B1329" s="702" t="s">
        <v>5779</v>
      </c>
      <c r="C1329" s="559" t="s">
        <v>2397</v>
      </c>
      <c r="D1329" s="562" t="s">
        <v>5276</v>
      </c>
      <c r="E1329" s="696">
        <v>567</v>
      </c>
      <c r="F1329" s="696">
        <v>1306578</v>
      </c>
      <c r="G1329" s="619"/>
      <c r="H1329" s="703"/>
      <c r="K1329" s="619"/>
      <c r="M1329" s="329"/>
      <c r="P1329" s="593"/>
      <c r="Q1329" s="685"/>
      <c r="R1329" s="685"/>
      <c r="S1329" s="329"/>
      <c r="U1329" s="593"/>
      <c r="Z1329" s="329"/>
      <c r="AB1329" s="589"/>
    </row>
    <row r="1330" spans="1:28">
      <c r="A1330" s="631" t="str">
        <f t="shared" si="25"/>
        <v>TR.04.1207</v>
      </c>
      <c r="B1330" s="702" t="s">
        <v>5780</v>
      </c>
      <c r="C1330" s="559" t="s">
        <v>2396</v>
      </c>
      <c r="D1330" s="562" t="s">
        <v>5276</v>
      </c>
      <c r="E1330" s="696">
        <v>567</v>
      </c>
      <c r="F1330" s="696">
        <v>1480256</v>
      </c>
      <c r="G1330" s="619"/>
      <c r="H1330" s="703"/>
      <c r="K1330" s="619"/>
      <c r="M1330" s="329"/>
      <c r="P1330" s="593"/>
      <c r="Q1330" s="685"/>
      <c r="R1330" s="685"/>
      <c r="S1330" s="329"/>
      <c r="U1330" s="593"/>
      <c r="Z1330" s="329"/>
      <c r="AB1330" s="589"/>
    </row>
    <row r="1331" spans="1:28">
      <c r="A1331" s="631" t="str">
        <f t="shared" ref="A1331:A1343" si="26">"TR."&amp;B1331&amp;"a"</f>
        <v>TR.04.1102a</v>
      </c>
      <c r="B1331" s="702" t="s">
        <v>5555</v>
      </c>
      <c r="C1331" s="559" t="s">
        <v>2347</v>
      </c>
      <c r="D1331" s="562" t="s">
        <v>5276</v>
      </c>
      <c r="E1331" s="696">
        <v>315</v>
      </c>
      <c r="F1331" s="696">
        <v>158306</v>
      </c>
      <c r="G1331" s="619"/>
      <c r="H1331" s="619" t="s">
        <v>4952</v>
      </c>
      <c r="I1331" s="697" t="s">
        <v>4951</v>
      </c>
      <c r="K1331" s="619"/>
      <c r="M1331" s="329"/>
      <c r="P1331" s="593"/>
      <c r="Q1331" s="685"/>
      <c r="R1331" s="685"/>
      <c r="S1331" s="329"/>
      <c r="U1331" s="593"/>
      <c r="Z1331" s="329"/>
      <c r="AB1331" s="589"/>
    </row>
    <row r="1332" spans="1:28">
      <c r="A1332" s="631" t="str">
        <f t="shared" si="26"/>
        <v>TR.04.1103a</v>
      </c>
      <c r="B1332" s="702" t="s">
        <v>5098</v>
      </c>
      <c r="C1332" s="559" t="s">
        <v>3694</v>
      </c>
      <c r="D1332" s="562" t="s">
        <v>5276</v>
      </c>
      <c r="E1332" s="696">
        <v>315</v>
      </c>
      <c r="F1332" s="696">
        <v>208524</v>
      </c>
      <c r="G1332" s="619"/>
      <c r="H1332" s="619" t="s">
        <v>4953</v>
      </c>
      <c r="I1332" s="697" t="s">
        <v>4951</v>
      </c>
      <c r="K1332" s="619"/>
      <c r="M1332" s="329"/>
      <c r="P1332" s="593"/>
      <c r="Q1332" s="685"/>
      <c r="R1332" s="685"/>
      <c r="S1332" s="329"/>
      <c r="U1332" s="593"/>
      <c r="Z1332" s="329"/>
      <c r="AB1332" s="589"/>
    </row>
    <row r="1333" spans="1:28">
      <c r="A1333" s="631" t="str">
        <f t="shared" si="26"/>
        <v>TR.04.1104a</v>
      </c>
      <c r="B1333" s="702" t="s">
        <v>5099</v>
      </c>
      <c r="C1333" s="559" t="s">
        <v>2383</v>
      </c>
      <c r="D1333" s="562" t="s">
        <v>5276</v>
      </c>
      <c r="E1333" s="696">
        <v>315</v>
      </c>
      <c r="F1333" s="696">
        <v>278594</v>
      </c>
      <c r="G1333" s="619"/>
      <c r="H1333" s="619" t="s">
        <v>4954</v>
      </c>
      <c r="I1333" s="697" t="s">
        <v>4951</v>
      </c>
      <c r="K1333" s="619"/>
      <c r="M1333" s="329"/>
      <c r="P1333" s="593"/>
      <c r="Q1333" s="685"/>
      <c r="R1333" s="685"/>
      <c r="S1333" s="329"/>
      <c r="U1333" s="593"/>
      <c r="Z1333" s="329"/>
      <c r="AB1333" s="589"/>
    </row>
    <row r="1334" spans="1:28">
      <c r="A1334" s="631" t="str">
        <f t="shared" si="26"/>
        <v>TR.04.1105a</v>
      </c>
      <c r="B1334" s="702" t="s">
        <v>5100</v>
      </c>
      <c r="C1334" s="559" t="s">
        <v>5805</v>
      </c>
      <c r="D1334" s="562" t="s">
        <v>5276</v>
      </c>
      <c r="E1334" s="696">
        <v>315</v>
      </c>
      <c r="F1334" s="696">
        <v>379417</v>
      </c>
      <c r="G1334" s="619"/>
      <c r="H1334" s="619" t="s">
        <v>4955</v>
      </c>
      <c r="I1334" s="697" t="s">
        <v>4951</v>
      </c>
      <c r="K1334" s="619"/>
      <c r="M1334" s="329"/>
      <c r="P1334" s="593"/>
      <c r="Q1334" s="685"/>
      <c r="R1334" s="685"/>
      <c r="S1334" s="329"/>
      <c r="U1334" s="593"/>
      <c r="Z1334" s="329"/>
      <c r="AB1334" s="589"/>
    </row>
    <row r="1335" spans="1:28">
      <c r="A1335" s="631" t="str">
        <f t="shared" si="26"/>
        <v>TR.04.1106a</v>
      </c>
      <c r="B1335" s="702" t="s">
        <v>5101</v>
      </c>
      <c r="C1335" s="559" t="s">
        <v>5806</v>
      </c>
      <c r="D1335" s="562" t="s">
        <v>5276</v>
      </c>
      <c r="E1335" s="696">
        <v>315</v>
      </c>
      <c r="F1335" s="696">
        <v>426260</v>
      </c>
      <c r="G1335" s="619"/>
      <c r="H1335" s="619" t="s">
        <v>4956</v>
      </c>
      <c r="I1335" s="697" t="s">
        <v>4951</v>
      </c>
      <c r="K1335" s="619"/>
      <c r="M1335" s="329"/>
      <c r="P1335" s="593"/>
      <c r="Q1335" s="685"/>
      <c r="R1335" s="685"/>
      <c r="S1335" s="329"/>
      <c r="U1335" s="593"/>
      <c r="Z1335" s="329"/>
      <c r="AB1335" s="589"/>
    </row>
    <row r="1336" spans="1:28">
      <c r="A1336" s="631" t="str">
        <f t="shared" si="26"/>
        <v>TR.04.1107a</v>
      </c>
      <c r="B1336" s="702" t="s">
        <v>5776</v>
      </c>
      <c r="C1336" s="559" t="s">
        <v>5807</v>
      </c>
      <c r="D1336" s="562" t="s">
        <v>5276</v>
      </c>
      <c r="E1336" s="696">
        <v>378</v>
      </c>
      <c r="F1336" s="696">
        <v>515795</v>
      </c>
      <c r="G1336" s="619"/>
      <c r="H1336" s="619" t="s">
        <v>4957</v>
      </c>
      <c r="I1336" s="697" t="s">
        <v>4951</v>
      </c>
      <c r="K1336" s="619"/>
      <c r="M1336" s="329"/>
      <c r="P1336" s="593"/>
      <c r="Q1336" s="685"/>
      <c r="R1336" s="685"/>
      <c r="S1336" s="329"/>
      <c r="U1336" s="593"/>
      <c r="Z1336" s="329"/>
      <c r="AB1336" s="589"/>
    </row>
    <row r="1337" spans="1:28">
      <c r="A1337" s="631" t="str">
        <f t="shared" si="26"/>
        <v>TR.04.1201a</v>
      </c>
      <c r="B1337" s="702" t="s">
        <v>5102</v>
      </c>
      <c r="C1337" s="559" t="s">
        <v>5808</v>
      </c>
      <c r="D1337" s="562" t="s">
        <v>5276</v>
      </c>
      <c r="E1337" s="696">
        <v>378</v>
      </c>
      <c r="F1337" s="696">
        <v>608702</v>
      </c>
      <c r="G1337" s="619"/>
      <c r="H1337" s="619" t="s">
        <v>4958</v>
      </c>
      <c r="I1337" s="697" t="s">
        <v>4951</v>
      </c>
      <c r="K1337" s="619"/>
      <c r="M1337" s="329"/>
      <c r="P1337" s="593"/>
      <c r="Q1337" s="685"/>
      <c r="R1337" s="685"/>
      <c r="S1337" s="329"/>
      <c r="U1337" s="593"/>
      <c r="Z1337" s="329"/>
      <c r="AB1337" s="589"/>
    </row>
    <row r="1338" spans="1:28">
      <c r="A1338" s="631" t="str">
        <f t="shared" si="26"/>
        <v>TR.04.1202a</v>
      </c>
      <c r="B1338" s="702" t="s">
        <v>5103</v>
      </c>
      <c r="C1338" s="559" t="s">
        <v>3424</v>
      </c>
      <c r="D1338" s="562" t="s">
        <v>5276</v>
      </c>
      <c r="E1338" s="696">
        <v>378</v>
      </c>
      <c r="F1338" s="696">
        <v>669430</v>
      </c>
      <c r="G1338" s="619"/>
      <c r="H1338" s="619" t="s">
        <v>4959</v>
      </c>
      <c r="I1338" s="697" t="s">
        <v>4951</v>
      </c>
      <c r="K1338" s="619"/>
      <c r="M1338" s="329"/>
      <c r="P1338" s="593"/>
      <c r="Q1338" s="685"/>
      <c r="R1338" s="685"/>
      <c r="S1338" s="329"/>
      <c r="U1338" s="593"/>
      <c r="Z1338" s="329"/>
      <c r="AB1338" s="589"/>
    </row>
    <row r="1339" spans="1:28">
      <c r="A1339" s="631" t="str">
        <f t="shared" si="26"/>
        <v>TR.04.1203a</v>
      </c>
      <c r="B1339" s="702" t="s">
        <v>5104</v>
      </c>
      <c r="C1339" s="559" t="s">
        <v>2393</v>
      </c>
      <c r="D1339" s="562" t="s">
        <v>5276</v>
      </c>
      <c r="E1339" s="696">
        <v>567</v>
      </c>
      <c r="F1339" s="696">
        <v>844215</v>
      </c>
      <c r="G1339" s="619"/>
      <c r="H1339" s="619" t="s">
        <v>4960</v>
      </c>
      <c r="I1339" s="697" t="s">
        <v>4951</v>
      </c>
      <c r="K1339" s="619"/>
      <c r="M1339" s="329"/>
      <c r="P1339" s="593"/>
      <c r="Q1339" s="685"/>
      <c r="R1339" s="685"/>
      <c r="S1339" s="329"/>
      <c r="U1339" s="593"/>
      <c r="Z1339" s="329"/>
      <c r="AB1339" s="589"/>
    </row>
    <row r="1340" spans="1:28">
      <c r="A1340" s="631" t="str">
        <f t="shared" si="26"/>
        <v>TR.04.1204a</v>
      </c>
      <c r="B1340" s="702" t="s">
        <v>5777</v>
      </c>
      <c r="C1340" s="559" t="s">
        <v>2394</v>
      </c>
      <c r="D1340" s="562" t="s">
        <v>5276</v>
      </c>
      <c r="E1340" s="696">
        <v>567</v>
      </c>
      <c r="F1340" s="696">
        <v>1115153</v>
      </c>
      <c r="G1340" s="619"/>
      <c r="H1340" s="619" t="s">
        <v>4961</v>
      </c>
      <c r="I1340" s="697" t="s">
        <v>4951</v>
      </c>
      <c r="K1340" s="619"/>
      <c r="M1340" s="329"/>
      <c r="P1340" s="593"/>
      <c r="Q1340" s="685"/>
      <c r="R1340" s="685"/>
      <c r="S1340" s="329"/>
      <c r="U1340" s="593"/>
      <c r="Z1340" s="329"/>
      <c r="AB1340" s="589"/>
    </row>
    <row r="1341" spans="1:28">
      <c r="A1341" s="631" t="str">
        <f t="shared" si="26"/>
        <v>TR.04.1205a</v>
      </c>
      <c r="B1341" s="702" t="s">
        <v>5778</v>
      </c>
      <c r="C1341" s="559" t="s">
        <v>2395</v>
      </c>
      <c r="D1341" s="562" t="s">
        <v>5276</v>
      </c>
      <c r="E1341" s="696">
        <v>567</v>
      </c>
      <c r="F1341" s="696">
        <v>1306678</v>
      </c>
      <c r="G1341" s="619"/>
      <c r="H1341" s="619" t="s">
        <v>4962</v>
      </c>
      <c r="I1341" s="697" t="s">
        <v>4951</v>
      </c>
      <c r="K1341" s="619"/>
      <c r="M1341" s="329"/>
      <c r="P1341" s="593"/>
      <c r="Q1341" s="685"/>
      <c r="R1341" s="685"/>
      <c r="S1341" s="329"/>
      <c r="U1341" s="593"/>
      <c r="Z1341" s="329"/>
      <c r="AB1341" s="589"/>
    </row>
    <row r="1342" spans="1:28">
      <c r="A1342" s="631" t="str">
        <f t="shared" si="26"/>
        <v>TR.04.1206a</v>
      </c>
      <c r="B1342" s="702" t="s">
        <v>5779</v>
      </c>
      <c r="C1342" s="559" t="s">
        <v>2369</v>
      </c>
      <c r="D1342" s="562" t="s">
        <v>5276</v>
      </c>
      <c r="E1342" s="696">
        <v>567</v>
      </c>
      <c r="F1342" s="696">
        <v>1698551</v>
      </c>
      <c r="G1342" s="619"/>
      <c r="H1342" s="619" t="s">
        <v>4963</v>
      </c>
      <c r="I1342" s="697" t="s">
        <v>4951</v>
      </c>
      <c r="K1342" s="619"/>
      <c r="M1342" s="329"/>
      <c r="P1342" s="593"/>
      <c r="Q1342" s="685"/>
      <c r="R1342" s="685"/>
      <c r="S1342" s="329"/>
      <c r="U1342" s="593"/>
      <c r="Z1342" s="329"/>
      <c r="AB1342" s="589"/>
    </row>
    <row r="1343" spans="1:28">
      <c r="A1343" s="631" t="str">
        <f t="shared" si="26"/>
        <v>TR.04.1207a</v>
      </c>
      <c r="B1343" s="702" t="s">
        <v>5780</v>
      </c>
      <c r="C1343" s="559" t="s">
        <v>2370</v>
      </c>
      <c r="D1343" s="562" t="s">
        <v>5276</v>
      </c>
      <c r="E1343" s="696">
        <v>567</v>
      </c>
      <c r="F1343" s="696">
        <v>1924333</v>
      </c>
      <c r="G1343" s="619"/>
      <c r="H1343" s="619" t="s">
        <v>5449</v>
      </c>
      <c r="I1343" s="697" t="s">
        <v>4951</v>
      </c>
      <c r="K1343" s="619"/>
      <c r="M1343" s="329"/>
      <c r="P1343" s="593"/>
      <c r="Q1343" s="685"/>
      <c r="R1343" s="685"/>
      <c r="S1343" s="329"/>
      <c r="U1343" s="593"/>
      <c r="Z1343" s="329"/>
      <c r="AB1343" s="589"/>
    </row>
    <row r="1344" spans="1:28" ht="13.5">
      <c r="A1344" s="594"/>
      <c r="B1344" s="694" t="s">
        <v>1456</v>
      </c>
      <c r="C1344" s="677"/>
      <c r="D1344" s="571"/>
      <c r="E1344" s="571"/>
      <c r="F1344" s="619"/>
      <c r="G1344" s="619"/>
      <c r="H1344" s="619"/>
      <c r="K1344" s="619"/>
      <c r="M1344" s="329"/>
      <c r="P1344" s="593"/>
      <c r="Q1344" s="685"/>
      <c r="R1344" s="685"/>
      <c r="S1344" s="329"/>
      <c r="U1344" s="593"/>
      <c r="Z1344" s="329"/>
      <c r="AB1344" s="589"/>
    </row>
    <row r="1345" spans="1:28">
      <c r="A1345" s="631" t="str">
        <f>"TR."&amp;B1345</f>
        <v>TR.04.2101</v>
      </c>
      <c r="B1345" s="702" t="s">
        <v>1457</v>
      </c>
      <c r="C1345" s="575" t="s">
        <v>5451</v>
      </c>
      <c r="D1345" s="562" t="s">
        <v>5450</v>
      </c>
      <c r="E1345" s="696">
        <v>530</v>
      </c>
      <c r="F1345" s="696">
        <v>17967</v>
      </c>
      <c r="G1345" s="561"/>
      <c r="H1345" s="619"/>
      <c r="K1345" s="619"/>
      <c r="M1345" s="329"/>
      <c r="P1345" s="593"/>
      <c r="Q1345" s="685"/>
      <c r="R1345" s="685"/>
      <c r="S1345" s="329"/>
      <c r="U1345" s="593"/>
      <c r="Z1345" s="329"/>
      <c r="AB1345" s="589"/>
    </row>
    <row r="1346" spans="1:28">
      <c r="A1346" s="631" t="str">
        <f t="shared" ref="A1346:A1352" si="27">"TR."&amp;B1346</f>
        <v>TR.04.2102</v>
      </c>
      <c r="B1346" s="702" t="s">
        <v>1458</v>
      </c>
      <c r="C1346" s="575" t="s">
        <v>5452</v>
      </c>
      <c r="D1346" s="562" t="s">
        <v>5450</v>
      </c>
      <c r="E1346" s="696">
        <v>981</v>
      </c>
      <c r="F1346" s="696">
        <v>44917</v>
      </c>
      <c r="G1346" s="561"/>
      <c r="H1346" s="619"/>
      <c r="K1346" s="619"/>
      <c r="M1346" s="329"/>
      <c r="P1346" s="593"/>
      <c r="Q1346" s="685"/>
      <c r="R1346" s="685"/>
      <c r="S1346" s="329"/>
      <c r="U1346" s="593"/>
      <c r="Z1346" s="329"/>
      <c r="AB1346" s="589"/>
    </row>
    <row r="1347" spans="1:28">
      <c r="A1347" s="631" t="str">
        <f t="shared" si="27"/>
        <v>TR.04.2103</v>
      </c>
      <c r="B1347" s="702" t="s">
        <v>1459</v>
      </c>
      <c r="C1347" s="575" t="s">
        <v>1927</v>
      </c>
      <c r="D1347" s="562" t="s">
        <v>5450</v>
      </c>
      <c r="E1347" s="696">
        <v>1559</v>
      </c>
      <c r="F1347" s="696">
        <v>70869</v>
      </c>
      <c r="G1347" s="561"/>
      <c r="H1347" s="619"/>
      <c r="K1347" s="619"/>
      <c r="M1347" s="329"/>
      <c r="P1347" s="593"/>
      <c r="Q1347" s="685"/>
      <c r="R1347" s="685"/>
      <c r="S1347" s="329"/>
      <c r="U1347" s="593"/>
      <c r="Z1347" s="329"/>
      <c r="AB1347" s="589"/>
    </row>
    <row r="1348" spans="1:28">
      <c r="A1348" s="631" t="str">
        <f t="shared" si="27"/>
        <v>TR.04.2104</v>
      </c>
      <c r="B1348" s="702" t="s">
        <v>1460</v>
      </c>
      <c r="C1348" s="575" t="s">
        <v>1928</v>
      </c>
      <c r="D1348" s="562" t="s">
        <v>5450</v>
      </c>
      <c r="E1348" s="696">
        <v>2137</v>
      </c>
      <c r="F1348" s="696">
        <v>100813</v>
      </c>
      <c r="G1348" s="561"/>
      <c r="H1348" s="619"/>
      <c r="K1348" s="619"/>
      <c r="M1348" s="329"/>
      <c r="P1348" s="593"/>
      <c r="Q1348" s="685"/>
      <c r="R1348" s="685"/>
      <c r="S1348" s="329"/>
      <c r="U1348" s="593"/>
      <c r="Z1348" s="329"/>
      <c r="AB1348" s="589"/>
    </row>
    <row r="1349" spans="1:28">
      <c r="A1349" s="594"/>
      <c r="B1349" s="564"/>
      <c r="C1349" s="575"/>
      <c r="D1349" s="571"/>
      <c r="E1349" s="571"/>
      <c r="F1349" s="619"/>
      <c r="G1349" s="619"/>
      <c r="H1349" s="619"/>
      <c r="K1349" s="619"/>
      <c r="M1349" s="329"/>
      <c r="P1349" s="593"/>
      <c r="Q1349" s="685"/>
      <c r="R1349" s="685"/>
      <c r="S1349" s="329"/>
      <c r="U1349" s="593"/>
      <c r="Z1349" s="329"/>
      <c r="AB1349" s="589"/>
    </row>
    <row r="1350" spans="1:28">
      <c r="A1350" s="631" t="str">
        <f t="shared" si="27"/>
        <v>TR.04.2201</v>
      </c>
      <c r="B1350" s="702" t="s">
        <v>1461</v>
      </c>
      <c r="C1350" s="575" t="s">
        <v>1929</v>
      </c>
      <c r="D1350" s="571" t="s">
        <v>1307</v>
      </c>
      <c r="E1350" s="696">
        <v>1961</v>
      </c>
      <c r="F1350" s="696">
        <v>22957</v>
      </c>
      <c r="G1350" s="704"/>
      <c r="H1350" s="619"/>
      <c r="K1350" s="619"/>
      <c r="M1350" s="329"/>
      <c r="P1350" s="593"/>
      <c r="Q1350" s="685"/>
      <c r="R1350" s="685"/>
      <c r="S1350" s="329"/>
      <c r="U1350" s="593"/>
      <c r="Z1350" s="329"/>
      <c r="AB1350" s="589"/>
    </row>
    <row r="1351" spans="1:28">
      <c r="A1351" s="594"/>
      <c r="B1351" s="564"/>
      <c r="C1351" s="575"/>
      <c r="D1351" s="571"/>
      <c r="E1351" s="571"/>
      <c r="F1351" s="619"/>
      <c r="G1351" s="619"/>
      <c r="H1351" s="619"/>
      <c r="K1351" s="619"/>
      <c r="M1351" s="329"/>
      <c r="P1351" s="593"/>
      <c r="Q1351" s="685"/>
      <c r="R1351" s="685"/>
      <c r="S1351" s="329"/>
      <c r="U1351" s="593"/>
      <c r="Z1351" s="329"/>
      <c r="AB1351" s="589"/>
    </row>
    <row r="1352" spans="1:28">
      <c r="A1352" s="631" t="str">
        <f t="shared" si="27"/>
        <v>TR.04.2301</v>
      </c>
      <c r="B1352" s="702" t="s">
        <v>1462</v>
      </c>
      <c r="C1352" s="575" t="s">
        <v>2488</v>
      </c>
      <c r="D1352" s="571" t="s">
        <v>1307</v>
      </c>
      <c r="E1352" s="696">
        <v>3433</v>
      </c>
      <c r="F1352" s="696">
        <v>57394</v>
      </c>
      <c r="G1352" s="619"/>
      <c r="H1352" s="619" t="s">
        <v>5449</v>
      </c>
      <c r="I1352" s="697"/>
      <c r="K1352" s="619"/>
      <c r="M1352" s="329"/>
      <c r="P1352" s="593"/>
      <c r="Q1352" s="685"/>
      <c r="R1352" s="685"/>
      <c r="S1352" s="329"/>
      <c r="U1352" s="593"/>
      <c r="Z1352" s="329"/>
      <c r="AB1352" s="589"/>
    </row>
    <row r="1353" spans="1:28">
      <c r="A1353" s="631" t="str">
        <f>"TR."&amp;B1353&amp;"a"</f>
        <v>TR.04.2301a</v>
      </c>
      <c r="B1353" s="564" t="s">
        <v>1462</v>
      </c>
      <c r="C1353" s="575" t="s">
        <v>4872</v>
      </c>
      <c r="D1353" s="571" t="s">
        <v>1307</v>
      </c>
      <c r="E1353" s="696">
        <v>3433</v>
      </c>
      <c r="F1353" s="696">
        <f>ROUND(F1352*0.6,0)</f>
        <v>34436</v>
      </c>
      <c r="G1353" s="619"/>
      <c r="H1353" s="619" t="str">
        <f>F1352&amp;"*0,6"</f>
        <v>57394*0,6</v>
      </c>
      <c r="I1353" s="697" t="s">
        <v>4873</v>
      </c>
      <c r="K1353" s="619"/>
      <c r="M1353" s="329"/>
      <c r="P1353" s="593"/>
      <c r="Q1353" s="685"/>
      <c r="R1353" s="685"/>
      <c r="S1353" s="329"/>
      <c r="U1353" s="593"/>
      <c r="Z1353" s="329"/>
      <c r="AB1353" s="589"/>
    </row>
    <row r="1354" spans="1:28" ht="13.5">
      <c r="A1354" s="594"/>
      <c r="B1354" s="694" t="s">
        <v>5602</v>
      </c>
      <c r="C1354" s="575"/>
      <c r="D1354" s="571"/>
      <c r="E1354" s="696"/>
      <c r="F1354" s="696"/>
      <c r="G1354" s="619"/>
      <c r="H1354" s="619"/>
      <c r="I1354" s="697"/>
      <c r="K1354" s="619"/>
      <c r="M1354" s="329"/>
      <c r="P1354" s="593"/>
      <c r="Q1354" s="685"/>
      <c r="R1354" s="685"/>
      <c r="S1354" s="329"/>
      <c r="U1354" s="593"/>
      <c r="Z1354" s="329"/>
      <c r="AB1354" s="589"/>
    </row>
    <row r="1355" spans="1:28">
      <c r="A1355" s="631" t="str">
        <f t="shared" ref="A1355:A1421" si="28">"TR."&amp;B1355</f>
        <v>TR.04.3001</v>
      </c>
      <c r="B1355" s="702" t="s">
        <v>5597</v>
      </c>
      <c r="C1355" s="559" t="s">
        <v>5598</v>
      </c>
      <c r="D1355" s="562" t="s">
        <v>1297</v>
      </c>
      <c r="E1355" s="696">
        <v>138</v>
      </c>
      <c r="F1355" s="696">
        <v>52902</v>
      </c>
      <c r="G1355" s="619"/>
      <c r="H1355" s="619"/>
      <c r="I1355" s="697"/>
      <c r="K1355" s="619"/>
      <c r="M1355" s="329"/>
      <c r="P1355" s="593"/>
      <c r="Q1355" s="685"/>
      <c r="R1355" s="685"/>
      <c r="S1355" s="329"/>
      <c r="U1355" s="593"/>
      <c r="Z1355" s="329"/>
      <c r="AB1355" s="589"/>
    </row>
    <row r="1356" spans="1:28">
      <c r="A1356" s="631" t="str">
        <f t="shared" si="28"/>
        <v>TR.04.3002</v>
      </c>
      <c r="B1356" s="702" t="s">
        <v>5599</v>
      </c>
      <c r="C1356" s="559" t="s">
        <v>5600</v>
      </c>
      <c r="D1356" s="562" t="s">
        <v>1297</v>
      </c>
      <c r="E1356" s="696">
        <v>138</v>
      </c>
      <c r="F1356" s="696">
        <v>41922</v>
      </c>
      <c r="G1356" s="619"/>
      <c r="H1356" s="619"/>
      <c r="I1356" s="697"/>
      <c r="K1356" s="619"/>
      <c r="M1356" s="329"/>
      <c r="P1356" s="593"/>
      <c r="Q1356" s="685"/>
      <c r="R1356" s="685"/>
      <c r="S1356" s="329"/>
      <c r="U1356" s="593"/>
      <c r="Z1356" s="329"/>
      <c r="AB1356" s="589"/>
    </row>
    <row r="1357" spans="1:28">
      <c r="A1357" s="631" t="str">
        <f t="shared" si="28"/>
        <v>TR.04.3003</v>
      </c>
      <c r="B1357" s="702" t="s">
        <v>1265</v>
      </c>
      <c r="C1357" s="559" t="s">
        <v>3871</v>
      </c>
      <c r="D1357" s="562" t="s">
        <v>1297</v>
      </c>
      <c r="E1357" s="696">
        <v>413</v>
      </c>
      <c r="F1357" s="696">
        <v>54898</v>
      </c>
      <c r="G1357" s="619"/>
      <c r="H1357" s="619"/>
      <c r="I1357" s="697"/>
      <c r="K1357" s="619"/>
      <c r="M1357" s="329"/>
      <c r="P1357" s="593"/>
      <c r="Q1357" s="685"/>
      <c r="R1357" s="685"/>
      <c r="S1357" s="329"/>
      <c r="U1357" s="593"/>
      <c r="Z1357" s="329"/>
      <c r="AB1357" s="589"/>
    </row>
    <row r="1358" spans="1:28">
      <c r="A1358" s="631" t="str">
        <f t="shared" si="28"/>
        <v>TR.04.3004</v>
      </c>
      <c r="B1358" s="702" t="s">
        <v>3872</v>
      </c>
      <c r="C1358" s="559" t="s">
        <v>3873</v>
      </c>
      <c r="D1358" s="562" t="s">
        <v>1297</v>
      </c>
      <c r="E1358" s="696">
        <v>413</v>
      </c>
      <c r="F1358" s="696">
        <v>32939</v>
      </c>
      <c r="G1358" s="619"/>
      <c r="H1358" s="619"/>
      <c r="I1358" s="697"/>
      <c r="K1358" s="619"/>
      <c r="M1358" s="329"/>
      <c r="P1358" s="593"/>
      <c r="Q1358" s="685"/>
      <c r="R1358" s="685"/>
      <c r="S1358" s="329"/>
      <c r="U1358" s="593"/>
      <c r="Z1358" s="329"/>
      <c r="AB1358" s="589"/>
    </row>
    <row r="1359" spans="1:28">
      <c r="A1359" s="631" t="str">
        <f t="shared" si="28"/>
        <v>TR.04.3005</v>
      </c>
      <c r="B1359" s="702" t="s">
        <v>3874</v>
      </c>
      <c r="C1359" s="559" t="s">
        <v>3875</v>
      </c>
      <c r="D1359" s="562" t="s">
        <v>1297</v>
      </c>
      <c r="E1359" s="696">
        <v>138</v>
      </c>
      <c r="F1359" s="696">
        <v>54898</v>
      </c>
      <c r="G1359" s="619"/>
      <c r="H1359" s="619"/>
      <c r="I1359" s="697"/>
      <c r="K1359" s="619"/>
      <c r="M1359" s="329"/>
      <c r="P1359" s="593"/>
      <c r="Q1359" s="685"/>
      <c r="R1359" s="685"/>
      <c r="S1359" s="329"/>
      <c r="U1359" s="593"/>
      <c r="Z1359" s="329"/>
      <c r="AB1359" s="589"/>
    </row>
    <row r="1360" spans="1:28">
      <c r="A1360" s="631" t="str">
        <f t="shared" si="28"/>
        <v>TR.04.3006</v>
      </c>
      <c r="B1360" s="702" t="s">
        <v>3876</v>
      </c>
      <c r="C1360" s="559" t="s">
        <v>3877</v>
      </c>
      <c r="D1360" s="562" t="s">
        <v>1297</v>
      </c>
      <c r="E1360" s="696">
        <v>138</v>
      </c>
      <c r="F1360" s="696">
        <v>54898</v>
      </c>
      <c r="G1360" s="619"/>
      <c r="H1360" s="619"/>
      <c r="I1360" s="697"/>
      <c r="K1360" s="619"/>
      <c r="M1360" s="329"/>
      <c r="P1360" s="593"/>
      <c r="Q1360" s="685"/>
      <c r="R1360" s="685"/>
      <c r="S1360" s="329"/>
      <c r="U1360" s="593"/>
      <c r="Z1360" s="329"/>
      <c r="AB1360" s="589"/>
    </row>
    <row r="1361" spans="1:28">
      <c r="A1361" s="631" t="str">
        <f t="shared" si="28"/>
        <v>TR.04.3007</v>
      </c>
      <c r="B1361" s="702" t="s">
        <v>3878</v>
      </c>
      <c r="C1361" s="559" t="s">
        <v>3879</v>
      </c>
      <c r="D1361" s="562" t="s">
        <v>1297</v>
      </c>
      <c r="E1361" s="696">
        <v>138</v>
      </c>
      <c r="F1361" s="696">
        <v>41922</v>
      </c>
      <c r="G1361" s="619"/>
      <c r="H1361" s="619"/>
      <c r="I1361" s="697"/>
      <c r="K1361" s="619"/>
      <c r="M1361" s="329"/>
      <c r="P1361" s="593"/>
      <c r="Q1361" s="685"/>
      <c r="R1361" s="685"/>
      <c r="S1361" s="329"/>
      <c r="U1361" s="593"/>
      <c r="Z1361" s="329"/>
      <c r="AB1361" s="589"/>
    </row>
    <row r="1362" spans="1:28">
      <c r="A1362" s="631" t="str">
        <f t="shared" si="28"/>
        <v>TR.04.3008</v>
      </c>
      <c r="B1362" s="702" t="s">
        <v>3880</v>
      </c>
      <c r="C1362" s="559" t="s">
        <v>3881</v>
      </c>
      <c r="D1362" s="562" t="s">
        <v>1297</v>
      </c>
      <c r="E1362" s="696">
        <v>138</v>
      </c>
      <c r="F1362" s="696">
        <v>54898</v>
      </c>
      <c r="G1362" s="619"/>
      <c r="H1362" s="619"/>
      <c r="I1362" s="697"/>
      <c r="K1362" s="619"/>
      <c r="M1362" s="329"/>
      <c r="P1362" s="593"/>
      <c r="Q1362" s="685"/>
      <c r="R1362" s="685"/>
      <c r="S1362" s="329"/>
      <c r="U1362" s="593"/>
      <c r="Z1362" s="329"/>
      <c r="AB1362" s="589"/>
    </row>
    <row r="1363" spans="1:28">
      <c r="A1363" s="631" t="str">
        <f t="shared" si="28"/>
        <v>TR.04.3009</v>
      </c>
      <c r="B1363" s="702" t="s">
        <v>3882</v>
      </c>
      <c r="C1363" s="559" t="s">
        <v>6289</v>
      </c>
      <c r="D1363" s="562" t="s">
        <v>1297</v>
      </c>
      <c r="E1363" s="696">
        <v>138</v>
      </c>
      <c r="F1363" s="696">
        <v>41922</v>
      </c>
      <c r="G1363" s="619"/>
      <c r="H1363" s="619"/>
      <c r="I1363" s="697"/>
      <c r="K1363" s="619"/>
      <c r="M1363" s="329"/>
      <c r="P1363" s="593"/>
      <c r="Q1363" s="685"/>
      <c r="R1363" s="685"/>
      <c r="S1363" s="329"/>
      <c r="U1363" s="593"/>
      <c r="Z1363" s="329"/>
      <c r="AB1363" s="589"/>
    </row>
    <row r="1364" spans="1:28" ht="13.5">
      <c r="A1364" s="594"/>
      <c r="B1364" s="694" t="s">
        <v>687</v>
      </c>
      <c r="C1364" s="575"/>
      <c r="D1364" s="571"/>
      <c r="E1364" s="696"/>
      <c r="F1364" s="696"/>
      <c r="G1364" s="619"/>
      <c r="H1364" s="619"/>
      <c r="I1364" s="697"/>
      <c r="K1364" s="619"/>
      <c r="M1364" s="329"/>
      <c r="P1364" s="593"/>
      <c r="Q1364" s="685"/>
      <c r="R1364" s="685"/>
      <c r="S1364" s="329"/>
      <c r="U1364" s="593"/>
      <c r="Z1364" s="329"/>
      <c r="AB1364" s="589"/>
    </row>
    <row r="1365" spans="1:28">
      <c r="A1365" s="631" t="str">
        <f t="shared" si="28"/>
        <v>TR.04.4101</v>
      </c>
      <c r="B1365" s="702" t="s">
        <v>450</v>
      </c>
      <c r="C1365" s="559" t="s">
        <v>1748</v>
      </c>
      <c r="D1365" s="562" t="s">
        <v>639</v>
      </c>
      <c r="E1365" s="696">
        <v>2888</v>
      </c>
      <c r="F1365" s="696">
        <v>2994</v>
      </c>
      <c r="G1365" s="619"/>
      <c r="H1365" s="619"/>
      <c r="I1365" s="697"/>
      <c r="K1365" s="619"/>
      <c r="M1365" s="329"/>
      <c r="P1365" s="593"/>
      <c r="Q1365" s="685"/>
      <c r="R1365" s="685"/>
      <c r="S1365" s="329"/>
      <c r="U1365" s="593"/>
      <c r="Z1365" s="329"/>
      <c r="AB1365" s="589"/>
    </row>
    <row r="1366" spans="1:28">
      <c r="A1366" s="631" t="str">
        <f t="shared" si="28"/>
        <v>TR.04.4102</v>
      </c>
      <c r="B1366" s="702" t="s">
        <v>451</v>
      </c>
      <c r="C1366" s="559" t="s">
        <v>5414</v>
      </c>
      <c r="D1366" s="562" t="s">
        <v>639</v>
      </c>
      <c r="E1366" s="696">
        <v>2888</v>
      </c>
      <c r="F1366" s="696">
        <v>7985</v>
      </c>
      <c r="G1366" s="619"/>
      <c r="H1366" s="619"/>
      <c r="I1366" s="697"/>
      <c r="K1366" s="619"/>
      <c r="M1366" s="329"/>
      <c r="P1366" s="593"/>
      <c r="Q1366" s="685"/>
      <c r="R1366" s="685"/>
      <c r="S1366" s="329"/>
      <c r="U1366" s="593"/>
      <c r="Z1366" s="329"/>
      <c r="AB1366" s="589"/>
    </row>
    <row r="1367" spans="1:28">
      <c r="A1367" s="631" t="str">
        <f t="shared" si="28"/>
        <v>TR.04.4103</v>
      </c>
      <c r="B1367" s="702" t="s">
        <v>80</v>
      </c>
      <c r="C1367" s="559" t="s">
        <v>3596</v>
      </c>
      <c r="D1367" s="562" t="s">
        <v>639</v>
      </c>
      <c r="E1367" s="696">
        <v>2970</v>
      </c>
      <c r="F1367" s="696">
        <v>12976</v>
      </c>
      <c r="G1367" s="619"/>
      <c r="H1367" s="619"/>
      <c r="I1367" s="697"/>
      <c r="K1367" s="619"/>
      <c r="M1367" s="329"/>
      <c r="P1367" s="593"/>
      <c r="Q1367" s="685"/>
      <c r="R1367" s="685"/>
      <c r="S1367" s="329"/>
      <c r="U1367" s="593"/>
      <c r="Z1367" s="329"/>
      <c r="AB1367" s="589"/>
    </row>
    <row r="1368" spans="1:28">
      <c r="A1368" s="631" t="str">
        <f t="shared" si="28"/>
        <v>TR.04.4104</v>
      </c>
      <c r="B1368" s="702" t="s">
        <v>81</v>
      </c>
      <c r="C1368" s="559" t="s">
        <v>5036</v>
      </c>
      <c r="D1368" s="562" t="s">
        <v>639</v>
      </c>
      <c r="E1368" s="696">
        <v>3025</v>
      </c>
      <c r="F1368" s="696">
        <v>24954</v>
      </c>
      <c r="G1368" s="619"/>
      <c r="H1368" s="619"/>
      <c r="I1368" s="697"/>
      <c r="K1368" s="619"/>
      <c r="M1368" s="329"/>
      <c r="P1368" s="593"/>
      <c r="Q1368" s="685"/>
      <c r="R1368" s="685"/>
      <c r="S1368" s="329"/>
      <c r="U1368" s="593"/>
      <c r="Z1368" s="329"/>
      <c r="AB1368" s="589"/>
    </row>
    <row r="1369" spans="1:28">
      <c r="A1369" s="631" t="str">
        <f t="shared" si="28"/>
        <v>TR.04.4105</v>
      </c>
      <c r="B1369" s="702" t="s">
        <v>688</v>
      </c>
      <c r="C1369" s="559" t="s">
        <v>1453</v>
      </c>
      <c r="D1369" s="562" t="s">
        <v>639</v>
      </c>
      <c r="E1369" s="696">
        <v>3163</v>
      </c>
      <c r="F1369" s="696">
        <v>42920</v>
      </c>
      <c r="G1369" s="619"/>
      <c r="H1369" s="619"/>
      <c r="I1369" s="697"/>
      <c r="K1369" s="619"/>
      <c r="M1369" s="329"/>
      <c r="P1369" s="593"/>
      <c r="Q1369" s="685"/>
      <c r="R1369" s="685"/>
      <c r="S1369" s="329"/>
      <c r="U1369" s="593"/>
      <c r="Z1369" s="329"/>
      <c r="AB1369" s="589"/>
    </row>
    <row r="1370" spans="1:28">
      <c r="A1370" s="631" t="str">
        <f t="shared" si="28"/>
        <v>TR.04.4106</v>
      </c>
      <c r="B1370" s="702" t="s">
        <v>689</v>
      </c>
      <c r="C1370" s="559" t="s">
        <v>1454</v>
      </c>
      <c r="D1370" s="562" t="s">
        <v>639</v>
      </c>
      <c r="E1370" s="696">
        <v>3300</v>
      </c>
      <c r="F1370" s="696">
        <v>49908</v>
      </c>
      <c r="G1370" s="619"/>
      <c r="H1370" s="619"/>
      <c r="I1370" s="697"/>
      <c r="K1370" s="619"/>
      <c r="M1370" s="329"/>
      <c r="P1370" s="593"/>
      <c r="Q1370" s="685"/>
      <c r="R1370" s="685"/>
      <c r="S1370" s="329"/>
      <c r="U1370" s="593"/>
      <c r="Z1370" s="329"/>
      <c r="AB1370" s="589"/>
    </row>
    <row r="1371" spans="1:28">
      <c r="A1371" s="631" t="str">
        <f t="shared" si="28"/>
        <v>TR.04.4201</v>
      </c>
      <c r="B1371" s="702" t="s">
        <v>82</v>
      </c>
      <c r="C1371" s="559" t="s">
        <v>5343</v>
      </c>
      <c r="D1371" s="562" t="s">
        <v>639</v>
      </c>
      <c r="E1371" s="696">
        <v>2888</v>
      </c>
      <c r="F1371" s="696">
        <v>5989</v>
      </c>
      <c r="G1371" s="619"/>
      <c r="H1371" s="619"/>
      <c r="I1371" s="697"/>
      <c r="K1371" s="619"/>
      <c r="M1371" s="329"/>
      <c r="P1371" s="593"/>
      <c r="Q1371" s="685"/>
      <c r="R1371" s="685"/>
      <c r="S1371" s="329"/>
      <c r="U1371" s="593"/>
      <c r="Z1371" s="329"/>
      <c r="AB1371" s="589"/>
    </row>
    <row r="1372" spans="1:28">
      <c r="A1372" s="631" t="str">
        <f t="shared" si="28"/>
        <v>TR.04.4202</v>
      </c>
      <c r="B1372" s="702" t="s">
        <v>83</v>
      </c>
      <c r="C1372" s="559" t="s">
        <v>1747</v>
      </c>
      <c r="D1372" s="562" t="s">
        <v>639</v>
      </c>
      <c r="E1372" s="696">
        <v>2888</v>
      </c>
      <c r="F1372" s="696">
        <v>15970</v>
      </c>
      <c r="G1372" s="619"/>
      <c r="H1372" s="619"/>
      <c r="I1372" s="697"/>
      <c r="K1372" s="619"/>
      <c r="M1372" s="329"/>
      <c r="P1372" s="593"/>
      <c r="Q1372" s="685"/>
      <c r="R1372" s="685"/>
      <c r="S1372" s="329"/>
      <c r="U1372" s="593"/>
      <c r="Z1372" s="329"/>
      <c r="AB1372" s="589"/>
    </row>
    <row r="1373" spans="1:28">
      <c r="A1373" s="631" t="str">
        <f t="shared" si="28"/>
        <v>TR.04.4203</v>
      </c>
      <c r="B1373" s="702" t="s">
        <v>3549</v>
      </c>
      <c r="C1373" s="559" t="s">
        <v>1455</v>
      </c>
      <c r="D1373" s="562" t="s">
        <v>639</v>
      </c>
      <c r="E1373" s="696">
        <v>2970</v>
      </c>
      <c r="F1373" s="696">
        <v>19963</v>
      </c>
      <c r="G1373" s="619"/>
      <c r="H1373" s="619"/>
      <c r="I1373" s="697"/>
      <c r="K1373" s="619"/>
      <c r="M1373" s="329"/>
      <c r="P1373" s="593"/>
      <c r="Q1373" s="685"/>
      <c r="R1373" s="685"/>
      <c r="S1373" s="329"/>
      <c r="U1373" s="593"/>
      <c r="Z1373" s="329"/>
      <c r="AB1373" s="589"/>
    </row>
    <row r="1374" spans="1:28" ht="13.5">
      <c r="A1374" s="594"/>
      <c r="B1374" s="694" t="s">
        <v>5415</v>
      </c>
      <c r="C1374" s="575"/>
      <c r="D1374" s="571"/>
      <c r="E1374" s="696"/>
      <c r="F1374" s="696"/>
      <c r="G1374" s="619"/>
      <c r="H1374" s="619"/>
      <c r="I1374" s="697"/>
      <c r="K1374" s="619"/>
      <c r="M1374" s="329"/>
      <c r="P1374" s="593"/>
      <c r="Q1374" s="685"/>
      <c r="R1374" s="685"/>
      <c r="S1374" s="329"/>
      <c r="U1374" s="593"/>
      <c r="Z1374" s="329"/>
      <c r="AB1374" s="589"/>
    </row>
    <row r="1375" spans="1:28">
      <c r="A1375" s="631" t="str">
        <f t="shared" si="28"/>
        <v>TR.04.5101</v>
      </c>
      <c r="B1375" s="702" t="s">
        <v>5416</v>
      </c>
      <c r="C1375" s="559" t="s">
        <v>6250</v>
      </c>
      <c r="D1375" s="562" t="s">
        <v>6249</v>
      </c>
      <c r="E1375" s="696">
        <v>3138</v>
      </c>
      <c r="F1375" s="696">
        <v>69871</v>
      </c>
      <c r="G1375" s="696">
        <v>3690</v>
      </c>
      <c r="H1375" s="619"/>
      <c r="I1375" s="697"/>
      <c r="K1375" s="619"/>
      <c r="M1375" s="329"/>
      <c r="P1375" s="593"/>
      <c r="Q1375" s="685"/>
      <c r="R1375" s="685"/>
      <c r="S1375" s="329"/>
      <c r="U1375" s="593"/>
      <c r="Z1375" s="329"/>
      <c r="AB1375" s="589"/>
    </row>
    <row r="1376" spans="1:28">
      <c r="A1376" s="631" t="str">
        <f t="shared" si="28"/>
        <v>TR.04.5102</v>
      </c>
      <c r="B1376" s="702" t="s">
        <v>1930</v>
      </c>
      <c r="C1376" s="559" t="s">
        <v>6341</v>
      </c>
      <c r="D1376" s="562" t="s">
        <v>6249</v>
      </c>
      <c r="E1376" s="696">
        <v>3275</v>
      </c>
      <c r="F1376" s="696">
        <v>97819</v>
      </c>
      <c r="G1376" s="696">
        <v>3690</v>
      </c>
      <c r="H1376" s="619"/>
      <c r="I1376" s="697"/>
      <c r="K1376" s="619"/>
      <c r="M1376" s="329"/>
      <c r="P1376" s="593"/>
      <c r="Q1376" s="685"/>
      <c r="R1376" s="685"/>
      <c r="S1376" s="329"/>
      <c r="U1376" s="593"/>
      <c r="Z1376" s="329"/>
      <c r="AB1376" s="589"/>
    </row>
    <row r="1377" spans="1:28">
      <c r="A1377" s="631" t="str">
        <f t="shared" si="28"/>
        <v>TR.04.5103</v>
      </c>
      <c r="B1377" s="702" t="s">
        <v>1931</v>
      </c>
      <c r="C1377" s="559" t="s">
        <v>1078</v>
      </c>
      <c r="D1377" s="562" t="s">
        <v>6249</v>
      </c>
      <c r="E1377" s="696">
        <v>3413</v>
      </c>
      <c r="F1377" s="696">
        <v>112791</v>
      </c>
      <c r="G1377" s="696">
        <v>3690</v>
      </c>
      <c r="H1377" s="619"/>
      <c r="I1377" s="697"/>
      <c r="K1377" s="619"/>
      <c r="M1377" s="329"/>
      <c r="P1377" s="593"/>
      <c r="Q1377" s="685"/>
      <c r="R1377" s="685"/>
      <c r="S1377" s="329"/>
      <c r="U1377" s="593"/>
      <c r="Z1377" s="329"/>
      <c r="AB1377" s="589"/>
    </row>
    <row r="1378" spans="1:28">
      <c r="A1378" s="631" t="str">
        <f t="shared" si="28"/>
        <v>TR.04.5104</v>
      </c>
      <c r="B1378" s="702" t="s">
        <v>1932</v>
      </c>
      <c r="C1378" s="559" t="s">
        <v>3114</v>
      </c>
      <c r="D1378" s="562" t="s">
        <v>6249</v>
      </c>
      <c r="E1378" s="696">
        <v>3495</v>
      </c>
      <c r="F1378" s="696">
        <v>137745</v>
      </c>
      <c r="G1378" s="696">
        <v>3690</v>
      </c>
      <c r="H1378" s="619"/>
      <c r="I1378" s="697"/>
      <c r="K1378" s="619"/>
      <c r="M1378" s="329"/>
      <c r="P1378" s="593"/>
      <c r="Q1378" s="685"/>
      <c r="R1378" s="685"/>
      <c r="S1378" s="329"/>
      <c r="U1378" s="593"/>
      <c r="Z1378" s="329"/>
      <c r="AB1378" s="589"/>
    </row>
    <row r="1379" spans="1:28">
      <c r="A1379" s="631" t="str">
        <f t="shared" si="28"/>
        <v>TR.04.5105</v>
      </c>
      <c r="B1379" s="702" t="s">
        <v>1933</v>
      </c>
      <c r="C1379" s="559" t="s">
        <v>3430</v>
      </c>
      <c r="D1379" s="562" t="s">
        <v>6249</v>
      </c>
      <c r="E1379" s="696">
        <v>3605</v>
      </c>
      <c r="F1379" s="696">
        <v>199630</v>
      </c>
      <c r="G1379" s="696">
        <v>3690</v>
      </c>
      <c r="H1379" s="619"/>
      <c r="I1379" s="697"/>
      <c r="K1379" s="619"/>
      <c r="M1379" s="329"/>
      <c r="P1379" s="593"/>
      <c r="Q1379" s="685"/>
      <c r="R1379" s="685"/>
      <c r="S1379" s="329"/>
      <c r="U1379" s="593"/>
      <c r="Z1379" s="329"/>
      <c r="AB1379" s="589"/>
    </row>
    <row r="1380" spans="1:28">
      <c r="A1380" s="631" t="str">
        <f t="shared" si="28"/>
        <v>TR.04.5106</v>
      </c>
      <c r="B1380" s="702" t="s">
        <v>2326</v>
      </c>
      <c r="C1380" s="559" t="s">
        <v>666</v>
      </c>
      <c r="D1380" s="562" t="s">
        <v>6249</v>
      </c>
      <c r="E1380" s="696">
        <v>3688</v>
      </c>
      <c r="F1380" s="696">
        <v>224584</v>
      </c>
      <c r="G1380" s="696">
        <v>3690</v>
      </c>
      <c r="H1380" s="619"/>
      <c r="I1380" s="697"/>
      <c r="K1380" s="619"/>
      <c r="M1380" s="329"/>
      <c r="P1380" s="593"/>
      <c r="Q1380" s="685"/>
      <c r="R1380" s="685"/>
      <c r="S1380" s="329"/>
      <c r="U1380" s="593"/>
      <c r="Z1380" s="329"/>
      <c r="AB1380" s="589"/>
    </row>
    <row r="1381" spans="1:28">
      <c r="A1381" s="631" t="str">
        <f t="shared" si="28"/>
        <v>TR.04.5201</v>
      </c>
      <c r="B1381" s="702" t="s">
        <v>667</v>
      </c>
      <c r="C1381" s="559" t="s">
        <v>452</v>
      </c>
      <c r="D1381" s="562" t="s">
        <v>6249</v>
      </c>
      <c r="E1381" s="696">
        <v>3605</v>
      </c>
      <c r="F1381" s="696">
        <v>174676</v>
      </c>
      <c r="G1381" s="696">
        <v>3690</v>
      </c>
      <c r="H1381" s="619"/>
      <c r="I1381" s="697"/>
      <c r="K1381" s="619"/>
      <c r="M1381" s="329"/>
      <c r="P1381" s="593"/>
      <c r="Q1381" s="685"/>
      <c r="R1381" s="685"/>
      <c r="S1381" s="329"/>
      <c r="U1381" s="593"/>
      <c r="Z1381" s="329"/>
      <c r="AB1381" s="589"/>
    </row>
    <row r="1382" spans="1:28">
      <c r="A1382" s="631" t="str">
        <f t="shared" si="28"/>
        <v>TR.04.5202</v>
      </c>
      <c r="B1382" s="702" t="s">
        <v>668</v>
      </c>
      <c r="C1382" s="559" t="s">
        <v>453</v>
      </c>
      <c r="D1382" s="562" t="s">
        <v>6249</v>
      </c>
      <c r="E1382" s="696">
        <v>3688</v>
      </c>
      <c r="F1382" s="696">
        <v>219593</v>
      </c>
      <c r="G1382" s="696">
        <v>3690</v>
      </c>
      <c r="H1382" s="619"/>
      <c r="I1382" s="697"/>
      <c r="K1382" s="619"/>
      <c r="M1382" s="329"/>
      <c r="P1382" s="593"/>
      <c r="Q1382" s="685"/>
      <c r="R1382" s="685"/>
      <c r="S1382" s="329"/>
      <c r="U1382" s="593"/>
      <c r="Z1382" s="329"/>
      <c r="AB1382" s="589"/>
    </row>
    <row r="1383" spans="1:28">
      <c r="A1383" s="631" t="str">
        <f t="shared" si="28"/>
        <v>TR.04.5203</v>
      </c>
      <c r="B1383" s="702" t="s">
        <v>669</v>
      </c>
      <c r="C1383" s="559" t="s">
        <v>454</v>
      </c>
      <c r="D1383" s="562" t="s">
        <v>6249</v>
      </c>
      <c r="E1383" s="696">
        <v>3825</v>
      </c>
      <c r="F1383" s="696">
        <v>269501</v>
      </c>
      <c r="G1383" s="696">
        <v>3690</v>
      </c>
      <c r="H1383" s="619"/>
      <c r="I1383" s="697"/>
      <c r="K1383" s="619"/>
      <c r="M1383" s="329"/>
      <c r="P1383" s="593"/>
      <c r="Q1383" s="685"/>
      <c r="R1383" s="685"/>
      <c r="S1383" s="329"/>
      <c r="U1383" s="593"/>
      <c r="Z1383" s="329"/>
      <c r="AB1383" s="589"/>
    </row>
    <row r="1384" spans="1:28">
      <c r="A1384" s="631" t="str">
        <f t="shared" si="28"/>
        <v>TR.04.5204</v>
      </c>
      <c r="B1384" s="702" t="s">
        <v>670</v>
      </c>
      <c r="C1384" s="559" t="s">
        <v>2101</v>
      </c>
      <c r="D1384" s="562" t="s">
        <v>6249</v>
      </c>
      <c r="E1384" s="696">
        <v>4100</v>
      </c>
      <c r="F1384" s="696">
        <v>349353</v>
      </c>
      <c r="G1384" s="696">
        <v>3690</v>
      </c>
      <c r="H1384" s="619"/>
      <c r="I1384" s="697"/>
      <c r="K1384" s="619"/>
      <c r="M1384" s="329"/>
      <c r="P1384" s="593"/>
      <c r="Q1384" s="685"/>
      <c r="R1384" s="685"/>
      <c r="S1384" s="329"/>
      <c r="U1384" s="593"/>
      <c r="Z1384" s="329"/>
      <c r="AB1384" s="589"/>
    </row>
    <row r="1385" spans="1:28" ht="13.5">
      <c r="A1385" s="594"/>
      <c r="B1385" s="694" t="s">
        <v>2102</v>
      </c>
      <c r="D1385" s="562"/>
      <c r="E1385" s="561"/>
      <c r="F1385" s="561"/>
      <c r="G1385" s="561"/>
      <c r="H1385" s="619"/>
      <c r="I1385" s="697"/>
      <c r="K1385" s="619"/>
      <c r="M1385" s="329"/>
      <c r="P1385" s="593"/>
      <c r="Q1385" s="685"/>
      <c r="R1385" s="685"/>
      <c r="S1385" s="329"/>
      <c r="U1385" s="593"/>
      <c r="Z1385" s="329"/>
      <c r="AB1385" s="589"/>
    </row>
    <row r="1386" spans="1:28">
      <c r="A1386" s="631" t="str">
        <f t="shared" si="28"/>
        <v>TR.04.6101</v>
      </c>
      <c r="B1386" s="702" t="s">
        <v>2103</v>
      </c>
      <c r="C1386" s="559" t="s">
        <v>3165</v>
      </c>
      <c r="D1386" s="562" t="s">
        <v>2104</v>
      </c>
      <c r="E1386" s="696">
        <v>124672</v>
      </c>
      <c r="F1386" s="696">
        <v>104806</v>
      </c>
      <c r="G1386" s="696">
        <v>31544</v>
      </c>
      <c r="H1386" s="619"/>
      <c r="I1386" s="697"/>
      <c r="K1386" s="619"/>
      <c r="M1386" s="329"/>
      <c r="P1386" s="593"/>
      <c r="Q1386" s="685"/>
      <c r="R1386" s="685"/>
      <c r="S1386" s="329"/>
      <c r="U1386" s="593"/>
      <c r="Z1386" s="329"/>
      <c r="AB1386" s="589"/>
    </row>
    <row r="1387" spans="1:28">
      <c r="A1387" s="631" t="str">
        <f t="shared" si="28"/>
        <v>TR.04.6102</v>
      </c>
      <c r="B1387" s="702" t="s">
        <v>4653</v>
      </c>
      <c r="C1387" s="559" t="s">
        <v>3166</v>
      </c>
      <c r="D1387" s="562" t="s">
        <v>2104</v>
      </c>
      <c r="E1387" s="696">
        <v>128132</v>
      </c>
      <c r="F1387" s="696">
        <v>146728</v>
      </c>
      <c r="G1387" s="696">
        <v>44117</v>
      </c>
      <c r="H1387" s="619"/>
      <c r="I1387" s="697"/>
      <c r="K1387" s="619"/>
      <c r="M1387" s="329"/>
      <c r="P1387" s="593"/>
      <c r="Q1387" s="685"/>
      <c r="R1387" s="685"/>
      <c r="S1387" s="329"/>
      <c r="U1387" s="593"/>
      <c r="Z1387" s="329"/>
      <c r="AB1387" s="589"/>
    </row>
    <row r="1388" spans="1:28">
      <c r="A1388" s="631" t="str">
        <f t="shared" si="28"/>
        <v>TR.04.6103</v>
      </c>
      <c r="B1388" s="702" t="s">
        <v>4654</v>
      </c>
      <c r="C1388" s="559" t="s">
        <v>3167</v>
      </c>
      <c r="D1388" s="562" t="s">
        <v>2104</v>
      </c>
      <c r="E1388" s="696">
        <v>137182</v>
      </c>
      <c r="F1388" s="696">
        <v>169686</v>
      </c>
      <c r="G1388" s="696">
        <v>51301</v>
      </c>
      <c r="H1388" s="619"/>
      <c r="I1388" s="697"/>
      <c r="K1388" s="619"/>
      <c r="M1388" s="329"/>
      <c r="P1388" s="593"/>
      <c r="Q1388" s="685"/>
      <c r="R1388" s="685"/>
      <c r="S1388" s="329"/>
      <c r="U1388" s="593"/>
      <c r="Z1388" s="329"/>
      <c r="AB1388" s="589"/>
    </row>
    <row r="1389" spans="1:28">
      <c r="A1389" s="631" t="str">
        <f t="shared" si="28"/>
        <v>TR.04.6104</v>
      </c>
      <c r="B1389" s="702" t="s">
        <v>4655</v>
      </c>
      <c r="C1389" s="559" t="s">
        <v>3168</v>
      </c>
      <c r="D1389" s="562" t="s">
        <v>2104</v>
      </c>
      <c r="E1389" s="696">
        <v>136254</v>
      </c>
      <c r="F1389" s="696">
        <v>206617</v>
      </c>
      <c r="G1389" s="696">
        <v>62191</v>
      </c>
      <c r="H1389" s="619"/>
      <c r="I1389" s="697"/>
      <c r="K1389" s="619"/>
      <c r="M1389" s="329"/>
      <c r="P1389" s="593"/>
      <c r="Q1389" s="685"/>
      <c r="R1389" s="685"/>
      <c r="S1389" s="329"/>
      <c r="U1389" s="593"/>
      <c r="Z1389" s="329"/>
      <c r="AB1389" s="589"/>
    </row>
    <row r="1390" spans="1:28">
      <c r="A1390" s="631" t="str">
        <f t="shared" si="28"/>
        <v>TR.04.6105</v>
      </c>
      <c r="B1390" s="702" t="s">
        <v>4656</v>
      </c>
      <c r="C1390" s="559" t="s">
        <v>3169</v>
      </c>
      <c r="D1390" s="562" t="s">
        <v>2104</v>
      </c>
      <c r="E1390" s="696">
        <v>143299</v>
      </c>
      <c r="F1390" s="696">
        <v>299445</v>
      </c>
      <c r="G1390" s="696">
        <v>90030</v>
      </c>
      <c r="H1390" s="619"/>
      <c r="I1390" s="697"/>
      <c r="K1390" s="619"/>
      <c r="M1390" s="329"/>
      <c r="P1390" s="593"/>
      <c r="Q1390" s="685"/>
      <c r="R1390" s="685"/>
      <c r="S1390" s="329"/>
      <c r="U1390" s="593"/>
      <c r="Z1390" s="329"/>
      <c r="AB1390" s="589"/>
    </row>
    <row r="1391" spans="1:28">
      <c r="A1391" s="631" t="str">
        <f t="shared" si="28"/>
        <v>TR.04.6106</v>
      </c>
      <c r="B1391" s="702" t="s">
        <v>4657</v>
      </c>
      <c r="C1391" s="559" t="s">
        <v>3170</v>
      </c>
      <c r="D1391" s="562" t="s">
        <v>2104</v>
      </c>
      <c r="E1391" s="696">
        <v>145529</v>
      </c>
      <c r="F1391" s="696">
        <v>337375</v>
      </c>
      <c r="G1391" s="696">
        <v>101704</v>
      </c>
      <c r="H1391" s="619"/>
      <c r="I1391" s="697"/>
      <c r="K1391" s="619"/>
      <c r="M1391" s="329"/>
      <c r="P1391" s="593"/>
      <c r="Q1391" s="685"/>
      <c r="R1391" s="685"/>
      <c r="S1391" s="329"/>
      <c r="U1391" s="593"/>
      <c r="Z1391" s="329"/>
      <c r="AB1391" s="589"/>
    </row>
    <row r="1392" spans="1:28">
      <c r="A1392" s="631" t="str">
        <f t="shared" si="28"/>
        <v>TR.04.6201</v>
      </c>
      <c r="B1392" s="702" t="s">
        <v>4658</v>
      </c>
      <c r="C1392" s="559" t="s">
        <v>3171</v>
      </c>
      <c r="D1392" s="562" t="s">
        <v>2104</v>
      </c>
      <c r="E1392" s="696">
        <v>139935</v>
      </c>
      <c r="F1392" s="696">
        <v>262513</v>
      </c>
      <c r="G1392" s="696">
        <v>79027</v>
      </c>
      <c r="H1392" s="619"/>
      <c r="I1392" s="697"/>
      <c r="K1392" s="619"/>
      <c r="M1392" s="329"/>
      <c r="P1392" s="593"/>
      <c r="Q1392" s="685"/>
      <c r="R1392" s="685"/>
      <c r="S1392" s="329"/>
      <c r="U1392" s="593"/>
      <c r="Z1392" s="329"/>
      <c r="AB1392" s="589"/>
    </row>
    <row r="1393" spans="1:28">
      <c r="A1393" s="631" t="str">
        <f t="shared" si="28"/>
        <v>TR.04.6202</v>
      </c>
      <c r="B1393" s="702" t="s">
        <v>4659</v>
      </c>
      <c r="C1393" s="559" t="s">
        <v>2210</v>
      </c>
      <c r="D1393" s="562" t="s">
        <v>2104</v>
      </c>
      <c r="E1393" s="696">
        <v>142165</v>
      </c>
      <c r="F1393" s="696">
        <v>329390</v>
      </c>
      <c r="G1393" s="696">
        <v>98783</v>
      </c>
      <c r="H1393" s="619"/>
      <c r="I1393" s="697"/>
      <c r="K1393" s="619"/>
      <c r="M1393" s="329"/>
      <c r="P1393" s="593"/>
      <c r="Q1393" s="685"/>
      <c r="R1393" s="685"/>
      <c r="S1393" s="329"/>
      <c r="U1393" s="593"/>
      <c r="Z1393" s="329"/>
      <c r="AB1393" s="589"/>
    </row>
    <row r="1394" spans="1:28">
      <c r="A1394" s="631" t="str">
        <f t="shared" si="28"/>
        <v>TR.04.6203</v>
      </c>
      <c r="B1394" s="702" t="s">
        <v>4660</v>
      </c>
      <c r="C1394" s="559" t="s">
        <v>2211</v>
      </c>
      <c r="D1394" s="562" t="s">
        <v>2104</v>
      </c>
      <c r="E1394" s="696">
        <v>148430</v>
      </c>
      <c r="F1394" s="696">
        <v>404251</v>
      </c>
      <c r="G1394" s="696">
        <v>121234</v>
      </c>
      <c r="H1394" s="619"/>
      <c r="I1394" s="697"/>
      <c r="K1394" s="619"/>
      <c r="M1394" s="329"/>
      <c r="P1394" s="593"/>
      <c r="Q1394" s="685"/>
      <c r="R1394" s="685"/>
      <c r="S1394" s="329"/>
      <c r="U1394" s="593"/>
      <c r="Z1394" s="329"/>
      <c r="AB1394" s="589"/>
    </row>
    <row r="1395" spans="1:28">
      <c r="A1395" s="631" t="str">
        <f t="shared" si="28"/>
        <v>TR.04.6204</v>
      </c>
      <c r="B1395" s="702" t="s">
        <v>4661</v>
      </c>
      <c r="C1395" s="559" t="s">
        <v>2212</v>
      </c>
      <c r="D1395" s="562" t="s">
        <v>2104</v>
      </c>
      <c r="E1395" s="696">
        <v>151940</v>
      </c>
      <c r="F1395" s="696">
        <v>524029</v>
      </c>
      <c r="G1395" s="696">
        <v>157155</v>
      </c>
      <c r="H1395" s="619"/>
      <c r="I1395" s="697"/>
      <c r="K1395" s="619"/>
      <c r="M1395" s="329"/>
      <c r="P1395" s="593"/>
      <c r="Q1395" s="685"/>
      <c r="R1395" s="685"/>
      <c r="S1395" s="329"/>
      <c r="U1395" s="593"/>
      <c r="Z1395" s="329"/>
      <c r="AB1395" s="589"/>
    </row>
    <row r="1396" spans="1:28" ht="13.5">
      <c r="A1396" s="594"/>
      <c r="B1396" s="694" t="s">
        <v>1437</v>
      </c>
      <c r="C1396" s="559"/>
      <c r="D1396" s="562"/>
      <c r="E1396" s="696"/>
      <c r="F1396" s="696"/>
      <c r="G1396" s="696"/>
      <c r="H1396" s="619"/>
      <c r="I1396" s="697"/>
      <c r="K1396" s="619"/>
      <c r="M1396" s="329"/>
      <c r="P1396" s="593"/>
      <c r="Q1396" s="685"/>
      <c r="R1396" s="685"/>
      <c r="S1396" s="329"/>
      <c r="U1396" s="593"/>
      <c r="Z1396" s="329"/>
      <c r="AB1396" s="589"/>
    </row>
    <row r="1397" spans="1:28">
      <c r="A1397" s="631" t="str">
        <f t="shared" si="28"/>
        <v>TR.04.7001</v>
      </c>
      <c r="B1397" s="702" t="s">
        <v>1463</v>
      </c>
      <c r="C1397" s="559" t="s">
        <v>3684</v>
      </c>
      <c r="D1397" s="562" t="s">
        <v>1376</v>
      </c>
      <c r="E1397" s="696">
        <v>704</v>
      </c>
      <c r="F1397" s="696">
        <v>27948</v>
      </c>
      <c r="G1397" s="561"/>
      <c r="H1397" s="619"/>
      <c r="I1397" s="697"/>
      <c r="K1397" s="619"/>
      <c r="M1397" s="329"/>
      <c r="P1397" s="593"/>
      <c r="Q1397" s="685"/>
      <c r="R1397" s="685"/>
      <c r="S1397" s="329"/>
      <c r="U1397" s="593"/>
      <c r="Z1397" s="329"/>
      <c r="AB1397" s="589"/>
    </row>
    <row r="1398" spans="1:28">
      <c r="A1398" s="631" t="str">
        <f t="shared" si="28"/>
        <v>TR.04.7002</v>
      </c>
      <c r="B1398" s="702" t="s">
        <v>1464</v>
      </c>
      <c r="C1398" s="559" t="s">
        <v>4786</v>
      </c>
      <c r="D1398" s="562" t="s">
        <v>6249</v>
      </c>
      <c r="E1398" s="696">
        <v>926</v>
      </c>
      <c r="F1398" s="696">
        <v>28547</v>
      </c>
      <c r="G1398" s="696">
        <v>8200</v>
      </c>
      <c r="H1398" s="619"/>
      <c r="I1398" s="697"/>
      <c r="K1398" s="619"/>
      <c r="M1398" s="329"/>
      <c r="P1398" s="593"/>
      <c r="Q1398" s="685"/>
      <c r="R1398" s="685"/>
      <c r="S1398" s="329"/>
      <c r="U1398" s="593"/>
      <c r="Z1398" s="329"/>
      <c r="AB1398" s="589"/>
    </row>
    <row r="1399" spans="1:28" ht="13.5">
      <c r="A1399" s="594"/>
      <c r="B1399" s="694" t="s">
        <v>3287</v>
      </c>
      <c r="C1399" s="559"/>
      <c r="D1399" s="562"/>
      <c r="E1399" s="696"/>
      <c r="F1399" s="696"/>
      <c r="G1399" s="696"/>
      <c r="H1399" s="619"/>
      <c r="I1399" s="697"/>
      <c r="K1399" s="619"/>
      <c r="M1399" s="329"/>
      <c r="P1399" s="593"/>
      <c r="Q1399" s="685"/>
      <c r="R1399" s="685"/>
      <c r="S1399" s="329"/>
      <c r="U1399" s="593"/>
      <c r="Z1399" s="329"/>
      <c r="AB1399" s="589"/>
    </row>
    <row r="1400" spans="1:28">
      <c r="A1400" s="631" t="str">
        <f t="shared" si="28"/>
        <v>TR.04.8001</v>
      </c>
      <c r="B1400" s="702" t="s">
        <v>3288</v>
      </c>
      <c r="C1400" s="559" t="s">
        <v>3289</v>
      </c>
      <c r="D1400" s="562" t="s">
        <v>3290</v>
      </c>
      <c r="E1400" s="704"/>
      <c r="F1400" s="696">
        <v>1113337</v>
      </c>
      <c r="G1400" s="696"/>
      <c r="H1400" s="619"/>
      <c r="I1400" s="697"/>
      <c r="K1400" s="619"/>
      <c r="M1400" s="329"/>
      <c r="P1400" s="593"/>
      <c r="Q1400" s="685"/>
      <c r="R1400" s="685"/>
      <c r="S1400" s="329"/>
      <c r="U1400" s="593"/>
      <c r="Z1400" s="329"/>
      <c r="AB1400" s="589"/>
    </row>
    <row r="1401" spans="1:28">
      <c r="A1401" s="631" t="str">
        <f t="shared" si="28"/>
        <v>TR.04.8002</v>
      </c>
      <c r="B1401" s="702" t="s">
        <v>3291</v>
      </c>
      <c r="C1401" s="559" t="s">
        <v>3292</v>
      </c>
      <c r="D1401" s="562" t="s">
        <v>3290</v>
      </c>
      <c r="E1401" s="704"/>
      <c r="F1401" s="696">
        <v>1012124</v>
      </c>
      <c r="G1401" s="696"/>
      <c r="H1401" s="619"/>
      <c r="I1401" s="697"/>
      <c r="K1401" s="619"/>
      <c r="M1401" s="329"/>
      <c r="P1401" s="593"/>
      <c r="Q1401" s="685"/>
      <c r="R1401" s="685"/>
      <c r="S1401" s="329"/>
      <c r="U1401" s="593"/>
      <c r="Z1401" s="329"/>
      <c r="AB1401" s="589"/>
    </row>
    <row r="1402" spans="1:28">
      <c r="A1402" s="631" t="str">
        <f t="shared" si="28"/>
        <v>TR.04.8003</v>
      </c>
      <c r="B1402" s="702" t="s">
        <v>3293</v>
      </c>
      <c r="C1402" s="559" t="s">
        <v>1465</v>
      </c>
      <c r="D1402" s="562" t="s">
        <v>6249</v>
      </c>
      <c r="E1402" s="696">
        <v>8000</v>
      </c>
      <c r="F1402" s="696">
        <v>149723</v>
      </c>
      <c r="G1402" s="696"/>
      <c r="H1402" s="619"/>
      <c r="I1402" s="697"/>
      <c r="K1402" s="619"/>
      <c r="M1402" s="329"/>
      <c r="P1402" s="593"/>
      <c r="Q1402" s="685"/>
      <c r="R1402" s="685"/>
      <c r="S1402" s="329"/>
      <c r="U1402" s="593"/>
      <c r="Z1402" s="329"/>
      <c r="AB1402" s="589"/>
    </row>
    <row r="1403" spans="1:28">
      <c r="A1403" s="631" t="str">
        <f t="shared" si="28"/>
        <v>TR.04.8004</v>
      </c>
      <c r="B1403" s="702" t="s">
        <v>3294</v>
      </c>
      <c r="C1403" s="559" t="s">
        <v>3295</v>
      </c>
      <c r="D1403" s="562" t="s">
        <v>6249</v>
      </c>
      <c r="E1403" s="696">
        <v>8000</v>
      </c>
      <c r="F1403" s="696">
        <v>299445</v>
      </c>
      <c r="G1403" s="696"/>
      <c r="H1403" s="619"/>
      <c r="I1403" s="697"/>
      <c r="K1403" s="619"/>
      <c r="M1403" s="329"/>
      <c r="P1403" s="593"/>
      <c r="Q1403" s="685"/>
      <c r="R1403" s="685"/>
      <c r="S1403" s="329"/>
      <c r="U1403" s="593"/>
      <c r="Z1403" s="329"/>
      <c r="AB1403" s="589"/>
    </row>
    <row r="1404" spans="1:28" ht="13.5">
      <c r="A1404" s="594"/>
      <c r="B1404" s="694" t="s">
        <v>3296</v>
      </c>
      <c r="C1404" s="559"/>
      <c r="D1404" s="562"/>
      <c r="E1404" s="696"/>
      <c r="F1404" s="696"/>
      <c r="G1404" s="696"/>
      <c r="H1404" s="619"/>
      <c r="I1404" s="697"/>
      <c r="K1404" s="619"/>
      <c r="M1404" s="329"/>
      <c r="P1404" s="593"/>
      <c r="Q1404" s="685"/>
      <c r="R1404" s="685"/>
      <c r="S1404" s="329"/>
      <c r="U1404" s="593"/>
      <c r="Z1404" s="329"/>
      <c r="AB1404" s="589"/>
    </row>
    <row r="1405" spans="1:28">
      <c r="A1405" s="631" t="str">
        <f t="shared" si="28"/>
        <v>TR.04.9101</v>
      </c>
      <c r="B1405" s="702" t="s">
        <v>3297</v>
      </c>
      <c r="C1405" s="559" t="s">
        <v>3265</v>
      </c>
      <c r="D1405" s="562" t="s">
        <v>1297</v>
      </c>
      <c r="E1405" s="696">
        <v>18675</v>
      </c>
      <c r="F1405" s="696">
        <v>442313</v>
      </c>
      <c r="G1405" s="696">
        <v>210542</v>
      </c>
      <c r="H1405" s="619"/>
      <c r="I1405" s="697"/>
      <c r="K1405" s="619"/>
      <c r="M1405" s="329"/>
      <c r="P1405" s="593"/>
      <c r="Q1405" s="685"/>
      <c r="R1405" s="685"/>
      <c r="S1405" s="329"/>
      <c r="U1405" s="593"/>
      <c r="Z1405" s="329"/>
      <c r="AB1405" s="589"/>
    </row>
    <row r="1406" spans="1:28">
      <c r="A1406" s="631" t="str">
        <f t="shared" si="28"/>
        <v>TR.04.9102</v>
      </c>
      <c r="B1406" s="702" t="s">
        <v>3266</v>
      </c>
      <c r="C1406" s="559" t="s">
        <v>3267</v>
      </c>
      <c r="D1406" s="562" t="s">
        <v>3290</v>
      </c>
      <c r="E1406" s="696">
        <v>18160</v>
      </c>
      <c r="F1406" s="696">
        <v>1151682</v>
      </c>
      <c r="G1406" s="704"/>
      <c r="H1406" s="619"/>
      <c r="I1406" s="697"/>
      <c r="K1406" s="619"/>
      <c r="M1406" s="329"/>
      <c r="P1406" s="593"/>
      <c r="Q1406" s="685"/>
      <c r="R1406" s="685"/>
      <c r="S1406" s="329"/>
      <c r="U1406" s="593"/>
      <c r="Z1406" s="329"/>
      <c r="AB1406" s="589"/>
    </row>
    <row r="1407" spans="1:28">
      <c r="A1407" s="631" t="str">
        <f t="shared" si="28"/>
        <v>TR.04.9201</v>
      </c>
      <c r="B1407" s="702" t="s">
        <v>3268</v>
      </c>
      <c r="C1407" s="559" t="s">
        <v>5618</v>
      </c>
      <c r="D1407" s="562" t="s">
        <v>3290</v>
      </c>
      <c r="E1407" s="696">
        <v>85212</v>
      </c>
      <c r="F1407" s="696">
        <v>1552267</v>
      </c>
      <c r="G1407" s="696">
        <v>138941</v>
      </c>
      <c r="H1407" s="619"/>
      <c r="I1407" s="697"/>
      <c r="K1407" s="619"/>
      <c r="M1407" s="329"/>
      <c r="P1407" s="593"/>
      <c r="Q1407" s="685"/>
      <c r="R1407" s="685"/>
      <c r="S1407" s="329"/>
      <c r="U1407" s="593"/>
      <c r="Z1407" s="329"/>
      <c r="AB1407" s="589"/>
    </row>
    <row r="1408" spans="1:28">
      <c r="A1408" s="631" t="str">
        <f t="shared" si="28"/>
        <v>TR.04.9202</v>
      </c>
      <c r="B1408" s="702" t="s">
        <v>3269</v>
      </c>
      <c r="C1408" s="559" t="s">
        <v>5619</v>
      </c>
      <c r="D1408" s="562" t="s">
        <v>3290</v>
      </c>
      <c r="E1408" s="696">
        <v>18160</v>
      </c>
      <c r="F1408" s="696">
        <v>1151682</v>
      </c>
      <c r="G1408" s="704"/>
      <c r="H1408" s="619"/>
      <c r="I1408" s="697"/>
      <c r="K1408" s="619"/>
      <c r="M1408" s="329"/>
      <c r="P1408" s="593"/>
      <c r="Q1408" s="685"/>
      <c r="R1408" s="685"/>
      <c r="S1408" s="329"/>
      <c r="U1408" s="593"/>
      <c r="Z1408" s="329"/>
      <c r="AB1408" s="589"/>
    </row>
    <row r="1409" spans="1:28">
      <c r="A1409" s="631" t="str">
        <f t="shared" si="28"/>
        <v>TR.04.9203</v>
      </c>
      <c r="B1409" s="702" t="s">
        <v>3270</v>
      </c>
      <c r="C1409" s="559" t="s">
        <v>5620</v>
      </c>
      <c r="D1409" s="562" t="s">
        <v>5687</v>
      </c>
      <c r="E1409" s="696">
        <v>15893</v>
      </c>
      <c r="F1409" s="696">
        <v>442313</v>
      </c>
      <c r="G1409" s="696">
        <v>210542</v>
      </c>
      <c r="H1409" s="619"/>
      <c r="I1409" s="697"/>
      <c r="K1409" s="619"/>
      <c r="M1409" s="329"/>
      <c r="P1409" s="593"/>
      <c r="Q1409" s="685"/>
      <c r="R1409" s="685"/>
      <c r="S1409" s="329"/>
      <c r="U1409" s="593"/>
      <c r="Z1409" s="329"/>
      <c r="AB1409" s="589"/>
    </row>
    <row r="1410" spans="1:28">
      <c r="A1410" s="631" t="str">
        <f t="shared" si="28"/>
        <v>TR.04.9301</v>
      </c>
      <c r="B1410" s="702" t="s">
        <v>3271</v>
      </c>
      <c r="C1410" s="559" t="s">
        <v>3272</v>
      </c>
      <c r="D1410" s="562" t="s">
        <v>5687</v>
      </c>
      <c r="E1410" s="696">
        <v>15893</v>
      </c>
      <c r="F1410" s="696">
        <v>171547</v>
      </c>
      <c r="G1410" s="696">
        <v>105271</v>
      </c>
      <c r="H1410" s="619"/>
      <c r="I1410" s="697"/>
      <c r="K1410" s="619"/>
      <c r="M1410" s="329"/>
      <c r="P1410" s="593"/>
      <c r="Q1410" s="685"/>
      <c r="R1410" s="685"/>
      <c r="S1410" s="329"/>
      <c r="U1410" s="593"/>
      <c r="Z1410" s="329"/>
      <c r="AB1410" s="589"/>
    </row>
    <row r="1411" spans="1:28">
      <c r="A1411" s="631" t="str">
        <f t="shared" si="28"/>
        <v>TR.04.9302</v>
      </c>
      <c r="B1411" s="702" t="s">
        <v>3273</v>
      </c>
      <c r="C1411" s="559" t="s">
        <v>2630</v>
      </c>
      <c r="D1411" s="562" t="s">
        <v>3290</v>
      </c>
      <c r="E1411" s="696">
        <v>14080</v>
      </c>
      <c r="F1411" s="696">
        <v>1046899</v>
      </c>
      <c r="G1411" s="704"/>
      <c r="H1411" s="619"/>
      <c r="I1411" s="697"/>
      <c r="K1411" s="619"/>
      <c r="M1411" s="329"/>
      <c r="P1411" s="593"/>
      <c r="Q1411" s="685"/>
      <c r="R1411" s="685"/>
      <c r="S1411" s="329"/>
      <c r="U1411" s="593"/>
      <c r="Z1411" s="329"/>
      <c r="AB1411" s="589"/>
    </row>
    <row r="1412" spans="1:28" ht="13.5">
      <c r="A1412" s="594"/>
      <c r="B1412" s="694" t="s">
        <v>2631</v>
      </c>
      <c r="C1412" s="559"/>
      <c r="D1412" s="562"/>
      <c r="E1412" s="696"/>
      <c r="F1412" s="696"/>
      <c r="G1412" s="696"/>
      <c r="H1412" s="619"/>
      <c r="I1412" s="697"/>
      <c r="K1412" s="619"/>
      <c r="M1412" s="329"/>
      <c r="P1412" s="593"/>
      <c r="Q1412" s="685"/>
      <c r="R1412" s="685"/>
      <c r="S1412" s="329"/>
      <c r="U1412" s="593"/>
      <c r="Z1412" s="329"/>
      <c r="AB1412" s="589"/>
    </row>
    <row r="1413" spans="1:28">
      <c r="A1413" s="631" t="str">
        <f t="shared" si="28"/>
        <v>TR.05.1001</v>
      </c>
      <c r="B1413" s="702" t="s">
        <v>882</v>
      </c>
      <c r="C1413" s="559" t="s">
        <v>4290</v>
      </c>
      <c r="D1413" s="562" t="s">
        <v>4291</v>
      </c>
      <c r="E1413" s="696">
        <v>69573</v>
      </c>
      <c r="F1413" s="696">
        <v>270408</v>
      </c>
      <c r="G1413" s="696">
        <v>55839</v>
      </c>
      <c r="H1413" s="619"/>
      <c r="I1413" s="697"/>
      <c r="K1413" s="619"/>
      <c r="M1413" s="329"/>
      <c r="P1413" s="593"/>
      <c r="Q1413" s="685"/>
      <c r="R1413" s="685"/>
      <c r="S1413" s="329"/>
      <c r="U1413" s="593"/>
      <c r="Z1413" s="329"/>
      <c r="AB1413" s="589"/>
    </row>
    <row r="1414" spans="1:28">
      <c r="A1414" s="631" t="str">
        <f t="shared" si="28"/>
        <v>TR.05.1002</v>
      </c>
      <c r="B1414" s="702" t="s">
        <v>4292</v>
      </c>
      <c r="C1414" s="559" t="s">
        <v>5680</v>
      </c>
      <c r="D1414" s="562" t="s">
        <v>4291</v>
      </c>
      <c r="E1414" s="696">
        <v>70299</v>
      </c>
      <c r="F1414" s="696">
        <v>311509</v>
      </c>
      <c r="G1414" s="696">
        <v>55839</v>
      </c>
      <c r="H1414" s="619"/>
      <c r="I1414" s="697"/>
      <c r="K1414" s="619"/>
      <c r="M1414" s="329"/>
      <c r="P1414" s="593"/>
      <c r="Q1414" s="685"/>
      <c r="R1414" s="685"/>
      <c r="S1414" s="329"/>
      <c r="U1414" s="593"/>
      <c r="Z1414" s="329"/>
      <c r="AB1414" s="589"/>
    </row>
    <row r="1415" spans="1:28">
      <c r="A1415" s="631" t="str">
        <f t="shared" si="28"/>
        <v>TR.05.1003</v>
      </c>
      <c r="B1415" s="702" t="s">
        <v>5681</v>
      </c>
      <c r="C1415" s="559" t="s">
        <v>5682</v>
      </c>
      <c r="D1415" s="562" t="s">
        <v>4291</v>
      </c>
      <c r="E1415" s="696">
        <v>69573</v>
      </c>
      <c r="F1415" s="696">
        <v>270408</v>
      </c>
      <c r="G1415" s="696">
        <v>55839</v>
      </c>
      <c r="H1415" s="619"/>
      <c r="I1415" s="697"/>
      <c r="K1415" s="619"/>
      <c r="M1415" s="329"/>
      <c r="P1415" s="593"/>
      <c r="Q1415" s="685"/>
      <c r="R1415" s="685"/>
      <c r="S1415" s="329"/>
      <c r="U1415" s="593"/>
      <c r="Z1415" s="329"/>
      <c r="AB1415" s="589"/>
    </row>
    <row r="1416" spans="1:28">
      <c r="A1416" s="631" t="str">
        <f t="shared" si="28"/>
        <v>TR.05.1004</v>
      </c>
      <c r="B1416" s="702" t="s">
        <v>5767</v>
      </c>
      <c r="C1416" s="559" t="s">
        <v>5793</v>
      </c>
      <c r="D1416" s="562" t="s">
        <v>4291</v>
      </c>
      <c r="E1416" s="696">
        <v>68289</v>
      </c>
      <c r="F1416" s="696">
        <v>270408</v>
      </c>
      <c r="G1416" s="704"/>
      <c r="H1416" s="619"/>
      <c r="I1416" s="697"/>
      <c r="K1416" s="619"/>
      <c r="M1416" s="329"/>
      <c r="P1416" s="593"/>
      <c r="Q1416" s="685"/>
      <c r="R1416" s="685"/>
      <c r="S1416" s="329"/>
      <c r="U1416" s="593"/>
      <c r="Z1416" s="329"/>
      <c r="AB1416" s="589"/>
    </row>
    <row r="1417" spans="1:28">
      <c r="A1417" s="631" t="str">
        <f t="shared" si="28"/>
        <v>TR.05.1005</v>
      </c>
      <c r="B1417" s="702" t="s">
        <v>5794</v>
      </c>
      <c r="C1417" s="559" t="s">
        <v>5795</v>
      </c>
      <c r="D1417" s="562" t="s">
        <v>4291</v>
      </c>
      <c r="E1417" s="696">
        <v>68289</v>
      </c>
      <c r="F1417" s="696">
        <v>310428</v>
      </c>
      <c r="G1417" s="696">
        <v>171227</v>
      </c>
      <c r="H1417" s="619"/>
      <c r="I1417" s="697"/>
      <c r="K1417" s="619"/>
      <c r="M1417" s="329"/>
      <c r="P1417" s="593"/>
      <c r="Q1417" s="685"/>
      <c r="R1417" s="685"/>
      <c r="S1417" s="329"/>
      <c r="U1417" s="593"/>
      <c r="Z1417" s="329"/>
      <c r="AB1417" s="589"/>
    </row>
    <row r="1418" spans="1:28" ht="13.5">
      <c r="A1418" s="594"/>
      <c r="B1418" s="694" t="s">
        <v>5796</v>
      </c>
      <c r="C1418" s="559"/>
      <c r="D1418" s="562"/>
      <c r="E1418" s="696"/>
      <c r="F1418" s="696"/>
      <c r="G1418" s="696"/>
      <c r="H1418" s="619"/>
      <c r="I1418" s="697"/>
      <c r="K1418" s="619"/>
      <c r="M1418" s="329"/>
      <c r="P1418" s="593"/>
      <c r="Q1418" s="685"/>
      <c r="R1418" s="685"/>
      <c r="S1418" s="329"/>
      <c r="U1418" s="593"/>
      <c r="Z1418" s="329"/>
      <c r="AB1418" s="589"/>
    </row>
    <row r="1419" spans="1:28">
      <c r="A1419" s="631" t="str">
        <f t="shared" si="28"/>
        <v>TR.05.2102</v>
      </c>
      <c r="B1419" s="564" t="s">
        <v>5797</v>
      </c>
      <c r="C1419" s="559" t="s">
        <v>3749</v>
      </c>
      <c r="D1419" s="562" t="s">
        <v>4291</v>
      </c>
      <c r="E1419" s="696">
        <v>7733</v>
      </c>
      <c r="F1419" s="696">
        <v>908569</v>
      </c>
      <c r="G1419" s="696">
        <v>55839</v>
      </c>
      <c r="H1419" s="619"/>
      <c r="I1419" s="697"/>
      <c r="K1419" s="619"/>
      <c r="M1419" s="329"/>
      <c r="P1419" s="593"/>
      <c r="Q1419" s="685"/>
      <c r="R1419" s="685"/>
      <c r="S1419" s="329"/>
      <c r="U1419" s="593"/>
      <c r="Z1419" s="329"/>
      <c r="AB1419" s="589"/>
    </row>
    <row r="1420" spans="1:28" ht="13.5">
      <c r="A1420" s="594"/>
      <c r="B1420" s="694" t="s">
        <v>3750</v>
      </c>
      <c r="C1420" s="559"/>
      <c r="D1420" s="562"/>
      <c r="E1420" s="696"/>
      <c r="F1420" s="696"/>
      <c r="G1420" s="696"/>
      <c r="H1420" s="619"/>
      <c r="I1420" s="697"/>
      <c r="K1420" s="619"/>
      <c r="M1420" s="329"/>
      <c r="P1420" s="593"/>
      <c r="Q1420" s="685"/>
      <c r="R1420" s="685"/>
      <c r="S1420" s="329"/>
      <c r="U1420" s="593"/>
      <c r="Z1420" s="329"/>
      <c r="AB1420" s="589"/>
    </row>
    <row r="1421" spans="1:28">
      <c r="A1421" s="631" t="str">
        <f t="shared" si="28"/>
        <v>TR.05.3101</v>
      </c>
      <c r="B1421" s="702" t="s">
        <v>3751</v>
      </c>
      <c r="C1421" s="559" t="s">
        <v>1535</v>
      </c>
      <c r="D1421" s="562" t="s">
        <v>4291</v>
      </c>
      <c r="E1421" s="696">
        <v>4730</v>
      </c>
      <c r="F1421" s="696">
        <v>486734</v>
      </c>
      <c r="G1421" s="696">
        <v>69799</v>
      </c>
      <c r="H1421" s="619"/>
      <c r="I1421" s="697"/>
      <c r="K1421" s="619"/>
      <c r="M1421" s="329"/>
      <c r="P1421" s="593"/>
      <c r="Q1421" s="685"/>
      <c r="R1421" s="685"/>
      <c r="S1421" s="329"/>
      <c r="U1421" s="593"/>
      <c r="Z1421" s="329"/>
      <c r="AB1421" s="589"/>
    </row>
    <row r="1422" spans="1:28">
      <c r="A1422" s="631" t="str">
        <f>"TR."&amp;B1422</f>
        <v>TR.05.3105</v>
      </c>
      <c r="B1422" s="702" t="s">
        <v>1536</v>
      </c>
      <c r="C1422" s="559" t="s">
        <v>1534</v>
      </c>
      <c r="D1422" s="562" t="s">
        <v>4291</v>
      </c>
      <c r="E1422" s="696">
        <v>4730</v>
      </c>
      <c r="F1422" s="696">
        <v>438060</v>
      </c>
      <c r="G1422" s="696">
        <v>69799</v>
      </c>
      <c r="H1422" s="619"/>
      <c r="I1422" s="697"/>
      <c r="K1422" s="619"/>
      <c r="M1422" s="329"/>
      <c r="P1422" s="593"/>
      <c r="Q1422" s="685"/>
      <c r="R1422" s="685"/>
      <c r="S1422" s="329"/>
      <c r="U1422" s="593"/>
      <c r="Z1422" s="329"/>
      <c r="AB1422" s="589"/>
    </row>
    <row r="1423" spans="1:28">
      <c r="A1423" s="631" t="str">
        <f>"TR."&amp;B1423</f>
        <v>TR.05.3201</v>
      </c>
      <c r="B1423" s="702" t="s">
        <v>1538</v>
      </c>
      <c r="C1423" s="559" t="s">
        <v>1537</v>
      </c>
      <c r="D1423" s="562" t="s">
        <v>4291</v>
      </c>
      <c r="E1423" s="696">
        <v>4730</v>
      </c>
      <c r="F1423" s="696">
        <v>462397</v>
      </c>
      <c r="G1423" s="696">
        <v>69799</v>
      </c>
      <c r="H1423" s="619"/>
      <c r="I1423" s="697"/>
      <c r="K1423" s="619"/>
      <c r="M1423" s="329"/>
      <c r="P1423" s="593"/>
      <c r="Q1423" s="685"/>
      <c r="R1423" s="685"/>
      <c r="S1423" s="329"/>
      <c r="U1423" s="593"/>
      <c r="Z1423" s="329"/>
      <c r="AB1423" s="589"/>
    </row>
    <row r="1424" spans="1:28">
      <c r="A1424" s="631" t="str">
        <f>"TR."&amp;B1424</f>
        <v>TR.05.3205</v>
      </c>
      <c r="B1424" s="702" t="s">
        <v>466</v>
      </c>
      <c r="C1424" s="559" t="s">
        <v>683</v>
      </c>
      <c r="D1424" s="562" t="s">
        <v>4291</v>
      </c>
      <c r="E1424" s="696">
        <v>4730</v>
      </c>
      <c r="F1424" s="696">
        <v>416157</v>
      </c>
      <c r="G1424" s="696">
        <v>69799</v>
      </c>
      <c r="H1424" s="619"/>
      <c r="I1424" s="697"/>
      <c r="K1424" s="619"/>
      <c r="M1424" s="329"/>
      <c r="P1424" s="593"/>
      <c r="Q1424" s="685"/>
      <c r="R1424" s="685"/>
      <c r="S1424" s="329"/>
      <c r="U1424" s="593"/>
      <c r="Z1424" s="329"/>
      <c r="AB1424" s="589"/>
    </row>
    <row r="1425" spans="1:28">
      <c r="A1425" s="631" t="str">
        <f>"TR."&amp;B1425</f>
        <v>TR.05.3301</v>
      </c>
      <c r="B1425" s="702" t="s">
        <v>685</v>
      </c>
      <c r="C1425" s="559" t="s">
        <v>684</v>
      </c>
      <c r="D1425" s="562" t="s">
        <v>4291</v>
      </c>
      <c r="E1425" s="696">
        <v>4730</v>
      </c>
      <c r="F1425" s="696">
        <v>462397</v>
      </c>
      <c r="G1425" s="696">
        <v>69799</v>
      </c>
      <c r="H1425" s="619"/>
      <c r="I1425" s="697"/>
      <c r="K1425" s="619"/>
      <c r="M1425" s="329"/>
      <c r="P1425" s="593"/>
      <c r="Q1425" s="685"/>
      <c r="R1425" s="685"/>
      <c r="S1425" s="329"/>
      <c r="U1425" s="593"/>
      <c r="Z1425" s="329"/>
      <c r="AB1425" s="589"/>
    </row>
    <row r="1426" spans="1:28" ht="13.5">
      <c r="A1426" s="594"/>
      <c r="B1426" s="694" t="s">
        <v>4737</v>
      </c>
      <c r="C1426" s="563"/>
      <c r="D1426" s="562"/>
      <c r="E1426" s="561"/>
      <c r="F1426" s="561"/>
      <c r="G1426" s="561"/>
      <c r="H1426" s="619"/>
      <c r="I1426" s="697"/>
      <c r="K1426" s="619"/>
      <c r="M1426" s="329"/>
      <c r="P1426" s="593"/>
      <c r="Q1426" s="685"/>
      <c r="R1426" s="685"/>
      <c r="S1426" s="329"/>
      <c r="U1426" s="593"/>
      <c r="Z1426" s="329"/>
      <c r="AB1426" s="589"/>
    </row>
    <row r="1427" spans="1:28">
      <c r="A1427" s="594"/>
      <c r="B1427" s="705"/>
      <c r="C1427" s="563" t="s">
        <v>2196</v>
      </c>
      <c r="D1427" s="562"/>
      <c r="E1427" s="561"/>
      <c r="F1427" s="561"/>
      <c r="G1427" s="561"/>
      <c r="H1427" s="619"/>
      <c r="I1427" s="697"/>
      <c r="K1427" s="619"/>
      <c r="M1427" s="329"/>
      <c r="P1427" s="593"/>
      <c r="Q1427" s="685"/>
      <c r="R1427" s="685"/>
      <c r="S1427" s="329"/>
      <c r="U1427" s="593"/>
      <c r="Z1427" s="329"/>
      <c r="AB1427" s="589"/>
    </row>
    <row r="1428" spans="1:28">
      <c r="A1428" s="631" t="str">
        <f t="shared" ref="A1428:A1433" si="29">"TR."&amp;B1428</f>
        <v>TR.05.4101</v>
      </c>
      <c r="B1428" s="702" t="s">
        <v>2197</v>
      </c>
      <c r="C1428" s="559" t="s">
        <v>1474</v>
      </c>
      <c r="D1428" s="562" t="s">
        <v>1297</v>
      </c>
      <c r="E1428" s="696">
        <v>1102</v>
      </c>
      <c r="F1428" s="696">
        <v>129796</v>
      </c>
      <c r="G1428" s="704"/>
      <c r="H1428" s="619"/>
      <c r="I1428" s="697"/>
      <c r="K1428" s="619"/>
      <c r="M1428" s="329"/>
      <c r="P1428" s="593"/>
      <c r="Q1428" s="685"/>
      <c r="R1428" s="685"/>
      <c r="S1428" s="329"/>
      <c r="U1428" s="593"/>
      <c r="Z1428" s="329"/>
      <c r="AB1428" s="589"/>
    </row>
    <row r="1429" spans="1:28">
      <c r="A1429" s="631" t="str">
        <f t="shared" si="29"/>
        <v>TR.05.4102</v>
      </c>
      <c r="B1429" s="702" t="s">
        <v>2198</v>
      </c>
      <c r="C1429" s="559" t="s">
        <v>2199</v>
      </c>
      <c r="D1429" s="562" t="s">
        <v>1297</v>
      </c>
      <c r="E1429" s="696">
        <v>926</v>
      </c>
      <c r="F1429" s="696">
        <v>43265</v>
      </c>
      <c r="G1429" s="704"/>
      <c r="H1429" s="619"/>
      <c r="I1429" s="697"/>
      <c r="K1429" s="619"/>
      <c r="M1429" s="329"/>
      <c r="P1429" s="593"/>
      <c r="Q1429" s="685"/>
      <c r="R1429" s="685"/>
      <c r="S1429" s="329"/>
      <c r="U1429" s="593"/>
      <c r="Z1429" s="329"/>
      <c r="AB1429" s="589"/>
    </row>
    <row r="1430" spans="1:28">
      <c r="A1430" s="631" t="str">
        <f t="shared" si="29"/>
        <v>TR.05.4103</v>
      </c>
      <c r="B1430" s="702" t="s">
        <v>2200</v>
      </c>
      <c r="C1430" s="559" t="s">
        <v>2201</v>
      </c>
      <c r="D1430" s="562" t="s">
        <v>1297</v>
      </c>
      <c r="E1430" s="696">
        <v>838</v>
      </c>
      <c r="F1430" s="696">
        <v>12980</v>
      </c>
      <c r="G1430" s="704"/>
      <c r="H1430" s="619"/>
      <c r="I1430" s="697"/>
      <c r="K1430" s="619"/>
      <c r="M1430" s="329"/>
      <c r="P1430" s="593"/>
      <c r="Q1430" s="685"/>
      <c r="R1430" s="685"/>
      <c r="S1430" s="329"/>
      <c r="U1430" s="593"/>
      <c r="Z1430" s="329"/>
      <c r="AB1430" s="589"/>
    </row>
    <row r="1431" spans="1:28">
      <c r="A1431" s="631" t="str">
        <f t="shared" si="29"/>
        <v>TR.05.4104</v>
      </c>
      <c r="B1431" s="702" t="s">
        <v>3511</v>
      </c>
      <c r="C1431" s="559" t="s">
        <v>3512</v>
      </c>
      <c r="D1431" s="562" t="s">
        <v>1297</v>
      </c>
      <c r="E1431" s="696">
        <v>926</v>
      </c>
      <c r="F1431" s="696">
        <v>43265</v>
      </c>
      <c r="G1431" s="704"/>
      <c r="H1431" s="619"/>
      <c r="I1431" s="697"/>
      <c r="K1431" s="619"/>
      <c r="M1431" s="329"/>
      <c r="P1431" s="593"/>
      <c r="Q1431" s="685"/>
      <c r="R1431" s="685"/>
      <c r="S1431" s="329"/>
      <c r="U1431" s="593"/>
      <c r="Z1431" s="329"/>
      <c r="AB1431" s="589"/>
    </row>
    <row r="1432" spans="1:28">
      <c r="A1432" s="631" t="str">
        <f t="shared" si="29"/>
        <v>TR.05.4105</v>
      </c>
      <c r="B1432" s="702" t="s">
        <v>3513</v>
      </c>
      <c r="C1432" s="559" t="s">
        <v>1751</v>
      </c>
      <c r="D1432" s="562" t="s">
        <v>1297</v>
      </c>
      <c r="E1432" s="696">
        <v>926</v>
      </c>
      <c r="F1432" s="696">
        <v>32449</v>
      </c>
      <c r="G1432" s="704"/>
      <c r="H1432" s="619"/>
      <c r="I1432" s="697"/>
      <c r="K1432" s="619"/>
      <c r="M1432" s="329"/>
      <c r="P1432" s="593"/>
      <c r="Q1432" s="685"/>
      <c r="R1432" s="685"/>
      <c r="S1432" s="329"/>
      <c r="U1432" s="593"/>
      <c r="Z1432" s="329"/>
      <c r="AB1432" s="589"/>
    </row>
    <row r="1433" spans="1:28">
      <c r="A1433" s="631" t="str">
        <f t="shared" si="29"/>
        <v>TR.05.4106</v>
      </c>
      <c r="B1433" s="702" t="s">
        <v>1752</v>
      </c>
      <c r="C1433" s="559" t="s">
        <v>1584</v>
      </c>
      <c r="D1433" s="562" t="s">
        <v>1297</v>
      </c>
      <c r="E1433" s="561">
        <v>518</v>
      </c>
      <c r="F1433" s="561">
        <v>23796</v>
      </c>
      <c r="G1433" s="561"/>
      <c r="H1433" s="619"/>
      <c r="I1433" s="697"/>
      <c r="K1433" s="619"/>
      <c r="M1433" s="329"/>
      <c r="P1433" s="593"/>
      <c r="Q1433" s="685"/>
      <c r="R1433" s="685"/>
      <c r="S1433" s="329"/>
      <c r="U1433" s="593"/>
      <c r="Z1433" s="329"/>
      <c r="AB1433" s="589"/>
    </row>
    <row r="1434" spans="1:28">
      <c r="A1434" s="594"/>
      <c r="B1434" s="702"/>
      <c r="C1434" s="563" t="s">
        <v>137</v>
      </c>
      <c r="D1434" s="562"/>
      <c r="E1434" s="561"/>
      <c r="F1434" s="561"/>
      <c r="G1434" s="561"/>
      <c r="H1434" s="619"/>
      <c r="I1434" s="697"/>
      <c r="K1434" s="619"/>
      <c r="M1434" s="329"/>
      <c r="P1434" s="593"/>
      <c r="Q1434" s="685"/>
      <c r="R1434" s="685"/>
      <c r="S1434" s="329"/>
      <c r="U1434" s="593"/>
      <c r="Z1434" s="329"/>
      <c r="AB1434" s="589"/>
    </row>
    <row r="1435" spans="1:28">
      <c r="A1435" s="631" t="str">
        <f>"TR."&amp;B1435</f>
        <v>TR.05.4201</v>
      </c>
      <c r="B1435" s="702" t="s">
        <v>138</v>
      </c>
      <c r="C1435" s="559" t="s">
        <v>2195</v>
      </c>
      <c r="D1435" s="562" t="s">
        <v>1297</v>
      </c>
      <c r="E1435" s="696">
        <v>1275</v>
      </c>
      <c r="F1435" s="696">
        <v>162245</v>
      </c>
      <c r="G1435" s="696">
        <v>144235</v>
      </c>
      <c r="H1435" s="619"/>
      <c r="I1435" s="697"/>
      <c r="K1435" s="619"/>
      <c r="M1435" s="329"/>
      <c r="P1435" s="593"/>
      <c r="Q1435" s="685"/>
      <c r="R1435" s="685"/>
      <c r="S1435" s="329"/>
      <c r="U1435" s="593"/>
      <c r="Z1435" s="329"/>
      <c r="AB1435" s="589"/>
    </row>
    <row r="1436" spans="1:28">
      <c r="A1436" s="631" t="str">
        <f>"TR."&amp;B1436</f>
        <v>TR.05.4202</v>
      </c>
      <c r="B1436" s="702" t="s">
        <v>139</v>
      </c>
      <c r="C1436" s="559" t="s">
        <v>140</v>
      </c>
      <c r="D1436" s="562" t="s">
        <v>1297</v>
      </c>
      <c r="E1436" s="696">
        <v>663</v>
      </c>
      <c r="F1436" s="696">
        <v>21633</v>
      </c>
      <c r="G1436" s="704"/>
      <c r="H1436" s="619"/>
      <c r="I1436" s="697"/>
      <c r="K1436" s="619"/>
      <c r="M1436" s="329"/>
      <c r="P1436" s="593"/>
      <c r="Q1436" s="685"/>
      <c r="R1436" s="685"/>
      <c r="S1436" s="329"/>
      <c r="U1436" s="593"/>
      <c r="Z1436" s="329"/>
      <c r="AB1436" s="589"/>
    </row>
    <row r="1437" spans="1:28">
      <c r="A1437" s="631" t="str">
        <f>"TR."&amp;B1437</f>
        <v>TR.05.4203</v>
      </c>
      <c r="B1437" s="702" t="s">
        <v>141</v>
      </c>
      <c r="C1437" s="559" t="s">
        <v>142</v>
      </c>
      <c r="D1437" s="562" t="s">
        <v>1297</v>
      </c>
      <c r="E1437" s="696">
        <v>536</v>
      </c>
      <c r="F1437" s="696">
        <v>10816</v>
      </c>
      <c r="G1437" s="704"/>
      <c r="H1437" s="619"/>
      <c r="I1437" s="697"/>
      <c r="K1437" s="619"/>
      <c r="M1437" s="329"/>
      <c r="P1437" s="593"/>
      <c r="Q1437" s="685"/>
      <c r="R1437" s="685"/>
      <c r="S1437" s="329"/>
      <c r="U1437" s="593"/>
      <c r="Z1437" s="329"/>
      <c r="AB1437" s="589"/>
    </row>
    <row r="1438" spans="1:28">
      <c r="A1438" s="631" t="str">
        <f>"TR."&amp;B1438</f>
        <v>TR.05.4204</v>
      </c>
      <c r="B1438" s="702" t="s">
        <v>143</v>
      </c>
      <c r="C1438" s="559" t="s">
        <v>144</v>
      </c>
      <c r="D1438" s="562" t="s">
        <v>1297</v>
      </c>
      <c r="E1438" s="696">
        <v>663</v>
      </c>
      <c r="F1438" s="696">
        <v>32449</v>
      </c>
      <c r="G1438" s="704"/>
      <c r="H1438" s="619"/>
      <c r="I1438" s="697"/>
      <c r="K1438" s="619"/>
      <c r="M1438" s="329"/>
      <c r="P1438" s="593"/>
      <c r="Q1438" s="685"/>
      <c r="R1438" s="685"/>
      <c r="S1438" s="329"/>
      <c r="U1438" s="593"/>
      <c r="Z1438" s="329"/>
      <c r="AB1438" s="589"/>
    </row>
    <row r="1439" spans="1:28">
      <c r="A1439" s="631" t="str">
        <f>"TR."&amp;B1439</f>
        <v>TR.05.4205</v>
      </c>
      <c r="B1439" s="702" t="s">
        <v>145</v>
      </c>
      <c r="C1439" s="559" t="s">
        <v>3589</v>
      </c>
      <c r="D1439" s="562" t="s">
        <v>1297</v>
      </c>
      <c r="E1439" s="696">
        <v>663</v>
      </c>
      <c r="F1439" s="696">
        <v>21633</v>
      </c>
      <c r="G1439" s="704"/>
      <c r="H1439" s="619"/>
      <c r="I1439" s="697"/>
      <c r="K1439" s="619"/>
      <c r="M1439" s="329"/>
      <c r="P1439" s="593"/>
      <c r="Q1439" s="685"/>
      <c r="R1439" s="685"/>
      <c r="S1439" s="329"/>
      <c r="U1439" s="593"/>
      <c r="Z1439" s="329"/>
      <c r="AB1439" s="589"/>
    </row>
    <row r="1440" spans="1:28" ht="13.5">
      <c r="A1440" s="594"/>
      <c r="B1440" s="694" t="s">
        <v>3590</v>
      </c>
      <c r="C1440" s="563"/>
      <c r="D1440" s="562"/>
      <c r="E1440" s="561"/>
      <c r="F1440" s="561"/>
      <c r="G1440" s="561"/>
      <c r="H1440" s="619"/>
      <c r="I1440" s="697"/>
      <c r="K1440" s="619"/>
      <c r="M1440" s="329"/>
      <c r="P1440" s="593"/>
      <c r="Q1440" s="685"/>
      <c r="R1440" s="685"/>
      <c r="S1440" s="329"/>
      <c r="U1440" s="593"/>
      <c r="Z1440" s="329"/>
      <c r="AB1440" s="589"/>
    </row>
    <row r="1441" spans="1:28">
      <c r="A1441" s="631" t="str">
        <f>"TR."&amp;B1441</f>
        <v>TR.05.5101</v>
      </c>
      <c r="B1441" s="702" t="s">
        <v>3591</v>
      </c>
      <c r="C1441" s="559" t="s">
        <v>3592</v>
      </c>
      <c r="D1441" s="562" t="s">
        <v>1307</v>
      </c>
      <c r="E1441" s="696">
        <v>125</v>
      </c>
      <c r="F1441" s="696">
        <v>54082</v>
      </c>
      <c r="G1441" s="561"/>
      <c r="H1441" s="619"/>
      <c r="I1441" s="697"/>
      <c r="K1441" s="619"/>
      <c r="M1441" s="329"/>
      <c r="P1441" s="593"/>
      <c r="Q1441" s="685"/>
      <c r="R1441" s="685"/>
      <c r="S1441" s="329"/>
      <c r="U1441" s="593"/>
      <c r="Z1441" s="329"/>
      <c r="AB1441" s="589"/>
    </row>
    <row r="1442" spans="1:28">
      <c r="A1442" s="631" t="str">
        <f>"TR."&amp;B1442</f>
        <v>TR.05.5102</v>
      </c>
      <c r="B1442" s="702" t="s">
        <v>3593</v>
      </c>
      <c r="C1442" s="559" t="s">
        <v>3594</v>
      </c>
      <c r="D1442" s="562" t="s">
        <v>1307</v>
      </c>
      <c r="E1442" s="696">
        <v>125</v>
      </c>
      <c r="F1442" s="696">
        <v>23796</v>
      </c>
      <c r="G1442" s="561"/>
      <c r="H1442" s="619"/>
      <c r="I1442" s="697"/>
      <c r="K1442" s="619"/>
      <c r="M1442" s="329"/>
      <c r="P1442" s="593"/>
      <c r="Q1442" s="685"/>
      <c r="R1442" s="685"/>
      <c r="S1442" s="329"/>
      <c r="U1442" s="593"/>
      <c r="Z1442" s="329"/>
      <c r="AB1442" s="589"/>
    </row>
    <row r="1443" spans="1:28">
      <c r="A1443" s="631" t="str">
        <f>"TR."&amp;B1443</f>
        <v>TR.05.5103</v>
      </c>
      <c r="B1443" s="702" t="s">
        <v>3595</v>
      </c>
      <c r="C1443" s="559" t="s">
        <v>4826</v>
      </c>
      <c r="D1443" s="562" t="s">
        <v>1307</v>
      </c>
      <c r="E1443" s="696">
        <v>125</v>
      </c>
      <c r="F1443" s="696">
        <v>23796</v>
      </c>
      <c r="G1443" s="561"/>
      <c r="H1443" s="619"/>
      <c r="I1443" s="697"/>
      <c r="K1443" s="619"/>
      <c r="M1443" s="329"/>
      <c r="P1443" s="593"/>
      <c r="Q1443" s="685"/>
      <c r="R1443" s="685"/>
      <c r="S1443" s="329"/>
      <c r="U1443" s="593"/>
      <c r="Z1443" s="329"/>
      <c r="AB1443" s="589"/>
    </row>
    <row r="1444" spans="1:28">
      <c r="A1444" s="631" t="str">
        <f>"TR."&amp;B1444</f>
        <v>TR.05.5104</v>
      </c>
      <c r="B1444" s="702" t="s">
        <v>4827</v>
      </c>
      <c r="C1444" s="559" t="s">
        <v>4828</v>
      </c>
      <c r="D1444" s="562" t="s">
        <v>1307</v>
      </c>
      <c r="E1444" s="696">
        <v>125</v>
      </c>
      <c r="F1444" s="696">
        <v>23796</v>
      </c>
      <c r="G1444" s="561"/>
      <c r="H1444" s="619"/>
      <c r="I1444" s="697"/>
      <c r="K1444" s="619"/>
      <c r="M1444" s="329"/>
      <c r="P1444" s="593"/>
      <c r="Q1444" s="685"/>
      <c r="R1444" s="685"/>
      <c r="S1444" s="329"/>
      <c r="U1444" s="593"/>
      <c r="Z1444" s="329"/>
      <c r="AB1444" s="589"/>
    </row>
    <row r="1445" spans="1:28">
      <c r="B1445" s="329"/>
      <c r="D1445" s="329"/>
      <c r="E1445" s="329"/>
      <c r="F1445" s="685"/>
      <c r="G1445" s="685"/>
      <c r="H1445" s="685"/>
      <c r="I1445" s="685"/>
      <c r="J1445" s="697"/>
      <c r="K1445" s="685"/>
      <c r="M1445" s="329"/>
      <c r="N1445" s="329"/>
      <c r="P1445" s="593"/>
      <c r="Q1445" s="685"/>
      <c r="R1445" s="685"/>
      <c r="S1445" s="329"/>
      <c r="U1445" s="593"/>
      <c r="Z1445" s="329"/>
      <c r="AB1445" s="589"/>
    </row>
    <row r="1446" spans="1:28">
      <c r="B1446" s="329"/>
      <c r="D1446" s="329"/>
      <c r="E1446" s="329"/>
      <c r="F1446" s="685"/>
      <c r="G1446" s="685"/>
      <c r="H1446" s="685"/>
      <c r="I1446" s="685"/>
      <c r="J1446" s="697"/>
      <c r="K1446" s="685"/>
      <c r="M1446" s="329"/>
      <c r="N1446" s="679"/>
      <c r="P1446" s="593"/>
      <c r="Q1446" s="685"/>
      <c r="R1446" s="685"/>
      <c r="S1446" s="329"/>
      <c r="U1446" s="593"/>
      <c r="Z1446" s="329"/>
      <c r="AB1446" s="589"/>
    </row>
    <row r="1447" spans="1:28">
      <c r="B1447" s="329"/>
      <c r="D1447" s="329"/>
      <c r="E1447" s="329"/>
      <c r="F1447" s="685"/>
      <c r="G1447" s="685"/>
      <c r="H1447" s="685"/>
      <c r="I1447" s="685"/>
      <c r="J1447" s="697"/>
      <c r="K1447" s="685"/>
      <c r="M1447" s="329"/>
      <c r="N1447" s="329"/>
      <c r="P1447" s="593"/>
      <c r="Q1447" s="685"/>
      <c r="R1447" s="685"/>
      <c r="S1447" s="329"/>
      <c r="U1447" s="593"/>
      <c r="Z1447" s="329"/>
      <c r="AB1447" s="589"/>
    </row>
    <row r="1448" spans="1:28" ht="13.5">
      <c r="A1448" s="594"/>
      <c r="B1448" s="706" t="s">
        <v>1466</v>
      </c>
      <c r="C1448" s="707"/>
      <c r="D1448" s="708"/>
      <c r="E1448" s="708"/>
      <c r="F1448" s="709"/>
      <c r="G1448" s="709"/>
      <c r="H1448" s="710"/>
      <c r="I1448" s="711"/>
      <c r="J1448" s="697"/>
      <c r="K1448" s="685"/>
      <c r="M1448" s="329"/>
      <c r="P1448" s="593"/>
      <c r="Q1448" s="685"/>
      <c r="R1448" s="685"/>
      <c r="S1448" s="329"/>
      <c r="U1448" s="593"/>
      <c r="Z1448" s="329"/>
      <c r="AB1448" s="589"/>
    </row>
    <row r="1449" spans="1:28">
      <c r="A1449" s="631" t="str">
        <f>"DD."&amp;B1449</f>
        <v>DD.01.1052</v>
      </c>
      <c r="B1449" s="565" t="s">
        <v>4829</v>
      </c>
      <c r="C1449" s="650" t="s">
        <v>1284</v>
      </c>
      <c r="D1449" s="566" t="s">
        <v>4831</v>
      </c>
      <c r="E1449" s="561"/>
      <c r="F1449" s="560">
        <v>171280</v>
      </c>
      <c r="G1449" s="561"/>
      <c r="H1449" s="712"/>
      <c r="I1449" s="713"/>
      <c r="J1449" s="697"/>
      <c r="K1449" s="685"/>
      <c r="M1449" s="329"/>
      <c r="P1449" s="593"/>
      <c r="Q1449" s="685"/>
      <c r="R1449" s="685"/>
      <c r="S1449" s="329"/>
      <c r="U1449" s="593"/>
      <c r="Z1449" s="329"/>
      <c r="AB1449" s="589"/>
    </row>
    <row r="1450" spans="1:28">
      <c r="A1450" s="631" t="str">
        <f>"DD."&amp;B1450</f>
        <v>DD.01.1053</v>
      </c>
      <c r="B1450" s="565" t="s">
        <v>4830</v>
      </c>
      <c r="C1450" s="575" t="s">
        <v>1285</v>
      </c>
      <c r="D1450" s="566" t="s">
        <v>4831</v>
      </c>
      <c r="E1450" s="561"/>
      <c r="F1450" s="560">
        <v>198685</v>
      </c>
      <c r="G1450" s="561"/>
      <c r="H1450" s="714"/>
      <c r="I1450" s="564"/>
      <c r="J1450" s="697"/>
      <c r="K1450" s="685"/>
      <c r="M1450" s="329"/>
      <c r="P1450" s="593"/>
      <c r="Q1450" s="685"/>
      <c r="R1450" s="685"/>
      <c r="S1450" s="329"/>
      <c r="U1450" s="593"/>
      <c r="Z1450" s="329"/>
      <c r="AB1450" s="589"/>
    </row>
    <row r="1451" spans="1:28" ht="13.5">
      <c r="A1451" s="594"/>
      <c r="B1451" s="694" t="s">
        <v>1286</v>
      </c>
      <c r="C1451" s="677"/>
      <c r="D1451" s="571"/>
      <c r="E1451" s="571"/>
      <c r="F1451" s="715"/>
      <c r="G1451" s="715"/>
      <c r="H1451" s="714"/>
      <c r="I1451" s="564"/>
      <c r="J1451" s="697"/>
      <c r="K1451" s="685"/>
      <c r="M1451" s="329"/>
      <c r="P1451" s="593"/>
      <c r="Q1451" s="685"/>
      <c r="R1451" s="685"/>
      <c r="S1451" s="329"/>
      <c r="U1451" s="593"/>
      <c r="Z1451" s="329"/>
      <c r="AB1451" s="589"/>
    </row>
    <row r="1452" spans="1:28">
      <c r="A1452" s="631" t="str">
        <f t="shared" ref="A1452:A1464" si="30">"DD."&amp;B1452</f>
        <v>DD.02.1012</v>
      </c>
      <c r="B1452" s="565" t="s">
        <v>4832</v>
      </c>
      <c r="C1452" s="575" t="s">
        <v>1503</v>
      </c>
      <c r="D1452" s="571" t="s">
        <v>1287</v>
      </c>
      <c r="E1452" s="561"/>
      <c r="F1452" s="560">
        <f>417923*0.1</f>
        <v>41792.300000000003</v>
      </c>
      <c r="G1452" s="561"/>
      <c r="H1452" s="714"/>
      <c r="I1452" s="564"/>
      <c r="J1452" s="697"/>
      <c r="K1452" s="685"/>
      <c r="M1452" s="329"/>
      <c r="P1452" s="593"/>
      <c r="Q1452" s="685"/>
      <c r="R1452" s="685"/>
      <c r="S1452" s="329"/>
      <c r="U1452" s="593"/>
      <c r="Z1452" s="329"/>
      <c r="AB1452" s="589"/>
    </row>
    <row r="1453" spans="1:28">
      <c r="A1453" s="631" t="str">
        <f t="shared" si="30"/>
        <v>DD.02.1013</v>
      </c>
      <c r="B1453" s="565" t="s">
        <v>4833</v>
      </c>
      <c r="C1453" s="575" t="s">
        <v>3042</v>
      </c>
      <c r="D1453" s="571" t="s">
        <v>1287</v>
      </c>
      <c r="E1453" s="561"/>
      <c r="F1453" s="560">
        <f>393088*0.3</f>
        <v>117926.39999999999</v>
      </c>
      <c r="G1453" s="561"/>
      <c r="H1453" s="714"/>
      <c r="I1453" s="564"/>
      <c r="J1453" s="697"/>
      <c r="K1453" s="685"/>
      <c r="M1453" s="329"/>
      <c r="P1453" s="593"/>
      <c r="Q1453" s="685"/>
      <c r="R1453" s="685"/>
      <c r="S1453" s="329"/>
      <c r="U1453" s="593"/>
      <c r="Z1453" s="329"/>
      <c r="AB1453" s="589"/>
    </row>
    <row r="1454" spans="1:28">
      <c r="A1454" s="631" t="str">
        <f t="shared" si="30"/>
        <v>DD.02.1014</v>
      </c>
      <c r="B1454" s="565" t="s">
        <v>2948</v>
      </c>
      <c r="C1454" s="575" t="s">
        <v>3043</v>
      </c>
      <c r="D1454" s="571" t="s">
        <v>1287</v>
      </c>
      <c r="E1454" s="561"/>
      <c r="F1454" s="560">
        <f>389662*0.5</f>
        <v>194831</v>
      </c>
      <c r="G1454" s="561"/>
      <c r="H1454" s="714"/>
      <c r="I1454" s="564"/>
      <c r="J1454" s="697"/>
      <c r="K1454" s="685"/>
      <c r="M1454" s="329"/>
      <c r="P1454" s="593"/>
      <c r="Q1454" s="685"/>
      <c r="R1454" s="685"/>
      <c r="S1454" s="329"/>
      <c r="U1454" s="593"/>
      <c r="Z1454" s="329"/>
      <c r="AB1454" s="589"/>
    </row>
    <row r="1455" spans="1:28">
      <c r="A1455" s="631" t="str">
        <f t="shared" si="30"/>
        <v>DD.02.1015</v>
      </c>
      <c r="B1455" s="565" t="s">
        <v>2949</v>
      </c>
      <c r="C1455" s="575" t="s">
        <v>4588</v>
      </c>
      <c r="D1455" s="571" t="s">
        <v>1287</v>
      </c>
      <c r="E1455" s="561"/>
      <c r="F1455" s="560">
        <f>387093*1</f>
        <v>387093</v>
      </c>
      <c r="G1455" s="561"/>
      <c r="H1455" s="714"/>
      <c r="I1455" s="564"/>
      <c r="M1455" s="329"/>
      <c r="P1455" s="593"/>
      <c r="Q1455" s="685"/>
      <c r="R1455" s="685"/>
      <c r="S1455" s="329"/>
      <c r="U1455" s="593"/>
      <c r="Z1455" s="329"/>
      <c r="AB1455" s="589"/>
    </row>
    <row r="1456" spans="1:28">
      <c r="A1456" s="631" t="str">
        <f>"DD."&amp;B1456&amp;"a"</f>
        <v>DD.02.1012a</v>
      </c>
      <c r="B1456" s="565" t="s">
        <v>4832</v>
      </c>
      <c r="C1456" s="575" t="s">
        <v>1503</v>
      </c>
      <c r="D1456" s="571" t="s">
        <v>1287</v>
      </c>
      <c r="E1456" s="561"/>
      <c r="F1456" s="560">
        <f>417923*0.1*2</f>
        <v>83584.600000000006</v>
      </c>
      <c r="G1456" s="561"/>
      <c r="H1456" s="657" t="str">
        <f>F1452&amp;"*2"</f>
        <v>41792,3*2</v>
      </c>
      <c r="I1456" s="564" t="s">
        <v>4589</v>
      </c>
      <c r="J1456" s="697" t="s">
        <v>5974</v>
      </c>
      <c r="M1456" s="329"/>
      <c r="P1456" s="593"/>
      <c r="Q1456" s="685"/>
      <c r="R1456" s="685"/>
      <c r="S1456" s="329"/>
      <c r="U1456" s="593"/>
      <c r="Z1456" s="329"/>
      <c r="AB1456" s="589"/>
    </row>
    <row r="1457" spans="1:28">
      <c r="A1457" s="631" t="str">
        <f>"DD."&amp;B1457&amp;"a"</f>
        <v>DD.02.1013a</v>
      </c>
      <c r="B1457" s="565" t="s">
        <v>4833</v>
      </c>
      <c r="C1457" s="575" t="s">
        <v>3042</v>
      </c>
      <c r="D1457" s="571" t="s">
        <v>1287</v>
      </c>
      <c r="E1457" s="561"/>
      <c r="F1457" s="560">
        <f>393088*0.3*2</f>
        <v>235852.79999999999</v>
      </c>
      <c r="G1457" s="561"/>
      <c r="H1457" s="657" t="str">
        <f>F1453&amp;"*2"</f>
        <v>117926,4*2</v>
      </c>
      <c r="I1457" s="564" t="s">
        <v>4589</v>
      </c>
      <c r="J1457" s="697" t="s">
        <v>5974</v>
      </c>
      <c r="M1457" s="329"/>
      <c r="P1457" s="593"/>
      <c r="Q1457" s="685"/>
      <c r="R1457" s="685"/>
      <c r="S1457" s="329"/>
      <c r="U1457" s="593"/>
      <c r="Z1457" s="329"/>
      <c r="AB1457" s="589"/>
    </row>
    <row r="1458" spans="1:28">
      <c r="A1458" s="631" t="str">
        <f>"DD."&amp;B1458&amp;"a"</f>
        <v>DD.02.1014a</v>
      </c>
      <c r="B1458" s="565" t="s">
        <v>2948</v>
      </c>
      <c r="C1458" s="575" t="s">
        <v>3043</v>
      </c>
      <c r="D1458" s="571" t="s">
        <v>1287</v>
      </c>
      <c r="E1458" s="561"/>
      <c r="F1458" s="560">
        <f>389662*0.5*2</f>
        <v>389662</v>
      </c>
      <c r="G1458" s="561"/>
      <c r="H1458" s="657" t="str">
        <f>F1454&amp;"*2"</f>
        <v>194831*2</v>
      </c>
      <c r="I1458" s="564" t="s">
        <v>4589</v>
      </c>
      <c r="J1458" s="697" t="s">
        <v>5974</v>
      </c>
      <c r="M1458" s="329"/>
      <c r="P1458" s="593"/>
      <c r="Q1458" s="685"/>
      <c r="R1458" s="685"/>
      <c r="S1458" s="329"/>
      <c r="U1458" s="593"/>
      <c r="Z1458" s="329"/>
      <c r="AB1458" s="589"/>
    </row>
    <row r="1459" spans="1:28">
      <c r="A1459" s="631" t="str">
        <f>"DD."&amp;B1459&amp;"a"</f>
        <v>DD.02.1015a</v>
      </c>
      <c r="B1459" s="565" t="s">
        <v>2949</v>
      </c>
      <c r="C1459" s="575" t="s">
        <v>4588</v>
      </c>
      <c r="D1459" s="571" t="s">
        <v>1287</v>
      </c>
      <c r="E1459" s="561"/>
      <c r="F1459" s="560">
        <f>387093*1*2</f>
        <v>774186</v>
      </c>
      <c r="G1459" s="561"/>
      <c r="H1459" s="657" t="str">
        <f>F1455&amp;"*2"</f>
        <v>387093*2</v>
      </c>
      <c r="I1459" s="564" t="s">
        <v>4589</v>
      </c>
      <c r="J1459" s="697" t="s">
        <v>5974</v>
      </c>
      <c r="M1459" s="329"/>
      <c r="P1459" s="593"/>
      <c r="Q1459" s="685"/>
      <c r="R1459" s="685"/>
      <c r="S1459" s="329"/>
      <c r="U1459" s="593"/>
      <c r="Z1459" s="329"/>
      <c r="AB1459" s="589"/>
    </row>
    <row r="1460" spans="1:28" ht="13.5">
      <c r="A1460" s="594"/>
      <c r="B1460" s="694" t="s">
        <v>4590</v>
      </c>
      <c r="C1460" s="575"/>
      <c r="D1460" s="571"/>
      <c r="E1460" s="571"/>
      <c r="F1460" s="619"/>
      <c r="G1460" s="619"/>
      <c r="H1460" s="657"/>
      <c r="I1460" s="564"/>
      <c r="M1460" s="329"/>
      <c r="P1460" s="593"/>
      <c r="Q1460" s="685"/>
      <c r="R1460" s="685"/>
      <c r="S1460" s="329"/>
      <c r="U1460" s="593"/>
      <c r="Z1460" s="329"/>
      <c r="AB1460" s="589"/>
    </row>
    <row r="1461" spans="1:28">
      <c r="A1461" s="631" t="str">
        <f t="shared" si="30"/>
        <v>DD.02.1032</v>
      </c>
      <c r="B1461" s="565" t="s">
        <v>5975</v>
      </c>
      <c r="C1461" s="575" t="s">
        <v>3044</v>
      </c>
      <c r="D1461" s="571" t="s">
        <v>968</v>
      </c>
      <c r="E1461" s="561"/>
      <c r="F1461" s="560">
        <f>391375*0.1</f>
        <v>39137.5</v>
      </c>
      <c r="G1461" s="561"/>
      <c r="H1461" s="657"/>
      <c r="I1461" s="564"/>
      <c r="M1461" s="329"/>
      <c r="P1461" s="593"/>
      <c r="Q1461" s="685"/>
      <c r="R1461" s="685"/>
      <c r="S1461" s="329"/>
      <c r="U1461" s="593"/>
      <c r="Z1461" s="329"/>
      <c r="AB1461" s="589"/>
    </row>
    <row r="1462" spans="1:28">
      <c r="A1462" s="631" t="str">
        <f t="shared" si="30"/>
        <v>DD.02.1033</v>
      </c>
      <c r="B1462" s="565" t="s">
        <v>5976</v>
      </c>
      <c r="C1462" s="575" t="s">
        <v>3045</v>
      </c>
      <c r="D1462" s="571" t="s">
        <v>968</v>
      </c>
      <c r="E1462" s="561"/>
      <c r="F1462" s="560">
        <f>374247*0.3</f>
        <v>112274.09999999999</v>
      </c>
      <c r="G1462" s="561"/>
      <c r="H1462" s="657"/>
      <c r="I1462" s="564"/>
      <c r="M1462" s="329"/>
      <c r="P1462" s="593"/>
      <c r="Q1462" s="685"/>
      <c r="R1462" s="685"/>
      <c r="S1462" s="329"/>
      <c r="U1462" s="593"/>
      <c r="Z1462" s="329"/>
      <c r="AB1462" s="589"/>
    </row>
    <row r="1463" spans="1:28">
      <c r="A1463" s="631" t="str">
        <f t="shared" si="30"/>
        <v>DD.02.1034</v>
      </c>
      <c r="B1463" s="565" t="s">
        <v>5977</v>
      </c>
      <c r="C1463" s="575" t="s">
        <v>5418</v>
      </c>
      <c r="D1463" s="571" t="s">
        <v>968</v>
      </c>
      <c r="E1463" s="561"/>
      <c r="F1463" s="560">
        <f>370821*0.5</f>
        <v>185410.5</v>
      </c>
      <c r="G1463" s="561"/>
      <c r="H1463" s="657"/>
      <c r="I1463" s="564"/>
      <c r="M1463" s="329"/>
      <c r="P1463" s="593"/>
      <c r="Q1463" s="685"/>
      <c r="R1463" s="685"/>
      <c r="S1463" s="329"/>
      <c r="U1463" s="593"/>
      <c r="Z1463" s="329"/>
      <c r="AB1463" s="589"/>
    </row>
    <row r="1464" spans="1:28">
      <c r="A1464" s="631" t="str">
        <f t="shared" si="30"/>
        <v>DD.02.1035</v>
      </c>
      <c r="B1464" s="565" t="s">
        <v>5978</v>
      </c>
      <c r="C1464" s="575" t="s">
        <v>3695</v>
      </c>
      <c r="D1464" s="571" t="s">
        <v>968</v>
      </c>
      <c r="E1464" s="561"/>
      <c r="F1464" s="560">
        <f>366539*1</f>
        <v>366539</v>
      </c>
      <c r="G1464" s="561"/>
      <c r="H1464" s="657"/>
      <c r="I1464" s="564"/>
      <c r="M1464" s="329"/>
      <c r="P1464" s="593"/>
      <c r="Q1464" s="685"/>
      <c r="R1464" s="685"/>
      <c r="S1464" s="329"/>
      <c r="U1464" s="593"/>
      <c r="Z1464" s="329"/>
      <c r="AB1464" s="589"/>
    </row>
    <row r="1465" spans="1:28">
      <c r="A1465" s="631" t="str">
        <f>"DD."&amp;B1465&amp;"a"</f>
        <v>DD.02.1032a</v>
      </c>
      <c r="B1465" s="565" t="s">
        <v>5975</v>
      </c>
      <c r="C1465" s="575" t="s">
        <v>3044</v>
      </c>
      <c r="D1465" s="571" t="s">
        <v>968</v>
      </c>
      <c r="E1465" s="571"/>
      <c r="F1465" s="560">
        <f>391375*0.1*2</f>
        <v>78275</v>
      </c>
      <c r="G1465" s="561"/>
      <c r="H1465" s="657" t="str">
        <f>F1461&amp;"*2"</f>
        <v>39137,5*2</v>
      </c>
      <c r="I1465" s="564" t="s">
        <v>4589</v>
      </c>
      <c r="J1465" s="697" t="s">
        <v>5974</v>
      </c>
      <c r="M1465" s="329"/>
      <c r="P1465" s="593"/>
      <c r="Q1465" s="685"/>
      <c r="R1465" s="685"/>
      <c r="S1465" s="329"/>
      <c r="U1465" s="593"/>
      <c r="Z1465" s="329"/>
      <c r="AB1465" s="589"/>
    </row>
    <row r="1466" spans="1:28">
      <c r="A1466" s="631" t="str">
        <f>"DD."&amp;B1466&amp;"a"</f>
        <v>DD.02.1033a</v>
      </c>
      <c r="B1466" s="565" t="s">
        <v>5976</v>
      </c>
      <c r="C1466" s="575" t="s">
        <v>3045</v>
      </c>
      <c r="D1466" s="571" t="s">
        <v>968</v>
      </c>
      <c r="E1466" s="571"/>
      <c r="F1466" s="560">
        <f>374247*0.3*2</f>
        <v>224548.19999999998</v>
      </c>
      <c r="G1466" s="561"/>
      <c r="H1466" s="657" t="str">
        <f>F1462&amp;"*2"</f>
        <v>112274,1*2</v>
      </c>
      <c r="I1466" s="564" t="s">
        <v>4589</v>
      </c>
      <c r="J1466" s="697" t="s">
        <v>5974</v>
      </c>
      <c r="M1466" s="329"/>
      <c r="P1466" s="593"/>
      <c r="Q1466" s="685"/>
      <c r="R1466" s="685"/>
      <c r="S1466" s="329"/>
      <c r="U1466" s="593"/>
      <c r="Z1466" s="329"/>
      <c r="AB1466" s="589"/>
    </row>
    <row r="1467" spans="1:28">
      <c r="A1467" s="631" t="str">
        <f>"DD."&amp;B1467&amp;"a"</f>
        <v>DD.02.1034a</v>
      </c>
      <c r="B1467" s="565" t="s">
        <v>5977</v>
      </c>
      <c r="C1467" s="575" t="s">
        <v>5418</v>
      </c>
      <c r="D1467" s="571" t="s">
        <v>968</v>
      </c>
      <c r="E1467" s="571"/>
      <c r="F1467" s="560">
        <f>370821*0.5*2</f>
        <v>370821</v>
      </c>
      <c r="G1467" s="561"/>
      <c r="H1467" s="657" t="str">
        <f>F1463&amp;"*2"</f>
        <v>185410,5*2</v>
      </c>
      <c r="I1467" s="564" t="s">
        <v>4589</v>
      </c>
      <c r="J1467" s="697" t="s">
        <v>5974</v>
      </c>
      <c r="M1467" s="329"/>
      <c r="P1467" s="593"/>
      <c r="Q1467" s="685"/>
      <c r="R1467" s="685"/>
      <c r="S1467" s="329"/>
      <c r="U1467" s="593"/>
      <c r="Z1467" s="329"/>
      <c r="AB1467" s="589"/>
    </row>
    <row r="1468" spans="1:28">
      <c r="A1468" s="631" t="str">
        <f>"DD."&amp;B1468&amp;"a"</f>
        <v>DD.02.1035a</v>
      </c>
      <c r="B1468" s="565" t="s">
        <v>5978</v>
      </c>
      <c r="C1468" s="575" t="s">
        <v>3695</v>
      </c>
      <c r="D1468" s="571" t="s">
        <v>968</v>
      </c>
      <c r="E1468" s="571"/>
      <c r="F1468" s="560">
        <f>366539*1*2</f>
        <v>733078</v>
      </c>
      <c r="G1468" s="561"/>
      <c r="H1468" s="657" t="str">
        <f>F1464&amp;"*2"</f>
        <v>366539*2</v>
      </c>
      <c r="I1468" s="564" t="s">
        <v>4589</v>
      </c>
      <c r="J1468" s="697" t="s">
        <v>5974</v>
      </c>
      <c r="M1468" s="329"/>
      <c r="P1468" s="593"/>
      <c r="Q1468" s="685"/>
      <c r="R1468" s="685"/>
      <c r="S1468" s="329"/>
      <c r="U1468" s="593"/>
      <c r="Z1468" s="329"/>
      <c r="AB1468" s="589"/>
    </row>
    <row r="1469" spans="1:28" ht="13.5">
      <c r="A1469" s="594"/>
      <c r="B1469" s="694" t="s">
        <v>3696</v>
      </c>
      <c r="C1469" s="575"/>
      <c r="D1469" s="571"/>
      <c r="E1469" s="571"/>
      <c r="F1469" s="571"/>
      <c r="G1469" s="571"/>
      <c r="H1469" s="657"/>
      <c r="I1469" s="564"/>
      <c r="M1469" s="329"/>
      <c r="P1469" s="593"/>
      <c r="Q1469" s="685"/>
      <c r="R1469" s="685"/>
      <c r="S1469" s="329"/>
      <c r="U1469" s="593"/>
      <c r="Z1469" s="329"/>
      <c r="AB1469" s="589"/>
    </row>
    <row r="1470" spans="1:28">
      <c r="A1470" s="631" t="str">
        <f>"DD."&amp;B1470</f>
        <v>DD.02.1042</v>
      </c>
      <c r="B1470" s="565" t="s">
        <v>59</v>
      </c>
      <c r="C1470" s="575" t="s">
        <v>3020</v>
      </c>
      <c r="D1470" s="571" t="s">
        <v>968</v>
      </c>
      <c r="E1470" s="561"/>
      <c r="F1470" s="560">
        <f>411072*0.1</f>
        <v>41107.200000000004</v>
      </c>
      <c r="G1470" s="561"/>
      <c r="H1470" s="657"/>
      <c r="I1470" s="564"/>
      <c r="M1470" s="329"/>
      <c r="P1470" s="593"/>
      <c r="Q1470" s="685"/>
      <c r="R1470" s="685"/>
      <c r="S1470" s="329"/>
      <c r="U1470" s="593"/>
      <c r="Z1470" s="329"/>
      <c r="AB1470" s="589"/>
    </row>
    <row r="1471" spans="1:28">
      <c r="A1471" s="631" t="str">
        <f>"DD."&amp;B1471</f>
        <v>DD.02.1043</v>
      </c>
      <c r="B1471" s="565" t="s">
        <v>60</v>
      </c>
      <c r="C1471" s="575" t="s">
        <v>426</v>
      </c>
      <c r="D1471" s="571" t="s">
        <v>968</v>
      </c>
      <c r="E1471" s="561"/>
      <c r="F1471" s="560">
        <f>393944*0.3</f>
        <v>118183.2</v>
      </c>
      <c r="G1471" s="561"/>
      <c r="H1471" s="657"/>
      <c r="I1471" s="564"/>
      <c r="M1471" s="329"/>
      <c r="P1471" s="593"/>
      <c r="Q1471" s="685"/>
      <c r="R1471" s="685"/>
      <c r="S1471" s="329"/>
      <c r="U1471" s="593"/>
      <c r="Z1471" s="329"/>
      <c r="AB1471" s="589"/>
    </row>
    <row r="1472" spans="1:28">
      <c r="A1472" s="631" t="str">
        <f>"DD."&amp;B1472</f>
        <v>DD.02.1044</v>
      </c>
      <c r="B1472" s="565" t="s">
        <v>61</v>
      </c>
      <c r="C1472" s="575" t="s">
        <v>1924</v>
      </c>
      <c r="D1472" s="571" t="s">
        <v>968</v>
      </c>
      <c r="E1472" s="561"/>
      <c r="F1472" s="560">
        <f>390518*0.5</f>
        <v>195259</v>
      </c>
      <c r="G1472" s="561"/>
      <c r="H1472" s="657"/>
      <c r="I1472" s="564"/>
      <c r="M1472" s="329"/>
      <c r="P1472" s="593"/>
      <c r="Q1472" s="685"/>
      <c r="R1472" s="685"/>
      <c r="S1472" s="329"/>
      <c r="U1472" s="593"/>
      <c r="Z1472" s="329"/>
      <c r="AB1472" s="589"/>
    </row>
    <row r="1473" spans="1:28">
      <c r="A1473" s="631" t="str">
        <f>"DD."&amp;B1473</f>
        <v>DD.02.1045</v>
      </c>
      <c r="B1473" s="565" t="s">
        <v>62</v>
      </c>
      <c r="C1473" s="575" t="s">
        <v>1387</v>
      </c>
      <c r="D1473" s="571" t="s">
        <v>968</v>
      </c>
      <c r="E1473" s="561"/>
      <c r="F1473" s="560">
        <f>387949*1</f>
        <v>387949</v>
      </c>
      <c r="G1473" s="561"/>
      <c r="H1473" s="657"/>
      <c r="I1473" s="564"/>
      <c r="M1473" s="329"/>
      <c r="P1473" s="593"/>
      <c r="Q1473" s="685"/>
      <c r="R1473" s="685"/>
      <c r="S1473" s="329"/>
      <c r="U1473" s="593"/>
      <c r="Z1473" s="329"/>
      <c r="AB1473" s="589"/>
    </row>
    <row r="1474" spans="1:28">
      <c r="A1474" s="631" t="str">
        <f>"DD."&amp;B1474&amp;"a"</f>
        <v>DD.02.1042a</v>
      </c>
      <c r="B1474" s="565" t="s">
        <v>59</v>
      </c>
      <c r="C1474" s="575" t="s">
        <v>3020</v>
      </c>
      <c r="D1474" s="571" t="s">
        <v>968</v>
      </c>
      <c r="E1474" s="571"/>
      <c r="F1474" s="560">
        <f>411072*0.1*2</f>
        <v>82214.400000000009</v>
      </c>
      <c r="G1474" s="561"/>
      <c r="H1474" s="657" t="str">
        <f>F1470&amp;"*2"</f>
        <v>41107,2*2</v>
      </c>
      <c r="I1474" s="564" t="s">
        <v>4589</v>
      </c>
      <c r="J1474" s="697" t="s">
        <v>5974</v>
      </c>
      <c r="M1474" s="329"/>
      <c r="P1474" s="593"/>
      <c r="Q1474" s="685"/>
      <c r="R1474" s="685"/>
      <c r="S1474" s="329"/>
      <c r="U1474" s="593"/>
      <c r="Z1474" s="329"/>
      <c r="AB1474" s="589"/>
    </row>
    <row r="1475" spans="1:28">
      <c r="A1475" s="631" t="str">
        <f>"DD."&amp;B1475&amp;"a"</f>
        <v>DD.02.1043a</v>
      </c>
      <c r="B1475" s="565" t="s">
        <v>60</v>
      </c>
      <c r="C1475" s="575" t="s">
        <v>426</v>
      </c>
      <c r="D1475" s="571" t="s">
        <v>968</v>
      </c>
      <c r="E1475" s="571"/>
      <c r="F1475" s="560">
        <f>393944*0.3*2</f>
        <v>236366.4</v>
      </c>
      <c r="G1475" s="561"/>
      <c r="H1475" s="657" t="str">
        <f>F1471&amp;"*2"</f>
        <v>118183,2*2</v>
      </c>
      <c r="I1475" s="564" t="s">
        <v>4589</v>
      </c>
      <c r="J1475" s="697" t="s">
        <v>5974</v>
      </c>
      <c r="M1475" s="329"/>
      <c r="P1475" s="593"/>
      <c r="Q1475" s="685"/>
      <c r="R1475" s="685"/>
      <c r="S1475" s="329"/>
      <c r="U1475" s="593"/>
      <c r="Z1475" s="329"/>
      <c r="AB1475" s="589"/>
    </row>
    <row r="1476" spans="1:28">
      <c r="A1476" s="631" t="str">
        <f>"DD."&amp;B1476&amp;"a"</f>
        <v>DD.02.1044a</v>
      </c>
      <c r="B1476" s="565" t="s">
        <v>61</v>
      </c>
      <c r="C1476" s="575" t="s">
        <v>1924</v>
      </c>
      <c r="D1476" s="571" t="s">
        <v>968</v>
      </c>
      <c r="E1476" s="571"/>
      <c r="F1476" s="560">
        <f>390518*0.5*2</f>
        <v>390518</v>
      </c>
      <c r="G1476" s="561"/>
      <c r="H1476" s="657" t="str">
        <f>F1472&amp;"*2"</f>
        <v>195259*2</v>
      </c>
      <c r="I1476" s="564" t="s">
        <v>4589</v>
      </c>
      <c r="J1476" s="697" t="s">
        <v>5974</v>
      </c>
      <c r="M1476" s="329"/>
      <c r="P1476" s="593"/>
      <c r="Q1476" s="685"/>
      <c r="R1476" s="685"/>
      <c r="S1476" s="329"/>
      <c r="U1476" s="593"/>
      <c r="Z1476" s="329"/>
      <c r="AB1476" s="589"/>
    </row>
    <row r="1477" spans="1:28">
      <c r="A1477" s="631" t="str">
        <f>"DD."&amp;B1477&amp;"a"</f>
        <v>DD.02.1045a</v>
      </c>
      <c r="B1477" s="565" t="s">
        <v>62</v>
      </c>
      <c r="C1477" s="575" t="s">
        <v>1387</v>
      </c>
      <c r="D1477" s="571" t="s">
        <v>968</v>
      </c>
      <c r="E1477" s="571"/>
      <c r="F1477" s="560">
        <f>387949*1*2</f>
        <v>775898</v>
      </c>
      <c r="G1477" s="561"/>
      <c r="H1477" s="657" t="str">
        <f>F1473&amp;"*2"</f>
        <v>387949*2</v>
      </c>
      <c r="I1477" s="564" t="s">
        <v>4589</v>
      </c>
      <c r="J1477" s="697" t="s">
        <v>5974</v>
      </c>
      <c r="M1477" s="329"/>
      <c r="P1477" s="593"/>
      <c r="Q1477" s="685"/>
      <c r="R1477" s="685"/>
      <c r="S1477" s="329"/>
      <c r="U1477" s="593"/>
      <c r="Z1477" s="329"/>
      <c r="AB1477" s="589"/>
    </row>
    <row r="1478" spans="1:28" ht="13.5">
      <c r="A1478" s="594"/>
      <c r="B1478" s="694" t="s">
        <v>2947</v>
      </c>
      <c r="C1478" s="575"/>
      <c r="D1478" s="571"/>
      <c r="E1478" s="571"/>
      <c r="F1478" s="619"/>
      <c r="G1478" s="619"/>
      <c r="H1478" s="657"/>
      <c r="I1478" s="564"/>
      <c r="M1478" s="329"/>
      <c r="P1478" s="593"/>
      <c r="Q1478" s="685"/>
      <c r="R1478" s="685"/>
      <c r="S1478" s="329"/>
      <c r="U1478" s="593"/>
      <c r="Z1478" s="329"/>
      <c r="AB1478" s="589"/>
    </row>
    <row r="1479" spans="1:28">
      <c r="A1479" s="631" t="str">
        <f>"DD."&amp;B1479</f>
        <v>DD.02.1142</v>
      </c>
      <c r="B1479" s="565" t="s">
        <v>2089</v>
      </c>
      <c r="C1479" s="575" t="s">
        <v>4137</v>
      </c>
      <c r="D1479" s="571" t="s">
        <v>968</v>
      </c>
      <c r="E1479" s="561"/>
      <c r="F1479" s="560">
        <f>641444*0.1</f>
        <v>64144.4</v>
      </c>
      <c r="G1479" s="561"/>
      <c r="H1479" s="657"/>
      <c r="I1479" s="564"/>
      <c r="M1479" s="329"/>
      <c r="P1479" s="593"/>
      <c r="Q1479" s="685"/>
      <c r="R1479" s="685"/>
      <c r="S1479" s="329"/>
      <c r="U1479" s="593"/>
      <c r="Z1479" s="329"/>
      <c r="AB1479" s="589"/>
    </row>
    <row r="1480" spans="1:28">
      <c r="A1480" s="631" t="str">
        <f>"DD."&amp;B1480</f>
        <v>DD.02.1143</v>
      </c>
      <c r="B1480" s="565" t="s">
        <v>2090</v>
      </c>
      <c r="C1480" s="575" t="s">
        <v>4138</v>
      </c>
      <c r="D1480" s="571" t="s">
        <v>968</v>
      </c>
      <c r="E1480" s="561"/>
      <c r="F1480" s="560">
        <f>602049*0.3</f>
        <v>180614.69999999998</v>
      </c>
      <c r="G1480" s="561"/>
      <c r="H1480" s="657"/>
      <c r="I1480" s="564"/>
      <c r="M1480" s="329"/>
      <c r="P1480" s="593"/>
      <c r="Q1480" s="685"/>
      <c r="R1480" s="685"/>
      <c r="S1480" s="329"/>
      <c r="U1480" s="593"/>
      <c r="Z1480" s="329"/>
      <c r="AB1480" s="589"/>
    </row>
    <row r="1481" spans="1:28">
      <c r="A1481" s="631" t="str">
        <f>"DD."&amp;B1481</f>
        <v>DD.02.1144</v>
      </c>
      <c r="B1481" s="565" t="s">
        <v>2091</v>
      </c>
      <c r="C1481" s="575" t="s">
        <v>5438</v>
      </c>
      <c r="D1481" s="571" t="s">
        <v>968</v>
      </c>
      <c r="E1481" s="561"/>
      <c r="F1481" s="560">
        <f>594342*0.5</f>
        <v>297171</v>
      </c>
      <c r="G1481" s="561"/>
      <c r="H1481" s="657"/>
      <c r="I1481" s="564"/>
      <c r="M1481" s="329"/>
      <c r="P1481" s="593"/>
      <c r="Q1481" s="685"/>
      <c r="R1481" s="685"/>
      <c r="S1481" s="329"/>
      <c r="U1481" s="593"/>
      <c r="Z1481" s="329"/>
      <c r="AB1481" s="589"/>
    </row>
    <row r="1482" spans="1:28">
      <c r="A1482" s="631" t="str">
        <f>"DD."&amp;B1482</f>
        <v>DD.02.1145</v>
      </c>
      <c r="B1482" s="565" t="s">
        <v>2092</v>
      </c>
      <c r="C1482" s="575" t="s">
        <v>1528</v>
      </c>
      <c r="D1482" s="571" t="s">
        <v>968</v>
      </c>
      <c r="E1482" s="561"/>
      <c r="F1482" s="560">
        <f>545527*1</f>
        <v>545527</v>
      </c>
      <c r="G1482" s="561"/>
      <c r="H1482" s="657"/>
      <c r="I1482" s="564"/>
      <c r="M1482" s="329"/>
      <c r="P1482" s="593"/>
      <c r="Q1482" s="685"/>
      <c r="R1482" s="685"/>
      <c r="S1482" s="329"/>
      <c r="U1482" s="593"/>
      <c r="Z1482" s="329"/>
      <c r="AB1482" s="589"/>
    </row>
    <row r="1483" spans="1:28">
      <c r="A1483" s="631" t="str">
        <f>"DD."&amp;B1483&amp;"a"</f>
        <v>DD.02.1142a</v>
      </c>
      <c r="B1483" s="565" t="s">
        <v>2089</v>
      </c>
      <c r="C1483" s="575" t="s">
        <v>4137</v>
      </c>
      <c r="D1483" s="571" t="s">
        <v>968</v>
      </c>
      <c r="E1483" s="571"/>
      <c r="F1483" s="560">
        <f>641444*0.1*2</f>
        <v>128288.8</v>
      </c>
      <c r="G1483" s="561"/>
      <c r="H1483" s="657" t="str">
        <f>F1479&amp;"*2"</f>
        <v>64144,4*2</v>
      </c>
      <c r="I1483" s="564" t="s">
        <v>4589</v>
      </c>
      <c r="J1483" s="697" t="s">
        <v>5974</v>
      </c>
      <c r="M1483" s="329"/>
      <c r="P1483" s="593"/>
      <c r="Q1483" s="685"/>
      <c r="R1483" s="685"/>
      <c r="S1483" s="329"/>
      <c r="U1483" s="593"/>
      <c r="Z1483" s="329"/>
      <c r="AB1483" s="589"/>
    </row>
    <row r="1484" spans="1:28">
      <c r="A1484" s="631" t="str">
        <f>"DD."&amp;B1484&amp;"a"</f>
        <v>DD.02.1143a</v>
      </c>
      <c r="B1484" s="565" t="s">
        <v>2090</v>
      </c>
      <c r="C1484" s="575" t="s">
        <v>4138</v>
      </c>
      <c r="D1484" s="571" t="s">
        <v>968</v>
      </c>
      <c r="E1484" s="571"/>
      <c r="F1484" s="560">
        <f>602049*0.3*2</f>
        <v>361229.39999999997</v>
      </c>
      <c r="G1484" s="561"/>
      <c r="H1484" s="657" t="str">
        <f>F1480&amp;"*2"</f>
        <v>180614,7*2</v>
      </c>
      <c r="I1484" s="564" t="s">
        <v>4589</v>
      </c>
      <c r="J1484" s="697" t="s">
        <v>5974</v>
      </c>
      <c r="M1484" s="329"/>
      <c r="P1484" s="593"/>
      <c r="Q1484" s="685"/>
      <c r="R1484" s="685"/>
      <c r="S1484" s="329"/>
      <c r="U1484" s="593"/>
      <c r="Z1484" s="329"/>
      <c r="AB1484" s="589"/>
    </row>
    <row r="1485" spans="1:28">
      <c r="A1485" s="631" t="str">
        <f>"DD."&amp;B1485&amp;"a"</f>
        <v>DD.02.1144a</v>
      </c>
      <c r="B1485" s="565" t="s">
        <v>2091</v>
      </c>
      <c r="C1485" s="575" t="s">
        <v>5438</v>
      </c>
      <c r="D1485" s="571" t="s">
        <v>968</v>
      </c>
      <c r="E1485" s="571"/>
      <c r="F1485" s="560">
        <f>594342*0.5*2</f>
        <v>594342</v>
      </c>
      <c r="G1485" s="561"/>
      <c r="H1485" s="657" t="str">
        <f>F1481&amp;"*2"</f>
        <v>297171*2</v>
      </c>
      <c r="I1485" s="564" t="s">
        <v>4589</v>
      </c>
      <c r="J1485" s="697" t="s">
        <v>5974</v>
      </c>
      <c r="M1485" s="329"/>
      <c r="P1485" s="593"/>
      <c r="Q1485" s="685"/>
      <c r="R1485" s="685"/>
      <c r="S1485" s="329"/>
      <c r="U1485" s="593"/>
      <c r="Z1485" s="329"/>
      <c r="AB1485" s="589"/>
    </row>
    <row r="1486" spans="1:28">
      <c r="A1486" s="631" t="str">
        <f>"DD."&amp;B1486&amp;"a"</f>
        <v>DD.02.1145a</v>
      </c>
      <c r="B1486" s="565" t="s">
        <v>2092</v>
      </c>
      <c r="C1486" s="575" t="s">
        <v>1528</v>
      </c>
      <c r="D1486" s="571" t="s">
        <v>968</v>
      </c>
      <c r="E1486" s="571"/>
      <c r="F1486" s="560">
        <f>545527*1*2</f>
        <v>1091054</v>
      </c>
      <c r="G1486" s="561"/>
      <c r="H1486" s="657" t="str">
        <f>F1482&amp;"*2"</f>
        <v>545527*2</v>
      </c>
      <c r="I1486" s="564" t="s">
        <v>4589</v>
      </c>
      <c r="J1486" s="697" t="s">
        <v>5974</v>
      </c>
      <c r="M1486" s="329"/>
      <c r="P1486" s="593"/>
      <c r="Q1486" s="685"/>
      <c r="R1486" s="685"/>
      <c r="S1486" s="329"/>
      <c r="U1486" s="593"/>
      <c r="Z1486" s="329"/>
      <c r="AB1486" s="589"/>
    </row>
    <row r="1487" spans="1:28" ht="13.5">
      <c r="A1487" s="594"/>
      <c r="B1487" s="694" t="s">
        <v>1529</v>
      </c>
      <c r="C1487" s="575"/>
      <c r="D1487" s="571"/>
      <c r="E1487" s="571"/>
      <c r="F1487" s="715"/>
      <c r="G1487" s="715"/>
      <c r="H1487" s="657"/>
      <c r="I1487" s="564"/>
      <c r="M1487" s="329"/>
      <c r="P1487" s="593"/>
      <c r="Q1487" s="685"/>
      <c r="R1487" s="685"/>
      <c r="S1487" s="329"/>
      <c r="U1487" s="593"/>
      <c r="Z1487" s="329"/>
      <c r="AB1487" s="589"/>
    </row>
    <row r="1488" spans="1:28">
      <c r="A1488" s="631" t="str">
        <f>"DD."&amp;B1488</f>
        <v>DD.02.1162</v>
      </c>
      <c r="B1488" s="565" t="s">
        <v>2093</v>
      </c>
      <c r="C1488" s="575" t="s">
        <v>5439</v>
      </c>
      <c r="D1488" s="571" t="s">
        <v>1287</v>
      </c>
      <c r="E1488" s="561"/>
      <c r="F1488" s="560">
        <f>699679*0.1</f>
        <v>69967.900000000009</v>
      </c>
      <c r="G1488" s="561"/>
      <c r="H1488" s="657"/>
      <c r="I1488" s="564"/>
      <c r="M1488" s="329"/>
      <c r="P1488" s="593"/>
      <c r="Q1488" s="685"/>
      <c r="R1488" s="685"/>
      <c r="S1488" s="329"/>
      <c r="U1488" s="593"/>
      <c r="Z1488" s="329"/>
      <c r="AB1488" s="589"/>
    </row>
    <row r="1489" spans="1:28">
      <c r="A1489" s="631" t="str">
        <f>"DD."&amp;B1489</f>
        <v>DD.02.1163</v>
      </c>
      <c r="B1489" s="565" t="s">
        <v>2094</v>
      </c>
      <c r="C1489" s="575" t="s">
        <v>674</v>
      </c>
      <c r="D1489" s="571" t="s">
        <v>1287</v>
      </c>
      <c r="E1489" s="561"/>
      <c r="F1489" s="560">
        <f>656859*0.3</f>
        <v>197057.69999999998</v>
      </c>
      <c r="G1489" s="561"/>
      <c r="H1489" s="657"/>
      <c r="I1489" s="564"/>
      <c r="M1489" s="329"/>
      <c r="P1489" s="593"/>
      <c r="Q1489" s="685"/>
      <c r="R1489" s="685"/>
      <c r="S1489" s="329"/>
      <c r="U1489" s="593"/>
      <c r="Z1489" s="329"/>
      <c r="AB1489" s="589"/>
    </row>
    <row r="1490" spans="1:28">
      <c r="A1490" s="631" t="str">
        <f>"DD."&amp;B1490</f>
        <v>DD.02.1164</v>
      </c>
      <c r="B1490" s="565" t="s">
        <v>2095</v>
      </c>
      <c r="C1490" s="575" t="s">
        <v>5093</v>
      </c>
      <c r="D1490" s="571" t="s">
        <v>1287</v>
      </c>
      <c r="E1490" s="561"/>
      <c r="F1490" s="560">
        <f>648295*0.5</f>
        <v>324147.5</v>
      </c>
      <c r="G1490" s="561"/>
      <c r="H1490" s="657"/>
      <c r="I1490" s="564"/>
      <c r="M1490" s="329"/>
      <c r="P1490" s="593"/>
      <c r="Q1490" s="685"/>
      <c r="R1490" s="685"/>
      <c r="S1490" s="329"/>
      <c r="U1490" s="593"/>
      <c r="Z1490" s="329"/>
      <c r="AB1490" s="589"/>
    </row>
    <row r="1491" spans="1:28">
      <c r="A1491" s="631" t="str">
        <f>"DD."&amp;B1491</f>
        <v>DD.02.1165</v>
      </c>
      <c r="B1491" s="565" t="s">
        <v>2096</v>
      </c>
      <c r="C1491" s="575" t="s">
        <v>56</v>
      </c>
      <c r="D1491" s="571" t="s">
        <v>1287</v>
      </c>
      <c r="E1491" s="561"/>
      <c r="F1491" s="560">
        <f>642300*1</f>
        <v>642300</v>
      </c>
      <c r="G1491" s="561"/>
      <c r="H1491" s="657"/>
      <c r="I1491" s="564"/>
      <c r="M1491" s="329"/>
      <c r="P1491" s="593"/>
      <c r="Q1491" s="685"/>
      <c r="R1491" s="685"/>
      <c r="S1491" s="329"/>
      <c r="U1491" s="593"/>
      <c r="Z1491" s="329"/>
      <c r="AB1491" s="589"/>
    </row>
    <row r="1492" spans="1:28">
      <c r="A1492" s="631" t="str">
        <f>"DD."&amp;B1492&amp;"a"</f>
        <v>DD.02.1162a</v>
      </c>
      <c r="B1492" s="565" t="s">
        <v>2093</v>
      </c>
      <c r="C1492" s="575" t="s">
        <v>5439</v>
      </c>
      <c r="D1492" s="571" t="s">
        <v>1287</v>
      </c>
      <c r="E1492" s="571"/>
      <c r="F1492" s="560">
        <f>699679*0.1*2</f>
        <v>139935.80000000002</v>
      </c>
      <c r="G1492" s="561"/>
      <c r="H1492" s="657" t="str">
        <f>F1488&amp;"*2"</f>
        <v>69967,9*2</v>
      </c>
      <c r="I1492" s="564" t="s">
        <v>4589</v>
      </c>
      <c r="J1492" s="697" t="s">
        <v>5974</v>
      </c>
      <c r="M1492" s="329"/>
      <c r="P1492" s="593"/>
      <c r="Q1492" s="685"/>
      <c r="R1492" s="685"/>
      <c r="S1492" s="329"/>
      <c r="U1492" s="593"/>
      <c r="Z1492" s="329"/>
      <c r="AB1492" s="589"/>
    </row>
    <row r="1493" spans="1:28">
      <c r="A1493" s="631" t="str">
        <f>"DD."&amp;B1493&amp;"a"</f>
        <v>DD.02.1163a</v>
      </c>
      <c r="B1493" s="565" t="s">
        <v>2094</v>
      </c>
      <c r="C1493" s="575" t="s">
        <v>674</v>
      </c>
      <c r="D1493" s="571" t="s">
        <v>1287</v>
      </c>
      <c r="E1493" s="571"/>
      <c r="F1493" s="560">
        <f>656859*0.3*2</f>
        <v>394115.39999999997</v>
      </c>
      <c r="G1493" s="561"/>
      <c r="H1493" s="657" t="str">
        <f>F1489&amp;"*2"</f>
        <v>197057,7*2</v>
      </c>
      <c r="I1493" s="564" t="s">
        <v>4589</v>
      </c>
      <c r="J1493" s="697" t="s">
        <v>5974</v>
      </c>
      <c r="M1493" s="329"/>
      <c r="P1493" s="593"/>
      <c r="Q1493" s="685"/>
      <c r="R1493" s="685"/>
      <c r="S1493" s="329"/>
      <c r="U1493" s="593"/>
      <c r="Z1493" s="329"/>
      <c r="AB1493" s="589"/>
    </row>
    <row r="1494" spans="1:28">
      <c r="A1494" s="631" t="str">
        <f>"DD."&amp;B1494&amp;"a"</f>
        <v>DD.02.1164a</v>
      </c>
      <c r="B1494" s="565" t="s">
        <v>2095</v>
      </c>
      <c r="C1494" s="575" t="s">
        <v>5093</v>
      </c>
      <c r="D1494" s="571" t="s">
        <v>1287</v>
      </c>
      <c r="E1494" s="571"/>
      <c r="F1494" s="560">
        <f>648295*0.5*2</f>
        <v>648295</v>
      </c>
      <c r="G1494" s="561"/>
      <c r="H1494" s="657" t="str">
        <f>F1490&amp;"*2"</f>
        <v>324147,5*2</v>
      </c>
      <c r="I1494" s="564" t="s">
        <v>4589</v>
      </c>
      <c r="J1494" s="697" t="s">
        <v>5974</v>
      </c>
      <c r="M1494" s="329"/>
      <c r="P1494" s="593"/>
      <c r="Q1494" s="685"/>
      <c r="R1494" s="685"/>
      <c r="S1494" s="329"/>
      <c r="U1494" s="593"/>
      <c r="Z1494" s="329"/>
      <c r="AB1494" s="589"/>
    </row>
    <row r="1495" spans="1:28">
      <c r="A1495" s="631" t="str">
        <f>"DD."&amp;B1495&amp;"a"</f>
        <v>DD.02.1165a</v>
      </c>
      <c r="B1495" s="565" t="s">
        <v>2096</v>
      </c>
      <c r="C1495" s="575" t="s">
        <v>56</v>
      </c>
      <c r="D1495" s="571" t="s">
        <v>1287</v>
      </c>
      <c r="E1495" s="571"/>
      <c r="F1495" s="560">
        <f>642300*1*2</f>
        <v>1284600</v>
      </c>
      <c r="G1495" s="561"/>
      <c r="H1495" s="657" t="str">
        <f>F1491&amp;"*2"</f>
        <v>642300*2</v>
      </c>
      <c r="I1495" s="564" t="s">
        <v>4589</v>
      </c>
      <c r="J1495" s="697" t="s">
        <v>5974</v>
      </c>
      <c r="M1495" s="329"/>
      <c r="P1495" s="593"/>
      <c r="Q1495" s="685"/>
      <c r="R1495" s="685"/>
      <c r="S1495" s="329"/>
      <c r="U1495" s="593"/>
      <c r="Z1495" s="329"/>
      <c r="AB1495" s="589"/>
    </row>
    <row r="1496" spans="1:28" ht="13.5">
      <c r="A1496" s="594"/>
      <c r="B1496" s="694" t="s">
        <v>57</v>
      </c>
      <c r="C1496" s="575"/>
      <c r="D1496" s="571"/>
      <c r="E1496" s="571"/>
      <c r="F1496" s="619"/>
      <c r="G1496" s="619"/>
      <c r="H1496" s="657"/>
      <c r="I1496" s="564"/>
      <c r="M1496" s="329"/>
      <c r="P1496" s="593"/>
      <c r="Q1496" s="685"/>
      <c r="R1496" s="685"/>
      <c r="S1496" s="329"/>
      <c r="U1496" s="593"/>
      <c r="Z1496" s="329"/>
      <c r="AB1496" s="589"/>
    </row>
    <row r="1497" spans="1:28">
      <c r="A1497" s="631" t="str">
        <f>"DD."&amp;B1497</f>
        <v>DD.02.1202</v>
      </c>
      <c r="B1497" s="565" t="s">
        <v>2097</v>
      </c>
      <c r="C1497" s="575" t="s">
        <v>4974</v>
      </c>
      <c r="D1497" s="571" t="s">
        <v>1287</v>
      </c>
      <c r="E1497" s="561"/>
      <c r="F1497" s="560">
        <f>577214*0.1</f>
        <v>57721.4</v>
      </c>
      <c r="G1497" s="561"/>
      <c r="H1497" s="657"/>
      <c r="I1497" s="564"/>
      <c r="M1497" s="329"/>
      <c r="P1497" s="593"/>
      <c r="Q1497" s="685"/>
      <c r="R1497" s="685"/>
      <c r="S1497" s="329"/>
      <c r="U1497" s="593"/>
      <c r="Z1497" s="329"/>
      <c r="AB1497" s="589"/>
    </row>
    <row r="1498" spans="1:28">
      <c r="A1498" s="631" t="str">
        <f>"DD."&amp;B1498</f>
        <v>DD.02.1203</v>
      </c>
      <c r="B1498" s="565" t="s">
        <v>2098</v>
      </c>
      <c r="C1498" s="575" t="s">
        <v>4975</v>
      </c>
      <c r="D1498" s="571" t="s">
        <v>1287</v>
      </c>
      <c r="E1498" s="561"/>
      <c r="F1498" s="560">
        <f>542101*0.3</f>
        <v>162630.29999999999</v>
      </c>
      <c r="G1498" s="561"/>
      <c r="H1498" s="657"/>
      <c r="I1498" s="564"/>
      <c r="M1498" s="329"/>
      <c r="P1498" s="593"/>
      <c r="Q1498" s="685"/>
      <c r="R1498" s="685"/>
      <c r="S1498" s="329"/>
      <c r="U1498" s="593"/>
      <c r="Z1498" s="329"/>
      <c r="AB1498" s="589"/>
    </row>
    <row r="1499" spans="1:28">
      <c r="A1499" s="631" t="str">
        <f>"DD."&amp;B1499</f>
        <v>DD.02.1204</v>
      </c>
      <c r="B1499" s="565" t="s">
        <v>3246</v>
      </c>
      <c r="C1499" s="575" t="s">
        <v>2483</v>
      </c>
      <c r="D1499" s="571" t="s">
        <v>1287</v>
      </c>
      <c r="E1499" s="561"/>
      <c r="F1499" s="560">
        <f>535250*0.5</f>
        <v>267625</v>
      </c>
      <c r="G1499" s="561"/>
      <c r="H1499" s="657"/>
      <c r="I1499" s="564"/>
      <c r="M1499" s="329"/>
      <c r="P1499" s="593"/>
      <c r="Q1499" s="685"/>
      <c r="R1499" s="685"/>
      <c r="S1499" s="329"/>
      <c r="U1499" s="593"/>
      <c r="Z1499" s="329"/>
      <c r="AB1499" s="589"/>
    </row>
    <row r="1500" spans="1:28">
      <c r="A1500" s="631" t="str">
        <f>"DD."&amp;B1500</f>
        <v>DD.02.1205</v>
      </c>
      <c r="B1500" s="565" t="s">
        <v>3247</v>
      </c>
      <c r="C1500" s="575" t="s">
        <v>58</v>
      </c>
      <c r="D1500" s="571" t="s">
        <v>1287</v>
      </c>
      <c r="E1500" s="561"/>
      <c r="F1500" s="560">
        <f>529255*1</f>
        <v>529255</v>
      </c>
      <c r="G1500" s="561"/>
      <c r="H1500" s="657"/>
      <c r="I1500" s="564"/>
      <c r="M1500" s="329"/>
      <c r="P1500" s="593"/>
      <c r="Q1500" s="685"/>
      <c r="R1500" s="685"/>
      <c r="S1500" s="329"/>
      <c r="U1500" s="593"/>
      <c r="Z1500" s="329"/>
      <c r="AB1500" s="589"/>
    </row>
    <row r="1501" spans="1:28">
      <c r="A1501" s="631" t="str">
        <f>"DD."&amp;B1501&amp;"a"</f>
        <v>DD.02.1202a</v>
      </c>
      <c r="B1501" s="565" t="s">
        <v>2097</v>
      </c>
      <c r="C1501" s="575" t="s">
        <v>4974</v>
      </c>
      <c r="D1501" s="571" t="s">
        <v>1287</v>
      </c>
      <c r="E1501" s="571"/>
      <c r="F1501" s="560">
        <f>577214*0.1*2</f>
        <v>115442.8</v>
      </c>
      <c r="G1501" s="561"/>
      <c r="H1501" s="657" t="str">
        <f>F1497&amp;"*2"</f>
        <v>57721,4*2</v>
      </c>
      <c r="I1501" s="564" t="s">
        <v>4589</v>
      </c>
      <c r="J1501" s="697" t="s">
        <v>5974</v>
      </c>
      <c r="M1501" s="329"/>
      <c r="P1501" s="593"/>
      <c r="Q1501" s="685"/>
      <c r="R1501" s="685"/>
      <c r="S1501" s="329"/>
      <c r="U1501" s="593"/>
      <c r="Z1501" s="329"/>
      <c r="AB1501" s="589"/>
    </row>
    <row r="1502" spans="1:28">
      <c r="A1502" s="631" t="str">
        <f>"DD."&amp;B1502&amp;"a"</f>
        <v>DD.02.1203a</v>
      </c>
      <c r="B1502" s="565" t="s">
        <v>2098</v>
      </c>
      <c r="C1502" s="575" t="s">
        <v>4975</v>
      </c>
      <c r="D1502" s="571" t="s">
        <v>1287</v>
      </c>
      <c r="E1502" s="571"/>
      <c r="F1502" s="560">
        <f>542101*0.3*2</f>
        <v>325260.59999999998</v>
      </c>
      <c r="G1502" s="561"/>
      <c r="H1502" s="657" t="str">
        <f>F1498&amp;"*2"</f>
        <v>162630,3*2</v>
      </c>
      <c r="I1502" s="564" t="s">
        <v>4589</v>
      </c>
      <c r="J1502" s="697" t="s">
        <v>5974</v>
      </c>
      <c r="M1502" s="329"/>
      <c r="P1502" s="593"/>
      <c r="Q1502" s="685"/>
      <c r="R1502" s="685"/>
      <c r="S1502" s="329"/>
      <c r="U1502" s="593"/>
      <c r="Z1502" s="329"/>
      <c r="AB1502" s="589"/>
    </row>
    <row r="1503" spans="1:28">
      <c r="A1503" s="631" t="str">
        <f>"DD."&amp;B1503&amp;"a"</f>
        <v>DD.02.1204a</v>
      </c>
      <c r="B1503" s="565" t="s">
        <v>3246</v>
      </c>
      <c r="C1503" s="575" t="s">
        <v>2483</v>
      </c>
      <c r="D1503" s="571" t="s">
        <v>1287</v>
      </c>
      <c r="E1503" s="571"/>
      <c r="F1503" s="560">
        <f>535250*0.5*2</f>
        <v>535250</v>
      </c>
      <c r="G1503" s="561"/>
      <c r="H1503" s="657" t="str">
        <f>F1499&amp;"*2"</f>
        <v>267625*2</v>
      </c>
      <c r="I1503" s="564" t="s">
        <v>4589</v>
      </c>
      <c r="J1503" s="697" t="s">
        <v>5974</v>
      </c>
      <c r="M1503" s="329"/>
      <c r="P1503" s="593"/>
      <c r="Q1503" s="685"/>
      <c r="R1503" s="685"/>
      <c r="S1503" s="329"/>
      <c r="U1503" s="593"/>
      <c r="Z1503" s="329"/>
      <c r="AB1503" s="589"/>
    </row>
    <row r="1504" spans="1:28">
      <c r="A1504" s="631" t="str">
        <f>"DD."&amp;B1504&amp;"a"</f>
        <v>DD.02.1205a</v>
      </c>
      <c r="B1504" s="565" t="s">
        <v>3247</v>
      </c>
      <c r="C1504" s="575" t="s">
        <v>58</v>
      </c>
      <c r="D1504" s="571" t="s">
        <v>1287</v>
      </c>
      <c r="E1504" s="571"/>
      <c r="F1504" s="560">
        <f>529255*1*2</f>
        <v>1058510</v>
      </c>
      <c r="G1504" s="561"/>
      <c r="H1504" s="657" t="str">
        <f>F1500&amp;"*2"</f>
        <v>529255*2</v>
      </c>
      <c r="I1504" s="564" t="s">
        <v>4589</v>
      </c>
      <c r="J1504" s="697" t="s">
        <v>5974</v>
      </c>
      <c r="M1504" s="329"/>
      <c r="P1504" s="593"/>
      <c r="Q1504" s="685"/>
      <c r="R1504" s="685"/>
      <c r="S1504" s="329"/>
      <c r="U1504" s="593"/>
      <c r="Z1504" s="329"/>
      <c r="AB1504" s="589"/>
    </row>
    <row r="1505" spans="1:28" ht="13.5">
      <c r="A1505" s="594"/>
      <c r="B1505" s="694" t="s">
        <v>2051</v>
      </c>
      <c r="C1505" s="575"/>
      <c r="D1505" s="571"/>
      <c r="E1505" s="571"/>
      <c r="F1505" s="619"/>
      <c r="G1505" s="619"/>
      <c r="H1505" s="657"/>
      <c r="I1505" s="564"/>
      <c r="M1505" s="329"/>
      <c r="P1505" s="593"/>
      <c r="Q1505" s="685"/>
      <c r="R1505" s="685"/>
      <c r="S1505" s="329"/>
      <c r="U1505" s="593"/>
      <c r="Z1505" s="329"/>
      <c r="AB1505" s="589"/>
    </row>
    <row r="1506" spans="1:28">
      <c r="A1506" s="631" t="str">
        <f>"DD."&amp;B1506</f>
        <v>DD.02.1212</v>
      </c>
      <c r="B1506" s="565" t="s">
        <v>1288</v>
      </c>
      <c r="C1506" s="575" t="s">
        <v>1467</v>
      </c>
      <c r="D1506" s="571" t="s">
        <v>1287</v>
      </c>
      <c r="E1506" s="561"/>
      <c r="F1506" s="560">
        <f>757914*0.1</f>
        <v>75791.400000000009</v>
      </c>
      <c r="G1506" s="561"/>
      <c r="H1506" s="657"/>
      <c r="I1506" s="564"/>
      <c r="M1506" s="329"/>
      <c r="P1506" s="593"/>
      <c r="Q1506" s="685"/>
      <c r="R1506" s="685"/>
      <c r="S1506" s="329"/>
      <c r="U1506" s="593"/>
      <c r="Z1506" s="329"/>
      <c r="AB1506" s="589"/>
    </row>
    <row r="1507" spans="1:28">
      <c r="A1507" s="631" t="str">
        <f>"DD."&amp;B1507</f>
        <v>DD.02.1213</v>
      </c>
      <c r="B1507" s="565" t="s">
        <v>2131</v>
      </c>
      <c r="C1507" s="575" t="s">
        <v>1468</v>
      </c>
      <c r="D1507" s="571" t="s">
        <v>1287</v>
      </c>
      <c r="E1507" s="561"/>
      <c r="F1507" s="560">
        <f>711668*0.3</f>
        <v>213500.4</v>
      </c>
      <c r="G1507" s="561"/>
      <c r="H1507" s="657"/>
      <c r="I1507" s="564"/>
      <c r="M1507" s="329"/>
      <c r="P1507" s="593"/>
      <c r="Q1507" s="685"/>
      <c r="R1507" s="685"/>
      <c r="S1507" s="329"/>
      <c r="U1507" s="593"/>
      <c r="Z1507" s="329"/>
      <c r="AB1507" s="589"/>
    </row>
    <row r="1508" spans="1:28">
      <c r="A1508" s="631" t="str">
        <f>"DD."&amp;B1508</f>
        <v>DD.02.1214</v>
      </c>
      <c r="B1508" s="565" t="s">
        <v>2132</v>
      </c>
      <c r="C1508" s="575" t="s">
        <v>1469</v>
      </c>
      <c r="D1508" s="571" t="s">
        <v>1287</v>
      </c>
      <c r="E1508" s="561"/>
      <c r="F1508" s="560">
        <f>702248*0.5</f>
        <v>351124</v>
      </c>
      <c r="G1508" s="561"/>
      <c r="H1508" s="657"/>
      <c r="I1508" s="564"/>
      <c r="M1508" s="329"/>
      <c r="P1508" s="593"/>
      <c r="Q1508" s="685"/>
      <c r="R1508" s="685"/>
      <c r="S1508" s="329"/>
      <c r="U1508" s="593"/>
      <c r="Z1508" s="329"/>
      <c r="AB1508" s="589"/>
    </row>
    <row r="1509" spans="1:28">
      <c r="A1509" s="631" t="str">
        <f>"DD."&amp;B1509</f>
        <v>DD.02.1215</v>
      </c>
      <c r="B1509" s="565" t="s">
        <v>3248</v>
      </c>
      <c r="C1509" s="575" t="s">
        <v>2052</v>
      </c>
      <c r="D1509" s="571" t="s">
        <v>1287</v>
      </c>
      <c r="E1509" s="561"/>
      <c r="F1509" s="560">
        <f>695397*1</f>
        <v>695397</v>
      </c>
      <c r="G1509" s="561"/>
      <c r="H1509" s="657"/>
      <c r="I1509" s="564"/>
      <c r="M1509" s="329"/>
      <c r="P1509" s="593"/>
      <c r="Q1509" s="685"/>
      <c r="R1509" s="685"/>
      <c r="S1509" s="329"/>
      <c r="U1509" s="593"/>
      <c r="Z1509" s="329"/>
      <c r="AB1509" s="589"/>
    </row>
    <row r="1510" spans="1:28">
      <c r="A1510" s="631" t="str">
        <f>"DD."&amp;B1510&amp;"a"</f>
        <v>DD.02.1212a</v>
      </c>
      <c r="B1510" s="565" t="s">
        <v>1288</v>
      </c>
      <c r="C1510" s="575" t="s">
        <v>1467</v>
      </c>
      <c r="D1510" s="571" t="s">
        <v>1287</v>
      </c>
      <c r="E1510" s="571"/>
      <c r="F1510" s="560">
        <f>F1506*2</f>
        <v>151582.80000000002</v>
      </c>
      <c r="G1510" s="561"/>
      <c r="H1510" s="657" t="str">
        <f>F1506&amp;"*2"</f>
        <v>75791,4*2</v>
      </c>
      <c r="I1510" s="564" t="s">
        <v>4589</v>
      </c>
      <c r="J1510" s="697" t="s">
        <v>5974</v>
      </c>
      <c r="M1510" s="329"/>
      <c r="P1510" s="593"/>
      <c r="Q1510" s="685"/>
      <c r="R1510" s="685"/>
      <c r="S1510" s="329"/>
      <c r="U1510" s="593"/>
      <c r="Z1510" s="329"/>
      <c r="AB1510" s="589"/>
    </row>
    <row r="1511" spans="1:28">
      <c r="A1511" s="631" t="str">
        <f>"DD."&amp;B1511&amp;"a"</f>
        <v>DD.02.1213a</v>
      </c>
      <c r="B1511" s="565" t="s">
        <v>2131</v>
      </c>
      <c r="C1511" s="575" t="s">
        <v>1468</v>
      </c>
      <c r="D1511" s="571" t="s">
        <v>1287</v>
      </c>
      <c r="E1511" s="571"/>
      <c r="F1511" s="560">
        <f>F1507*2</f>
        <v>427000.8</v>
      </c>
      <c r="G1511" s="561"/>
      <c r="H1511" s="657" t="str">
        <f>F1507&amp;"*2"</f>
        <v>213500,4*2</v>
      </c>
      <c r="I1511" s="564" t="s">
        <v>4589</v>
      </c>
      <c r="J1511" s="697" t="s">
        <v>5974</v>
      </c>
      <c r="M1511" s="329"/>
      <c r="P1511" s="593"/>
      <c r="Q1511" s="685"/>
      <c r="R1511" s="685"/>
      <c r="S1511" s="329"/>
      <c r="U1511" s="593"/>
      <c r="Z1511" s="329"/>
      <c r="AB1511" s="589"/>
    </row>
    <row r="1512" spans="1:28">
      <c r="A1512" s="631" t="str">
        <f>"DD."&amp;B1512&amp;"a"</f>
        <v>DD.02.1214a</v>
      </c>
      <c r="B1512" s="565" t="s">
        <v>2132</v>
      </c>
      <c r="C1512" s="575" t="s">
        <v>1469</v>
      </c>
      <c r="D1512" s="571" t="s">
        <v>1287</v>
      </c>
      <c r="E1512" s="571"/>
      <c r="F1512" s="560">
        <f>F1508*2</f>
        <v>702248</v>
      </c>
      <c r="G1512" s="561"/>
      <c r="H1512" s="657" t="str">
        <f>F1508&amp;"*2"</f>
        <v>351124*2</v>
      </c>
      <c r="I1512" s="564" t="s">
        <v>4589</v>
      </c>
      <c r="J1512" s="697" t="s">
        <v>5974</v>
      </c>
      <c r="M1512" s="329"/>
      <c r="P1512" s="593"/>
      <c r="Q1512" s="685"/>
      <c r="R1512" s="685"/>
      <c r="S1512" s="329"/>
      <c r="U1512" s="593"/>
      <c r="Z1512" s="329"/>
      <c r="AB1512" s="589"/>
    </row>
    <row r="1513" spans="1:28">
      <c r="A1513" s="631" t="str">
        <f>"DD."&amp;B1513&amp;"a"</f>
        <v>DD.02.1215a</v>
      </c>
      <c r="B1513" s="565" t="s">
        <v>3248</v>
      </c>
      <c r="C1513" s="575" t="s">
        <v>2052</v>
      </c>
      <c r="D1513" s="571" t="s">
        <v>1287</v>
      </c>
      <c r="E1513" s="571"/>
      <c r="F1513" s="560">
        <f>F1509*2</f>
        <v>1390794</v>
      </c>
      <c r="G1513" s="561"/>
      <c r="H1513" s="657" t="str">
        <f>F1509&amp;"*2"</f>
        <v>695397*2</v>
      </c>
      <c r="I1513" s="564" t="s">
        <v>4589</v>
      </c>
      <c r="J1513" s="697" t="s">
        <v>5974</v>
      </c>
      <c r="M1513" s="329"/>
      <c r="P1513" s="593"/>
      <c r="Q1513" s="685"/>
      <c r="R1513" s="685"/>
      <c r="S1513" s="329"/>
      <c r="U1513" s="593"/>
      <c r="Z1513" s="329"/>
      <c r="AB1513" s="589"/>
    </row>
    <row r="1514" spans="1:28" ht="13.5">
      <c r="A1514" s="594"/>
      <c r="B1514" s="694" t="s">
        <v>2053</v>
      </c>
      <c r="C1514" s="575"/>
      <c r="D1514" s="571"/>
      <c r="E1514" s="571"/>
      <c r="F1514" s="619"/>
      <c r="G1514" s="619"/>
      <c r="H1514" s="657"/>
      <c r="I1514" s="564"/>
      <c r="M1514" s="329"/>
      <c r="P1514" s="593"/>
      <c r="Q1514" s="685"/>
      <c r="R1514" s="685"/>
      <c r="S1514" s="329"/>
      <c r="U1514" s="593"/>
      <c r="Z1514" s="329"/>
      <c r="AB1514" s="589"/>
    </row>
    <row r="1515" spans="1:28">
      <c r="A1515" s="631" t="str">
        <f>"DD."&amp;B1515</f>
        <v>DD.02.1222</v>
      </c>
      <c r="B1515" s="565" t="s">
        <v>5479</v>
      </c>
      <c r="C1515" s="575" t="s">
        <v>1470</v>
      </c>
      <c r="D1515" s="571" t="s">
        <v>1287</v>
      </c>
      <c r="E1515" s="561"/>
      <c r="F1515" s="560">
        <f>583208*0.1</f>
        <v>58320.800000000003</v>
      </c>
      <c r="G1515" s="561"/>
      <c r="H1515" s="657"/>
      <c r="I1515" s="564"/>
      <c r="M1515" s="329"/>
      <c r="P1515" s="593"/>
      <c r="Q1515" s="685"/>
      <c r="R1515" s="685"/>
      <c r="S1515" s="329"/>
      <c r="U1515" s="593"/>
      <c r="Z1515" s="329"/>
      <c r="AB1515" s="589"/>
    </row>
    <row r="1516" spans="1:28">
      <c r="A1516" s="631" t="str">
        <f>"DD."&amp;B1516</f>
        <v>DD.02.1223</v>
      </c>
      <c r="B1516" s="565" t="s">
        <v>2966</v>
      </c>
      <c r="C1516" s="575" t="s">
        <v>1826</v>
      </c>
      <c r="D1516" s="571" t="s">
        <v>1287</v>
      </c>
      <c r="E1516" s="561"/>
      <c r="F1516" s="560">
        <f>546383*0.3</f>
        <v>163914.9</v>
      </c>
      <c r="G1516" s="561"/>
      <c r="H1516" s="657"/>
      <c r="I1516" s="564"/>
      <c r="M1516" s="329"/>
      <c r="P1516" s="593"/>
      <c r="Q1516" s="685"/>
      <c r="R1516" s="685"/>
      <c r="S1516" s="329"/>
      <c r="U1516" s="593"/>
      <c r="Z1516" s="329"/>
      <c r="AB1516" s="589"/>
    </row>
    <row r="1517" spans="1:28">
      <c r="A1517" s="631" t="str">
        <f>"DD."&amp;B1517</f>
        <v>DD.02.1224</v>
      </c>
      <c r="B1517" s="565" t="s">
        <v>2967</v>
      </c>
      <c r="C1517" s="575" t="s">
        <v>575</v>
      </c>
      <c r="D1517" s="571" t="s">
        <v>1287</v>
      </c>
      <c r="E1517" s="561"/>
      <c r="F1517" s="560">
        <f>540388*0.5</f>
        <v>270194</v>
      </c>
      <c r="G1517" s="561"/>
      <c r="H1517" s="657"/>
      <c r="I1517" s="564"/>
      <c r="M1517" s="329"/>
      <c r="P1517" s="593"/>
      <c r="Q1517" s="685"/>
      <c r="R1517" s="685"/>
      <c r="S1517" s="329"/>
      <c r="U1517" s="593"/>
      <c r="Z1517" s="329"/>
      <c r="AB1517" s="589"/>
    </row>
    <row r="1518" spans="1:28">
      <c r="A1518" s="631" t="str">
        <f>"DD."&amp;B1518</f>
        <v>DD.02.1225</v>
      </c>
      <c r="B1518" s="565" t="s">
        <v>2968</v>
      </c>
      <c r="C1518" s="575" t="s">
        <v>377</v>
      </c>
      <c r="D1518" s="571" t="s">
        <v>1287</v>
      </c>
      <c r="E1518" s="561"/>
      <c r="F1518" s="560">
        <f>535250*1</f>
        <v>535250</v>
      </c>
      <c r="G1518" s="561"/>
      <c r="H1518" s="657"/>
      <c r="I1518" s="564"/>
      <c r="M1518" s="329"/>
      <c r="P1518" s="593"/>
      <c r="Q1518" s="685"/>
      <c r="R1518" s="685"/>
      <c r="S1518" s="329"/>
      <c r="U1518" s="593"/>
      <c r="Z1518" s="329"/>
      <c r="AB1518" s="589"/>
    </row>
    <row r="1519" spans="1:28">
      <c r="A1519" s="631" t="str">
        <f>"DD."&amp;B1519&amp;"a"</f>
        <v>DD.02.1222a</v>
      </c>
      <c r="B1519" s="565" t="s">
        <v>5479</v>
      </c>
      <c r="C1519" s="575" t="s">
        <v>1470</v>
      </c>
      <c r="D1519" s="571" t="s">
        <v>1287</v>
      </c>
      <c r="E1519" s="571"/>
      <c r="F1519" s="560">
        <f>F1515*2</f>
        <v>116641.60000000001</v>
      </c>
      <c r="G1519" s="561"/>
      <c r="H1519" s="657" t="str">
        <f>F1515&amp;"*2"</f>
        <v>58320,8*2</v>
      </c>
      <c r="I1519" s="564" t="s">
        <v>4589</v>
      </c>
      <c r="J1519" s="697" t="s">
        <v>5974</v>
      </c>
      <c r="M1519" s="329"/>
      <c r="P1519" s="593"/>
      <c r="Q1519" s="685"/>
      <c r="R1519" s="685"/>
      <c r="S1519" s="329"/>
      <c r="U1519" s="593"/>
      <c r="Z1519" s="329"/>
      <c r="AB1519" s="589"/>
    </row>
    <row r="1520" spans="1:28">
      <c r="A1520" s="631" t="str">
        <f>"DD."&amp;B1520&amp;"a"</f>
        <v>DD.02.1223a</v>
      </c>
      <c r="B1520" s="565" t="s">
        <v>2966</v>
      </c>
      <c r="C1520" s="575" t="s">
        <v>1826</v>
      </c>
      <c r="D1520" s="571" t="s">
        <v>1287</v>
      </c>
      <c r="E1520" s="571"/>
      <c r="F1520" s="560">
        <f>F1516*2</f>
        <v>327829.8</v>
      </c>
      <c r="G1520" s="561"/>
      <c r="H1520" s="657" t="str">
        <f>F1516&amp;"*2"</f>
        <v>163914,9*2</v>
      </c>
      <c r="I1520" s="564" t="s">
        <v>4589</v>
      </c>
      <c r="J1520" s="697" t="s">
        <v>5974</v>
      </c>
      <c r="M1520" s="329"/>
      <c r="P1520" s="593"/>
      <c r="Q1520" s="685"/>
      <c r="R1520" s="685"/>
      <c r="S1520" s="329"/>
      <c r="U1520" s="593"/>
      <c r="Z1520" s="329"/>
      <c r="AB1520" s="589"/>
    </row>
    <row r="1521" spans="1:28">
      <c r="A1521" s="631" t="str">
        <f>"DD."&amp;B1521&amp;"a"</f>
        <v>DD.02.1224a</v>
      </c>
      <c r="B1521" s="565" t="s">
        <v>2967</v>
      </c>
      <c r="C1521" s="575" t="s">
        <v>575</v>
      </c>
      <c r="D1521" s="571" t="s">
        <v>1287</v>
      </c>
      <c r="E1521" s="571"/>
      <c r="F1521" s="560">
        <f>F1517*2</f>
        <v>540388</v>
      </c>
      <c r="G1521" s="561"/>
      <c r="H1521" s="657" t="str">
        <f>F1517&amp;"*2"</f>
        <v>270194*2</v>
      </c>
      <c r="I1521" s="564" t="s">
        <v>4589</v>
      </c>
      <c r="J1521" s="697" t="s">
        <v>5974</v>
      </c>
      <c r="M1521" s="329"/>
      <c r="P1521" s="593"/>
      <c r="Q1521" s="685"/>
      <c r="R1521" s="685"/>
      <c r="S1521" s="329"/>
      <c r="U1521" s="593"/>
      <c r="Z1521" s="329"/>
      <c r="AB1521" s="589"/>
    </row>
    <row r="1522" spans="1:28">
      <c r="A1522" s="631" t="str">
        <f>"DD."&amp;B1522&amp;"a"</f>
        <v>DD.02.1225a</v>
      </c>
      <c r="B1522" s="565" t="s">
        <v>2968</v>
      </c>
      <c r="C1522" s="575" t="s">
        <v>377</v>
      </c>
      <c r="D1522" s="571" t="s">
        <v>1287</v>
      </c>
      <c r="E1522" s="571"/>
      <c r="F1522" s="560">
        <f>F1518*2</f>
        <v>1070500</v>
      </c>
      <c r="G1522" s="561"/>
      <c r="H1522" s="657" t="str">
        <f>F1518&amp;"*2"</f>
        <v>535250*2</v>
      </c>
      <c r="I1522" s="564" t="s">
        <v>4589</v>
      </c>
      <c r="J1522" s="697" t="s">
        <v>5974</v>
      </c>
      <c r="M1522" s="329"/>
      <c r="P1522" s="593"/>
      <c r="Q1522" s="685"/>
      <c r="R1522" s="685"/>
      <c r="S1522" s="329"/>
      <c r="U1522" s="593"/>
      <c r="Z1522" s="329"/>
      <c r="AB1522" s="589"/>
    </row>
    <row r="1523" spans="1:28" ht="13.5">
      <c r="A1523" s="594"/>
      <c r="B1523" s="694" t="s">
        <v>378</v>
      </c>
      <c r="C1523" s="575"/>
      <c r="D1523" s="571"/>
      <c r="E1523" s="571"/>
      <c r="F1523" s="619"/>
      <c r="G1523" s="619"/>
      <c r="H1523" s="657"/>
      <c r="I1523" s="564"/>
      <c r="M1523" s="329"/>
      <c r="P1523" s="593"/>
      <c r="Q1523" s="685"/>
      <c r="R1523" s="685"/>
      <c r="S1523" s="329"/>
      <c r="U1523" s="593"/>
      <c r="Z1523" s="329"/>
      <c r="AB1523" s="589"/>
    </row>
    <row r="1524" spans="1:28">
      <c r="A1524" s="631" t="str">
        <f>"DD."&amp;B1524</f>
        <v>DD.02.1232</v>
      </c>
      <c r="B1524" s="565" t="s">
        <v>4591</v>
      </c>
      <c r="C1524" s="575" t="s">
        <v>576</v>
      </c>
      <c r="D1524" s="571" t="s">
        <v>1287</v>
      </c>
      <c r="E1524" s="561"/>
      <c r="F1524" s="560">
        <f>524973*0.1</f>
        <v>52497.3</v>
      </c>
      <c r="G1524" s="561"/>
      <c r="H1524" s="657"/>
      <c r="I1524" s="564"/>
      <c r="M1524" s="329"/>
      <c r="P1524" s="593"/>
      <c r="Q1524" s="685"/>
      <c r="R1524" s="685"/>
      <c r="S1524" s="329"/>
      <c r="U1524" s="593"/>
      <c r="Z1524" s="329"/>
      <c r="AB1524" s="589"/>
    </row>
    <row r="1525" spans="1:28">
      <c r="A1525" s="631" t="str">
        <f>"DD."&amp;B1525</f>
        <v>DD.02.1233</v>
      </c>
      <c r="B1525" s="565" t="s">
        <v>4592</v>
      </c>
      <c r="C1525" s="575" t="s">
        <v>577</v>
      </c>
      <c r="D1525" s="571" t="s">
        <v>1287</v>
      </c>
      <c r="E1525" s="561"/>
      <c r="F1525" s="560">
        <f>492430*0.3</f>
        <v>147729</v>
      </c>
      <c r="G1525" s="561"/>
      <c r="H1525" s="657"/>
      <c r="I1525" s="564"/>
      <c r="M1525" s="329"/>
      <c r="P1525" s="593"/>
      <c r="Q1525" s="685"/>
      <c r="R1525" s="685"/>
      <c r="S1525" s="329"/>
      <c r="U1525" s="593"/>
      <c r="Z1525" s="329"/>
      <c r="AB1525" s="589"/>
    </row>
    <row r="1526" spans="1:28">
      <c r="A1526" s="631" t="str">
        <f>"DD."&amp;B1526</f>
        <v>DD.02.1234</v>
      </c>
      <c r="B1526" s="565" t="s">
        <v>4593</v>
      </c>
      <c r="C1526" s="575" t="s">
        <v>578</v>
      </c>
      <c r="D1526" s="571" t="s">
        <v>1287</v>
      </c>
      <c r="E1526" s="561"/>
      <c r="F1526" s="560">
        <f>486435*0.5</f>
        <v>243217.5</v>
      </c>
      <c r="G1526" s="561"/>
      <c r="H1526" s="657"/>
      <c r="I1526" s="564"/>
      <c r="M1526" s="329"/>
      <c r="P1526" s="593"/>
      <c r="Q1526" s="685"/>
      <c r="R1526" s="685"/>
      <c r="S1526" s="329"/>
      <c r="U1526" s="593"/>
      <c r="Z1526" s="329"/>
      <c r="AB1526" s="589"/>
    </row>
    <row r="1527" spans="1:28">
      <c r="A1527" s="631" t="str">
        <f>"DD."&amp;B1527</f>
        <v>DD.02.1235</v>
      </c>
      <c r="B1527" s="565" t="s">
        <v>2969</v>
      </c>
      <c r="C1527" s="575" t="s">
        <v>379</v>
      </c>
      <c r="D1527" s="571" t="s">
        <v>1287</v>
      </c>
      <c r="E1527" s="561"/>
      <c r="F1527" s="560">
        <f>481297*1</f>
        <v>481297</v>
      </c>
      <c r="G1527" s="561"/>
      <c r="H1527" s="657"/>
      <c r="I1527" s="564"/>
      <c r="M1527" s="329"/>
      <c r="P1527" s="593"/>
      <c r="Q1527" s="685"/>
      <c r="R1527" s="685"/>
      <c r="S1527" s="329"/>
      <c r="U1527" s="593"/>
      <c r="Z1527" s="329"/>
      <c r="AB1527" s="589"/>
    </row>
    <row r="1528" spans="1:28">
      <c r="A1528" s="631" t="str">
        <f>"DD."&amp;B1528&amp;"a"</f>
        <v>DD.02.1232a</v>
      </c>
      <c r="B1528" s="565" t="s">
        <v>4591</v>
      </c>
      <c r="C1528" s="575" t="s">
        <v>576</v>
      </c>
      <c r="D1528" s="571" t="s">
        <v>1287</v>
      </c>
      <c r="E1528" s="571"/>
      <c r="F1528" s="560">
        <f>F1524*2</f>
        <v>104994.6</v>
      </c>
      <c r="G1528" s="561"/>
      <c r="H1528" s="657" t="str">
        <f>F1524&amp;"*2"</f>
        <v>52497,3*2</v>
      </c>
      <c r="I1528" s="564" t="s">
        <v>4589</v>
      </c>
      <c r="J1528" s="697" t="s">
        <v>5974</v>
      </c>
      <c r="M1528" s="329"/>
      <c r="P1528" s="593"/>
      <c r="Q1528" s="685"/>
      <c r="R1528" s="685"/>
      <c r="S1528" s="329"/>
      <c r="U1528" s="593"/>
      <c r="Z1528" s="329"/>
      <c r="AB1528" s="589"/>
    </row>
    <row r="1529" spans="1:28">
      <c r="A1529" s="631" t="str">
        <f>"DD."&amp;B1529&amp;"a"</f>
        <v>DD.02.1233a</v>
      </c>
      <c r="B1529" s="565" t="s">
        <v>4592</v>
      </c>
      <c r="C1529" s="575" t="s">
        <v>577</v>
      </c>
      <c r="D1529" s="571" t="s">
        <v>1287</v>
      </c>
      <c r="E1529" s="571"/>
      <c r="F1529" s="560">
        <f>F1525*2</f>
        <v>295458</v>
      </c>
      <c r="G1529" s="561"/>
      <c r="H1529" s="657" t="str">
        <f>F1525&amp;"*2"</f>
        <v>147729*2</v>
      </c>
      <c r="I1529" s="564" t="s">
        <v>4589</v>
      </c>
      <c r="J1529" s="697" t="s">
        <v>5974</v>
      </c>
      <c r="M1529" s="329"/>
      <c r="P1529" s="593"/>
      <c r="Q1529" s="685"/>
      <c r="R1529" s="685"/>
      <c r="S1529" s="329"/>
      <c r="U1529" s="593"/>
      <c r="Z1529" s="329"/>
      <c r="AB1529" s="589"/>
    </row>
    <row r="1530" spans="1:28">
      <c r="A1530" s="631" t="str">
        <f>"DD."&amp;B1530&amp;"a"</f>
        <v>DD.02.1234a</v>
      </c>
      <c r="B1530" s="565" t="s">
        <v>4593</v>
      </c>
      <c r="C1530" s="575" t="s">
        <v>6285</v>
      </c>
      <c r="D1530" s="571" t="s">
        <v>1287</v>
      </c>
      <c r="E1530" s="571"/>
      <c r="F1530" s="560">
        <f>F1526*2</f>
        <v>486435</v>
      </c>
      <c r="G1530" s="561"/>
      <c r="H1530" s="657" t="str">
        <f>F1526&amp;"*2"</f>
        <v>243217,5*2</v>
      </c>
      <c r="I1530" s="564" t="s">
        <v>4589</v>
      </c>
      <c r="J1530" s="697" t="s">
        <v>5974</v>
      </c>
      <c r="M1530" s="329"/>
      <c r="P1530" s="593"/>
      <c r="Q1530" s="685"/>
      <c r="R1530" s="685"/>
      <c r="S1530" s="329"/>
      <c r="U1530" s="593"/>
      <c r="Z1530" s="329"/>
      <c r="AB1530" s="589"/>
    </row>
    <row r="1531" spans="1:28">
      <c r="A1531" s="631" t="str">
        <f>"DD."&amp;B1531&amp;"a"</f>
        <v>DD.02.1235a</v>
      </c>
      <c r="B1531" s="565" t="s">
        <v>2969</v>
      </c>
      <c r="C1531" s="575" t="s">
        <v>379</v>
      </c>
      <c r="D1531" s="571" t="s">
        <v>1287</v>
      </c>
      <c r="E1531" s="571"/>
      <c r="F1531" s="560">
        <f>F1527*2</f>
        <v>962594</v>
      </c>
      <c r="G1531" s="561"/>
      <c r="H1531" s="657" t="str">
        <f>F1527&amp;"*2"</f>
        <v>481297*2</v>
      </c>
      <c r="I1531" s="564" t="s">
        <v>4589</v>
      </c>
      <c r="J1531" s="697" t="s">
        <v>5974</v>
      </c>
      <c r="M1531" s="329"/>
      <c r="P1531" s="593"/>
      <c r="Q1531" s="685"/>
      <c r="R1531" s="685"/>
      <c r="S1531" s="329"/>
      <c r="U1531" s="593"/>
      <c r="Z1531" s="329"/>
      <c r="AB1531" s="589"/>
    </row>
    <row r="1532" spans="1:28" ht="13.5">
      <c r="A1532" s="594"/>
      <c r="B1532" s="694" t="s">
        <v>2935</v>
      </c>
      <c r="C1532" s="575"/>
      <c r="D1532" s="571"/>
      <c r="E1532" s="571"/>
      <c r="F1532" s="619"/>
      <c r="G1532" s="619"/>
      <c r="H1532" s="657"/>
      <c r="I1532" s="564"/>
      <c r="M1532" s="329"/>
      <c r="P1532" s="593"/>
      <c r="Q1532" s="685"/>
      <c r="R1532" s="685"/>
      <c r="S1532" s="329"/>
      <c r="U1532" s="593"/>
      <c r="Z1532" s="329"/>
      <c r="AB1532" s="589"/>
    </row>
    <row r="1533" spans="1:28">
      <c r="A1533" s="631" t="str">
        <f>"DD."&amp;B1533</f>
        <v>DD.02.1242</v>
      </c>
      <c r="B1533" s="565" t="s">
        <v>1384</v>
      </c>
      <c r="C1533" s="575" t="s">
        <v>6286</v>
      </c>
      <c r="D1533" s="571" t="s">
        <v>1287</v>
      </c>
      <c r="E1533" s="561"/>
      <c r="F1533" s="560">
        <f>816149*0.1</f>
        <v>81614.900000000009</v>
      </c>
      <c r="G1533" s="561"/>
      <c r="H1533" s="657"/>
      <c r="I1533" s="564"/>
      <c r="M1533" s="329"/>
      <c r="P1533" s="593"/>
      <c r="Q1533" s="685"/>
      <c r="R1533" s="685"/>
      <c r="S1533" s="329"/>
      <c r="U1533" s="593"/>
      <c r="Z1533" s="329"/>
      <c r="AB1533" s="589"/>
    </row>
    <row r="1534" spans="1:28">
      <c r="A1534" s="631" t="str">
        <f>"DD."&amp;B1534</f>
        <v>DD.02.1243</v>
      </c>
      <c r="B1534" s="565" t="s">
        <v>1385</v>
      </c>
      <c r="C1534" s="575" t="s">
        <v>6287</v>
      </c>
      <c r="D1534" s="571" t="s">
        <v>1287</v>
      </c>
      <c r="E1534" s="561"/>
      <c r="F1534" s="560">
        <f>766478*0.3</f>
        <v>229943.4</v>
      </c>
      <c r="G1534" s="561"/>
      <c r="H1534" s="657"/>
      <c r="I1534" s="564"/>
      <c r="M1534" s="329"/>
      <c r="P1534" s="593"/>
      <c r="Q1534" s="685"/>
      <c r="R1534" s="685"/>
      <c r="S1534" s="329"/>
      <c r="U1534" s="593"/>
      <c r="Z1534" s="329"/>
      <c r="AB1534" s="589"/>
    </row>
    <row r="1535" spans="1:28">
      <c r="A1535" s="631" t="str">
        <f>"DD."&amp;B1535</f>
        <v>DD.02.1244</v>
      </c>
      <c r="B1535" s="565" t="s">
        <v>1386</v>
      </c>
      <c r="C1535" s="575" t="s">
        <v>3628</v>
      </c>
      <c r="D1535" s="571" t="s">
        <v>1287</v>
      </c>
      <c r="E1535" s="561"/>
      <c r="F1535" s="560">
        <f>756201*0.5</f>
        <v>378100.5</v>
      </c>
      <c r="G1535" s="561"/>
      <c r="H1535" s="657"/>
      <c r="I1535" s="564"/>
      <c r="M1535" s="329"/>
      <c r="P1535" s="593"/>
      <c r="Q1535" s="685"/>
      <c r="R1535" s="685"/>
      <c r="S1535" s="329"/>
      <c r="U1535" s="593"/>
      <c r="Z1535" s="329"/>
      <c r="AB1535" s="589"/>
    </row>
    <row r="1536" spans="1:28">
      <c r="A1536" s="631" t="str">
        <f>"DD."&amp;B1536</f>
        <v>DD.02.1245</v>
      </c>
      <c r="B1536" s="565" t="s">
        <v>2970</v>
      </c>
      <c r="C1536" s="575" t="s">
        <v>1408</v>
      </c>
      <c r="D1536" s="571" t="s">
        <v>1287</v>
      </c>
      <c r="E1536" s="561"/>
      <c r="F1536" s="560">
        <f>749350*1</f>
        <v>749350</v>
      </c>
      <c r="G1536" s="561"/>
      <c r="H1536" s="657"/>
      <c r="I1536" s="564"/>
      <c r="M1536" s="329"/>
      <c r="P1536" s="593"/>
      <c r="Q1536" s="685"/>
      <c r="R1536" s="685"/>
      <c r="S1536" s="329"/>
      <c r="U1536" s="593"/>
      <c r="Z1536" s="329"/>
      <c r="AB1536" s="589"/>
    </row>
    <row r="1537" spans="1:28">
      <c r="A1537" s="631" t="str">
        <f>"DD."&amp;B1537&amp;"a"</f>
        <v>DD.02.1242a</v>
      </c>
      <c r="B1537" s="565" t="s">
        <v>1384</v>
      </c>
      <c r="C1537" s="575" t="s">
        <v>6286</v>
      </c>
      <c r="D1537" s="571" t="s">
        <v>1287</v>
      </c>
      <c r="E1537" s="571"/>
      <c r="F1537" s="560">
        <f>F1533*2</f>
        <v>163229.80000000002</v>
      </c>
      <c r="G1537" s="561"/>
      <c r="H1537" s="657" t="str">
        <f>F1533&amp;"*2"</f>
        <v>81614,9*2</v>
      </c>
      <c r="I1537" s="564" t="s">
        <v>4589</v>
      </c>
      <c r="J1537" s="697" t="s">
        <v>5974</v>
      </c>
      <c r="M1537" s="329"/>
      <c r="P1537" s="593"/>
      <c r="Q1537" s="685"/>
      <c r="R1537" s="685"/>
      <c r="S1537" s="329"/>
      <c r="U1537" s="593"/>
      <c r="Z1537" s="329"/>
      <c r="AB1537" s="589"/>
    </row>
    <row r="1538" spans="1:28">
      <c r="A1538" s="631" t="str">
        <f>"DD."&amp;B1538&amp;"a"</f>
        <v>DD.02.1243a</v>
      </c>
      <c r="B1538" s="565" t="s">
        <v>1385</v>
      </c>
      <c r="C1538" s="575" t="s">
        <v>6287</v>
      </c>
      <c r="D1538" s="571" t="s">
        <v>1287</v>
      </c>
      <c r="E1538" s="571"/>
      <c r="F1538" s="560">
        <f>F1534*2</f>
        <v>459886.8</v>
      </c>
      <c r="G1538" s="561"/>
      <c r="H1538" s="657" t="str">
        <f>F1534&amp;"*2"</f>
        <v>229943,4*2</v>
      </c>
      <c r="I1538" s="564" t="s">
        <v>4589</v>
      </c>
      <c r="J1538" s="697" t="s">
        <v>5974</v>
      </c>
      <c r="M1538" s="329"/>
      <c r="P1538" s="593"/>
      <c r="Q1538" s="685"/>
      <c r="R1538" s="685"/>
      <c r="S1538" s="329"/>
      <c r="U1538" s="593"/>
      <c r="Z1538" s="329"/>
      <c r="AB1538" s="589"/>
    </row>
    <row r="1539" spans="1:28">
      <c r="A1539" s="631" t="str">
        <f>"DD."&amp;B1539&amp;"a"</f>
        <v>DD.02.1244a</v>
      </c>
      <c r="B1539" s="565" t="s">
        <v>1386</v>
      </c>
      <c r="C1539" s="575" t="s">
        <v>3628</v>
      </c>
      <c r="D1539" s="571" t="s">
        <v>1287</v>
      </c>
      <c r="E1539" s="571"/>
      <c r="F1539" s="560">
        <f>F1535*2</f>
        <v>756201</v>
      </c>
      <c r="G1539" s="561"/>
      <c r="H1539" s="657" t="str">
        <f>F1535&amp;"*2"</f>
        <v>378100,5*2</v>
      </c>
      <c r="I1539" s="564" t="s">
        <v>4589</v>
      </c>
      <c r="J1539" s="697" t="s">
        <v>5974</v>
      </c>
      <c r="M1539" s="329"/>
      <c r="P1539" s="593"/>
      <c r="Q1539" s="685"/>
      <c r="R1539" s="685"/>
      <c r="S1539" s="329"/>
      <c r="U1539" s="593"/>
      <c r="Z1539" s="329"/>
      <c r="AB1539" s="589"/>
    </row>
    <row r="1540" spans="1:28">
      <c r="A1540" s="631" t="str">
        <f>"DD."&amp;B1540&amp;"a"</f>
        <v>DD.02.1245a</v>
      </c>
      <c r="B1540" s="565" t="s">
        <v>2970</v>
      </c>
      <c r="C1540" s="575" t="s">
        <v>1408</v>
      </c>
      <c r="D1540" s="571" t="s">
        <v>1287</v>
      </c>
      <c r="E1540" s="571"/>
      <c r="F1540" s="560">
        <f>F1536*2</f>
        <v>1498700</v>
      </c>
      <c r="G1540" s="561"/>
      <c r="H1540" s="657" t="str">
        <f>F1536&amp;"*2"</f>
        <v>749350*2</v>
      </c>
      <c r="I1540" s="564" t="s">
        <v>4589</v>
      </c>
      <c r="J1540" s="697" t="s">
        <v>5974</v>
      </c>
      <c r="M1540" s="329"/>
      <c r="P1540" s="593"/>
      <c r="Q1540" s="685"/>
      <c r="R1540" s="685"/>
      <c r="S1540" s="329"/>
      <c r="U1540" s="593"/>
      <c r="Z1540" s="329"/>
      <c r="AB1540" s="589"/>
    </row>
    <row r="1541" spans="1:28" ht="13.5">
      <c r="A1541" s="594"/>
      <c r="B1541" s="694" t="s">
        <v>2762</v>
      </c>
      <c r="C1541" s="575"/>
      <c r="D1541" s="571"/>
      <c r="E1541" s="571"/>
      <c r="F1541" s="619"/>
      <c r="G1541" s="619"/>
      <c r="H1541" s="657"/>
      <c r="I1541" s="564"/>
      <c r="M1541" s="329"/>
      <c r="P1541" s="593"/>
      <c r="Q1541" s="685"/>
      <c r="R1541" s="685"/>
      <c r="S1541" s="329"/>
      <c r="U1541" s="593"/>
      <c r="Z1541" s="329"/>
      <c r="AB1541" s="589"/>
    </row>
    <row r="1542" spans="1:28">
      <c r="A1542" s="631" t="str">
        <f>"DD."&amp;B1542</f>
        <v>DD.02.1122</v>
      </c>
      <c r="B1542" s="565" t="s">
        <v>2763</v>
      </c>
      <c r="C1542" s="575" t="s">
        <v>581</v>
      </c>
      <c r="D1542" s="571" t="s">
        <v>968</v>
      </c>
      <c r="E1542" s="561"/>
      <c r="F1542" s="560">
        <f>333996*0.1</f>
        <v>33399.599999999999</v>
      </c>
      <c r="G1542" s="561"/>
      <c r="H1542" s="657"/>
      <c r="I1542" s="564"/>
      <c r="M1542" s="329"/>
      <c r="P1542" s="593"/>
      <c r="Q1542" s="685"/>
      <c r="R1542" s="685"/>
      <c r="S1542" s="329"/>
      <c r="U1542" s="593"/>
      <c r="Z1542" s="329"/>
      <c r="AB1542" s="589"/>
    </row>
    <row r="1543" spans="1:28">
      <c r="A1543" s="631" t="str">
        <f>"DD."&amp;B1543</f>
        <v>DD.02.1123</v>
      </c>
      <c r="B1543" s="565" t="s">
        <v>582</v>
      </c>
      <c r="C1543" s="575" t="s">
        <v>583</v>
      </c>
      <c r="D1543" s="571" t="s">
        <v>968</v>
      </c>
      <c r="E1543" s="561"/>
      <c r="F1543" s="560">
        <f>320294*0.3</f>
        <v>96088.2</v>
      </c>
      <c r="G1543" s="561"/>
      <c r="H1543" s="657"/>
      <c r="I1543" s="564"/>
      <c r="M1543" s="329"/>
      <c r="P1543" s="593"/>
      <c r="Q1543" s="685"/>
      <c r="R1543" s="685"/>
      <c r="S1543" s="329"/>
      <c r="U1543" s="593"/>
      <c r="Z1543" s="329"/>
      <c r="AB1543" s="589"/>
    </row>
    <row r="1544" spans="1:28">
      <c r="A1544" s="631" t="str">
        <f>"DD."&amp;B1544</f>
        <v>DD.02.1124</v>
      </c>
      <c r="B1544" s="565" t="s">
        <v>5804</v>
      </c>
      <c r="C1544" s="575" t="s">
        <v>584</v>
      </c>
      <c r="D1544" s="571" t="s">
        <v>968</v>
      </c>
      <c r="E1544" s="561"/>
      <c r="F1544" s="560">
        <f>316012*0.5</f>
        <v>158006</v>
      </c>
      <c r="G1544" s="561"/>
      <c r="H1544" s="657"/>
      <c r="I1544" s="564"/>
      <c r="M1544" s="329"/>
      <c r="P1544" s="593"/>
      <c r="Q1544" s="685"/>
      <c r="R1544" s="685"/>
      <c r="S1544" s="329"/>
      <c r="U1544" s="593"/>
      <c r="Z1544" s="329"/>
      <c r="AB1544" s="589"/>
    </row>
    <row r="1545" spans="1:28">
      <c r="A1545" s="631" t="str">
        <f>"DD."&amp;B1545</f>
        <v>DD.02.1125</v>
      </c>
      <c r="B1545" s="565" t="s">
        <v>3343</v>
      </c>
      <c r="C1545" s="575" t="s">
        <v>585</v>
      </c>
      <c r="D1545" s="571" t="s">
        <v>968</v>
      </c>
      <c r="E1545" s="561"/>
      <c r="F1545" s="560">
        <f>313442*1</f>
        <v>313442</v>
      </c>
      <c r="G1545" s="561"/>
      <c r="H1545" s="657"/>
      <c r="I1545" s="564"/>
      <c r="M1545" s="329"/>
      <c r="P1545" s="593"/>
      <c r="Q1545" s="685"/>
      <c r="R1545" s="685"/>
      <c r="S1545" s="329"/>
      <c r="U1545" s="593"/>
      <c r="Z1545" s="329"/>
      <c r="AB1545" s="589"/>
    </row>
    <row r="1546" spans="1:28">
      <c r="A1546" s="631" t="str">
        <f>"DD."&amp;B1546&amp;"a"</f>
        <v>DD.02.1122a</v>
      </c>
      <c r="B1546" s="565" t="s">
        <v>2763</v>
      </c>
      <c r="C1546" s="575" t="s">
        <v>581</v>
      </c>
      <c r="D1546" s="571" t="s">
        <v>968</v>
      </c>
      <c r="E1546" s="571"/>
      <c r="F1546" s="560">
        <f>F1542*2</f>
        <v>66799.199999999997</v>
      </c>
      <c r="G1546" s="561"/>
      <c r="H1546" s="657" t="str">
        <f>F1542&amp;"*2"</f>
        <v>33399,6*2</v>
      </c>
      <c r="I1546" s="564" t="s">
        <v>4589</v>
      </c>
      <c r="J1546" s="697" t="s">
        <v>5974</v>
      </c>
      <c r="M1546" s="329"/>
      <c r="P1546" s="593"/>
      <c r="Q1546" s="685"/>
      <c r="R1546" s="685"/>
      <c r="S1546" s="329"/>
      <c r="U1546" s="593"/>
      <c r="Z1546" s="329"/>
      <c r="AB1546" s="589"/>
    </row>
    <row r="1547" spans="1:28">
      <c r="A1547" s="631" t="str">
        <f>"DD."&amp;B1547&amp;"a"</f>
        <v>DD.02.1123a</v>
      </c>
      <c r="B1547" s="565" t="s">
        <v>582</v>
      </c>
      <c r="C1547" s="575" t="s">
        <v>583</v>
      </c>
      <c r="D1547" s="571" t="s">
        <v>968</v>
      </c>
      <c r="E1547" s="571"/>
      <c r="F1547" s="560">
        <f>F1543*2</f>
        <v>192176.4</v>
      </c>
      <c r="G1547" s="561"/>
      <c r="H1547" s="657" t="str">
        <f>F1543&amp;"*2"</f>
        <v>96088,2*2</v>
      </c>
      <c r="I1547" s="564" t="s">
        <v>4589</v>
      </c>
      <c r="J1547" s="697" t="s">
        <v>5974</v>
      </c>
      <c r="M1547" s="329"/>
      <c r="P1547" s="593"/>
      <c r="Q1547" s="685"/>
      <c r="R1547" s="685"/>
      <c r="S1547" s="329"/>
      <c r="U1547" s="593"/>
      <c r="Z1547" s="329"/>
      <c r="AB1547" s="589"/>
    </row>
    <row r="1548" spans="1:28">
      <c r="A1548" s="631" t="str">
        <f>"DD."&amp;B1548&amp;"a"</f>
        <v>DD.02.1124a</v>
      </c>
      <c r="B1548" s="565" t="s">
        <v>5804</v>
      </c>
      <c r="C1548" s="575" t="s">
        <v>584</v>
      </c>
      <c r="D1548" s="571" t="s">
        <v>968</v>
      </c>
      <c r="E1548" s="571"/>
      <c r="F1548" s="560">
        <f>F1544*2</f>
        <v>316012</v>
      </c>
      <c r="G1548" s="561"/>
      <c r="H1548" s="657" t="str">
        <f>F1544&amp;"*2"</f>
        <v>158006*2</v>
      </c>
      <c r="I1548" s="564" t="s">
        <v>4589</v>
      </c>
      <c r="J1548" s="697" t="s">
        <v>5974</v>
      </c>
      <c r="M1548" s="329"/>
      <c r="P1548" s="593"/>
      <c r="Q1548" s="685"/>
      <c r="R1548" s="685"/>
      <c r="S1548" s="329"/>
      <c r="U1548" s="593"/>
      <c r="Z1548" s="329"/>
      <c r="AB1548" s="589"/>
    </row>
    <row r="1549" spans="1:28">
      <c r="A1549" s="631" t="str">
        <f>"DD."&amp;B1549&amp;"a"</f>
        <v>DD.02.1125a</v>
      </c>
      <c r="B1549" s="565" t="s">
        <v>3343</v>
      </c>
      <c r="C1549" s="575" t="s">
        <v>585</v>
      </c>
      <c r="D1549" s="571" t="s">
        <v>968</v>
      </c>
      <c r="E1549" s="571"/>
      <c r="F1549" s="560">
        <f>F1545*2</f>
        <v>626884</v>
      </c>
      <c r="G1549" s="561"/>
      <c r="H1549" s="657" t="str">
        <f>F1545&amp;"*2"</f>
        <v>313442*2</v>
      </c>
      <c r="I1549" s="564" t="s">
        <v>4589</v>
      </c>
      <c r="J1549" s="697" t="s">
        <v>5974</v>
      </c>
      <c r="M1549" s="329"/>
      <c r="P1549" s="593"/>
      <c r="Q1549" s="685"/>
      <c r="R1549" s="685"/>
      <c r="S1549" s="329"/>
      <c r="U1549" s="593"/>
      <c r="Z1549" s="329"/>
      <c r="AB1549" s="589"/>
    </row>
    <row r="1550" spans="1:28" ht="13.5">
      <c r="A1550" s="594"/>
      <c r="B1550" s="694" t="s">
        <v>586</v>
      </c>
      <c r="C1550" s="575"/>
      <c r="D1550" s="571"/>
      <c r="E1550" s="571"/>
      <c r="F1550" s="619"/>
      <c r="G1550" s="619"/>
      <c r="H1550" s="657"/>
      <c r="I1550" s="564"/>
      <c r="M1550" s="329"/>
      <c r="P1550" s="593"/>
      <c r="Q1550" s="685"/>
      <c r="R1550" s="685"/>
      <c r="S1550" s="329"/>
      <c r="U1550" s="593"/>
      <c r="Z1550" s="329"/>
      <c r="AB1550" s="589"/>
    </row>
    <row r="1551" spans="1:28">
      <c r="A1551" s="631" t="str">
        <f>"DD."&amp;B1551</f>
        <v>DD.02.1172</v>
      </c>
      <c r="B1551" s="565" t="s">
        <v>587</v>
      </c>
      <c r="C1551" s="575" t="s">
        <v>588</v>
      </c>
      <c r="D1551" s="571" t="s">
        <v>2984</v>
      </c>
      <c r="E1551" s="561"/>
      <c r="F1551" s="560">
        <f>596054*0.1</f>
        <v>59605.4</v>
      </c>
      <c r="G1551" s="561"/>
      <c r="H1551" s="657"/>
      <c r="I1551" s="564"/>
      <c r="M1551" s="329"/>
      <c r="P1551" s="593"/>
      <c r="Q1551" s="685"/>
      <c r="R1551" s="685"/>
      <c r="S1551" s="329"/>
      <c r="U1551" s="593"/>
      <c r="Z1551" s="329"/>
      <c r="AB1551" s="589"/>
    </row>
    <row r="1552" spans="1:28">
      <c r="A1552" s="631" t="str">
        <f>"DD."&amp;B1552</f>
        <v>DD.02.1173</v>
      </c>
      <c r="B1552" s="565" t="s">
        <v>589</v>
      </c>
      <c r="C1552" s="575" t="s">
        <v>590</v>
      </c>
      <c r="D1552" s="571" t="s">
        <v>2984</v>
      </c>
      <c r="E1552" s="561"/>
      <c r="F1552" s="560">
        <f>453036*0.3</f>
        <v>135910.79999999999</v>
      </c>
      <c r="G1552" s="561"/>
      <c r="H1552" s="657"/>
      <c r="I1552" s="564"/>
      <c r="M1552" s="329"/>
      <c r="P1552" s="593"/>
      <c r="Q1552" s="685"/>
      <c r="R1552" s="685"/>
      <c r="S1552" s="329"/>
      <c r="U1552" s="593"/>
      <c r="Z1552" s="329"/>
      <c r="AB1552" s="589"/>
    </row>
    <row r="1553" spans="1:28">
      <c r="A1553" s="631" t="str">
        <f>"DD."&amp;B1553</f>
        <v>DD.02.1174</v>
      </c>
      <c r="B1553" s="565" t="s">
        <v>591</v>
      </c>
      <c r="C1553" s="575" t="s">
        <v>4662</v>
      </c>
      <c r="D1553" s="571" t="s">
        <v>2984</v>
      </c>
      <c r="E1553" s="561"/>
      <c r="F1553" s="560">
        <f>441046*0.5</f>
        <v>220523</v>
      </c>
      <c r="G1553" s="561"/>
      <c r="H1553" s="657"/>
      <c r="I1553" s="564"/>
      <c r="M1553" s="329"/>
      <c r="P1553" s="593"/>
      <c r="Q1553" s="685"/>
      <c r="R1553" s="685"/>
      <c r="S1553" s="329"/>
      <c r="U1553" s="593"/>
      <c r="Z1553" s="329"/>
      <c r="AB1553" s="589"/>
    </row>
    <row r="1554" spans="1:28">
      <c r="A1554" s="631" t="str">
        <f>"DD."&amp;B1554</f>
        <v>DD.02.1175</v>
      </c>
      <c r="B1554" s="565" t="s">
        <v>4663</v>
      </c>
      <c r="C1554" s="575" t="s">
        <v>2936</v>
      </c>
      <c r="D1554" s="571" t="s">
        <v>2984</v>
      </c>
      <c r="E1554" s="561"/>
      <c r="F1554" s="560">
        <f>432482*1</f>
        <v>432482</v>
      </c>
      <c r="G1554" s="561"/>
      <c r="H1554" s="657"/>
      <c r="I1554" s="564"/>
      <c r="M1554" s="329"/>
      <c r="P1554" s="593"/>
      <c r="Q1554" s="685"/>
      <c r="R1554" s="685"/>
      <c r="S1554" s="329"/>
      <c r="U1554" s="593"/>
      <c r="Z1554" s="329"/>
      <c r="AB1554" s="589"/>
    </row>
    <row r="1555" spans="1:28">
      <c r="A1555" s="631" t="str">
        <f>"DD."&amp;B1555&amp;"a"</f>
        <v>DD.`a</v>
      </c>
      <c r="B1555" s="779" t="s">
        <v>5057</v>
      </c>
      <c r="C1555" s="575" t="s">
        <v>588</v>
      </c>
      <c r="D1555" s="571" t="s">
        <v>2984</v>
      </c>
      <c r="E1555" s="571"/>
      <c r="F1555" s="560">
        <f>F1551*2</f>
        <v>119210.8</v>
      </c>
      <c r="G1555" s="561"/>
      <c r="H1555" s="657" t="str">
        <f>F1551&amp;"*2"</f>
        <v>59605,4*2</v>
      </c>
      <c r="I1555" s="564" t="s">
        <v>4589</v>
      </c>
      <c r="J1555" s="697" t="s">
        <v>5974</v>
      </c>
      <c r="M1555" s="329"/>
      <c r="P1555" s="593"/>
      <c r="Q1555" s="685"/>
      <c r="R1555" s="685"/>
      <c r="S1555" s="329"/>
      <c r="U1555" s="593"/>
      <c r="Z1555" s="329"/>
      <c r="AB1555" s="589"/>
    </row>
    <row r="1556" spans="1:28">
      <c r="A1556" s="631" t="str">
        <f>"DD."&amp;B1556&amp;"a"</f>
        <v>DD.02.1173a</v>
      </c>
      <c r="B1556" s="565" t="s">
        <v>589</v>
      </c>
      <c r="C1556" s="575" t="s">
        <v>590</v>
      </c>
      <c r="D1556" s="571" t="s">
        <v>2984</v>
      </c>
      <c r="E1556" s="571"/>
      <c r="F1556" s="560">
        <f>F1552*2</f>
        <v>271821.59999999998</v>
      </c>
      <c r="G1556" s="561"/>
      <c r="H1556" s="657" t="str">
        <f>F1552&amp;"*2"</f>
        <v>135910,8*2</v>
      </c>
      <c r="I1556" s="564" t="s">
        <v>4589</v>
      </c>
      <c r="J1556" s="697" t="s">
        <v>5974</v>
      </c>
      <c r="M1556" s="329"/>
      <c r="P1556" s="593"/>
      <c r="Q1556" s="685"/>
      <c r="R1556" s="685"/>
      <c r="S1556" s="329"/>
      <c r="U1556" s="593"/>
      <c r="Z1556" s="329"/>
      <c r="AB1556" s="589"/>
    </row>
    <row r="1557" spans="1:28">
      <c r="A1557" s="631" t="str">
        <f>"DD."&amp;B1557&amp;"a"</f>
        <v>DD.02.1174a</v>
      </c>
      <c r="B1557" s="565" t="s">
        <v>591</v>
      </c>
      <c r="C1557" s="575" t="s">
        <v>4662</v>
      </c>
      <c r="D1557" s="571" t="s">
        <v>2984</v>
      </c>
      <c r="E1557" s="571"/>
      <c r="F1557" s="560">
        <f>F1553*2</f>
        <v>441046</v>
      </c>
      <c r="G1557" s="561"/>
      <c r="H1557" s="657" t="str">
        <f>F1553&amp;"*2"</f>
        <v>220523*2</v>
      </c>
      <c r="I1557" s="564" t="s">
        <v>4589</v>
      </c>
      <c r="J1557" s="697" t="s">
        <v>5974</v>
      </c>
      <c r="M1557" s="329"/>
      <c r="P1557" s="593"/>
      <c r="Q1557" s="685"/>
      <c r="R1557" s="685"/>
      <c r="S1557" s="329"/>
      <c r="U1557" s="593"/>
      <c r="Z1557" s="329"/>
      <c r="AB1557" s="589"/>
    </row>
    <row r="1558" spans="1:28">
      <c r="A1558" s="631" t="str">
        <f>"DD."&amp;B1558&amp;"a"</f>
        <v>DD.02.1175a</v>
      </c>
      <c r="B1558" s="565" t="s">
        <v>4663</v>
      </c>
      <c r="C1558" s="575" t="s">
        <v>2936</v>
      </c>
      <c r="D1558" s="571" t="s">
        <v>2984</v>
      </c>
      <c r="E1558" s="571"/>
      <c r="F1558" s="560">
        <f>F1554*2</f>
        <v>864964</v>
      </c>
      <c r="G1558" s="561"/>
      <c r="H1558" s="657" t="str">
        <f>F1554&amp;"*2"</f>
        <v>432482*2</v>
      </c>
      <c r="I1558" s="564" t="s">
        <v>4589</v>
      </c>
      <c r="J1558" s="697" t="s">
        <v>5974</v>
      </c>
      <c r="M1558" s="329"/>
      <c r="P1558" s="593"/>
      <c r="Q1558" s="685"/>
      <c r="R1558" s="685"/>
      <c r="S1558" s="329"/>
      <c r="U1558" s="593"/>
      <c r="Z1558" s="329"/>
      <c r="AB1558" s="589"/>
    </row>
    <row r="1559" spans="1:28">
      <c r="A1559" s="594"/>
      <c r="B1559" s="569" t="s">
        <v>3422</v>
      </c>
      <c r="C1559" s="677"/>
      <c r="D1559" s="571"/>
      <c r="E1559" s="571"/>
      <c r="F1559" s="619"/>
      <c r="G1559" s="619"/>
      <c r="H1559" s="657"/>
      <c r="I1559" s="564"/>
      <c r="M1559" s="329"/>
      <c r="P1559" s="593"/>
      <c r="Q1559" s="685"/>
      <c r="R1559" s="685"/>
      <c r="S1559" s="329"/>
      <c r="U1559" s="593"/>
      <c r="Z1559" s="329"/>
      <c r="AB1559" s="589"/>
    </row>
    <row r="1560" spans="1:28">
      <c r="A1560" s="631" t="str">
        <f t="shared" ref="A1560:A1575" si="31">"DD."&amp;B1560</f>
        <v>DD.02.3001</v>
      </c>
      <c r="B1560" s="565" t="s">
        <v>2971</v>
      </c>
      <c r="C1560" s="567" t="s">
        <v>2987</v>
      </c>
      <c r="D1560" s="568" t="s">
        <v>968</v>
      </c>
      <c r="E1560" s="561"/>
      <c r="F1560" s="560">
        <v>27405</v>
      </c>
      <c r="G1560" s="561"/>
      <c r="H1560" s="714"/>
      <c r="I1560" s="564"/>
      <c r="M1560" s="329"/>
      <c r="P1560" s="593"/>
      <c r="Q1560" s="685"/>
      <c r="R1560" s="685"/>
      <c r="S1560" s="329"/>
      <c r="U1560" s="593"/>
      <c r="Z1560" s="329"/>
      <c r="AB1560" s="589"/>
    </row>
    <row r="1561" spans="1:28">
      <c r="A1561" s="631" t="str">
        <f t="shared" si="31"/>
        <v>DD.02.3011</v>
      </c>
      <c r="B1561" s="565" t="s">
        <v>2972</v>
      </c>
      <c r="C1561" s="567" t="s">
        <v>2988</v>
      </c>
      <c r="D1561" s="568" t="s">
        <v>968</v>
      </c>
      <c r="E1561" s="561"/>
      <c r="F1561" s="560">
        <v>36825</v>
      </c>
      <c r="G1561" s="561"/>
      <c r="H1561" s="714"/>
      <c r="I1561" s="564"/>
      <c r="M1561" s="329"/>
      <c r="P1561" s="593"/>
      <c r="Q1561" s="685"/>
      <c r="R1561" s="685"/>
      <c r="S1561" s="329"/>
      <c r="U1561" s="593"/>
      <c r="Z1561" s="329"/>
      <c r="AB1561" s="589"/>
    </row>
    <row r="1562" spans="1:28">
      <c r="A1562" s="631" t="str">
        <f t="shared" si="31"/>
        <v>DD.02.3021</v>
      </c>
      <c r="B1562" s="565" t="s">
        <v>2973</v>
      </c>
      <c r="C1562" s="567" t="s">
        <v>2989</v>
      </c>
      <c r="D1562" s="568" t="s">
        <v>968</v>
      </c>
      <c r="E1562" s="561"/>
      <c r="F1562" s="560">
        <v>41107</v>
      </c>
      <c r="G1562" s="561"/>
      <c r="H1562" s="714"/>
      <c r="I1562" s="564"/>
      <c r="M1562" s="329"/>
      <c r="P1562" s="593"/>
      <c r="Q1562" s="685"/>
      <c r="R1562" s="685"/>
      <c r="S1562" s="329"/>
      <c r="U1562" s="593"/>
      <c r="Z1562" s="329"/>
      <c r="AB1562" s="589"/>
    </row>
    <row r="1563" spans="1:28">
      <c r="A1563" s="631" t="str">
        <f t="shared" si="31"/>
        <v>DD.02.3031</v>
      </c>
      <c r="B1563" s="565" t="s">
        <v>2974</v>
      </c>
      <c r="C1563" s="567" t="s">
        <v>2990</v>
      </c>
      <c r="D1563" s="568" t="s">
        <v>968</v>
      </c>
      <c r="E1563" s="561"/>
      <c r="F1563" s="560">
        <v>36825</v>
      </c>
      <c r="G1563" s="561"/>
      <c r="H1563" s="714"/>
      <c r="I1563" s="564"/>
      <c r="M1563" s="329"/>
      <c r="P1563" s="593"/>
      <c r="Q1563" s="685"/>
      <c r="R1563" s="685"/>
      <c r="S1563" s="329"/>
      <c r="U1563" s="593"/>
      <c r="Z1563" s="329"/>
      <c r="AB1563" s="589"/>
    </row>
    <row r="1564" spans="1:28">
      <c r="A1564" s="631" t="str">
        <f t="shared" si="31"/>
        <v>DD.02.3041</v>
      </c>
      <c r="B1564" s="565" t="s">
        <v>2975</v>
      </c>
      <c r="C1564" s="567" t="s">
        <v>2991</v>
      </c>
      <c r="D1564" s="568" t="s">
        <v>968</v>
      </c>
      <c r="E1564" s="561"/>
      <c r="F1564" s="560">
        <v>30830</v>
      </c>
      <c r="G1564" s="561"/>
      <c r="H1564" s="714"/>
      <c r="I1564" s="564"/>
      <c r="M1564" s="329"/>
      <c r="P1564" s="593"/>
      <c r="Q1564" s="685"/>
      <c r="R1564" s="685"/>
      <c r="S1564" s="329"/>
      <c r="U1564" s="593"/>
      <c r="Z1564" s="329"/>
      <c r="AB1564" s="589"/>
    </row>
    <row r="1565" spans="1:28">
      <c r="A1565" s="631" t="str">
        <f t="shared" si="31"/>
        <v>DD.02.3051</v>
      </c>
      <c r="B1565" s="565" t="s">
        <v>2976</v>
      </c>
      <c r="C1565" s="567" t="s">
        <v>1411</v>
      </c>
      <c r="D1565" s="568" t="s">
        <v>2984</v>
      </c>
      <c r="E1565" s="561"/>
      <c r="F1565" s="560">
        <v>39394</v>
      </c>
      <c r="G1565" s="561"/>
      <c r="H1565" s="714"/>
      <c r="I1565" s="564"/>
      <c r="M1565" s="329"/>
      <c r="P1565" s="593"/>
      <c r="Q1565" s="685"/>
      <c r="R1565" s="685"/>
      <c r="S1565" s="329"/>
      <c r="U1565" s="593"/>
      <c r="Z1565" s="329"/>
      <c r="AB1565" s="589"/>
    </row>
    <row r="1566" spans="1:28">
      <c r="A1566" s="631" t="str">
        <f t="shared" si="31"/>
        <v>DD.02.3061</v>
      </c>
      <c r="B1566" s="565" t="s">
        <v>2977</v>
      </c>
      <c r="C1566" s="567" t="s">
        <v>5560</v>
      </c>
      <c r="D1566" s="568" t="s">
        <v>1287</v>
      </c>
      <c r="E1566" s="561"/>
      <c r="F1566" s="560">
        <v>40251</v>
      </c>
      <c r="G1566" s="561"/>
      <c r="H1566" s="714"/>
      <c r="I1566" s="564"/>
      <c r="M1566" s="329"/>
      <c r="P1566" s="593"/>
      <c r="Q1566" s="685"/>
      <c r="R1566" s="685"/>
      <c r="S1566" s="329"/>
      <c r="U1566" s="593"/>
      <c r="Z1566" s="329"/>
      <c r="AB1566" s="589"/>
    </row>
    <row r="1567" spans="1:28">
      <c r="A1567" s="631" t="str">
        <f t="shared" si="31"/>
        <v>DD.02.3071</v>
      </c>
      <c r="B1567" s="565" t="s">
        <v>2978</v>
      </c>
      <c r="C1567" s="567" t="s">
        <v>6312</v>
      </c>
      <c r="D1567" s="568" t="s">
        <v>1287</v>
      </c>
      <c r="E1567" s="561"/>
      <c r="F1567" s="560">
        <v>47102</v>
      </c>
      <c r="G1567" s="561"/>
      <c r="H1567" s="714"/>
      <c r="I1567" s="564"/>
      <c r="M1567" s="329"/>
      <c r="P1567" s="593"/>
      <c r="Q1567" s="685"/>
      <c r="R1567" s="685"/>
      <c r="S1567" s="329"/>
      <c r="U1567" s="593"/>
      <c r="Z1567" s="329"/>
      <c r="AB1567" s="589"/>
    </row>
    <row r="1568" spans="1:28">
      <c r="A1568" s="631" t="str">
        <f t="shared" si="31"/>
        <v>DD.02.3081</v>
      </c>
      <c r="B1568" s="565" t="s">
        <v>2979</v>
      </c>
      <c r="C1568" s="567" t="s">
        <v>5561</v>
      </c>
      <c r="D1568" s="568" t="s">
        <v>2985</v>
      </c>
      <c r="E1568" s="561"/>
      <c r="F1568" s="560">
        <v>98486</v>
      </c>
      <c r="G1568" s="561"/>
      <c r="H1568" s="714"/>
      <c r="I1568" s="564"/>
      <c r="M1568" s="329"/>
      <c r="P1568" s="593"/>
      <c r="Q1568" s="685"/>
      <c r="R1568" s="685"/>
      <c r="S1568" s="329"/>
      <c r="U1568" s="593"/>
      <c r="Z1568" s="329"/>
      <c r="AB1568" s="589"/>
    </row>
    <row r="1569" spans="1:28">
      <c r="A1569" s="631" t="str">
        <f t="shared" si="31"/>
        <v>DD.02.3091</v>
      </c>
      <c r="B1569" s="565" t="s">
        <v>2980</v>
      </c>
      <c r="C1569" s="567" t="s">
        <v>792</v>
      </c>
      <c r="D1569" s="568" t="s">
        <v>3290</v>
      </c>
      <c r="E1569" s="561"/>
      <c r="F1569" s="560">
        <v>50528</v>
      </c>
      <c r="G1569" s="561"/>
      <c r="H1569" s="714"/>
      <c r="I1569" s="564"/>
      <c r="M1569" s="329"/>
      <c r="P1569" s="593"/>
      <c r="Q1569" s="685"/>
      <c r="R1569" s="685"/>
      <c r="S1569" s="329"/>
      <c r="U1569" s="593"/>
      <c r="Z1569" s="329"/>
      <c r="AB1569" s="589"/>
    </row>
    <row r="1570" spans="1:28">
      <c r="A1570" s="631" t="str">
        <f t="shared" si="31"/>
        <v>DD.02.3101</v>
      </c>
      <c r="B1570" s="565" t="s">
        <v>1409</v>
      </c>
      <c r="C1570" s="567" t="s">
        <v>1414</v>
      </c>
      <c r="D1570" s="568" t="s">
        <v>3290</v>
      </c>
      <c r="E1570" s="561"/>
      <c r="F1570" s="560">
        <v>51384</v>
      </c>
      <c r="G1570" s="561"/>
      <c r="H1570" s="714"/>
      <c r="I1570" s="564"/>
      <c r="M1570" s="329"/>
      <c r="P1570" s="593"/>
      <c r="Q1570" s="685"/>
      <c r="R1570" s="685"/>
      <c r="S1570" s="329"/>
      <c r="U1570" s="593"/>
      <c r="Z1570" s="329"/>
      <c r="AB1570" s="589"/>
    </row>
    <row r="1571" spans="1:28">
      <c r="A1571" s="631" t="str">
        <f t="shared" si="31"/>
        <v>DD.02.3111</v>
      </c>
      <c r="B1571" s="565" t="s">
        <v>1412</v>
      </c>
      <c r="C1571" s="567" t="s">
        <v>793</v>
      </c>
      <c r="D1571" s="568" t="s">
        <v>3290</v>
      </c>
      <c r="E1571" s="561"/>
      <c r="F1571" s="560">
        <v>53953</v>
      </c>
      <c r="G1571" s="561"/>
      <c r="H1571" s="714"/>
      <c r="I1571" s="564"/>
      <c r="M1571" s="329"/>
      <c r="P1571" s="593"/>
      <c r="Q1571" s="685"/>
      <c r="R1571" s="685"/>
      <c r="S1571" s="329"/>
      <c r="U1571" s="593"/>
      <c r="Z1571" s="329"/>
      <c r="AB1571" s="589"/>
    </row>
    <row r="1572" spans="1:28">
      <c r="A1572" s="631" t="str">
        <f t="shared" si="31"/>
        <v>DD.02.3121</v>
      </c>
      <c r="B1572" s="565" t="s">
        <v>2981</v>
      </c>
      <c r="C1572" s="567" t="s">
        <v>794</v>
      </c>
      <c r="D1572" s="568" t="s">
        <v>3290</v>
      </c>
      <c r="E1572" s="561"/>
      <c r="F1572" s="560">
        <v>64230</v>
      </c>
      <c r="G1572" s="561"/>
      <c r="H1572" s="714"/>
      <c r="I1572" s="564"/>
      <c r="M1572" s="329"/>
      <c r="P1572" s="593"/>
      <c r="Q1572" s="685"/>
      <c r="R1572" s="685"/>
      <c r="S1572" s="329"/>
      <c r="U1572" s="593"/>
      <c r="Z1572" s="329"/>
      <c r="AB1572" s="589"/>
    </row>
    <row r="1573" spans="1:28">
      <c r="A1573" s="631" t="str">
        <f t="shared" si="31"/>
        <v>DD.02.3131</v>
      </c>
      <c r="B1573" s="565" t="s">
        <v>2982</v>
      </c>
      <c r="C1573" s="567" t="s">
        <v>795</v>
      </c>
      <c r="D1573" s="568" t="s">
        <v>3290</v>
      </c>
      <c r="E1573" s="561"/>
      <c r="F1573" s="560">
        <v>23979</v>
      </c>
      <c r="G1573" s="561"/>
      <c r="H1573" s="714"/>
      <c r="I1573" s="564"/>
      <c r="M1573" s="329"/>
      <c r="P1573" s="593"/>
      <c r="Q1573" s="685"/>
      <c r="R1573" s="685"/>
      <c r="S1573" s="329"/>
      <c r="U1573" s="593"/>
      <c r="Z1573" s="329"/>
      <c r="AB1573" s="589"/>
    </row>
    <row r="1574" spans="1:28">
      <c r="A1574" s="631" t="str">
        <f t="shared" si="31"/>
        <v>DD.02.3141</v>
      </c>
      <c r="B1574" s="565" t="s">
        <v>1031</v>
      </c>
      <c r="C1574" s="567" t="s">
        <v>796</v>
      </c>
      <c r="D1574" s="568" t="s">
        <v>2986</v>
      </c>
      <c r="E1574" s="561"/>
      <c r="F1574" s="560">
        <v>32543</v>
      </c>
      <c r="G1574" s="561"/>
      <c r="H1574" s="714"/>
      <c r="I1574" s="564"/>
      <c r="M1574" s="329"/>
      <c r="P1574" s="593"/>
      <c r="Q1574" s="685"/>
      <c r="R1574" s="685"/>
      <c r="S1574" s="329"/>
      <c r="U1574" s="593"/>
      <c r="Z1574" s="329"/>
      <c r="AB1574" s="589"/>
    </row>
    <row r="1575" spans="1:28">
      <c r="A1575" s="631" t="str">
        <f t="shared" si="31"/>
        <v>DD.02.3151</v>
      </c>
      <c r="B1575" s="565" t="s">
        <v>2983</v>
      </c>
      <c r="C1575" s="567" t="s">
        <v>797</v>
      </c>
      <c r="D1575" s="568" t="s">
        <v>3290</v>
      </c>
      <c r="E1575" s="561"/>
      <c r="F1575" s="560">
        <v>50528</v>
      </c>
      <c r="G1575" s="561"/>
      <c r="H1575" s="714"/>
      <c r="I1575" s="564"/>
      <c r="M1575" s="329"/>
      <c r="P1575" s="593"/>
      <c r="Q1575" s="685"/>
      <c r="R1575" s="685"/>
      <c r="S1575" s="329"/>
      <c r="U1575" s="593"/>
      <c r="Z1575" s="329"/>
      <c r="AB1575" s="589"/>
    </row>
    <row r="1576" spans="1:28">
      <c r="A1576" s="594"/>
      <c r="B1576" s="569" t="s">
        <v>4816</v>
      </c>
      <c r="C1576" s="677"/>
      <c r="D1576" s="571"/>
      <c r="E1576" s="571"/>
      <c r="F1576" s="619"/>
      <c r="G1576" s="619"/>
      <c r="H1576" s="657"/>
      <c r="I1576" s="564"/>
      <c r="M1576" s="329"/>
      <c r="P1576" s="593"/>
      <c r="Q1576" s="685"/>
      <c r="R1576" s="685"/>
      <c r="S1576" s="329"/>
      <c r="U1576" s="593"/>
      <c r="Z1576" s="329"/>
      <c r="AB1576" s="589"/>
    </row>
    <row r="1577" spans="1:28">
      <c r="A1577" s="631" t="str">
        <f t="shared" ref="A1577:A1592" si="32">"DD."&amp;B1577</f>
        <v>DD.02.3002</v>
      </c>
      <c r="B1577" s="565" t="s">
        <v>4817</v>
      </c>
      <c r="C1577" s="567" t="s">
        <v>6203</v>
      </c>
      <c r="D1577" s="568" t="s">
        <v>968</v>
      </c>
      <c r="E1577" s="561"/>
      <c r="F1577" s="560">
        <v>17984</v>
      </c>
      <c r="G1577" s="561"/>
      <c r="H1577" s="714"/>
      <c r="I1577" s="564"/>
      <c r="M1577" s="329"/>
      <c r="P1577" s="593"/>
      <c r="Q1577" s="685"/>
      <c r="R1577" s="685"/>
      <c r="S1577" s="329"/>
      <c r="U1577" s="593"/>
      <c r="Z1577" s="329"/>
      <c r="AB1577" s="589"/>
    </row>
    <row r="1578" spans="1:28">
      <c r="A1578" s="631" t="str">
        <f t="shared" si="32"/>
        <v>DD.02.3012</v>
      </c>
      <c r="B1578" s="565" t="s">
        <v>4818</v>
      </c>
      <c r="C1578" s="567" t="s">
        <v>5037</v>
      </c>
      <c r="D1578" s="568" t="s">
        <v>968</v>
      </c>
      <c r="E1578" s="561"/>
      <c r="F1578" s="560">
        <v>30830</v>
      </c>
      <c r="G1578" s="561"/>
      <c r="H1578" s="714"/>
      <c r="I1578" s="564"/>
      <c r="M1578" s="329"/>
      <c r="P1578" s="593"/>
      <c r="Q1578" s="685"/>
      <c r="R1578" s="685"/>
      <c r="S1578" s="329"/>
      <c r="U1578" s="593"/>
      <c r="Z1578" s="329"/>
      <c r="AB1578" s="589"/>
    </row>
    <row r="1579" spans="1:28">
      <c r="A1579" s="631" t="str">
        <f t="shared" si="32"/>
        <v>DD.02.3022</v>
      </c>
      <c r="B1579" s="565" t="s">
        <v>3730</v>
      </c>
      <c r="C1579" s="567" t="s">
        <v>5038</v>
      </c>
      <c r="D1579" s="568" t="s">
        <v>968</v>
      </c>
      <c r="E1579" s="561"/>
      <c r="F1579" s="560">
        <v>39394</v>
      </c>
      <c r="G1579" s="561"/>
      <c r="H1579" s="714"/>
      <c r="I1579" s="564"/>
      <c r="M1579" s="329"/>
      <c r="P1579" s="593"/>
      <c r="Q1579" s="685"/>
      <c r="R1579" s="685"/>
      <c r="S1579" s="329"/>
      <c r="U1579" s="593"/>
      <c r="Z1579" s="329"/>
      <c r="AB1579" s="589"/>
    </row>
    <row r="1580" spans="1:28">
      <c r="A1580" s="631" t="str">
        <f t="shared" si="32"/>
        <v>DD.02.3032</v>
      </c>
      <c r="B1580" s="565" t="s">
        <v>3731</v>
      </c>
      <c r="C1580" s="567" t="s">
        <v>5039</v>
      </c>
      <c r="D1580" s="568" t="s">
        <v>968</v>
      </c>
      <c r="E1580" s="561"/>
      <c r="F1580" s="560">
        <v>30830</v>
      </c>
      <c r="G1580" s="561"/>
      <c r="H1580" s="714"/>
      <c r="I1580" s="564"/>
      <c r="M1580" s="329"/>
      <c r="P1580" s="593"/>
      <c r="Q1580" s="685"/>
      <c r="R1580" s="685"/>
      <c r="S1580" s="329"/>
      <c r="U1580" s="593"/>
      <c r="Z1580" s="329"/>
      <c r="AB1580" s="589"/>
    </row>
    <row r="1581" spans="1:28">
      <c r="A1581" s="631" t="str">
        <f t="shared" si="32"/>
        <v>DD.02.3042</v>
      </c>
      <c r="B1581" s="565" t="s">
        <v>3732</v>
      </c>
      <c r="C1581" s="567" t="s">
        <v>5040</v>
      </c>
      <c r="D1581" s="568" t="s">
        <v>968</v>
      </c>
      <c r="E1581" s="561"/>
      <c r="F1581" s="560">
        <v>25692</v>
      </c>
      <c r="G1581" s="561"/>
      <c r="H1581" s="714"/>
      <c r="I1581" s="564"/>
      <c r="M1581" s="329"/>
      <c r="P1581" s="593"/>
      <c r="Q1581" s="685"/>
      <c r="R1581" s="685"/>
      <c r="S1581" s="329"/>
      <c r="U1581" s="593"/>
      <c r="Z1581" s="329"/>
      <c r="AB1581" s="589"/>
    </row>
    <row r="1582" spans="1:28">
      <c r="A1582" s="631" t="str">
        <f t="shared" si="32"/>
        <v>DD.02.3052</v>
      </c>
      <c r="B1582" s="565" t="s">
        <v>3733</v>
      </c>
      <c r="C1582" s="567" t="s">
        <v>5041</v>
      </c>
      <c r="D1582" s="568" t="s">
        <v>2984</v>
      </c>
      <c r="E1582" s="561"/>
      <c r="F1582" s="560">
        <v>36825</v>
      </c>
      <c r="G1582" s="561"/>
      <c r="H1582" s="714"/>
      <c r="I1582" s="564"/>
      <c r="M1582" s="329"/>
      <c r="P1582" s="593"/>
      <c r="Q1582" s="685"/>
      <c r="R1582" s="685"/>
      <c r="S1582" s="329"/>
      <c r="U1582" s="593"/>
      <c r="Z1582" s="329"/>
      <c r="AB1582" s="589"/>
    </row>
    <row r="1583" spans="1:28">
      <c r="A1583" s="631" t="str">
        <f t="shared" si="32"/>
        <v>DD.02.3062</v>
      </c>
      <c r="B1583" s="565" t="s">
        <v>3734</v>
      </c>
      <c r="C1583" s="567" t="s">
        <v>2728</v>
      </c>
      <c r="D1583" s="568" t="s">
        <v>1287</v>
      </c>
      <c r="E1583" s="561"/>
      <c r="F1583" s="560">
        <v>17984</v>
      </c>
      <c r="G1583" s="561"/>
      <c r="H1583" s="714"/>
      <c r="I1583" s="564"/>
      <c r="M1583" s="329"/>
      <c r="P1583" s="593"/>
      <c r="Q1583" s="685"/>
      <c r="R1583" s="685"/>
      <c r="S1583" s="329"/>
      <c r="U1583" s="593"/>
      <c r="Z1583" s="329"/>
      <c r="AB1583" s="589"/>
    </row>
    <row r="1584" spans="1:28">
      <c r="A1584" s="631" t="str">
        <f t="shared" si="32"/>
        <v>DD.02.3072</v>
      </c>
      <c r="B1584" s="565" t="s">
        <v>3735</v>
      </c>
      <c r="C1584" s="567" t="s">
        <v>6313</v>
      </c>
      <c r="D1584" s="568" t="s">
        <v>1287</v>
      </c>
      <c r="E1584" s="561"/>
      <c r="F1584" s="560">
        <v>43334</v>
      </c>
      <c r="G1584" s="561"/>
      <c r="H1584" s="714"/>
      <c r="I1584" s="564"/>
      <c r="M1584" s="329"/>
      <c r="P1584" s="593"/>
      <c r="Q1584" s="685"/>
      <c r="R1584" s="685"/>
      <c r="S1584" s="329"/>
      <c r="U1584" s="593"/>
      <c r="Z1584" s="329"/>
      <c r="AB1584" s="589"/>
    </row>
    <row r="1585" spans="1:28">
      <c r="A1585" s="631" t="str">
        <f t="shared" si="32"/>
        <v>DD.02.3082</v>
      </c>
      <c r="B1585" s="565" t="s">
        <v>6198</v>
      </c>
      <c r="C1585" s="567" t="s">
        <v>160</v>
      </c>
      <c r="D1585" s="568" t="s">
        <v>2985</v>
      </c>
      <c r="E1585" s="561"/>
      <c r="F1585" s="560">
        <v>49671</v>
      </c>
      <c r="G1585" s="561"/>
      <c r="H1585" s="714"/>
      <c r="I1585" s="564"/>
      <c r="M1585" s="329"/>
      <c r="P1585" s="593"/>
      <c r="Q1585" s="685"/>
      <c r="R1585" s="685"/>
      <c r="S1585" s="329"/>
      <c r="U1585" s="593"/>
      <c r="Z1585" s="329"/>
      <c r="AB1585" s="589"/>
    </row>
    <row r="1586" spans="1:28">
      <c r="A1586" s="631" t="str">
        <f t="shared" si="32"/>
        <v>DD.02.3092</v>
      </c>
      <c r="B1586" s="565" t="s">
        <v>6199</v>
      </c>
      <c r="C1586" s="567" t="s">
        <v>161</v>
      </c>
      <c r="D1586" s="568" t="s">
        <v>3290</v>
      </c>
      <c r="E1586" s="561"/>
      <c r="F1586" s="560">
        <v>39394</v>
      </c>
      <c r="G1586" s="561"/>
      <c r="H1586" s="714"/>
      <c r="I1586" s="564"/>
      <c r="M1586" s="329"/>
      <c r="P1586" s="593"/>
      <c r="Q1586" s="685"/>
      <c r="R1586" s="685"/>
      <c r="S1586" s="329"/>
      <c r="U1586" s="593"/>
      <c r="Z1586" s="329"/>
      <c r="AB1586" s="589"/>
    </row>
    <row r="1587" spans="1:28">
      <c r="A1587" s="631" t="str">
        <f t="shared" si="32"/>
        <v>DD.02.3102</v>
      </c>
      <c r="B1587" s="565" t="s">
        <v>1410</v>
      </c>
      <c r="C1587" s="567" t="s">
        <v>162</v>
      </c>
      <c r="D1587" s="568" t="s">
        <v>3290</v>
      </c>
      <c r="E1587" s="561"/>
      <c r="F1587" s="560">
        <v>40251</v>
      </c>
      <c r="G1587" s="561"/>
      <c r="H1587" s="714"/>
      <c r="I1587" s="564"/>
      <c r="M1587" s="329"/>
      <c r="P1587" s="593"/>
      <c r="Q1587" s="685"/>
      <c r="R1587" s="685"/>
      <c r="S1587" s="329"/>
      <c r="U1587" s="593"/>
      <c r="Z1587" s="329"/>
      <c r="AB1587" s="589"/>
    </row>
    <row r="1588" spans="1:28">
      <c r="A1588" s="631" t="str">
        <f t="shared" si="32"/>
        <v>DD.02.3112</v>
      </c>
      <c r="B1588" s="565" t="s">
        <v>1413</v>
      </c>
      <c r="C1588" s="567" t="s">
        <v>163</v>
      </c>
      <c r="D1588" s="568" t="s">
        <v>3290</v>
      </c>
      <c r="E1588" s="561"/>
      <c r="F1588" s="560">
        <v>50528</v>
      </c>
      <c r="G1588" s="561"/>
      <c r="H1588" s="714"/>
      <c r="I1588" s="564"/>
      <c r="M1588" s="329"/>
      <c r="P1588" s="593"/>
      <c r="Q1588" s="685"/>
      <c r="R1588" s="685"/>
      <c r="S1588" s="329"/>
      <c r="U1588" s="593"/>
      <c r="Z1588" s="329"/>
      <c r="AB1588" s="589"/>
    </row>
    <row r="1589" spans="1:28">
      <c r="A1589" s="631" t="str">
        <f t="shared" si="32"/>
        <v>DD.02.3122</v>
      </c>
      <c r="B1589" s="565" t="s">
        <v>6200</v>
      </c>
      <c r="C1589" s="567" t="s">
        <v>164</v>
      </c>
      <c r="D1589" s="568" t="s">
        <v>3290</v>
      </c>
      <c r="E1589" s="561"/>
      <c r="F1589" s="560">
        <v>66799</v>
      </c>
      <c r="G1589" s="561"/>
      <c r="H1589" s="714"/>
      <c r="I1589" s="564"/>
      <c r="M1589" s="329"/>
      <c r="P1589" s="593"/>
      <c r="Q1589" s="685"/>
      <c r="R1589" s="685"/>
      <c r="S1589" s="329"/>
      <c r="U1589" s="593"/>
      <c r="Z1589" s="329"/>
      <c r="AB1589" s="589"/>
    </row>
    <row r="1590" spans="1:28">
      <c r="A1590" s="631" t="str">
        <f t="shared" si="32"/>
        <v>DD.02.3132</v>
      </c>
      <c r="B1590" s="565" t="s">
        <v>6201</v>
      </c>
      <c r="C1590" s="567" t="s">
        <v>165</v>
      </c>
      <c r="D1590" s="568" t="s">
        <v>3290</v>
      </c>
      <c r="E1590" s="561"/>
      <c r="F1590" s="560">
        <v>21410</v>
      </c>
      <c r="G1590" s="561"/>
      <c r="H1590" s="714"/>
      <c r="I1590" s="564"/>
      <c r="M1590" s="329"/>
      <c r="P1590" s="593"/>
      <c r="Q1590" s="685"/>
      <c r="R1590" s="685"/>
      <c r="S1590" s="329"/>
      <c r="U1590" s="593"/>
      <c r="Z1590" s="329"/>
      <c r="AB1590" s="589"/>
    </row>
    <row r="1591" spans="1:28">
      <c r="A1591" s="631" t="str">
        <f t="shared" si="32"/>
        <v>DD.02.3142</v>
      </c>
      <c r="B1591" s="565" t="s">
        <v>1032</v>
      </c>
      <c r="C1591" s="567" t="s">
        <v>166</v>
      </c>
      <c r="D1591" s="568" t="s">
        <v>2986</v>
      </c>
      <c r="E1591" s="561"/>
      <c r="F1591" s="560">
        <v>17984</v>
      </c>
      <c r="G1591" s="561"/>
      <c r="H1591" s="714"/>
      <c r="I1591" s="564"/>
      <c r="M1591" s="329"/>
      <c r="P1591" s="593"/>
      <c r="Q1591" s="685"/>
      <c r="R1591" s="685"/>
      <c r="S1591" s="329"/>
      <c r="U1591" s="593"/>
      <c r="Z1591" s="329"/>
      <c r="AB1591" s="589"/>
    </row>
    <row r="1592" spans="1:28">
      <c r="A1592" s="631" t="str">
        <f t="shared" si="32"/>
        <v>DD.02.3152</v>
      </c>
      <c r="B1592" s="565" t="s">
        <v>6202</v>
      </c>
      <c r="C1592" s="567" t="s">
        <v>4279</v>
      </c>
      <c r="D1592" s="568" t="s">
        <v>3290</v>
      </c>
      <c r="E1592" s="561"/>
      <c r="F1592" s="560">
        <v>39394</v>
      </c>
      <c r="G1592" s="561"/>
      <c r="H1592" s="714"/>
      <c r="I1592" s="564"/>
      <c r="M1592" s="329"/>
      <c r="P1592" s="593"/>
      <c r="Q1592" s="685"/>
      <c r="R1592" s="685"/>
      <c r="S1592" s="329"/>
      <c r="U1592" s="593"/>
      <c r="Z1592" s="329"/>
      <c r="AB1592" s="589"/>
    </row>
    <row r="1593" spans="1:28" ht="13.5">
      <c r="A1593" s="594"/>
      <c r="B1593" s="694" t="s">
        <v>1231</v>
      </c>
      <c r="C1593" s="575"/>
      <c r="D1593" s="571"/>
      <c r="E1593" s="571"/>
      <c r="F1593" s="715"/>
      <c r="G1593" s="715"/>
      <c r="H1593" s="714"/>
      <c r="I1593" s="564"/>
      <c r="M1593" s="329"/>
      <c r="P1593" s="593"/>
      <c r="Q1593" s="685"/>
      <c r="R1593" s="685"/>
      <c r="S1593" s="329"/>
      <c r="U1593" s="593"/>
      <c r="Z1593" s="329"/>
      <c r="AB1593" s="589"/>
    </row>
    <row r="1594" spans="1:28" ht="12.75" customHeight="1">
      <c r="A1594" s="631" t="str">
        <f t="shared" ref="A1594:A1601" si="33">"DD."&amp;B1594</f>
        <v>DD.03.1011</v>
      </c>
      <c r="B1594" s="565" t="s">
        <v>4281</v>
      </c>
      <c r="C1594" s="567" t="s">
        <v>4280</v>
      </c>
      <c r="D1594" s="568" t="s">
        <v>1967</v>
      </c>
      <c r="E1594" s="561"/>
      <c r="F1594" s="560">
        <v>66799</v>
      </c>
      <c r="G1594" s="561"/>
      <c r="H1594" s="714"/>
      <c r="I1594" s="564"/>
      <c r="M1594" s="329"/>
      <c r="P1594" s="593"/>
      <c r="Q1594" s="685"/>
      <c r="R1594" s="685"/>
      <c r="S1594" s="329"/>
      <c r="U1594" s="593"/>
      <c r="Z1594" s="329"/>
      <c r="AB1594" s="589"/>
    </row>
    <row r="1595" spans="1:28" ht="12.75" customHeight="1">
      <c r="A1595" s="631" t="str">
        <f t="shared" si="33"/>
        <v>DD.03.1012</v>
      </c>
      <c r="B1595" s="565" t="s">
        <v>4282</v>
      </c>
      <c r="C1595" s="567" t="s">
        <v>4283</v>
      </c>
      <c r="D1595" s="568" t="s">
        <v>1967</v>
      </c>
      <c r="E1595" s="561"/>
      <c r="F1595" s="560">
        <v>97630</v>
      </c>
      <c r="G1595" s="561"/>
      <c r="H1595" s="714"/>
      <c r="I1595" s="564"/>
      <c r="M1595" s="329"/>
      <c r="P1595" s="593"/>
      <c r="Q1595" s="685"/>
      <c r="R1595" s="685"/>
      <c r="S1595" s="329"/>
      <c r="U1595" s="593"/>
      <c r="Z1595" s="329"/>
      <c r="AB1595" s="589"/>
    </row>
    <row r="1596" spans="1:28" ht="12.75" customHeight="1">
      <c r="A1596" s="631" t="str">
        <f t="shared" si="33"/>
        <v>DD.03.3111</v>
      </c>
      <c r="B1596" s="570" t="s">
        <v>2797</v>
      </c>
      <c r="C1596" s="567" t="s">
        <v>4284</v>
      </c>
      <c r="D1596" s="568" t="s">
        <v>1967</v>
      </c>
      <c r="E1596" s="561"/>
      <c r="F1596" s="560">
        <v>47958</v>
      </c>
      <c r="G1596" s="561"/>
      <c r="H1596" s="714"/>
      <c r="I1596" s="564"/>
      <c r="M1596" s="329"/>
      <c r="P1596" s="593"/>
      <c r="Q1596" s="685"/>
      <c r="R1596" s="685"/>
      <c r="S1596" s="329"/>
      <c r="U1596" s="593"/>
      <c r="Z1596" s="329"/>
      <c r="AB1596" s="589"/>
    </row>
    <row r="1597" spans="1:28" ht="12.75" customHeight="1">
      <c r="A1597" s="631" t="str">
        <f t="shared" si="33"/>
        <v>DD.03.3112</v>
      </c>
      <c r="B1597" s="570" t="s">
        <v>2798</v>
      </c>
      <c r="C1597" s="567" t="s">
        <v>5239</v>
      </c>
      <c r="D1597" s="568" t="s">
        <v>1967</v>
      </c>
      <c r="E1597" s="561"/>
      <c r="F1597" s="560">
        <v>63374</v>
      </c>
      <c r="G1597" s="561"/>
      <c r="H1597" s="714"/>
      <c r="I1597" s="564"/>
      <c r="M1597" s="329"/>
      <c r="P1597" s="593"/>
      <c r="Q1597" s="685"/>
      <c r="R1597" s="685"/>
      <c r="S1597" s="329"/>
      <c r="U1597" s="593"/>
      <c r="Z1597" s="329"/>
      <c r="AB1597" s="589"/>
    </row>
    <row r="1598" spans="1:28" ht="12.75" customHeight="1">
      <c r="A1598" s="631" t="str">
        <f t="shared" si="33"/>
        <v>DD.03.3121</v>
      </c>
      <c r="B1598" s="565" t="s">
        <v>6269</v>
      </c>
      <c r="C1598" s="567" t="s">
        <v>6267</v>
      </c>
      <c r="D1598" s="568" t="s">
        <v>1967</v>
      </c>
      <c r="E1598" s="561"/>
      <c r="F1598" s="560">
        <v>57379</v>
      </c>
      <c r="G1598" s="561"/>
      <c r="H1598" s="714"/>
      <c r="I1598" s="564"/>
      <c r="M1598" s="329"/>
      <c r="P1598" s="593"/>
      <c r="Q1598" s="685"/>
      <c r="R1598" s="685"/>
      <c r="S1598" s="329"/>
      <c r="U1598" s="593"/>
      <c r="Z1598" s="329"/>
      <c r="AB1598" s="589"/>
    </row>
    <row r="1599" spans="1:28" ht="12.75" customHeight="1">
      <c r="A1599" s="631" t="str">
        <f t="shared" si="33"/>
        <v>DD.03.3122</v>
      </c>
      <c r="B1599" s="565" t="s">
        <v>6270</v>
      </c>
      <c r="C1599" s="567" t="s">
        <v>6268</v>
      </c>
      <c r="D1599" s="568" t="s">
        <v>1967</v>
      </c>
      <c r="E1599" s="561"/>
      <c r="F1599" s="560">
        <v>85640</v>
      </c>
      <c r="G1599" s="561"/>
      <c r="H1599" s="714"/>
      <c r="I1599" s="564"/>
      <c r="M1599" s="329"/>
      <c r="P1599" s="593"/>
      <c r="Q1599" s="685"/>
      <c r="R1599" s="685"/>
      <c r="S1599" s="329"/>
      <c r="U1599" s="593"/>
      <c r="Z1599" s="329"/>
      <c r="AB1599" s="589"/>
    </row>
    <row r="1600" spans="1:28" ht="12.75" customHeight="1">
      <c r="A1600" s="631" t="str">
        <f t="shared" si="33"/>
        <v>DD.03.3141</v>
      </c>
      <c r="B1600" s="570" t="s">
        <v>2528</v>
      </c>
      <c r="C1600" s="567" t="s">
        <v>2526</v>
      </c>
      <c r="D1600" s="568" t="s">
        <v>1967</v>
      </c>
      <c r="E1600" s="561"/>
      <c r="F1600" s="560">
        <v>133531</v>
      </c>
      <c r="G1600" s="561"/>
      <c r="H1600" s="657" t="str">
        <f>"111276"&amp;"*1,2"</f>
        <v>111276*1,2</v>
      </c>
      <c r="I1600" s="697" t="s">
        <v>1230</v>
      </c>
      <c r="M1600" s="329"/>
      <c r="P1600" s="593"/>
      <c r="Q1600" s="685"/>
      <c r="R1600" s="685"/>
      <c r="S1600" s="329"/>
      <c r="U1600" s="593"/>
      <c r="Z1600" s="329"/>
      <c r="AB1600" s="589"/>
    </row>
    <row r="1601" spans="1:28" ht="12.75" customHeight="1">
      <c r="A1601" s="631" t="str">
        <f t="shared" si="33"/>
        <v>DD.03.3142</v>
      </c>
      <c r="B1601" s="570" t="s">
        <v>5144</v>
      </c>
      <c r="C1601" s="567" t="s">
        <v>2527</v>
      </c>
      <c r="D1601" s="568" t="s">
        <v>1967</v>
      </c>
      <c r="E1601" s="561"/>
      <c r="F1601" s="560">
        <v>184718</v>
      </c>
      <c r="G1601" s="561"/>
      <c r="H1601" s="657" t="str">
        <f>"153932"&amp;"*1,2"</f>
        <v>153932*1,2</v>
      </c>
      <c r="I1601" s="697" t="s">
        <v>1230</v>
      </c>
      <c r="M1601" s="329"/>
      <c r="P1601" s="593"/>
      <c r="Q1601" s="685"/>
      <c r="R1601" s="685"/>
      <c r="S1601" s="329"/>
      <c r="U1601" s="593"/>
      <c r="Z1601" s="329"/>
      <c r="AB1601" s="589"/>
    </row>
    <row r="1602" spans="1:28" ht="12.75" customHeight="1">
      <c r="A1602" s="631"/>
      <c r="B1602" s="694" t="s">
        <v>1232</v>
      </c>
      <c r="C1602" s="567"/>
      <c r="D1602" s="568"/>
      <c r="E1602" s="561"/>
      <c r="F1602" s="560"/>
      <c r="G1602" s="561"/>
      <c r="H1602" s="714"/>
      <c r="I1602" s="564"/>
      <c r="M1602" s="329"/>
      <c r="P1602" s="593"/>
      <c r="Q1602" s="685"/>
      <c r="R1602" s="685"/>
      <c r="S1602" s="329"/>
      <c r="U1602" s="593"/>
      <c r="Z1602" s="329"/>
      <c r="AB1602" s="589"/>
    </row>
    <row r="1603" spans="1:28" ht="12.75" customHeight="1">
      <c r="A1603" s="631" t="str">
        <f t="shared" ref="A1603:A1608" si="34">"DD."&amp;B1603</f>
        <v>DD.03.4111</v>
      </c>
      <c r="B1603" s="565" t="s">
        <v>5766</v>
      </c>
      <c r="C1603" s="567" t="s">
        <v>5763</v>
      </c>
      <c r="D1603" s="568" t="s">
        <v>1967</v>
      </c>
      <c r="E1603" s="561"/>
      <c r="F1603" s="560">
        <v>53097</v>
      </c>
      <c r="G1603" s="561"/>
      <c r="H1603" s="714"/>
      <c r="I1603" s="564"/>
      <c r="M1603" s="329"/>
      <c r="P1603" s="593"/>
      <c r="Q1603" s="685"/>
      <c r="R1603" s="685"/>
      <c r="S1603" s="329"/>
      <c r="U1603" s="593"/>
      <c r="Z1603" s="329"/>
      <c r="AB1603" s="589"/>
    </row>
    <row r="1604" spans="1:28" ht="12.75" customHeight="1">
      <c r="A1604" s="631" t="str">
        <f t="shared" si="34"/>
        <v>DD.03.4112</v>
      </c>
      <c r="B1604" s="565" t="s">
        <v>4814</v>
      </c>
      <c r="C1604" s="567" t="s">
        <v>5764</v>
      </c>
      <c r="D1604" s="568" t="s">
        <v>1967</v>
      </c>
      <c r="E1604" s="561"/>
      <c r="F1604" s="560">
        <v>63374</v>
      </c>
      <c r="G1604" s="561"/>
      <c r="H1604" s="714"/>
      <c r="I1604" s="564"/>
      <c r="M1604" s="329"/>
      <c r="P1604" s="593"/>
      <c r="Q1604" s="685"/>
      <c r="R1604" s="685"/>
      <c r="S1604" s="329"/>
      <c r="U1604" s="593"/>
      <c r="Z1604" s="329"/>
      <c r="AB1604" s="589"/>
    </row>
    <row r="1605" spans="1:28" ht="12.75" customHeight="1">
      <c r="A1605" s="631" t="str">
        <f t="shared" si="34"/>
        <v>DD.03.4113</v>
      </c>
      <c r="B1605" s="565" t="s">
        <v>4815</v>
      </c>
      <c r="C1605" s="567" t="s">
        <v>5765</v>
      </c>
      <c r="D1605" s="568" t="s">
        <v>1967</v>
      </c>
      <c r="E1605" s="561"/>
      <c r="F1605" s="560">
        <v>65943</v>
      </c>
      <c r="G1605" s="561"/>
      <c r="H1605" s="714"/>
      <c r="I1605" s="564"/>
      <c r="M1605" s="329"/>
      <c r="P1605" s="593"/>
      <c r="Q1605" s="685"/>
      <c r="R1605" s="685"/>
      <c r="S1605" s="329"/>
      <c r="U1605" s="593"/>
      <c r="Z1605" s="329"/>
      <c r="AB1605" s="589"/>
    </row>
    <row r="1606" spans="1:28" ht="12.75" customHeight="1">
      <c r="A1606" s="631" t="str">
        <f t="shared" si="34"/>
        <v>DD.03.4121</v>
      </c>
      <c r="B1606" s="565" t="s">
        <v>2255</v>
      </c>
      <c r="C1606" s="567" t="s">
        <v>2163</v>
      </c>
      <c r="D1606" s="568" t="s">
        <v>1967</v>
      </c>
      <c r="E1606" s="561"/>
      <c r="F1606" s="560">
        <v>56522</v>
      </c>
      <c r="G1606" s="561"/>
      <c r="H1606" s="714"/>
      <c r="I1606" s="564"/>
      <c r="M1606" s="329"/>
      <c r="P1606" s="593"/>
      <c r="Q1606" s="685"/>
      <c r="R1606" s="685"/>
      <c r="S1606" s="329"/>
      <c r="U1606" s="593"/>
      <c r="Z1606" s="329"/>
      <c r="AB1606" s="589"/>
    </row>
    <row r="1607" spans="1:28" ht="12.75" customHeight="1">
      <c r="A1607" s="631" t="str">
        <f t="shared" si="34"/>
        <v>DD.03.4122</v>
      </c>
      <c r="B1607" s="565" t="s">
        <v>2256</v>
      </c>
      <c r="C1607" s="567" t="s">
        <v>2164</v>
      </c>
      <c r="D1607" s="568" t="s">
        <v>1967</v>
      </c>
      <c r="E1607" s="561"/>
      <c r="F1607" s="560">
        <v>65086</v>
      </c>
      <c r="G1607" s="561"/>
      <c r="H1607" s="714"/>
      <c r="I1607" s="564"/>
      <c r="M1607" s="329"/>
      <c r="P1607" s="593"/>
      <c r="Q1607" s="685"/>
      <c r="R1607" s="685"/>
      <c r="S1607" s="329"/>
      <c r="U1607" s="593"/>
      <c r="Z1607" s="329"/>
      <c r="AB1607" s="589"/>
    </row>
    <row r="1608" spans="1:28" ht="12.75" customHeight="1">
      <c r="A1608" s="631" t="str">
        <f t="shared" si="34"/>
        <v>DD.03.4123</v>
      </c>
      <c r="B1608" s="565" t="s">
        <v>2257</v>
      </c>
      <c r="C1608" s="567" t="s">
        <v>6185</v>
      </c>
      <c r="D1608" s="568" t="s">
        <v>1967</v>
      </c>
      <c r="E1608" s="561"/>
      <c r="F1608" s="560">
        <v>69368</v>
      </c>
      <c r="G1608" s="561"/>
      <c r="H1608" s="714"/>
      <c r="I1608" s="564"/>
      <c r="M1608" s="329"/>
      <c r="P1608" s="593"/>
      <c r="Q1608" s="685"/>
      <c r="R1608" s="685"/>
      <c r="S1608" s="329"/>
      <c r="U1608" s="593"/>
      <c r="Z1608" s="329"/>
      <c r="AB1608" s="589"/>
    </row>
    <row r="1609" spans="1:28" ht="12.75" customHeight="1">
      <c r="A1609" s="631" t="str">
        <f>"DD."&amp;B1609&amp;"a"</f>
        <v>DD.03.4121a</v>
      </c>
      <c r="B1609" s="565" t="s">
        <v>2255</v>
      </c>
      <c r="C1609" s="567" t="s">
        <v>894</v>
      </c>
      <c r="D1609" s="568" t="s">
        <v>1967</v>
      </c>
      <c r="E1609" s="561"/>
      <c r="F1609" s="560">
        <v>56522</v>
      </c>
      <c r="G1609" s="561"/>
      <c r="H1609" s="714"/>
      <c r="I1609" s="564"/>
      <c r="M1609" s="329"/>
      <c r="P1609" s="593"/>
      <c r="Q1609" s="685"/>
      <c r="R1609" s="685"/>
      <c r="S1609" s="329"/>
      <c r="U1609" s="593"/>
      <c r="Z1609" s="329"/>
      <c r="AB1609" s="589"/>
    </row>
    <row r="1610" spans="1:28" ht="12.75" customHeight="1">
      <c r="A1610" s="631" t="str">
        <f>"DD."&amp;B1610&amp;"a"</f>
        <v>DD.03.4122a</v>
      </c>
      <c r="B1610" s="565" t="s">
        <v>2256</v>
      </c>
      <c r="C1610" s="567" t="s">
        <v>2253</v>
      </c>
      <c r="D1610" s="568" t="s">
        <v>1967</v>
      </c>
      <c r="E1610" s="561"/>
      <c r="F1610" s="560">
        <v>65086</v>
      </c>
      <c r="G1610" s="561"/>
      <c r="H1610" s="714"/>
      <c r="I1610" s="564"/>
      <c r="M1610" s="329"/>
      <c r="P1610" s="593"/>
      <c r="Q1610" s="685"/>
      <c r="R1610" s="685"/>
      <c r="S1610" s="329"/>
      <c r="U1610" s="593"/>
      <c r="Z1610" s="329"/>
      <c r="AB1610" s="589"/>
    </row>
    <row r="1611" spans="1:28" ht="12.75" customHeight="1">
      <c r="A1611" s="631" t="str">
        <f>"DD."&amp;B1611&amp;"a"</f>
        <v>DD.03.4123a</v>
      </c>
      <c r="B1611" s="565" t="s">
        <v>2257</v>
      </c>
      <c r="C1611" s="567" t="s">
        <v>2254</v>
      </c>
      <c r="D1611" s="568" t="s">
        <v>1967</v>
      </c>
      <c r="E1611" s="561"/>
      <c r="F1611" s="560">
        <v>69368</v>
      </c>
      <c r="G1611" s="561"/>
      <c r="H1611" s="714"/>
      <c r="I1611" s="564"/>
      <c r="M1611" s="329"/>
      <c r="P1611" s="593"/>
      <c r="Q1611" s="685"/>
      <c r="R1611" s="685"/>
      <c r="S1611" s="329"/>
      <c r="U1611" s="593"/>
      <c r="Z1611" s="329"/>
      <c r="AB1611" s="589"/>
    </row>
    <row r="1612" spans="1:28" ht="12.75" customHeight="1">
      <c r="A1612" s="631"/>
      <c r="B1612" s="694" t="s">
        <v>2258</v>
      </c>
      <c r="C1612" s="567"/>
      <c r="D1612" s="568"/>
      <c r="E1612" s="561"/>
      <c r="F1612" s="560"/>
      <c r="G1612" s="561"/>
      <c r="H1612" s="714"/>
      <c r="I1612" s="564"/>
      <c r="M1612" s="329"/>
      <c r="P1612" s="593"/>
      <c r="Q1612" s="685"/>
      <c r="R1612" s="685"/>
      <c r="S1612" s="329"/>
      <c r="U1612" s="593"/>
      <c r="Z1612" s="329"/>
      <c r="AB1612" s="589"/>
    </row>
    <row r="1613" spans="1:28" ht="12.75" customHeight="1">
      <c r="A1613" s="631" t="str">
        <f>"DD."&amp;B1613</f>
        <v>DD.03.4131</v>
      </c>
      <c r="B1613" s="565" t="s">
        <v>2259</v>
      </c>
      <c r="C1613" s="567" t="s">
        <v>6047</v>
      </c>
      <c r="D1613" s="568" t="s">
        <v>1967</v>
      </c>
      <c r="E1613" s="560">
        <v>84846</v>
      </c>
      <c r="F1613" s="560">
        <v>53097</v>
      </c>
      <c r="G1613" s="561"/>
      <c r="H1613" s="714"/>
      <c r="I1613" s="564"/>
      <c r="M1613" s="329"/>
      <c r="P1613" s="593"/>
      <c r="Q1613" s="685"/>
      <c r="R1613" s="685"/>
      <c r="S1613" s="329"/>
      <c r="U1613" s="593"/>
      <c r="Z1613" s="329"/>
      <c r="AB1613" s="589"/>
    </row>
    <row r="1614" spans="1:28" ht="12.75" customHeight="1">
      <c r="A1614" s="631"/>
      <c r="B1614" s="570"/>
      <c r="C1614" s="567"/>
      <c r="D1614" s="568"/>
      <c r="E1614" s="561"/>
      <c r="F1614" s="560"/>
      <c r="G1614" s="561"/>
      <c r="H1614" s="714"/>
      <c r="I1614" s="564"/>
      <c r="M1614" s="329"/>
      <c r="P1614" s="593"/>
      <c r="Q1614" s="685"/>
      <c r="R1614" s="685"/>
      <c r="S1614" s="329"/>
      <c r="U1614" s="593"/>
      <c r="Z1614" s="329"/>
      <c r="AB1614" s="589"/>
    </row>
    <row r="1615" spans="1:28" ht="12.75" customHeight="1">
      <c r="A1615" s="631"/>
      <c r="B1615" s="569" t="s">
        <v>6048</v>
      </c>
      <c r="C1615" s="567"/>
      <c r="D1615" s="568"/>
      <c r="E1615" s="561"/>
      <c r="F1615" s="560"/>
      <c r="G1615" s="561"/>
      <c r="H1615" s="714"/>
      <c r="I1615" s="564"/>
      <c r="M1615" s="329"/>
      <c r="P1615" s="593"/>
      <c r="Q1615" s="685"/>
      <c r="R1615" s="685"/>
      <c r="S1615" s="329"/>
      <c r="U1615" s="593"/>
      <c r="Z1615" s="329"/>
      <c r="AB1615" s="589"/>
    </row>
    <row r="1616" spans="1:28" ht="12.75" customHeight="1">
      <c r="A1616" s="631"/>
      <c r="B1616" s="569" t="s">
        <v>6049</v>
      </c>
      <c r="C1616" s="567"/>
      <c r="D1616" s="568"/>
      <c r="E1616" s="561"/>
      <c r="F1616" s="560"/>
      <c r="G1616" s="561"/>
      <c r="H1616" s="714"/>
      <c r="I1616" s="564"/>
      <c r="M1616" s="329"/>
      <c r="P1616" s="593"/>
      <c r="Q1616" s="685"/>
      <c r="R1616" s="685"/>
      <c r="S1616" s="329"/>
      <c r="U1616" s="593"/>
      <c r="Z1616" s="329"/>
      <c r="AB1616" s="589"/>
    </row>
    <row r="1617" spans="1:28" ht="12.75" customHeight="1">
      <c r="A1617" s="631" t="str">
        <f>"DD."&amp;B1617</f>
        <v>DD.04.1101</v>
      </c>
      <c r="B1617" s="565" t="s">
        <v>6052</v>
      </c>
      <c r="C1617" s="567" t="s">
        <v>6050</v>
      </c>
      <c r="D1617" s="568" t="s">
        <v>1967</v>
      </c>
      <c r="E1617" s="560"/>
      <c r="F1617" s="560">
        <v>231228</v>
      </c>
      <c r="G1617" s="561"/>
      <c r="H1617" s="714"/>
      <c r="I1617" s="564"/>
      <c r="M1617" s="329"/>
      <c r="P1617" s="593"/>
      <c r="Q1617" s="685"/>
      <c r="R1617" s="685"/>
      <c r="S1617" s="329"/>
      <c r="U1617" s="593"/>
      <c r="Z1617" s="329"/>
      <c r="AB1617" s="589"/>
    </row>
    <row r="1618" spans="1:28" ht="12.75" customHeight="1">
      <c r="A1618" s="631" t="str">
        <f>"DD."&amp;B1618</f>
        <v>DD.04.1102</v>
      </c>
      <c r="B1618" s="565" t="s">
        <v>5555</v>
      </c>
      <c r="C1618" s="567" t="s">
        <v>6051</v>
      </c>
      <c r="D1618" s="568" t="s">
        <v>1967</v>
      </c>
      <c r="E1618" s="560"/>
      <c r="F1618" s="560">
        <v>231228</v>
      </c>
      <c r="G1618" s="561"/>
      <c r="H1618" s="714"/>
      <c r="I1618" s="564"/>
      <c r="M1618" s="329"/>
      <c r="P1618" s="593"/>
      <c r="Q1618" s="685"/>
      <c r="R1618" s="685"/>
      <c r="S1618" s="329"/>
      <c r="U1618" s="593"/>
      <c r="Z1618" s="329"/>
      <c r="AB1618" s="589"/>
    </row>
    <row r="1619" spans="1:28" ht="12.75" customHeight="1">
      <c r="A1619" s="631" t="str">
        <f>"DD."&amp;B1619</f>
        <v>DD.04.1103</v>
      </c>
      <c r="B1619" s="565" t="s">
        <v>5098</v>
      </c>
      <c r="C1619" s="567" t="s">
        <v>6053</v>
      </c>
      <c r="D1619" s="568" t="s">
        <v>1967</v>
      </c>
      <c r="E1619" s="560"/>
      <c r="F1619" s="560">
        <v>186695</v>
      </c>
      <c r="G1619" s="561"/>
      <c r="H1619" s="714"/>
      <c r="I1619" s="564"/>
      <c r="M1619" s="329"/>
      <c r="P1619" s="593"/>
      <c r="Q1619" s="685"/>
      <c r="R1619" s="685"/>
      <c r="S1619" s="329"/>
      <c r="U1619" s="593"/>
      <c r="Z1619" s="329"/>
      <c r="AB1619" s="589"/>
    </row>
    <row r="1620" spans="1:28" ht="12.75" customHeight="1">
      <c r="A1620" s="631" t="str">
        <f>"DD."&amp;B1620</f>
        <v>DD.04.1104</v>
      </c>
      <c r="B1620" s="565" t="s">
        <v>5099</v>
      </c>
      <c r="C1620" s="567" t="s">
        <v>6054</v>
      </c>
      <c r="D1620" s="568" t="s">
        <v>1967</v>
      </c>
      <c r="E1620" s="560"/>
      <c r="F1620" s="560">
        <v>186695</v>
      </c>
      <c r="G1620" s="561"/>
      <c r="H1620" s="714"/>
      <c r="I1620" s="564"/>
      <c r="M1620" s="329"/>
      <c r="P1620" s="593"/>
      <c r="Q1620" s="685"/>
      <c r="R1620" s="685"/>
      <c r="S1620" s="329"/>
      <c r="U1620" s="593"/>
      <c r="Z1620" s="329"/>
      <c r="AB1620" s="589"/>
    </row>
    <row r="1621" spans="1:28" ht="12.75" customHeight="1">
      <c r="A1621" s="631"/>
      <c r="B1621" s="569" t="s">
        <v>6055</v>
      </c>
      <c r="C1621" s="567"/>
      <c r="D1621" s="568"/>
      <c r="E1621" s="561"/>
      <c r="F1621" s="560"/>
      <c r="G1621" s="561"/>
      <c r="H1621" s="714"/>
      <c r="I1621" s="564"/>
      <c r="M1621" s="329"/>
      <c r="P1621" s="593"/>
      <c r="Q1621" s="685"/>
      <c r="R1621" s="685"/>
      <c r="S1621" s="329"/>
      <c r="U1621" s="593"/>
      <c r="Z1621" s="329"/>
      <c r="AB1621" s="589"/>
    </row>
    <row r="1622" spans="1:28" ht="25.5">
      <c r="A1622" s="631" t="str">
        <f>"DD."&amp;B1622</f>
        <v>DD.04.1201a</v>
      </c>
      <c r="B1622" s="568" t="s">
        <v>4991</v>
      </c>
      <c r="C1622" s="716" t="s">
        <v>6162</v>
      </c>
      <c r="D1622" s="568" t="s">
        <v>968</v>
      </c>
      <c r="E1622" s="560"/>
      <c r="F1622" s="560">
        <v>262058</v>
      </c>
      <c r="G1622" s="561"/>
      <c r="H1622" s="560">
        <v>667895</v>
      </c>
      <c r="I1622" s="581"/>
      <c r="J1622" s="581"/>
      <c r="K1622" s="581"/>
      <c r="M1622" s="329"/>
      <c r="N1622" s="329"/>
      <c r="O1622" s="329"/>
      <c r="P1622" s="329"/>
      <c r="S1622" s="329"/>
      <c r="Z1622" s="329"/>
    </row>
    <row r="1623" spans="1:28" ht="25.5">
      <c r="A1623" s="631" t="str">
        <f t="shared" ref="A1623:A1650" si="35">"DD."&amp;B1623</f>
        <v>DD.04.1202b</v>
      </c>
      <c r="B1623" s="568" t="s">
        <v>6163</v>
      </c>
      <c r="C1623" s="716" t="s">
        <v>6164</v>
      </c>
      <c r="D1623" s="568" t="s">
        <v>968</v>
      </c>
      <c r="E1623" s="560"/>
      <c r="F1623" s="560">
        <v>262058</v>
      </c>
      <c r="G1623" s="561"/>
      <c r="H1623" s="560">
        <v>723929</v>
      </c>
      <c r="I1623" s="581"/>
      <c r="J1623" s="581"/>
      <c r="K1623" s="581"/>
      <c r="M1623" s="329"/>
      <c r="N1623" s="329"/>
      <c r="O1623" s="329"/>
      <c r="P1623" s="329"/>
      <c r="S1623" s="329"/>
      <c r="Z1623" s="329"/>
    </row>
    <row r="1624" spans="1:28" ht="25.5">
      <c r="A1624" s="631" t="str">
        <f t="shared" si="35"/>
        <v>DD.04.1203c</v>
      </c>
      <c r="B1624" s="568" t="s">
        <v>6165</v>
      </c>
      <c r="C1624" s="716" t="s">
        <v>6166</v>
      </c>
      <c r="D1624" s="568" t="s">
        <v>968</v>
      </c>
      <c r="E1624" s="560"/>
      <c r="F1624" s="560">
        <v>262058</v>
      </c>
      <c r="G1624" s="561"/>
      <c r="H1624" s="560">
        <v>777872</v>
      </c>
      <c r="I1624" s="581"/>
      <c r="J1624" s="581"/>
      <c r="K1624" s="581"/>
      <c r="M1624" s="329"/>
      <c r="N1624" s="329"/>
      <c r="O1624" s="329"/>
      <c r="P1624" s="329"/>
      <c r="S1624" s="329"/>
      <c r="Z1624" s="329"/>
    </row>
    <row r="1625" spans="1:28" ht="25.5">
      <c r="A1625" s="631" t="str">
        <f t="shared" si="35"/>
        <v>DD.04.1203d</v>
      </c>
      <c r="B1625" s="568" t="s">
        <v>945</v>
      </c>
      <c r="C1625" s="716" t="s">
        <v>946</v>
      </c>
      <c r="D1625" s="568" t="s">
        <v>968</v>
      </c>
      <c r="E1625" s="560"/>
      <c r="F1625" s="560">
        <v>262058</v>
      </c>
      <c r="G1625" s="561"/>
      <c r="H1625" s="560">
        <v>834452</v>
      </c>
      <c r="I1625" s="581"/>
      <c r="J1625" s="581"/>
      <c r="K1625" s="581"/>
      <c r="M1625" s="329"/>
      <c r="N1625" s="329"/>
      <c r="O1625" s="329"/>
      <c r="P1625" s="329"/>
      <c r="S1625" s="329"/>
      <c r="Z1625" s="329"/>
    </row>
    <row r="1626" spans="1:28">
      <c r="B1626" s="571"/>
      <c r="C1626" s="567"/>
      <c r="D1626" s="571"/>
      <c r="E1626" s="561"/>
      <c r="F1626" s="561"/>
      <c r="G1626" s="561"/>
      <c r="H1626" s="561"/>
      <c r="I1626" s="581"/>
      <c r="J1626" s="581"/>
      <c r="K1626" s="581"/>
      <c r="M1626" s="329"/>
      <c r="N1626" s="329"/>
      <c r="O1626" s="329"/>
      <c r="P1626" s="329"/>
      <c r="S1626" s="329"/>
      <c r="Z1626" s="329"/>
    </row>
    <row r="1627" spans="1:28" ht="25.5">
      <c r="A1627" s="631" t="str">
        <f t="shared" si="35"/>
        <v>DD.04.1202a</v>
      </c>
      <c r="B1627" s="568" t="s">
        <v>947</v>
      </c>
      <c r="C1627" s="716" t="s">
        <v>3524</v>
      </c>
      <c r="D1627" s="568" t="s">
        <v>968</v>
      </c>
      <c r="E1627" s="560"/>
      <c r="F1627" s="560">
        <v>304878</v>
      </c>
      <c r="G1627" s="561"/>
      <c r="H1627" s="560">
        <v>736619</v>
      </c>
      <c r="I1627" s="581"/>
      <c r="J1627" s="581"/>
      <c r="K1627" s="581"/>
      <c r="M1627" s="329"/>
      <c r="N1627" s="329"/>
      <c r="O1627" s="329"/>
      <c r="P1627" s="329"/>
      <c r="S1627" s="329"/>
      <c r="Z1627" s="329"/>
    </row>
    <row r="1628" spans="1:28" ht="25.5">
      <c r="A1628" s="631" t="str">
        <f t="shared" si="35"/>
        <v>DD.04.1202b</v>
      </c>
      <c r="B1628" s="568" t="s">
        <v>6163</v>
      </c>
      <c r="C1628" s="716" t="s">
        <v>3525</v>
      </c>
      <c r="D1628" s="568" t="s">
        <v>968</v>
      </c>
      <c r="E1628" s="560"/>
      <c r="F1628" s="560">
        <v>304878</v>
      </c>
      <c r="G1628" s="561"/>
      <c r="H1628" s="560">
        <v>791769</v>
      </c>
      <c r="I1628" s="581"/>
      <c r="J1628" s="581"/>
      <c r="K1628" s="581"/>
      <c r="M1628" s="329"/>
      <c r="N1628" s="329"/>
      <c r="O1628" s="329"/>
      <c r="P1628" s="329"/>
      <c r="S1628" s="329"/>
      <c r="Z1628" s="329"/>
    </row>
    <row r="1629" spans="1:28" ht="25.5">
      <c r="A1629" s="631" t="str">
        <f t="shared" si="35"/>
        <v>DD.04.1202c</v>
      </c>
      <c r="B1629" s="568" t="s">
        <v>3526</v>
      </c>
      <c r="C1629" s="716" t="s">
        <v>3527</v>
      </c>
      <c r="D1629" s="568" t="s">
        <v>968</v>
      </c>
      <c r="E1629" s="560"/>
      <c r="F1629" s="560">
        <v>304878</v>
      </c>
      <c r="G1629" s="561"/>
      <c r="H1629" s="560">
        <v>845892</v>
      </c>
      <c r="I1629" s="581"/>
      <c r="J1629" s="581"/>
      <c r="K1629" s="581"/>
      <c r="M1629" s="329"/>
      <c r="N1629" s="329"/>
      <c r="O1629" s="329"/>
      <c r="P1629" s="329"/>
      <c r="S1629" s="329"/>
      <c r="Z1629" s="329"/>
    </row>
    <row r="1630" spans="1:28" ht="25.5">
      <c r="A1630" s="631" t="str">
        <f t="shared" si="35"/>
        <v>DD.04.1202d</v>
      </c>
      <c r="B1630" s="568" t="s">
        <v>3528</v>
      </c>
      <c r="C1630" s="716" t="s">
        <v>3529</v>
      </c>
      <c r="D1630" s="568" t="s">
        <v>968</v>
      </c>
      <c r="E1630" s="560"/>
      <c r="F1630" s="560">
        <v>304878</v>
      </c>
      <c r="G1630" s="561"/>
      <c r="H1630" s="560">
        <v>901588</v>
      </c>
      <c r="I1630" s="581"/>
      <c r="J1630" s="581"/>
      <c r="K1630" s="581"/>
      <c r="M1630" s="329"/>
      <c r="N1630" s="329"/>
      <c r="O1630" s="329"/>
      <c r="P1630" s="329"/>
      <c r="S1630" s="329"/>
      <c r="Z1630" s="329"/>
    </row>
    <row r="1631" spans="1:28">
      <c r="B1631" s="571"/>
      <c r="C1631" s="567"/>
      <c r="D1631" s="571"/>
      <c r="E1631" s="561"/>
      <c r="F1631" s="561"/>
      <c r="G1631" s="561"/>
      <c r="H1631" s="561"/>
      <c r="I1631" s="581"/>
      <c r="J1631" s="581"/>
      <c r="K1631" s="581"/>
      <c r="M1631" s="329"/>
      <c r="N1631" s="329"/>
      <c r="O1631" s="329"/>
      <c r="P1631" s="329"/>
      <c r="S1631" s="329"/>
      <c r="Z1631" s="329"/>
    </row>
    <row r="1632" spans="1:28" ht="25.5">
      <c r="A1632" s="631" t="str">
        <f t="shared" si="35"/>
        <v>DD.04.1203a</v>
      </c>
      <c r="B1632" s="568" t="s">
        <v>3530</v>
      </c>
      <c r="C1632" s="716" t="s">
        <v>3531</v>
      </c>
      <c r="D1632" s="568" t="s">
        <v>968</v>
      </c>
      <c r="E1632" s="560"/>
      <c r="F1632" s="560">
        <v>302309</v>
      </c>
      <c r="G1632" s="561"/>
      <c r="H1632" s="560">
        <v>734050</v>
      </c>
      <c r="I1632" s="581"/>
      <c r="J1632" s="581"/>
      <c r="K1632" s="581"/>
      <c r="M1632" s="329"/>
      <c r="N1632" s="329"/>
      <c r="O1632" s="329"/>
      <c r="P1632" s="329"/>
      <c r="S1632" s="329"/>
      <c r="Z1632" s="329"/>
    </row>
    <row r="1633" spans="1:11" s="329" customFormat="1" ht="25.5">
      <c r="A1633" s="631" t="str">
        <f t="shared" si="35"/>
        <v>DD.04.1203b</v>
      </c>
      <c r="B1633" s="568" t="s">
        <v>3532</v>
      </c>
      <c r="C1633" s="716" t="s">
        <v>3533</v>
      </c>
      <c r="D1633" s="568" t="s">
        <v>968</v>
      </c>
      <c r="E1633" s="560"/>
      <c r="F1633" s="560">
        <v>302309</v>
      </c>
      <c r="G1633" s="561"/>
      <c r="H1633" s="560">
        <v>789200</v>
      </c>
      <c r="I1633" s="581"/>
      <c r="J1633" s="581"/>
      <c r="K1633" s="581"/>
    </row>
    <row r="1634" spans="1:11" s="329" customFormat="1" ht="25.5">
      <c r="A1634" s="631" t="str">
        <f t="shared" si="35"/>
        <v>DD.04.1203c</v>
      </c>
      <c r="B1634" s="568" t="s">
        <v>6165</v>
      </c>
      <c r="C1634" s="716" t="s">
        <v>3534</v>
      </c>
      <c r="D1634" s="568" t="s">
        <v>968</v>
      </c>
      <c r="E1634" s="560"/>
      <c r="F1634" s="560">
        <v>302309</v>
      </c>
      <c r="G1634" s="561"/>
      <c r="H1634" s="560">
        <v>843323</v>
      </c>
      <c r="I1634" s="581"/>
      <c r="J1634" s="581"/>
      <c r="K1634" s="581"/>
    </row>
    <row r="1635" spans="1:11" s="329" customFormat="1" ht="25.5">
      <c r="A1635" s="631" t="str">
        <f t="shared" si="35"/>
        <v>DD.04.1203d</v>
      </c>
      <c r="B1635" s="568" t="s">
        <v>945</v>
      </c>
      <c r="C1635" s="716" t="s">
        <v>2032</v>
      </c>
      <c r="D1635" s="568" t="s">
        <v>968</v>
      </c>
      <c r="E1635" s="560"/>
      <c r="F1635" s="560">
        <v>302309</v>
      </c>
      <c r="G1635" s="561"/>
      <c r="H1635" s="560">
        <v>899019</v>
      </c>
      <c r="I1635" s="581"/>
      <c r="J1635" s="581"/>
      <c r="K1635" s="581"/>
    </row>
    <row r="1636" spans="1:11" s="329" customFormat="1">
      <c r="B1636" s="571"/>
      <c r="C1636" s="567"/>
      <c r="D1636" s="571"/>
      <c r="E1636" s="561"/>
      <c r="F1636" s="561"/>
      <c r="G1636" s="561"/>
      <c r="H1636" s="561"/>
      <c r="I1636" s="581"/>
      <c r="J1636" s="581"/>
      <c r="K1636" s="581"/>
    </row>
    <row r="1637" spans="1:11" s="329" customFormat="1" ht="25.5" customHeight="1">
      <c r="A1637" s="631" t="str">
        <f t="shared" si="35"/>
        <v>DD.04.1211a</v>
      </c>
      <c r="B1637" s="568" t="s">
        <v>2033</v>
      </c>
      <c r="C1637" s="716" t="s">
        <v>2034</v>
      </c>
      <c r="D1637" s="568" t="s">
        <v>968</v>
      </c>
      <c r="E1637" s="560"/>
      <c r="F1637" s="560">
        <v>222664</v>
      </c>
      <c r="G1637" s="561">
        <v>9448</v>
      </c>
      <c r="H1637" s="560">
        <v>637949</v>
      </c>
      <c r="I1637" s="581"/>
      <c r="J1637" s="581"/>
      <c r="K1637" s="581"/>
    </row>
    <row r="1638" spans="1:11" s="329" customFormat="1" ht="25.5" customHeight="1">
      <c r="A1638" s="631" t="str">
        <f t="shared" si="35"/>
        <v>DD.04.1211b</v>
      </c>
      <c r="B1638" s="568" t="s">
        <v>2035</v>
      </c>
      <c r="C1638" s="716" t="s">
        <v>2036</v>
      </c>
      <c r="D1638" s="568" t="s">
        <v>968</v>
      </c>
      <c r="E1638" s="560"/>
      <c r="F1638" s="560">
        <v>222664</v>
      </c>
      <c r="G1638" s="560">
        <v>9448</v>
      </c>
      <c r="H1638" s="560">
        <v>693983</v>
      </c>
      <c r="I1638" s="581"/>
      <c r="J1638" s="581"/>
      <c r="K1638" s="581"/>
    </row>
    <row r="1639" spans="1:11" s="329" customFormat="1" ht="25.5" customHeight="1">
      <c r="A1639" s="631" t="str">
        <f t="shared" si="35"/>
        <v>DD.04.1211c</v>
      </c>
      <c r="B1639" s="568" t="s">
        <v>2037</v>
      </c>
      <c r="C1639" s="716" t="s">
        <v>6366</v>
      </c>
      <c r="D1639" s="568" t="s">
        <v>968</v>
      </c>
      <c r="E1639" s="560"/>
      <c r="F1639" s="560">
        <v>222664</v>
      </c>
      <c r="G1639" s="560">
        <v>9448</v>
      </c>
      <c r="H1639" s="560">
        <v>747926</v>
      </c>
      <c r="I1639" s="581"/>
      <c r="J1639" s="581"/>
      <c r="K1639" s="581"/>
    </row>
    <row r="1640" spans="1:11" s="329" customFormat="1" ht="25.5" customHeight="1">
      <c r="A1640" s="631" t="str">
        <f t="shared" si="35"/>
        <v>DD.04.1211d</v>
      </c>
      <c r="B1640" s="568" t="s">
        <v>6367</v>
      </c>
      <c r="C1640" s="716" t="s">
        <v>6368</v>
      </c>
      <c r="D1640" s="568" t="s">
        <v>968</v>
      </c>
      <c r="E1640" s="560"/>
      <c r="F1640" s="560">
        <v>222664</v>
      </c>
      <c r="G1640" s="560">
        <v>9448</v>
      </c>
      <c r="H1640" s="560">
        <v>804506</v>
      </c>
      <c r="I1640" s="581"/>
      <c r="J1640" s="581"/>
      <c r="K1640" s="581"/>
    </row>
    <row r="1641" spans="1:11" s="329" customFormat="1">
      <c r="B1641" s="571"/>
      <c r="C1641" s="567"/>
      <c r="D1641" s="571"/>
      <c r="E1641" s="561"/>
      <c r="F1641" s="561"/>
      <c r="G1641" s="561"/>
      <c r="H1641" s="561"/>
      <c r="I1641" s="581"/>
      <c r="J1641" s="581"/>
      <c r="K1641" s="581"/>
    </row>
    <row r="1642" spans="1:11" s="329" customFormat="1" ht="25.35" customHeight="1">
      <c r="A1642" s="631" t="str">
        <f t="shared" si="35"/>
        <v>DD.04.1212a</v>
      </c>
      <c r="B1642" s="568" t="s">
        <v>6369</v>
      </c>
      <c r="C1642" s="716" t="s">
        <v>2656</v>
      </c>
      <c r="D1642" s="568" t="s">
        <v>968</v>
      </c>
      <c r="E1642" s="560"/>
      <c r="F1642" s="560">
        <v>259489</v>
      </c>
      <c r="G1642" s="560">
        <v>9448</v>
      </c>
      <c r="H1642" s="560">
        <v>700678</v>
      </c>
      <c r="I1642" s="581"/>
      <c r="J1642" s="581"/>
      <c r="K1642" s="581"/>
    </row>
    <row r="1643" spans="1:11" s="329" customFormat="1" ht="25.35" customHeight="1">
      <c r="A1643" s="631" t="str">
        <f t="shared" si="35"/>
        <v>DD.04.1212b</v>
      </c>
      <c r="B1643" s="568" t="s">
        <v>2657</v>
      </c>
      <c r="C1643" s="716" t="s">
        <v>2658</v>
      </c>
      <c r="D1643" s="568" t="s">
        <v>968</v>
      </c>
      <c r="E1643" s="560"/>
      <c r="F1643" s="560">
        <v>259489</v>
      </c>
      <c r="G1643" s="560">
        <v>9448</v>
      </c>
      <c r="H1643" s="560">
        <v>755828</v>
      </c>
      <c r="I1643" s="581"/>
      <c r="J1643" s="581"/>
      <c r="K1643" s="581"/>
    </row>
    <row r="1644" spans="1:11" s="329" customFormat="1" ht="25.35" customHeight="1">
      <c r="A1644" s="631" t="str">
        <f t="shared" si="35"/>
        <v>DD.04.1212c</v>
      </c>
      <c r="B1644" s="568" t="s">
        <v>2659</v>
      </c>
      <c r="C1644" s="716" t="s">
        <v>2074</v>
      </c>
      <c r="D1644" s="568" t="s">
        <v>968</v>
      </c>
      <c r="E1644" s="560"/>
      <c r="F1644" s="560">
        <v>259489</v>
      </c>
      <c r="G1644" s="560">
        <v>9448</v>
      </c>
      <c r="H1644" s="560">
        <v>809951</v>
      </c>
      <c r="I1644" s="581"/>
      <c r="J1644" s="581"/>
      <c r="K1644" s="581"/>
    </row>
    <row r="1645" spans="1:11" s="329" customFormat="1" ht="25.35" customHeight="1">
      <c r="A1645" s="631" t="str">
        <f t="shared" si="35"/>
        <v>DD.04.1212d</v>
      </c>
      <c r="B1645" s="568" t="s">
        <v>5542</v>
      </c>
      <c r="C1645" s="716" t="s">
        <v>3218</v>
      </c>
      <c r="D1645" s="568" t="s">
        <v>968</v>
      </c>
      <c r="E1645" s="560"/>
      <c r="F1645" s="560">
        <v>259489</v>
      </c>
      <c r="G1645" s="560">
        <v>9448</v>
      </c>
      <c r="H1645" s="560">
        <v>865647</v>
      </c>
      <c r="I1645" s="581"/>
      <c r="J1645" s="581"/>
      <c r="K1645" s="581"/>
    </row>
    <row r="1646" spans="1:11" s="329" customFormat="1">
      <c r="B1646" s="571"/>
      <c r="C1646" s="567"/>
      <c r="D1646" s="571"/>
      <c r="E1646" s="561"/>
      <c r="F1646" s="561"/>
      <c r="G1646" s="561"/>
      <c r="H1646" s="561"/>
      <c r="I1646" s="581"/>
      <c r="J1646" s="581"/>
      <c r="K1646" s="581"/>
    </row>
    <row r="1647" spans="1:11" s="329" customFormat="1" ht="25.5">
      <c r="A1647" s="631" t="str">
        <f t="shared" si="35"/>
        <v>DD.04.1213a</v>
      </c>
      <c r="B1647" s="568" t="s">
        <v>3219</v>
      </c>
      <c r="C1647" s="716" t="s">
        <v>3220</v>
      </c>
      <c r="D1647" s="568" t="s">
        <v>968</v>
      </c>
      <c r="E1647" s="560"/>
      <c r="F1647" s="560">
        <v>241505</v>
      </c>
      <c r="G1647" s="560">
        <v>9448</v>
      </c>
      <c r="H1647" s="560">
        <v>682694</v>
      </c>
      <c r="I1647" s="581"/>
      <c r="J1647" s="581"/>
      <c r="K1647" s="581"/>
    </row>
    <row r="1648" spans="1:11" s="329" customFormat="1" ht="25.5">
      <c r="A1648" s="631" t="str">
        <f t="shared" si="35"/>
        <v>DD.04.1213b</v>
      </c>
      <c r="B1648" s="568" t="s">
        <v>3221</v>
      </c>
      <c r="C1648" s="716" t="s">
        <v>3222</v>
      </c>
      <c r="D1648" s="568" t="s">
        <v>968</v>
      </c>
      <c r="E1648" s="560"/>
      <c r="F1648" s="560">
        <v>241505</v>
      </c>
      <c r="G1648" s="560">
        <v>9448</v>
      </c>
      <c r="H1648" s="560">
        <v>737844</v>
      </c>
      <c r="I1648" s="581"/>
      <c r="J1648" s="581"/>
      <c r="K1648" s="581"/>
    </row>
    <row r="1649" spans="1:28" ht="25.5">
      <c r="A1649" s="631" t="str">
        <f t="shared" si="35"/>
        <v>DD.04.1213c</v>
      </c>
      <c r="B1649" s="568" t="s">
        <v>3223</v>
      </c>
      <c r="C1649" s="716" t="s">
        <v>3224</v>
      </c>
      <c r="D1649" s="568" t="s">
        <v>968</v>
      </c>
      <c r="E1649" s="560"/>
      <c r="F1649" s="560">
        <v>241505</v>
      </c>
      <c r="G1649" s="560">
        <v>9448</v>
      </c>
      <c r="H1649" s="560">
        <v>791967</v>
      </c>
      <c r="I1649" s="581"/>
      <c r="J1649" s="581"/>
      <c r="K1649" s="581"/>
      <c r="M1649" s="329"/>
      <c r="N1649" s="329"/>
      <c r="O1649" s="329"/>
      <c r="P1649" s="329"/>
      <c r="S1649" s="329"/>
      <c r="Z1649" s="329"/>
    </row>
    <row r="1650" spans="1:28" ht="25.5">
      <c r="A1650" s="631" t="str">
        <f t="shared" si="35"/>
        <v>DD.04.1213d</v>
      </c>
      <c r="B1650" s="568" t="s">
        <v>3225</v>
      </c>
      <c r="C1650" s="716" t="s">
        <v>2122</v>
      </c>
      <c r="D1650" s="568" t="s">
        <v>968</v>
      </c>
      <c r="E1650" s="560"/>
      <c r="F1650" s="560">
        <v>241505</v>
      </c>
      <c r="G1650" s="560">
        <v>9448</v>
      </c>
      <c r="H1650" s="560">
        <v>847663</v>
      </c>
      <c r="I1650" s="581"/>
      <c r="J1650" s="581"/>
      <c r="K1650" s="581"/>
      <c r="M1650" s="329"/>
      <c r="N1650" s="329"/>
      <c r="O1650" s="329"/>
      <c r="P1650" s="329"/>
      <c r="S1650" s="329"/>
      <c r="Z1650" s="329"/>
    </row>
    <row r="1651" spans="1:28" ht="12.75" customHeight="1">
      <c r="A1651" s="631"/>
      <c r="B1651" s="570"/>
      <c r="C1651" s="567"/>
      <c r="D1651" s="568"/>
      <c r="E1651" s="561"/>
      <c r="F1651" s="560"/>
      <c r="G1651" s="561"/>
      <c r="H1651" s="714"/>
      <c r="I1651" s="564"/>
      <c r="M1651" s="329"/>
      <c r="P1651" s="593"/>
      <c r="Q1651" s="685"/>
      <c r="R1651" s="685"/>
      <c r="S1651" s="329"/>
      <c r="U1651" s="593"/>
      <c r="Z1651" s="329"/>
      <c r="AB1651" s="589"/>
    </row>
    <row r="1652" spans="1:28">
      <c r="A1652" s="594"/>
      <c r="B1652" s="569" t="s">
        <v>6059</v>
      </c>
      <c r="C1652" s="575"/>
      <c r="D1652" s="571"/>
      <c r="E1652" s="571"/>
      <c r="F1652" s="619"/>
      <c r="G1652" s="619"/>
      <c r="H1652" s="657"/>
      <c r="I1652" s="564"/>
      <c r="M1652" s="329"/>
      <c r="P1652" s="593"/>
      <c r="Q1652" s="685"/>
      <c r="R1652" s="685"/>
      <c r="S1652" s="329"/>
      <c r="U1652" s="593"/>
      <c r="Z1652" s="329"/>
      <c r="AB1652" s="589"/>
    </row>
    <row r="1653" spans="1:28">
      <c r="A1653" s="631" t="str">
        <f t="shared" ref="A1653:A1670" si="36">"DD."&amp;B1653</f>
        <v>DD.04.4001</v>
      </c>
      <c r="B1653" s="565" t="s">
        <v>6056</v>
      </c>
      <c r="C1653" s="575" t="s">
        <v>6060</v>
      </c>
      <c r="D1653" s="571" t="s">
        <v>1307</v>
      </c>
      <c r="E1653" s="561"/>
      <c r="F1653" s="560">
        <v>67874</v>
      </c>
      <c r="G1653" s="561"/>
      <c r="H1653" s="657"/>
      <c r="I1653" s="564"/>
      <c r="M1653" s="329"/>
      <c r="P1653" s="593"/>
      <c r="Q1653" s="685"/>
      <c r="R1653" s="685"/>
      <c r="S1653" s="329"/>
      <c r="U1653" s="593"/>
      <c r="Z1653" s="329"/>
      <c r="AB1653" s="589"/>
    </row>
    <row r="1654" spans="1:28">
      <c r="A1654" s="631" t="str">
        <f t="shared" si="36"/>
        <v>DD.04.4002</v>
      </c>
      <c r="B1654" s="565" t="s">
        <v>6057</v>
      </c>
      <c r="C1654" s="575" t="s">
        <v>6061</v>
      </c>
      <c r="D1654" s="571" t="s">
        <v>1307</v>
      </c>
      <c r="E1654" s="561"/>
      <c r="F1654" s="560">
        <v>148724</v>
      </c>
      <c r="G1654" s="561"/>
      <c r="H1654" s="657"/>
      <c r="I1654" s="564"/>
      <c r="M1654" s="329"/>
      <c r="P1654" s="593"/>
      <c r="Q1654" s="685"/>
      <c r="R1654" s="685"/>
      <c r="S1654" s="329"/>
      <c r="U1654" s="593"/>
      <c r="Z1654" s="329"/>
      <c r="AB1654" s="589"/>
    </row>
    <row r="1655" spans="1:28">
      <c r="A1655" s="631" t="str">
        <f t="shared" si="36"/>
        <v>DD.04.4003</v>
      </c>
      <c r="B1655" s="565" t="s">
        <v>6058</v>
      </c>
      <c r="C1655" s="575" t="s">
        <v>4909</v>
      </c>
      <c r="D1655" s="571" t="s">
        <v>1307</v>
      </c>
      <c r="E1655" s="561"/>
      <c r="F1655" s="560">
        <v>259519</v>
      </c>
      <c r="G1655" s="561"/>
      <c r="H1655" s="657"/>
      <c r="I1655" s="564"/>
      <c r="M1655" s="329"/>
      <c r="P1655" s="593"/>
      <c r="Q1655" s="685"/>
      <c r="R1655" s="685"/>
      <c r="S1655" s="329"/>
      <c r="U1655" s="593"/>
      <c r="Z1655" s="329"/>
      <c r="AB1655" s="589"/>
    </row>
    <row r="1656" spans="1:28">
      <c r="A1656" s="631"/>
      <c r="B1656" s="569" t="s">
        <v>4910</v>
      </c>
      <c r="C1656" s="575"/>
      <c r="D1656" s="571"/>
      <c r="E1656" s="561"/>
      <c r="F1656" s="560"/>
      <c r="G1656" s="561"/>
      <c r="H1656" s="657"/>
      <c r="I1656" s="564"/>
      <c r="M1656" s="329"/>
      <c r="P1656" s="593"/>
      <c r="Q1656" s="685"/>
      <c r="R1656" s="685"/>
      <c r="S1656" s="329"/>
      <c r="U1656" s="593"/>
      <c r="Z1656" s="329"/>
      <c r="AB1656" s="589"/>
    </row>
    <row r="1657" spans="1:28">
      <c r="A1657" s="631" t="str">
        <f t="shared" si="36"/>
        <v>DD.04.5101</v>
      </c>
      <c r="B1657" s="565" t="s">
        <v>5416</v>
      </c>
      <c r="C1657" s="575" t="s">
        <v>4911</v>
      </c>
      <c r="D1657" s="566" t="s">
        <v>3290</v>
      </c>
      <c r="E1657" s="560">
        <v>9813960</v>
      </c>
      <c r="F1657" s="560">
        <v>1207345</v>
      </c>
      <c r="G1657" s="560">
        <v>54566</v>
      </c>
      <c r="H1657" s="657"/>
      <c r="I1657" s="564"/>
      <c r="M1657" s="329"/>
      <c r="P1657" s="593"/>
      <c r="Q1657" s="685"/>
      <c r="R1657" s="685"/>
      <c r="S1657" s="329"/>
      <c r="U1657" s="593"/>
      <c r="Z1657" s="329"/>
      <c r="AB1657" s="589"/>
    </row>
    <row r="1658" spans="1:28">
      <c r="A1658" s="631" t="str">
        <f t="shared" si="36"/>
        <v>DD.04.5102</v>
      </c>
      <c r="B1658" s="565" t="s">
        <v>1930</v>
      </c>
      <c r="C1658" s="575" t="s">
        <v>4912</v>
      </c>
      <c r="D1658" s="566" t="s">
        <v>3290</v>
      </c>
      <c r="E1658" s="560">
        <v>9970204</v>
      </c>
      <c r="F1658" s="560">
        <v>889281</v>
      </c>
      <c r="G1658" s="560">
        <v>196436</v>
      </c>
      <c r="H1658" s="657"/>
      <c r="I1658" s="564"/>
      <c r="M1658" s="329"/>
      <c r="P1658" s="593"/>
      <c r="Q1658" s="685"/>
      <c r="R1658" s="685"/>
      <c r="S1658" s="329"/>
      <c r="U1658" s="593"/>
      <c r="Z1658" s="329"/>
      <c r="AB1658" s="589"/>
    </row>
    <row r="1659" spans="1:28">
      <c r="A1659" s="631" t="str">
        <f t="shared" si="36"/>
        <v>DD.04.5103</v>
      </c>
      <c r="B1659" s="565" t="s">
        <v>1931</v>
      </c>
      <c r="C1659" s="575" t="s">
        <v>4913</v>
      </c>
      <c r="D1659" s="566" t="s">
        <v>3290</v>
      </c>
      <c r="E1659" s="560">
        <v>9982205</v>
      </c>
      <c r="F1659" s="560">
        <v>676929</v>
      </c>
      <c r="G1659" s="560">
        <v>195072</v>
      </c>
      <c r="H1659" s="657"/>
      <c r="I1659" s="564"/>
      <c r="M1659" s="329"/>
      <c r="P1659" s="593"/>
      <c r="Q1659" s="685"/>
      <c r="R1659" s="685"/>
      <c r="S1659" s="329"/>
      <c r="U1659" s="593"/>
      <c r="Z1659" s="329"/>
      <c r="AB1659" s="589"/>
    </row>
    <row r="1660" spans="1:28">
      <c r="A1660" s="631"/>
      <c r="B1660" s="569" t="s">
        <v>4914</v>
      </c>
      <c r="C1660" s="575"/>
      <c r="D1660" s="571"/>
      <c r="E1660" s="561"/>
      <c r="F1660" s="560"/>
      <c r="G1660" s="561"/>
      <c r="H1660" s="657"/>
      <c r="I1660" s="564"/>
      <c r="M1660" s="329"/>
      <c r="P1660" s="593"/>
      <c r="Q1660" s="685"/>
      <c r="R1660" s="685"/>
      <c r="S1660" s="329"/>
      <c r="U1660" s="593"/>
      <c r="Z1660" s="329"/>
      <c r="AB1660" s="589"/>
    </row>
    <row r="1661" spans="1:28">
      <c r="A1661" s="631" t="str">
        <f t="shared" si="36"/>
        <v>DD.04.6101</v>
      </c>
      <c r="B1661" s="565" t="s">
        <v>2103</v>
      </c>
      <c r="C1661" s="567" t="s">
        <v>2333</v>
      </c>
      <c r="D1661" s="568" t="s">
        <v>2312</v>
      </c>
      <c r="E1661" s="560">
        <v>28205</v>
      </c>
      <c r="F1661" s="560">
        <v>30295</v>
      </c>
      <c r="G1661" s="561"/>
      <c r="H1661" s="657"/>
      <c r="I1661" s="564"/>
      <c r="M1661" s="329"/>
      <c r="P1661" s="593"/>
      <c r="Q1661" s="685"/>
      <c r="R1661" s="685"/>
      <c r="S1661" s="329"/>
      <c r="U1661" s="593"/>
      <c r="Z1661" s="329"/>
      <c r="AB1661" s="589"/>
    </row>
    <row r="1662" spans="1:28">
      <c r="A1662" s="631" t="str">
        <f t="shared" si="36"/>
        <v>DD.04.6102</v>
      </c>
      <c r="B1662" s="565" t="s">
        <v>4653</v>
      </c>
      <c r="C1662" s="567" t="s">
        <v>5429</v>
      </c>
      <c r="D1662" s="568" t="s">
        <v>2312</v>
      </c>
      <c r="E1662" s="560">
        <v>30124</v>
      </c>
      <c r="F1662" s="560">
        <v>32539</v>
      </c>
      <c r="G1662" s="561"/>
      <c r="H1662" s="657"/>
      <c r="I1662" s="564"/>
      <c r="M1662" s="329"/>
      <c r="P1662" s="593"/>
      <c r="Q1662" s="685"/>
      <c r="R1662" s="685"/>
      <c r="S1662" s="329"/>
      <c r="U1662" s="593"/>
      <c r="Z1662" s="329"/>
      <c r="AB1662" s="589"/>
    </row>
    <row r="1663" spans="1:28">
      <c r="A1663" s="631"/>
      <c r="B1663" s="569" t="s">
        <v>4915</v>
      </c>
      <c r="C1663" s="575"/>
      <c r="D1663" s="571"/>
      <c r="E1663" s="561"/>
      <c r="F1663" s="560"/>
      <c r="G1663" s="561"/>
      <c r="H1663" s="657"/>
      <c r="I1663" s="564"/>
      <c r="M1663" s="329"/>
      <c r="P1663" s="593"/>
      <c r="Q1663" s="685"/>
      <c r="R1663" s="685"/>
      <c r="S1663" s="329"/>
      <c r="U1663" s="593"/>
      <c r="Z1663" s="329"/>
      <c r="AB1663" s="589"/>
    </row>
    <row r="1664" spans="1:28">
      <c r="A1664" s="631" t="str">
        <f t="shared" si="36"/>
        <v>DD.04.8133</v>
      </c>
      <c r="B1664" s="565" t="s">
        <v>4916</v>
      </c>
      <c r="C1664" s="575" t="s">
        <v>3629</v>
      </c>
      <c r="D1664" s="568" t="s">
        <v>5276</v>
      </c>
      <c r="E1664" s="560">
        <v>360465</v>
      </c>
      <c r="F1664" s="560">
        <v>234607</v>
      </c>
      <c r="G1664" s="619"/>
      <c r="H1664" s="657"/>
      <c r="I1664" s="564"/>
      <c r="M1664" s="329"/>
      <c r="P1664" s="593"/>
      <c r="Q1664" s="685"/>
      <c r="R1664" s="685"/>
      <c r="S1664" s="329"/>
      <c r="U1664" s="593"/>
      <c r="Z1664" s="329"/>
      <c r="AB1664" s="589"/>
    </row>
    <row r="1665" spans="1:28">
      <c r="A1665" s="631" t="str">
        <f t="shared" si="36"/>
        <v>DD.04.8143</v>
      </c>
      <c r="B1665" s="565" t="s">
        <v>4917</v>
      </c>
      <c r="C1665" s="575" t="s">
        <v>1417</v>
      </c>
      <c r="D1665" s="568" t="s">
        <v>5276</v>
      </c>
      <c r="E1665" s="560">
        <v>360465</v>
      </c>
      <c r="F1665" s="560">
        <v>369065</v>
      </c>
      <c r="G1665" s="561"/>
      <c r="H1665" s="657"/>
      <c r="I1665" s="564"/>
      <c r="M1665" s="329"/>
      <c r="P1665" s="593"/>
      <c r="Q1665" s="685"/>
      <c r="R1665" s="685"/>
      <c r="S1665" s="329"/>
      <c r="U1665" s="593"/>
      <c r="Z1665" s="329"/>
      <c r="AB1665" s="589"/>
    </row>
    <row r="1666" spans="1:28">
      <c r="A1666" s="631"/>
      <c r="B1666" s="569" t="s">
        <v>5973</v>
      </c>
      <c r="C1666" s="575"/>
      <c r="D1666" s="568"/>
      <c r="E1666" s="560"/>
      <c r="F1666" s="560"/>
      <c r="G1666" s="561"/>
      <c r="H1666" s="657"/>
      <c r="I1666" s="564"/>
      <c r="M1666" s="329"/>
      <c r="P1666" s="593"/>
      <c r="Q1666" s="685"/>
      <c r="R1666" s="685"/>
      <c r="S1666" s="329"/>
      <c r="U1666" s="593"/>
      <c r="Z1666" s="329"/>
      <c r="AB1666" s="589"/>
    </row>
    <row r="1667" spans="1:28">
      <c r="A1667" s="631" t="str">
        <f t="shared" si="36"/>
        <v>DD.04.8601</v>
      </c>
      <c r="B1667" s="565" t="s">
        <v>4918</v>
      </c>
      <c r="C1667" s="567" t="s">
        <v>4047</v>
      </c>
      <c r="D1667" s="568" t="s">
        <v>4919</v>
      </c>
      <c r="E1667" s="560">
        <v>114100</v>
      </c>
      <c r="F1667" s="560">
        <v>64911</v>
      </c>
      <c r="G1667" s="561"/>
      <c r="H1667" s="657"/>
      <c r="I1667" s="564"/>
      <c r="M1667" s="329"/>
      <c r="P1667" s="593"/>
      <c r="Q1667" s="685"/>
      <c r="R1667" s="685"/>
      <c r="S1667" s="329"/>
      <c r="U1667" s="593"/>
      <c r="Z1667" s="329"/>
      <c r="AB1667" s="589"/>
    </row>
    <row r="1668" spans="1:28">
      <c r="A1668" s="631" t="str">
        <f t="shared" si="36"/>
        <v>DD.04.8602</v>
      </c>
      <c r="B1668" s="565" t="s">
        <v>4920</v>
      </c>
      <c r="C1668" s="567" t="s">
        <v>4048</v>
      </c>
      <c r="D1668" s="568" t="s">
        <v>4919</v>
      </c>
      <c r="E1668" s="560">
        <v>171150</v>
      </c>
      <c r="F1668" s="560">
        <v>97367</v>
      </c>
      <c r="G1668" s="561"/>
      <c r="H1668" s="657"/>
      <c r="I1668" s="564"/>
      <c r="M1668" s="329"/>
      <c r="P1668" s="593"/>
      <c r="Q1668" s="685"/>
      <c r="R1668" s="685"/>
      <c r="S1668" s="329"/>
      <c r="U1668" s="593"/>
      <c r="Z1668" s="329"/>
      <c r="AB1668" s="589"/>
    </row>
    <row r="1669" spans="1:28">
      <c r="A1669" s="631" t="str">
        <f t="shared" si="36"/>
        <v>DD.04.8603</v>
      </c>
      <c r="B1669" s="565" t="s">
        <v>4921</v>
      </c>
      <c r="C1669" s="567" t="s">
        <v>3198</v>
      </c>
      <c r="D1669" s="568" t="s">
        <v>4919</v>
      </c>
      <c r="E1669" s="560">
        <v>47452</v>
      </c>
      <c r="F1669" s="560">
        <v>11128</v>
      </c>
      <c r="G1669" s="561"/>
      <c r="H1669" s="657"/>
      <c r="I1669" s="564"/>
      <c r="M1669" s="329"/>
      <c r="P1669" s="593"/>
      <c r="Q1669" s="685"/>
      <c r="R1669" s="685"/>
      <c r="S1669" s="329"/>
      <c r="U1669" s="593"/>
      <c r="Z1669" s="329"/>
      <c r="AB1669" s="589"/>
    </row>
    <row r="1670" spans="1:28">
      <c r="A1670" s="631" t="str">
        <f t="shared" si="36"/>
        <v>DD.04.8604</v>
      </c>
      <c r="B1670" s="565" t="s">
        <v>4922</v>
      </c>
      <c r="C1670" s="567" t="s">
        <v>3199</v>
      </c>
      <c r="D1670" s="568" t="s">
        <v>4919</v>
      </c>
      <c r="E1670" s="560">
        <v>72855</v>
      </c>
      <c r="F1670" s="560">
        <v>16691</v>
      </c>
      <c r="G1670" s="561"/>
      <c r="H1670" s="657"/>
      <c r="I1670" s="564"/>
      <c r="M1670" s="329"/>
      <c r="P1670" s="593"/>
      <c r="Q1670" s="685"/>
      <c r="R1670" s="685"/>
      <c r="S1670" s="329"/>
      <c r="U1670" s="593"/>
      <c r="Z1670" s="329"/>
      <c r="AB1670" s="589"/>
    </row>
    <row r="1671" spans="1:28">
      <c r="A1671" s="631"/>
      <c r="B1671" s="569" t="s">
        <v>4874</v>
      </c>
      <c r="C1671" s="575"/>
      <c r="D1671" s="568"/>
      <c r="E1671" s="560"/>
      <c r="F1671" s="560"/>
      <c r="G1671" s="561"/>
      <c r="H1671" s="657"/>
      <c r="I1671" s="564"/>
      <c r="M1671" s="329"/>
      <c r="P1671" s="593"/>
      <c r="Q1671" s="685"/>
      <c r="R1671" s="685"/>
      <c r="S1671" s="329"/>
      <c r="U1671" s="593"/>
      <c r="Z1671" s="329"/>
      <c r="AB1671" s="589"/>
    </row>
    <row r="1672" spans="1:28">
      <c r="A1672" s="631"/>
      <c r="B1672" s="569" t="s">
        <v>4875</v>
      </c>
      <c r="C1672" s="575"/>
      <c r="D1672" s="568"/>
      <c r="E1672" s="560"/>
      <c r="F1672" s="560"/>
      <c r="G1672" s="561"/>
      <c r="H1672" s="657"/>
      <c r="I1672" s="564"/>
      <c r="M1672" s="329"/>
      <c r="P1672" s="593"/>
      <c r="Q1672" s="685"/>
      <c r="R1672" s="685"/>
      <c r="S1672" s="329"/>
      <c r="U1672" s="593"/>
      <c r="Z1672" s="329"/>
      <c r="AB1672" s="589"/>
    </row>
    <row r="1673" spans="1:28">
      <c r="A1673" s="631" t="str">
        <f t="shared" ref="A1673:A1722" si="37">"DD."&amp;B1673</f>
        <v>DD.05.2011</v>
      </c>
      <c r="B1673" s="565" t="s">
        <v>3200</v>
      </c>
      <c r="C1673" s="567" t="s">
        <v>5430</v>
      </c>
      <c r="D1673" s="568" t="s">
        <v>3290</v>
      </c>
      <c r="E1673" s="560">
        <v>12022</v>
      </c>
      <c r="F1673" s="560">
        <v>708687</v>
      </c>
      <c r="G1673" s="561"/>
      <c r="H1673" s="657"/>
      <c r="I1673" s="564"/>
      <c r="M1673" s="329"/>
      <c r="P1673" s="593"/>
      <c r="Q1673" s="685"/>
      <c r="R1673" s="685"/>
      <c r="S1673" s="329"/>
      <c r="U1673" s="593"/>
      <c r="Z1673" s="329"/>
      <c r="AB1673" s="589"/>
    </row>
    <row r="1674" spans="1:28">
      <c r="A1674" s="631" t="str">
        <f t="shared" si="37"/>
        <v>DD.05.2012</v>
      </c>
      <c r="B1674" s="565" t="s">
        <v>1699</v>
      </c>
      <c r="C1674" s="567" t="s">
        <v>1404</v>
      </c>
      <c r="D1674" s="568" t="s">
        <v>3290</v>
      </c>
      <c r="E1674" s="560">
        <v>12022</v>
      </c>
      <c r="F1674" s="560">
        <v>638816</v>
      </c>
      <c r="G1674" s="561"/>
      <c r="H1674" s="657"/>
      <c r="I1674" s="564"/>
      <c r="M1674" s="329"/>
      <c r="P1674" s="593"/>
      <c r="Q1674" s="685"/>
      <c r="R1674" s="685"/>
      <c r="S1674" s="329"/>
      <c r="U1674" s="593"/>
      <c r="Z1674" s="329"/>
      <c r="AB1674" s="589"/>
    </row>
    <row r="1675" spans="1:28">
      <c r="A1675" s="631" t="str">
        <f t="shared" si="37"/>
        <v>DD.05.2013</v>
      </c>
      <c r="B1675" s="565" t="s">
        <v>1700</v>
      </c>
      <c r="C1675" s="567" t="s">
        <v>1405</v>
      </c>
      <c r="D1675" s="568" t="s">
        <v>3290</v>
      </c>
      <c r="E1675" s="560">
        <v>12022</v>
      </c>
      <c r="F1675" s="560">
        <v>608872</v>
      </c>
      <c r="G1675" s="561"/>
      <c r="H1675" s="657"/>
      <c r="I1675" s="564"/>
      <c r="M1675" s="329"/>
      <c r="P1675" s="593"/>
      <c r="Q1675" s="685"/>
      <c r="R1675" s="685"/>
      <c r="S1675" s="329"/>
      <c r="U1675" s="593"/>
      <c r="Z1675" s="329"/>
      <c r="AB1675" s="589"/>
    </row>
    <row r="1676" spans="1:28">
      <c r="A1676" s="631" t="str">
        <f t="shared" si="37"/>
        <v>DD.05.2014</v>
      </c>
      <c r="B1676" s="565" t="s">
        <v>1701</v>
      </c>
      <c r="C1676" s="567" t="s">
        <v>4850</v>
      </c>
      <c r="D1676" s="568" t="s">
        <v>3290</v>
      </c>
      <c r="E1676" s="560">
        <v>12022</v>
      </c>
      <c r="F1676" s="560">
        <v>576931</v>
      </c>
      <c r="G1676" s="561"/>
      <c r="H1676" s="657"/>
      <c r="I1676" s="564"/>
      <c r="M1676" s="329"/>
      <c r="P1676" s="593"/>
      <c r="Q1676" s="685"/>
      <c r="R1676" s="685"/>
      <c r="S1676" s="329"/>
      <c r="U1676" s="593"/>
      <c r="Z1676" s="329"/>
      <c r="AB1676" s="589"/>
    </row>
    <row r="1677" spans="1:28">
      <c r="A1677" s="631"/>
      <c r="B1677" s="565"/>
      <c r="C1677" s="567"/>
      <c r="D1677" s="568"/>
      <c r="E1677" s="560"/>
      <c r="F1677" s="560"/>
      <c r="G1677" s="561"/>
      <c r="H1677" s="657"/>
      <c r="I1677" s="564"/>
      <c r="M1677" s="329"/>
      <c r="P1677" s="593"/>
      <c r="Q1677" s="685"/>
      <c r="R1677" s="685"/>
      <c r="S1677" s="329"/>
      <c r="U1677" s="593"/>
      <c r="Z1677" s="329"/>
      <c r="AB1677" s="589"/>
    </row>
    <row r="1678" spans="1:28">
      <c r="A1678" s="631" t="str">
        <f t="shared" si="37"/>
        <v>DD.05.2021</v>
      </c>
      <c r="B1678" s="565" t="s">
        <v>1702</v>
      </c>
      <c r="C1678" s="567" t="s">
        <v>2418</v>
      </c>
      <c r="D1678" s="568" t="s">
        <v>3290</v>
      </c>
      <c r="E1678" s="560">
        <v>12022</v>
      </c>
      <c r="F1678" s="560">
        <v>333382</v>
      </c>
      <c r="G1678" s="561"/>
      <c r="H1678" s="657"/>
      <c r="I1678" s="564"/>
      <c r="M1678" s="329"/>
      <c r="P1678" s="593"/>
      <c r="Q1678" s="685"/>
      <c r="R1678" s="685"/>
      <c r="S1678" s="329"/>
      <c r="U1678" s="593"/>
      <c r="Z1678" s="329"/>
      <c r="AB1678" s="589"/>
    </row>
    <row r="1679" spans="1:28">
      <c r="A1679" s="631" t="str">
        <f t="shared" si="37"/>
        <v>DD.05.2022</v>
      </c>
      <c r="B1679" s="565" t="s">
        <v>1703</v>
      </c>
      <c r="C1679" s="567" t="s">
        <v>2419</v>
      </c>
      <c r="D1679" s="568" t="s">
        <v>3290</v>
      </c>
      <c r="E1679" s="560">
        <v>12022</v>
      </c>
      <c r="F1679" s="560">
        <v>315415</v>
      </c>
      <c r="G1679" s="561"/>
      <c r="H1679" s="657"/>
      <c r="I1679" s="564"/>
      <c r="M1679" s="329"/>
      <c r="P1679" s="593"/>
      <c r="Q1679" s="685"/>
      <c r="R1679" s="685"/>
      <c r="S1679" s="329"/>
      <c r="U1679" s="593"/>
      <c r="Z1679" s="329"/>
      <c r="AB1679" s="589"/>
    </row>
    <row r="1680" spans="1:28">
      <c r="A1680" s="631" t="str">
        <f t="shared" si="37"/>
        <v>DD.05.2023</v>
      </c>
      <c r="B1680" s="565" t="s">
        <v>1704</v>
      </c>
      <c r="C1680" s="567" t="s">
        <v>2420</v>
      </c>
      <c r="D1680" s="568" t="s">
        <v>3290</v>
      </c>
      <c r="E1680" s="560">
        <v>12022</v>
      </c>
      <c r="F1680" s="560">
        <v>297449</v>
      </c>
      <c r="G1680" s="561"/>
      <c r="H1680" s="657"/>
      <c r="I1680" s="564"/>
      <c r="M1680" s="329"/>
      <c r="P1680" s="593"/>
      <c r="Q1680" s="685"/>
      <c r="R1680" s="685"/>
      <c r="S1680" s="329"/>
      <c r="U1680" s="593"/>
      <c r="Z1680" s="329"/>
      <c r="AB1680" s="589"/>
    </row>
    <row r="1681" spans="1:28">
      <c r="A1681" s="631" t="str">
        <f t="shared" si="37"/>
        <v>DD.05.2024</v>
      </c>
      <c r="B1681" s="565" t="s">
        <v>5436</v>
      </c>
      <c r="C1681" s="567" t="s">
        <v>1530</v>
      </c>
      <c r="D1681" s="568" t="s">
        <v>3290</v>
      </c>
      <c r="E1681" s="560">
        <v>12022</v>
      </c>
      <c r="F1681" s="560">
        <v>280480</v>
      </c>
      <c r="G1681" s="561"/>
      <c r="H1681" s="657"/>
      <c r="I1681" s="564"/>
      <c r="M1681" s="329"/>
      <c r="P1681" s="593"/>
      <c r="Q1681" s="685"/>
      <c r="R1681" s="685"/>
      <c r="S1681" s="329"/>
      <c r="U1681" s="593"/>
      <c r="Z1681" s="329"/>
      <c r="AB1681" s="589"/>
    </row>
    <row r="1682" spans="1:28">
      <c r="A1682" s="631"/>
      <c r="B1682" s="569" t="s">
        <v>4876</v>
      </c>
      <c r="C1682" s="575"/>
      <c r="D1682" s="568"/>
      <c r="E1682" s="560"/>
      <c r="F1682" s="560"/>
      <c r="G1682" s="561"/>
      <c r="H1682" s="657"/>
      <c r="I1682" s="564"/>
      <c r="M1682" s="329"/>
      <c r="P1682" s="593"/>
      <c r="Q1682" s="685"/>
      <c r="R1682" s="685"/>
      <c r="S1682" s="329"/>
      <c r="U1682" s="593"/>
      <c r="Z1682" s="329"/>
      <c r="AB1682" s="589"/>
    </row>
    <row r="1683" spans="1:28">
      <c r="A1683" s="631" t="str">
        <f t="shared" si="37"/>
        <v>DD.05.3101</v>
      </c>
      <c r="B1683" s="565" t="s">
        <v>3751</v>
      </c>
      <c r="C1683" s="567" t="s">
        <v>1531</v>
      </c>
      <c r="D1683" s="568" t="s">
        <v>3290</v>
      </c>
      <c r="E1683" s="560">
        <v>89797</v>
      </c>
      <c r="F1683" s="560">
        <v>1418769</v>
      </c>
      <c r="G1683" s="561"/>
      <c r="H1683" s="657"/>
      <c r="I1683" s="564"/>
      <c r="M1683" s="329"/>
      <c r="P1683" s="593"/>
      <c r="Q1683" s="685"/>
      <c r="R1683" s="685"/>
      <c r="S1683" s="329"/>
      <c r="U1683" s="593"/>
      <c r="Z1683" s="329"/>
      <c r="AB1683" s="589"/>
    </row>
    <row r="1684" spans="1:28">
      <c r="A1684" s="631" t="str">
        <f t="shared" si="37"/>
        <v>DD.05.3102</v>
      </c>
      <c r="B1684" s="565" t="s">
        <v>5437</v>
      </c>
      <c r="C1684" s="567" t="s">
        <v>1532</v>
      </c>
      <c r="D1684" s="568" t="s">
        <v>3290</v>
      </c>
      <c r="E1684" s="560">
        <v>119729</v>
      </c>
      <c r="F1684" s="560">
        <v>2578821</v>
      </c>
      <c r="G1684" s="561"/>
      <c r="H1684" s="657"/>
      <c r="I1684" s="564"/>
      <c r="M1684" s="329"/>
      <c r="P1684" s="593"/>
      <c r="Q1684" s="685"/>
      <c r="R1684" s="685"/>
      <c r="S1684" s="329"/>
      <c r="U1684" s="593"/>
      <c r="Z1684" s="329"/>
      <c r="AB1684" s="589"/>
    </row>
    <row r="1685" spans="1:28">
      <c r="A1685" s="631" t="str">
        <f t="shared" si="37"/>
        <v>DD.05.3103</v>
      </c>
      <c r="B1685" s="565" t="s">
        <v>2887</v>
      </c>
      <c r="C1685" s="567" t="s">
        <v>1533</v>
      </c>
      <c r="D1685" s="568" t="s">
        <v>3290</v>
      </c>
      <c r="E1685" s="560">
        <v>119729</v>
      </c>
      <c r="F1685" s="560">
        <v>3168584</v>
      </c>
      <c r="G1685" s="561"/>
      <c r="H1685" s="657"/>
      <c r="I1685" s="564"/>
      <c r="M1685" s="329"/>
      <c r="P1685" s="593"/>
      <c r="Q1685" s="685"/>
      <c r="R1685" s="685"/>
      <c r="S1685" s="329"/>
      <c r="U1685" s="593"/>
      <c r="Z1685" s="329"/>
      <c r="AB1685" s="589"/>
    </row>
    <row r="1686" spans="1:28">
      <c r="A1686" s="631" t="str">
        <f t="shared" si="37"/>
        <v>DD.05.3104</v>
      </c>
      <c r="B1686" s="565" t="s">
        <v>2888</v>
      </c>
      <c r="C1686" s="567" t="s">
        <v>544</v>
      </c>
      <c r="D1686" s="568" t="s">
        <v>3290</v>
      </c>
      <c r="E1686" s="560">
        <v>179594</v>
      </c>
      <c r="F1686" s="560">
        <v>5381122</v>
      </c>
      <c r="G1686" s="561"/>
      <c r="H1686" s="657"/>
      <c r="I1686" s="564"/>
      <c r="M1686" s="329"/>
      <c r="P1686" s="593"/>
      <c r="Q1686" s="685"/>
      <c r="R1686" s="685"/>
      <c r="S1686" s="329"/>
      <c r="U1686" s="593"/>
      <c r="Z1686" s="329"/>
      <c r="AB1686" s="589"/>
    </row>
    <row r="1687" spans="1:28">
      <c r="A1687" s="631" t="str">
        <f t="shared" si="37"/>
        <v>DD.05.3105</v>
      </c>
      <c r="B1687" s="565" t="s">
        <v>1536</v>
      </c>
      <c r="C1687" s="567" t="s">
        <v>1926</v>
      </c>
      <c r="D1687" s="568" t="s">
        <v>3290</v>
      </c>
      <c r="E1687" s="560">
        <v>239459</v>
      </c>
      <c r="F1687" s="560">
        <v>9579936</v>
      </c>
      <c r="G1687" s="561"/>
      <c r="H1687" s="657"/>
      <c r="I1687" s="564"/>
      <c r="M1687" s="329"/>
      <c r="P1687" s="593"/>
      <c r="Q1687" s="685"/>
      <c r="R1687" s="685"/>
      <c r="S1687" s="329"/>
      <c r="U1687" s="593"/>
      <c r="Z1687" s="329"/>
      <c r="AB1687" s="589"/>
    </row>
    <row r="1688" spans="1:28">
      <c r="A1688" s="631"/>
      <c r="B1688" s="565"/>
      <c r="C1688" s="567"/>
      <c r="D1688" s="568"/>
      <c r="E1688" s="560"/>
      <c r="F1688" s="560"/>
      <c r="G1688" s="561"/>
      <c r="H1688" s="657"/>
      <c r="I1688" s="564"/>
      <c r="M1688" s="329"/>
      <c r="P1688" s="593"/>
      <c r="Q1688" s="685"/>
      <c r="R1688" s="685"/>
      <c r="S1688" s="329"/>
      <c r="U1688" s="593"/>
      <c r="Z1688" s="329"/>
      <c r="AB1688" s="589"/>
    </row>
    <row r="1689" spans="1:28">
      <c r="A1689" s="631" t="str">
        <f t="shared" si="37"/>
        <v>DD.05.3212</v>
      </c>
      <c r="B1689" s="565" t="s">
        <v>2889</v>
      </c>
      <c r="C1689" s="567" t="s">
        <v>2893</v>
      </c>
      <c r="D1689" s="568" t="s">
        <v>3290</v>
      </c>
      <c r="E1689" s="560">
        <v>119729</v>
      </c>
      <c r="F1689" s="560">
        <v>1934348</v>
      </c>
      <c r="G1689" s="560">
        <v>216324</v>
      </c>
      <c r="H1689" s="657"/>
      <c r="I1689" s="564"/>
      <c r="M1689" s="329"/>
      <c r="P1689" s="593"/>
      <c r="Q1689" s="685"/>
      <c r="R1689" s="685"/>
      <c r="S1689" s="329"/>
      <c r="U1689" s="593"/>
      <c r="Z1689" s="329"/>
      <c r="AB1689" s="589"/>
    </row>
    <row r="1690" spans="1:28">
      <c r="A1690" s="631" t="str">
        <f t="shared" si="37"/>
        <v>DD.05.3213</v>
      </c>
      <c r="B1690" s="565" t="s">
        <v>2890</v>
      </c>
      <c r="C1690" s="567" t="s">
        <v>2901</v>
      </c>
      <c r="D1690" s="568" t="s">
        <v>3290</v>
      </c>
      <c r="E1690" s="560">
        <v>119729</v>
      </c>
      <c r="F1690" s="560">
        <v>2376670</v>
      </c>
      <c r="G1690" s="560">
        <v>360541</v>
      </c>
      <c r="H1690" s="657"/>
      <c r="I1690" s="564"/>
      <c r="M1690" s="329"/>
      <c r="P1690" s="593"/>
      <c r="Q1690" s="685"/>
      <c r="R1690" s="685"/>
      <c r="S1690" s="329"/>
      <c r="U1690" s="593"/>
      <c r="Z1690" s="329"/>
      <c r="AB1690" s="589"/>
    </row>
    <row r="1691" spans="1:28">
      <c r="A1691" s="631" t="str">
        <f t="shared" si="37"/>
        <v>DD.05.3214</v>
      </c>
      <c r="B1691" s="565" t="s">
        <v>2891</v>
      </c>
      <c r="C1691" s="567" t="s">
        <v>1056</v>
      </c>
      <c r="D1691" s="568" t="s">
        <v>3290</v>
      </c>
      <c r="E1691" s="560">
        <v>179594</v>
      </c>
      <c r="F1691" s="560">
        <v>4035610</v>
      </c>
      <c r="G1691" s="560">
        <v>504757</v>
      </c>
      <c r="H1691" s="657"/>
      <c r="I1691" s="564"/>
      <c r="M1691" s="329"/>
      <c r="P1691" s="593"/>
      <c r="Q1691" s="685"/>
      <c r="R1691" s="685"/>
      <c r="S1691" s="329"/>
      <c r="U1691" s="593"/>
      <c r="Z1691" s="329"/>
      <c r="AB1691" s="589"/>
    </row>
    <row r="1692" spans="1:28">
      <c r="A1692" s="631" t="str">
        <f t="shared" si="37"/>
        <v>DD.05.3215</v>
      </c>
      <c r="B1692" s="565" t="s">
        <v>2892</v>
      </c>
      <c r="C1692" s="567" t="s">
        <v>177</v>
      </c>
      <c r="D1692" s="568" t="s">
        <v>3290</v>
      </c>
      <c r="E1692" s="560">
        <v>239459</v>
      </c>
      <c r="F1692" s="560">
        <v>7184720</v>
      </c>
      <c r="G1692" s="560">
        <v>721081</v>
      </c>
      <c r="H1692" s="657"/>
      <c r="I1692" s="564"/>
      <c r="M1692" s="329"/>
      <c r="P1692" s="593"/>
      <c r="Q1692" s="685"/>
      <c r="R1692" s="685"/>
      <c r="S1692" s="329"/>
      <c r="U1692" s="593"/>
      <c r="Z1692" s="329"/>
      <c r="AB1692" s="589"/>
    </row>
    <row r="1693" spans="1:28">
      <c r="A1693" s="631"/>
      <c r="B1693" s="565"/>
      <c r="C1693" s="567"/>
      <c r="D1693" s="568"/>
      <c r="E1693" s="560"/>
      <c r="F1693" s="560"/>
      <c r="G1693" s="560"/>
      <c r="H1693" s="657"/>
      <c r="I1693" s="564"/>
      <c r="M1693" s="329"/>
      <c r="P1693" s="593"/>
      <c r="Q1693" s="685"/>
      <c r="R1693" s="685"/>
      <c r="S1693" s="329"/>
      <c r="U1693" s="593"/>
      <c r="Z1693" s="329"/>
      <c r="AB1693" s="589"/>
    </row>
    <row r="1694" spans="1:28">
      <c r="A1694" s="631" t="str">
        <f t="shared" si="37"/>
        <v>DD.05.3221</v>
      </c>
      <c r="B1694" s="565" t="s">
        <v>183</v>
      </c>
      <c r="C1694" s="567" t="s">
        <v>182</v>
      </c>
      <c r="D1694" s="568" t="s">
        <v>3290</v>
      </c>
      <c r="E1694" s="560">
        <v>89797</v>
      </c>
      <c r="F1694" s="560">
        <v>983865</v>
      </c>
      <c r="G1694" s="560">
        <v>126325</v>
      </c>
      <c r="H1694" s="657"/>
      <c r="I1694" s="564"/>
      <c r="M1694" s="329"/>
      <c r="P1694" s="593"/>
      <c r="Q1694" s="685"/>
      <c r="R1694" s="685"/>
      <c r="S1694" s="329"/>
      <c r="U1694" s="593"/>
      <c r="Z1694" s="329"/>
      <c r="AB1694" s="589"/>
    </row>
    <row r="1695" spans="1:28">
      <c r="A1695" s="631" t="str">
        <f t="shared" si="37"/>
        <v>DD.05.3222</v>
      </c>
      <c r="B1695" s="565" t="s">
        <v>184</v>
      </c>
      <c r="C1695" s="567" t="s">
        <v>178</v>
      </c>
      <c r="D1695" s="568" t="s">
        <v>3290</v>
      </c>
      <c r="E1695" s="560">
        <v>119729</v>
      </c>
      <c r="F1695" s="560">
        <v>1837909</v>
      </c>
      <c r="G1695" s="560">
        <v>252650</v>
      </c>
      <c r="H1695" s="657"/>
      <c r="I1695" s="564"/>
      <c r="M1695" s="329"/>
      <c r="P1695" s="593"/>
      <c r="Q1695" s="685"/>
      <c r="R1695" s="685"/>
      <c r="S1695" s="329"/>
      <c r="U1695" s="593"/>
      <c r="Z1695" s="329"/>
      <c r="AB1695" s="589"/>
    </row>
    <row r="1696" spans="1:28">
      <c r="A1696" s="631" t="str">
        <f t="shared" si="37"/>
        <v>DD.05.3223</v>
      </c>
      <c r="B1696" s="565" t="s">
        <v>185</v>
      </c>
      <c r="C1696" s="567" t="s">
        <v>179</v>
      </c>
      <c r="D1696" s="568" t="s">
        <v>3290</v>
      </c>
      <c r="E1696" s="560">
        <v>119729</v>
      </c>
      <c r="F1696" s="560">
        <v>2257976</v>
      </c>
      <c r="G1696" s="560">
        <v>42108</v>
      </c>
      <c r="H1696" s="657"/>
      <c r="I1696" s="564"/>
      <c r="M1696" s="329"/>
      <c r="P1696" s="593"/>
      <c r="Q1696" s="685"/>
      <c r="R1696" s="685"/>
      <c r="S1696" s="329"/>
      <c r="U1696" s="593"/>
      <c r="Z1696" s="329"/>
      <c r="AB1696" s="589"/>
    </row>
    <row r="1697" spans="1:28">
      <c r="A1697" s="631" t="str">
        <f t="shared" si="37"/>
        <v>DD.05.3224</v>
      </c>
      <c r="B1697" s="565" t="s">
        <v>186</v>
      </c>
      <c r="C1697" s="567" t="s">
        <v>180</v>
      </c>
      <c r="D1697" s="568" t="s">
        <v>3290</v>
      </c>
      <c r="E1697" s="560">
        <v>179594</v>
      </c>
      <c r="F1697" s="560">
        <v>3833458</v>
      </c>
      <c r="G1697" s="560">
        <v>589518</v>
      </c>
      <c r="H1697" s="657"/>
      <c r="I1697" s="564"/>
      <c r="M1697" s="329"/>
      <c r="P1697" s="593"/>
      <c r="Q1697" s="685"/>
      <c r="R1697" s="685"/>
      <c r="S1697" s="329"/>
      <c r="U1697" s="593"/>
      <c r="Z1697" s="329"/>
      <c r="AB1697" s="589"/>
    </row>
    <row r="1698" spans="1:28">
      <c r="A1698" s="631" t="str">
        <f t="shared" si="37"/>
        <v>DD.05.3225</v>
      </c>
      <c r="B1698" s="565" t="s">
        <v>187</v>
      </c>
      <c r="C1698" s="567" t="s">
        <v>181</v>
      </c>
      <c r="D1698" s="568" t="s">
        <v>3290</v>
      </c>
      <c r="E1698" s="560">
        <v>239459</v>
      </c>
      <c r="F1698" s="560">
        <v>6825855</v>
      </c>
      <c r="G1698" s="560">
        <v>842168</v>
      </c>
      <c r="H1698" s="657"/>
      <c r="I1698" s="564"/>
      <c r="M1698" s="329"/>
      <c r="P1698" s="593"/>
      <c r="Q1698" s="685"/>
      <c r="R1698" s="685"/>
      <c r="S1698" s="329"/>
      <c r="U1698" s="593"/>
      <c r="Z1698" s="329"/>
      <c r="AB1698" s="589"/>
    </row>
    <row r="1699" spans="1:28">
      <c r="A1699" s="631"/>
      <c r="B1699" s="569" t="s">
        <v>4877</v>
      </c>
      <c r="C1699" s="575"/>
      <c r="D1699" s="568"/>
      <c r="E1699" s="560"/>
      <c r="F1699" s="560"/>
      <c r="G1699" s="561"/>
      <c r="H1699" s="657"/>
      <c r="I1699" s="564"/>
      <c r="M1699" s="329"/>
      <c r="P1699" s="593"/>
      <c r="Q1699" s="685"/>
      <c r="R1699" s="685"/>
      <c r="S1699" s="329"/>
      <c r="U1699" s="593"/>
      <c r="Z1699" s="329"/>
      <c r="AB1699" s="589"/>
    </row>
    <row r="1700" spans="1:28">
      <c r="A1700" s="631" t="str">
        <f t="shared" si="37"/>
        <v>DD.05.3231</v>
      </c>
      <c r="B1700" s="565" t="s">
        <v>188</v>
      </c>
      <c r="C1700" s="567" t="s">
        <v>4835</v>
      </c>
      <c r="D1700" s="568" t="s">
        <v>3290</v>
      </c>
      <c r="E1700" s="560">
        <v>89797</v>
      </c>
      <c r="F1700" s="560">
        <v>542130</v>
      </c>
      <c r="G1700" s="560">
        <v>69608</v>
      </c>
      <c r="H1700" s="657"/>
      <c r="I1700" s="564"/>
      <c r="M1700" s="329"/>
      <c r="P1700" s="593"/>
      <c r="Q1700" s="685"/>
      <c r="R1700" s="685"/>
      <c r="S1700" s="329"/>
      <c r="U1700" s="593"/>
      <c r="Z1700" s="329"/>
      <c r="AB1700" s="589"/>
    </row>
    <row r="1701" spans="1:28">
      <c r="A1701" s="631" t="str">
        <f t="shared" si="37"/>
        <v>DD.05.3232</v>
      </c>
      <c r="B1701" s="565" t="s">
        <v>189</v>
      </c>
      <c r="C1701" s="567" t="s">
        <v>4824</v>
      </c>
      <c r="D1701" s="568" t="s">
        <v>3290</v>
      </c>
      <c r="E1701" s="560">
        <v>119729</v>
      </c>
      <c r="F1701" s="560">
        <v>1012725</v>
      </c>
      <c r="G1701" s="560">
        <v>139216</v>
      </c>
      <c r="H1701" s="657"/>
      <c r="I1701" s="564"/>
      <c r="M1701" s="329"/>
      <c r="P1701" s="593"/>
      <c r="Q1701" s="685"/>
      <c r="R1701" s="685"/>
      <c r="S1701" s="329"/>
      <c r="U1701" s="593"/>
      <c r="Z1701" s="329"/>
      <c r="AB1701" s="589"/>
    </row>
    <row r="1702" spans="1:28">
      <c r="A1702" s="631" t="str">
        <f t="shared" si="37"/>
        <v>DD.05.3233</v>
      </c>
      <c r="B1702" s="565" t="s">
        <v>190</v>
      </c>
      <c r="C1702" s="567" t="s">
        <v>4825</v>
      </c>
      <c r="D1702" s="568" t="s">
        <v>3290</v>
      </c>
      <c r="E1702" s="560">
        <v>119729</v>
      </c>
      <c r="F1702" s="560">
        <v>1244191</v>
      </c>
      <c r="G1702" s="560">
        <v>232026</v>
      </c>
      <c r="H1702" s="657"/>
      <c r="I1702" s="564"/>
      <c r="M1702" s="329"/>
      <c r="P1702" s="593"/>
      <c r="Q1702" s="685"/>
      <c r="R1702" s="685"/>
      <c r="S1702" s="329"/>
      <c r="U1702" s="593"/>
      <c r="Z1702" s="329"/>
      <c r="AB1702" s="589"/>
    </row>
    <row r="1703" spans="1:28">
      <c r="A1703" s="631" t="str">
        <f t="shared" si="37"/>
        <v>DD.05.3234</v>
      </c>
      <c r="B1703" s="565" t="s">
        <v>2700</v>
      </c>
      <c r="C1703" s="567" t="s">
        <v>690</v>
      </c>
      <c r="D1703" s="568" t="s">
        <v>3290</v>
      </c>
      <c r="E1703" s="560">
        <v>179594</v>
      </c>
      <c r="F1703" s="560">
        <v>2112314</v>
      </c>
      <c r="G1703" s="560">
        <v>324836</v>
      </c>
      <c r="H1703" s="657"/>
      <c r="I1703" s="564"/>
      <c r="M1703" s="329"/>
      <c r="P1703" s="593"/>
      <c r="Q1703" s="685"/>
      <c r="R1703" s="685"/>
      <c r="S1703" s="329"/>
      <c r="U1703" s="593"/>
      <c r="Z1703" s="329"/>
      <c r="AB1703" s="589"/>
    </row>
    <row r="1704" spans="1:28">
      <c r="A1704" s="631" t="str">
        <f t="shared" si="37"/>
        <v>DD.05.3235</v>
      </c>
      <c r="B1704" s="565" t="s">
        <v>2701</v>
      </c>
      <c r="C1704" s="567" t="s">
        <v>691</v>
      </c>
      <c r="D1704" s="568" t="s">
        <v>3290</v>
      </c>
      <c r="E1704" s="560">
        <v>239459</v>
      </c>
      <c r="F1704" s="560">
        <v>3761186</v>
      </c>
      <c r="G1704" s="560">
        <v>464052</v>
      </c>
      <c r="H1704" s="657"/>
      <c r="I1704" s="564"/>
      <c r="M1704" s="329"/>
      <c r="P1704" s="593"/>
      <c r="Q1704" s="685"/>
      <c r="R1704" s="685"/>
      <c r="S1704" s="329"/>
      <c r="U1704" s="593"/>
      <c r="Z1704" s="329"/>
      <c r="AB1704" s="589"/>
    </row>
    <row r="1705" spans="1:28">
      <c r="A1705" s="631"/>
      <c r="B1705" s="569" t="s">
        <v>4878</v>
      </c>
      <c r="C1705" s="567"/>
      <c r="D1705" s="568"/>
      <c r="E1705" s="560"/>
      <c r="F1705" s="560"/>
      <c r="G1705" s="560"/>
      <c r="H1705" s="657"/>
      <c r="I1705" s="564"/>
      <c r="M1705" s="329"/>
      <c r="P1705" s="593"/>
      <c r="Q1705" s="685"/>
      <c r="R1705" s="685"/>
      <c r="S1705" s="329"/>
      <c r="U1705" s="593"/>
      <c r="Z1705" s="329"/>
      <c r="AB1705" s="589"/>
    </row>
    <row r="1706" spans="1:28">
      <c r="A1706" s="631" t="str">
        <f t="shared" si="37"/>
        <v>DD.05.4001</v>
      </c>
      <c r="B1706" s="565" t="s">
        <v>2702</v>
      </c>
      <c r="C1706" s="567" t="s">
        <v>5699</v>
      </c>
      <c r="D1706" s="568" t="s">
        <v>3290</v>
      </c>
      <c r="E1706" s="560">
        <v>11730</v>
      </c>
      <c r="F1706" s="560">
        <v>1226726</v>
      </c>
      <c r="G1706" s="560"/>
      <c r="H1706" s="657"/>
      <c r="I1706" s="564"/>
      <c r="M1706" s="329"/>
      <c r="P1706" s="593"/>
      <c r="Q1706" s="685"/>
      <c r="R1706" s="685"/>
      <c r="S1706" s="329"/>
      <c r="U1706" s="593"/>
      <c r="Z1706" s="329"/>
      <c r="AB1706" s="589"/>
    </row>
    <row r="1707" spans="1:28">
      <c r="A1707" s="631" t="str">
        <f t="shared" si="37"/>
        <v>DD.05.4011</v>
      </c>
      <c r="B1707" s="565" t="s">
        <v>2703</v>
      </c>
      <c r="C1707" s="567" t="s">
        <v>2085</v>
      </c>
      <c r="D1707" s="568" t="s">
        <v>3290</v>
      </c>
      <c r="E1707" s="560">
        <v>23440</v>
      </c>
      <c r="F1707" s="560">
        <v>1295599</v>
      </c>
      <c r="G1707" s="560"/>
      <c r="H1707" s="657"/>
      <c r="I1707" s="564"/>
      <c r="M1707" s="329"/>
      <c r="P1707" s="593"/>
      <c r="Q1707" s="685"/>
      <c r="R1707" s="685"/>
      <c r="S1707" s="329"/>
      <c r="U1707" s="593"/>
      <c r="Z1707" s="329"/>
      <c r="AB1707" s="589"/>
    </row>
    <row r="1708" spans="1:28">
      <c r="A1708" s="631" t="str">
        <f t="shared" si="37"/>
        <v>DD.05.4021</v>
      </c>
      <c r="B1708" s="565" t="s">
        <v>2704</v>
      </c>
      <c r="C1708" s="567" t="s">
        <v>680</v>
      </c>
      <c r="D1708" s="568" t="s">
        <v>3290</v>
      </c>
      <c r="E1708" s="560">
        <v>25398</v>
      </c>
      <c r="F1708" s="560">
        <v>1425358</v>
      </c>
      <c r="G1708" s="560"/>
      <c r="H1708" s="657"/>
      <c r="I1708" s="564"/>
      <c r="M1708" s="329"/>
      <c r="P1708" s="593"/>
      <c r="Q1708" s="685"/>
      <c r="R1708" s="685"/>
      <c r="S1708" s="329"/>
      <c r="U1708" s="593"/>
      <c r="Z1708" s="329"/>
      <c r="AB1708" s="589"/>
    </row>
    <row r="1709" spans="1:28">
      <c r="A1709" s="631" t="str">
        <f t="shared" si="37"/>
        <v>DD.05.4031</v>
      </c>
      <c r="B1709" s="565" t="s">
        <v>2705</v>
      </c>
      <c r="C1709" s="567" t="s">
        <v>681</v>
      </c>
      <c r="D1709" s="568" t="s">
        <v>3290</v>
      </c>
      <c r="E1709" s="560">
        <v>29294</v>
      </c>
      <c r="F1709" s="560">
        <v>1567096</v>
      </c>
      <c r="G1709" s="560"/>
      <c r="H1709" s="657"/>
      <c r="I1709" s="564"/>
      <c r="M1709" s="329"/>
      <c r="P1709" s="593"/>
      <c r="Q1709" s="685"/>
      <c r="R1709" s="685"/>
      <c r="S1709" s="329"/>
      <c r="U1709" s="593"/>
      <c r="Z1709" s="329"/>
      <c r="AB1709" s="589"/>
    </row>
    <row r="1710" spans="1:28">
      <c r="A1710" s="631" t="str">
        <f t="shared" si="37"/>
        <v>DD.05.4041</v>
      </c>
      <c r="B1710" s="565" t="s">
        <v>2706</v>
      </c>
      <c r="C1710" s="567" t="s">
        <v>682</v>
      </c>
      <c r="D1710" s="568" t="s">
        <v>3290</v>
      </c>
      <c r="E1710" s="560">
        <v>30274</v>
      </c>
      <c r="F1710" s="560">
        <v>1724803</v>
      </c>
      <c r="G1710" s="560"/>
      <c r="H1710" s="657"/>
      <c r="I1710" s="564"/>
      <c r="M1710" s="329"/>
      <c r="P1710" s="593"/>
      <c r="Q1710" s="685"/>
      <c r="R1710" s="685"/>
      <c r="S1710" s="329"/>
      <c r="U1710" s="593"/>
      <c r="Z1710" s="329"/>
      <c r="AB1710" s="589"/>
    </row>
    <row r="1711" spans="1:28">
      <c r="A1711" s="631" t="str">
        <f t="shared" si="37"/>
        <v>DD.05.4051</v>
      </c>
      <c r="B1711" s="565" t="s">
        <v>2707</v>
      </c>
      <c r="C1711" s="567" t="s">
        <v>146</v>
      </c>
      <c r="D1711" s="568" t="s">
        <v>3290</v>
      </c>
      <c r="E1711" s="560">
        <v>31253</v>
      </c>
      <c r="F1711" s="560">
        <v>1886504</v>
      </c>
      <c r="G1711" s="560"/>
      <c r="H1711" s="657"/>
      <c r="I1711" s="564"/>
      <c r="M1711" s="329"/>
      <c r="P1711" s="593"/>
      <c r="Q1711" s="685"/>
      <c r="R1711" s="685"/>
      <c r="S1711" s="329"/>
      <c r="U1711" s="593"/>
      <c r="Z1711" s="329"/>
      <c r="AB1711" s="589"/>
    </row>
    <row r="1712" spans="1:28">
      <c r="A1712" s="631" t="str">
        <f t="shared" si="37"/>
        <v>DD.05.4061</v>
      </c>
      <c r="B1712" s="565" t="s">
        <v>2708</v>
      </c>
      <c r="C1712" s="567" t="s">
        <v>147</v>
      </c>
      <c r="D1712" s="568" t="s">
        <v>3290</v>
      </c>
      <c r="E1712" s="560">
        <v>33211</v>
      </c>
      <c r="F1712" s="560">
        <v>2166984</v>
      </c>
      <c r="G1712" s="560"/>
      <c r="H1712" s="657"/>
      <c r="I1712" s="564"/>
      <c r="M1712" s="329"/>
      <c r="P1712" s="593"/>
      <c r="Q1712" s="685"/>
      <c r="R1712" s="685"/>
      <c r="S1712" s="329"/>
      <c r="U1712" s="593"/>
      <c r="Z1712" s="329"/>
      <c r="AB1712" s="589"/>
    </row>
    <row r="1713" spans="1:28">
      <c r="A1713" s="631" t="str">
        <f t="shared" si="37"/>
        <v>DD.05.4071</v>
      </c>
      <c r="B1713" s="565" t="s">
        <v>2709</v>
      </c>
      <c r="C1713" s="567" t="s">
        <v>148</v>
      </c>
      <c r="D1713" s="568" t="s">
        <v>3290</v>
      </c>
      <c r="E1713" s="560">
        <v>33211</v>
      </c>
      <c r="F1713" s="560">
        <v>2492381</v>
      </c>
      <c r="G1713" s="560"/>
      <c r="H1713" s="657"/>
      <c r="I1713" s="564"/>
      <c r="M1713" s="329"/>
      <c r="P1713" s="593"/>
      <c r="Q1713" s="685"/>
      <c r="R1713" s="685"/>
      <c r="S1713" s="329"/>
      <c r="U1713" s="593"/>
      <c r="Z1713" s="329"/>
      <c r="AB1713" s="589"/>
    </row>
    <row r="1714" spans="1:28">
      <c r="A1714" s="631"/>
      <c r="B1714" s="565"/>
      <c r="C1714" s="567"/>
      <c r="D1714" s="568"/>
      <c r="E1714" s="560"/>
      <c r="F1714" s="560"/>
      <c r="G1714" s="560"/>
      <c r="H1714" s="657"/>
      <c r="I1714" s="564"/>
      <c r="M1714" s="329"/>
      <c r="P1714" s="593"/>
      <c r="Q1714" s="685"/>
      <c r="R1714" s="685"/>
      <c r="S1714" s="329"/>
      <c r="U1714" s="593"/>
      <c r="Z1714" s="329"/>
      <c r="AB1714" s="589"/>
    </row>
    <row r="1715" spans="1:28">
      <c r="A1715" s="631" t="str">
        <f t="shared" si="37"/>
        <v>DD.05.4002</v>
      </c>
      <c r="B1715" s="565" t="s">
        <v>2710</v>
      </c>
      <c r="C1715" s="567" t="s">
        <v>5357</v>
      </c>
      <c r="D1715" s="568" t="s">
        <v>3290</v>
      </c>
      <c r="E1715" s="560">
        <v>11730</v>
      </c>
      <c r="F1715" s="560">
        <v>901329</v>
      </c>
      <c r="G1715" s="560">
        <v>17083</v>
      </c>
      <c r="H1715" s="657"/>
      <c r="I1715" s="564"/>
      <c r="M1715" s="329"/>
      <c r="P1715" s="593"/>
      <c r="Q1715" s="685"/>
      <c r="R1715" s="685"/>
      <c r="S1715" s="329"/>
      <c r="U1715" s="593"/>
      <c r="Z1715" s="329"/>
      <c r="AB1715" s="589"/>
    </row>
    <row r="1716" spans="1:28">
      <c r="A1716" s="631" t="str">
        <f t="shared" si="37"/>
        <v>DD.05.4012</v>
      </c>
      <c r="B1716" s="565" t="s">
        <v>2711</v>
      </c>
      <c r="C1716" s="567" t="s">
        <v>5358</v>
      </c>
      <c r="D1716" s="568" t="s">
        <v>3290</v>
      </c>
      <c r="E1716" s="560">
        <v>17585</v>
      </c>
      <c r="F1716" s="560">
        <v>1036080</v>
      </c>
      <c r="G1716" s="560">
        <v>19361</v>
      </c>
      <c r="H1716" s="657"/>
      <c r="I1716" s="564"/>
      <c r="M1716" s="329"/>
      <c r="P1716" s="593"/>
      <c r="Q1716" s="685"/>
      <c r="R1716" s="685"/>
      <c r="S1716" s="329"/>
      <c r="U1716" s="593"/>
      <c r="Z1716" s="329"/>
      <c r="AB1716" s="589"/>
    </row>
    <row r="1717" spans="1:28">
      <c r="A1717" s="631" t="str">
        <f t="shared" si="37"/>
        <v>DD.05.4022</v>
      </c>
      <c r="B1717" s="565" t="s">
        <v>2712</v>
      </c>
      <c r="C1717" s="567" t="s">
        <v>5536</v>
      </c>
      <c r="D1717" s="568" t="s">
        <v>3290</v>
      </c>
      <c r="E1717" s="560">
        <v>23460</v>
      </c>
      <c r="F1717" s="560">
        <v>1139887</v>
      </c>
      <c r="G1717" s="560">
        <v>22777</v>
      </c>
      <c r="H1717" s="657"/>
      <c r="I1717" s="564"/>
      <c r="M1717" s="329"/>
      <c r="P1717" s="593"/>
      <c r="Q1717" s="685"/>
      <c r="R1717" s="685"/>
      <c r="S1717" s="329"/>
      <c r="U1717" s="593"/>
      <c r="Z1717" s="329"/>
      <c r="AB1717" s="589"/>
    </row>
    <row r="1718" spans="1:28">
      <c r="A1718" s="631" t="str">
        <f t="shared" si="37"/>
        <v>DD.05.4032</v>
      </c>
      <c r="B1718" s="565" t="s">
        <v>4086</v>
      </c>
      <c r="C1718" s="567" t="s">
        <v>5537</v>
      </c>
      <c r="D1718" s="568" t="s">
        <v>3290</v>
      </c>
      <c r="E1718" s="560">
        <v>29294</v>
      </c>
      <c r="F1718" s="560">
        <v>1253676</v>
      </c>
      <c r="G1718" s="560">
        <v>26194</v>
      </c>
      <c r="H1718" s="657"/>
      <c r="I1718" s="564"/>
      <c r="M1718" s="329"/>
      <c r="P1718" s="593"/>
      <c r="Q1718" s="685"/>
      <c r="R1718" s="685"/>
      <c r="S1718" s="329"/>
      <c r="U1718" s="593"/>
      <c r="Z1718" s="329"/>
      <c r="AB1718" s="589"/>
    </row>
    <row r="1719" spans="1:28">
      <c r="A1719" s="631" t="str">
        <f t="shared" si="37"/>
        <v>DD.05.4042</v>
      </c>
      <c r="B1719" s="565" t="s">
        <v>4087</v>
      </c>
      <c r="C1719" s="567" t="s">
        <v>5538</v>
      </c>
      <c r="D1719" s="568" t="s">
        <v>3290</v>
      </c>
      <c r="E1719" s="560">
        <v>30274</v>
      </c>
      <c r="F1719" s="560">
        <v>1378445</v>
      </c>
      <c r="G1719" s="560">
        <v>28472</v>
      </c>
      <c r="H1719" s="657"/>
      <c r="I1719" s="564"/>
      <c r="M1719" s="329"/>
      <c r="P1719" s="593"/>
      <c r="Q1719" s="685"/>
      <c r="R1719" s="685"/>
      <c r="S1719" s="329"/>
      <c r="U1719" s="593"/>
      <c r="Z1719" s="329"/>
      <c r="AB1719" s="589"/>
    </row>
    <row r="1720" spans="1:28">
      <c r="A1720" s="631" t="str">
        <f t="shared" si="37"/>
        <v>DD.05.4052</v>
      </c>
      <c r="B1720" s="565" t="s">
        <v>4088</v>
      </c>
      <c r="C1720" s="567" t="s">
        <v>5539</v>
      </c>
      <c r="D1720" s="568" t="s">
        <v>3290</v>
      </c>
      <c r="E1720" s="560">
        <v>31253</v>
      </c>
      <c r="F1720" s="560">
        <v>1509203</v>
      </c>
      <c r="G1720" s="560">
        <v>28472</v>
      </c>
      <c r="H1720" s="657"/>
      <c r="I1720" s="564"/>
      <c r="M1720" s="329"/>
      <c r="P1720" s="593"/>
      <c r="Q1720" s="685"/>
      <c r="R1720" s="685"/>
      <c r="S1720" s="329"/>
      <c r="U1720" s="593"/>
      <c r="Z1720" s="329"/>
      <c r="AB1720" s="589"/>
    </row>
    <row r="1721" spans="1:28">
      <c r="A1721" s="631" t="str">
        <f t="shared" si="37"/>
        <v>DD.05.4062</v>
      </c>
      <c r="B1721" s="565" t="s">
        <v>4089</v>
      </c>
      <c r="C1721" s="567" t="s">
        <v>5540</v>
      </c>
      <c r="D1721" s="568" t="s">
        <v>3290</v>
      </c>
      <c r="E1721" s="560">
        <v>33211</v>
      </c>
      <c r="F1721" s="560">
        <v>1733787</v>
      </c>
      <c r="G1721" s="560">
        <v>34166</v>
      </c>
      <c r="H1721" s="657"/>
      <c r="I1721" s="564"/>
      <c r="M1721" s="329"/>
      <c r="P1721" s="593"/>
      <c r="Q1721" s="685"/>
      <c r="R1721" s="685"/>
      <c r="S1721" s="329"/>
      <c r="U1721" s="593"/>
      <c r="Z1721" s="329"/>
      <c r="AB1721" s="589"/>
    </row>
    <row r="1722" spans="1:28">
      <c r="A1722" s="631" t="str">
        <f t="shared" si="37"/>
        <v>DD.05.4072</v>
      </c>
      <c r="B1722" s="565" t="s">
        <v>4090</v>
      </c>
      <c r="C1722" s="567" t="s">
        <v>5564</v>
      </c>
      <c r="D1722" s="568" t="s">
        <v>3290</v>
      </c>
      <c r="E1722" s="560">
        <v>33211</v>
      </c>
      <c r="F1722" s="560">
        <v>1994304</v>
      </c>
      <c r="G1722" s="560">
        <v>45554</v>
      </c>
      <c r="H1722" s="657"/>
      <c r="I1722" s="564"/>
      <c r="M1722" s="329"/>
      <c r="P1722" s="593"/>
      <c r="Q1722" s="685"/>
      <c r="R1722" s="685"/>
      <c r="S1722" s="329"/>
      <c r="U1722" s="593"/>
      <c r="Z1722" s="329"/>
      <c r="AB1722" s="589"/>
    </row>
    <row r="1723" spans="1:28">
      <c r="A1723" s="631"/>
      <c r="B1723" s="569" t="s">
        <v>4879</v>
      </c>
      <c r="C1723" s="567"/>
      <c r="D1723" s="568"/>
      <c r="E1723" s="560"/>
      <c r="F1723" s="560"/>
      <c r="G1723" s="560"/>
      <c r="H1723" s="657"/>
      <c r="I1723" s="564"/>
      <c r="M1723" s="329"/>
      <c r="P1723" s="593"/>
      <c r="Q1723" s="685"/>
      <c r="R1723" s="685"/>
      <c r="S1723" s="329"/>
      <c r="U1723" s="593"/>
      <c r="Z1723" s="329"/>
      <c r="AB1723" s="589"/>
    </row>
    <row r="1724" spans="1:28">
      <c r="A1724" s="631"/>
      <c r="B1724" s="569" t="s">
        <v>4880</v>
      </c>
      <c r="C1724" s="567"/>
      <c r="D1724" s="568"/>
      <c r="E1724" s="560"/>
      <c r="F1724" s="560"/>
      <c r="G1724" s="560"/>
      <c r="H1724" s="657"/>
      <c r="I1724" s="564"/>
      <c r="M1724" s="329"/>
      <c r="P1724" s="593"/>
      <c r="Q1724" s="685"/>
      <c r="R1724" s="685"/>
      <c r="S1724" s="329"/>
      <c r="U1724" s="593"/>
      <c r="Z1724" s="329"/>
      <c r="AB1724" s="589"/>
    </row>
    <row r="1725" spans="1:28">
      <c r="A1725" s="631" t="str">
        <f>"DD."&amp;B1725</f>
        <v>DD.05.5101</v>
      </c>
      <c r="B1725" s="565" t="s">
        <v>3591</v>
      </c>
      <c r="C1725" s="567" t="s">
        <v>5565</v>
      </c>
      <c r="D1725" s="568" t="s">
        <v>4091</v>
      </c>
      <c r="E1725" s="560">
        <v>13230</v>
      </c>
      <c r="F1725" s="560">
        <v>299445</v>
      </c>
      <c r="G1725" s="560"/>
      <c r="H1725" s="657"/>
      <c r="I1725" s="564"/>
      <c r="M1725" s="329"/>
      <c r="P1725" s="593"/>
      <c r="Q1725" s="685"/>
      <c r="R1725" s="685"/>
      <c r="S1725" s="329"/>
      <c r="U1725" s="593"/>
      <c r="Z1725" s="329"/>
      <c r="AB1725" s="589"/>
    </row>
    <row r="1726" spans="1:28">
      <c r="A1726" s="631" t="str">
        <f>"DD."&amp;B1726</f>
        <v>DD.05.5102</v>
      </c>
      <c r="B1726" s="565" t="s">
        <v>3593</v>
      </c>
      <c r="C1726" s="567" t="s">
        <v>5566</v>
      </c>
      <c r="D1726" s="568" t="s">
        <v>4091</v>
      </c>
      <c r="E1726" s="560">
        <v>13230</v>
      </c>
      <c r="F1726" s="560">
        <v>314417</v>
      </c>
      <c r="G1726" s="560"/>
      <c r="H1726" s="657"/>
      <c r="I1726" s="564"/>
      <c r="M1726" s="329"/>
      <c r="P1726" s="593"/>
      <c r="Q1726" s="685"/>
      <c r="R1726" s="685"/>
      <c r="S1726" s="329"/>
      <c r="U1726" s="593"/>
      <c r="Z1726" s="329"/>
      <c r="AB1726" s="589"/>
    </row>
    <row r="1727" spans="1:28">
      <c r="A1727" s="631" t="str">
        <f>"DD."&amp;B1727</f>
        <v>DD.05.5103</v>
      </c>
      <c r="B1727" s="565" t="s">
        <v>3595</v>
      </c>
      <c r="C1727" s="567" t="s">
        <v>692</v>
      </c>
      <c r="D1727" s="568" t="s">
        <v>4091</v>
      </c>
      <c r="E1727" s="560">
        <v>31189</v>
      </c>
      <c r="F1727" s="560">
        <v>359334</v>
      </c>
      <c r="G1727" s="560"/>
      <c r="H1727" s="657"/>
      <c r="I1727" s="564"/>
      <c r="M1727" s="329"/>
      <c r="P1727" s="593"/>
      <c r="Q1727" s="685"/>
      <c r="R1727" s="685"/>
      <c r="S1727" s="329"/>
      <c r="U1727" s="593"/>
      <c r="Z1727" s="329"/>
      <c r="AB1727" s="589"/>
    </row>
    <row r="1728" spans="1:28">
      <c r="A1728" s="631"/>
      <c r="B1728" s="569" t="s">
        <v>4881</v>
      </c>
      <c r="C1728" s="567"/>
      <c r="D1728" s="568"/>
      <c r="E1728" s="560"/>
      <c r="F1728" s="560"/>
      <c r="G1728" s="560"/>
      <c r="H1728" s="657"/>
      <c r="I1728" s="564"/>
      <c r="M1728" s="329"/>
      <c r="P1728" s="593"/>
      <c r="Q1728" s="685"/>
      <c r="R1728" s="685"/>
      <c r="S1728" s="329"/>
      <c r="U1728" s="593"/>
      <c r="Z1728" s="329"/>
      <c r="AB1728" s="589"/>
    </row>
    <row r="1729" spans="1:28">
      <c r="A1729" s="631" t="str">
        <f t="shared" ref="A1729:A1736" si="38">"DD."&amp;B1729</f>
        <v>DD.05.5201</v>
      </c>
      <c r="B1729" s="565" t="s">
        <v>4092</v>
      </c>
      <c r="C1729" s="567" t="s">
        <v>693</v>
      </c>
      <c r="D1729" s="568" t="s">
        <v>5687</v>
      </c>
      <c r="E1729" s="560">
        <v>17400</v>
      </c>
      <c r="F1729" s="560">
        <v>460147</v>
      </c>
      <c r="G1729" s="560"/>
      <c r="H1729" s="657"/>
      <c r="I1729" s="564"/>
      <c r="M1729" s="329"/>
      <c r="P1729" s="593"/>
      <c r="Q1729" s="685"/>
      <c r="R1729" s="685"/>
      <c r="S1729" s="329"/>
      <c r="U1729" s="593"/>
      <c r="Z1729" s="329"/>
      <c r="AB1729" s="589"/>
    </row>
    <row r="1730" spans="1:28">
      <c r="A1730" s="631" t="str">
        <f t="shared" si="38"/>
        <v>DD.05.5301</v>
      </c>
      <c r="B1730" s="565" t="s">
        <v>4093</v>
      </c>
      <c r="C1730" s="567" t="s">
        <v>694</v>
      </c>
      <c r="D1730" s="568" t="s">
        <v>5687</v>
      </c>
      <c r="E1730" s="560">
        <v>17400</v>
      </c>
      <c r="F1730" s="560">
        <v>495082</v>
      </c>
      <c r="G1730" s="560"/>
      <c r="H1730" s="657"/>
      <c r="I1730" s="564"/>
      <c r="M1730" s="329"/>
      <c r="P1730" s="593"/>
      <c r="Q1730" s="685"/>
      <c r="R1730" s="685"/>
      <c r="S1730" s="329"/>
      <c r="U1730" s="593"/>
      <c r="Z1730" s="329"/>
      <c r="AB1730" s="589"/>
    </row>
    <row r="1731" spans="1:28">
      <c r="A1731" s="631" t="str">
        <f t="shared" si="38"/>
        <v>DD.05.5401</v>
      </c>
      <c r="B1731" s="565" t="s">
        <v>4094</v>
      </c>
      <c r="C1731" s="567" t="s">
        <v>695</v>
      </c>
      <c r="D1731" s="568" t="s">
        <v>5687</v>
      </c>
      <c r="E1731" s="560">
        <v>17400</v>
      </c>
      <c r="F1731" s="560">
        <v>530018</v>
      </c>
      <c r="G1731" s="560"/>
      <c r="H1731" s="657"/>
      <c r="I1731" s="564"/>
      <c r="M1731" s="329"/>
      <c r="P1731" s="593"/>
      <c r="Q1731" s="685"/>
      <c r="R1731" s="685"/>
      <c r="S1731" s="329"/>
      <c r="U1731" s="593"/>
      <c r="Z1731" s="329"/>
      <c r="AB1731" s="589"/>
    </row>
    <row r="1732" spans="1:28">
      <c r="A1732" s="631" t="str">
        <f t="shared" si="38"/>
        <v>DD.05.5501</v>
      </c>
      <c r="B1732" s="565" t="s">
        <v>4095</v>
      </c>
      <c r="C1732" s="567" t="s">
        <v>4465</v>
      </c>
      <c r="D1732" s="568" t="s">
        <v>5687</v>
      </c>
      <c r="E1732" s="560">
        <v>17400</v>
      </c>
      <c r="F1732" s="560">
        <v>659777</v>
      </c>
      <c r="G1732" s="560"/>
      <c r="H1732" s="657"/>
      <c r="I1732" s="564"/>
      <c r="M1732" s="329"/>
      <c r="P1732" s="593"/>
      <c r="Q1732" s="685"/>
      <c r="R1732" s="685"/>
      <c r="S1732" s="329"/>
      <c r="U1732" s="593"/>
      <c r="Z1732" s="329"/>
      <c r="AB1732" s="589"/>
    </row>
    <row r="1733" spans="1:28">
      <c r="A1733" s="631" t="str">
        <f t="shared" si="38"/>
        <v>DD.05.5601</v>
      </c>
      <c r="B1733" s="565" t="s">
        <v>4096</v>
      </c>
      <c r="C1733" s="567" t="s">
        <v>6231</v>
      </c>
      <c r="D1733" s="568" t="s">
        <v>5687</v>
      </c>
      <c r="E1733" s="560">
        <v>20335</v>
      </c>
      <c r="F1733" s="560">
        <v>717670</v>
      </c>
      <c r="G1733" s="560"/>
      <c r="H1733" s="657"/>
      <c r="I1733" s="564"/>
      <c r="M1733" s="329"/>
      <c r="P1733" s="593"/>
      <c r="Q1733" s="685"/>
      <c r="R1733" s="685"/>
      <c r="S1733" s="329"/>
      <c r="U1733" s="593"/>
      <c r="Z1733" s="329"/>
      <c r="AB1733" s="589"/>
    </row>
    <row r="1734" spans="1:28">
      <c r="A1734" s="631" t="str">
        <f t="shared" si="38"/>
        <v>DD.05.5701</v>
      </c>
      <c r="B1734" s="565" t="s">
        <v>4097</v>
      </c>
      <c r="C1734" s="567" t="s">
        <v>6232</v>
      </c>
      <c r="D1734" s="568" t="s">
        <v>5687</v>
      </c>
      <c r="E1734" s="560">
        <v>20335</v>
      </c>
      <c r="F1734" s="560">
        <v>935267</v>
      </c>
      <c r="G1734" s="560"/>
      <c r="H1734" s="657"/>
      <c r="I1734" s="564"/>
      <c r="M1734" s="329"/>
      <c r="P1734" s="593"/>
      <c r="Q1734" s="685"/>
      <c r="R1734" s="685"/>
      <c r="S1734" s="329"/>
      <c r="U1734" s="593"/>
      <c r="Z1734" s="329"/>
      <c r="AB1734" s="589"/>
    </row>
    <row r="1735" spans="1:28">
      <c r="A1735" s="631" t="str">
        <f t="shared" si="38"/>
        <v>DD.05.5801</v>
      </c>
      <c r="B1735" s="565" t="s">
        <v>545</v>
      </c>
      <c r="C1735" s="567" t="s">
        <v>6233</v>
      </c>
      <c r="D1735" s="568" t="s">
        <v>5687</v>
      </c>
      <c r="E1735" s="560">
        <v>20335</v>
      </c>
      <c r="F1735" s="560">
        <v>1089980</v>
      </c>
      <c r="G1735" s="560"/>
      <c r="H1735" s="657"/>
      <c r="I1735" s="564"/>
      <c r="M1735" s="329"/>
      <c r="P1735" s="593"/>
      <c r="Q1735" s="685"/>
      <c r="R1735" s="685"/>
      <c r="S1735" s="329"/>
      <c r="U1735" s="593"/>
      <c r="Z1735" s="329"/>
      <c r="AB1735" s="589"/>
    </row>
    <row r="1736" spans="1:28">
      <c r="A1736" s="631" t="str">
        <f t="shared" si="38"/>
        <v>DD.05.5901</v>
      </c>
      <c r="B1736" s="565" t="s">
        <v>546</v>
      </c>
      <c r="C1736" s="567" t="s">
        <v>5070</v>
      </c>
      <c r="D1736" s="568" t="s">
        <v>5687</v>
      </c>
      <c r="E1736" s="560">
        <v>20335</v>
      </c>
      <c r="F1736" s="560">
        <v>1189795</v>
      </c>
      <c r="G1736" s="560"/>
      <c r="H1736" s="657"/>
      <c r="I1736" s="564"/>
      <c r="M1736" s="329"/>
      <c r="P1736" s="593"/>
      <c r="Q1736" s="685"/>
      <c r="R1736" s="685"/>
      <c r="S1736" s="329"/>
      <c r="U1736" s="593"/>
      <c r="Z1736" s="329"/>
      <c r="AB1736" s="589"/>
    </row>
    <row r="1737" spans="1:28">
      <c r="A1737" s="631"/>
      <c r="B1737" s="565"/>
      <c r="C1737" s="567"/>
      <c r="D1737" s="568"/>
      <c r="E1737" s="560"/>
      <c r="F1737" s="560"/>
      <c r="G1737" s="560"/>
      <c r="H1737" s="657"/>
      <c r="I1737" s="564"/>
      <c r="M1737" s="329"/>
      <c r="P1737" s="593"/>
      <c r="Q1737" s="685"/>
      <c r="R1737" s="685"/>
      <c r="S1737" s="329"/>
      <c r="U1737" s="593"/>
      <c r="Z1737" s="329"/>
      <c r="AB1737" s="589"/>
    </row>
    <row r="1738" spans="1:28">
      <c r="A1738" s="631" t="str">
        <f t="shared" ref="A1738:A1745" si="39">"DD."&amp;B1738</f>
        <v>DD.05.5202</v>
      </c>
      <c r="B1738" s="565" t="s">
        <v>547</v>
      </c>
      <c r="C1738" s="567" t="s">
        <v>5071</v>
      </c>
      <c r="D1738" s="568" t="s">
        <v>5687</v>
      </c>
      <c r="E1738" s="560">
        <v>17400</v>
      </c>
      <c r="F1738" s="560">
        <v>184658</v>
      </c>
      <c r="G1738" s="560">
        <v>73690</v>
      </c>
      <c r="H1738" s="657"/>
      <c r="I1738" s="564"/>
      <c r="M1738" s="329"/>
      <c r="P1738" s="593"/>
      <c r="Q1738" s="685"/>
      <c r="R1738" s="685"/>
      <c r="S1738" s="329"/>
      <c r="U1738" s="593"/>
      <c r="Z1738" s="329"/>
      <c r="AB1738" s="589"/>
    </row>
    <row r="1739" spans="1:28">
      <c r="A1739" s="631" t="str">
        <f t="shared" si="39"/>
        <v>DD.05.5302</v>
      </c>
      <c r="B1739" s="565" t="s">
        <v>4721</v>
      </c>
      <c r="C1739" s="567" t="s">
        <v>5072</v>
      </c>
      <c r="D1739" s="568" t="s">
        <v>5687</v>
      </c>
      <c r="E1739" s="560">
        <v>17400</v>
      </c>
      <c r="F1739" s="560">
        <v>197634</v>
      </c>
      <c r="G1739" s="560">
        <v>73690</v>
      </c>
      <c r="H1739" s="657"/>
      <c r="I1739" s="564"/>
      <c r="M1739" s="329"/>
      <c r="P1739" s="593"/>
      <c r="Q1739" s="685"/>
      <c r="R1739" s="685"/>
      <c r="S1739" s="329"/>
      <c r="U1739" s="593"/>
      <c r="Z1739" s="329"/>
      <c r="AB1739" s="589"/>
    </row>
    <row r="1740" spans="1:28">
      <c r="A1740" s="631" t="str">
        <f t="shared" si="39"/>
        <v>DD.05.5402</v>
      </c>
      <c r="B1740" s="565" t="s">
        <v>4722</v>
      </c>
      <c r="C1740" s="567" t="s">
        <v>1786</v>
      </c>
      <c r="D1740" s="568" t="s">
        <v>5687</v>
      </c>
      <c r="E1740" s="560">
        <v>17400</v>
      </c>
      <c r="F1740" s="560">
        <v>211608</v>
      </c>
      <c r="G1740" s="560">
        <v>105271</v>
      </c>
      <c r="H1740" s="657"/>
      <c r="I1740" s="564"/>
      <c r="M1740" s="329"/>
      <c r="P1740" s="593"/>
      <c r="Q1740" s="685"/>
      <c r="R1740" s="685"/>
      <c r="S1740" s="329"/>
      <c r="U1740" s="593"/>
      <c r="Z1740" s="329"/>
      <c r="AB1740" s="589"/>
    </row>
    <row r="1741" spans="1:28">
      <c r="A1741" s="631" t="str">
        <f t="shared" si="39"/>
        <v>DD.05.5502</v>
      </c>
      <c r="B1741" s="565" t="s">
        <v>4723</v>
      </c>
      <c r="C1741" s="567" t="s">
        <v>1787</v>
      </c>
      <c r="D1741" s="568" t="s">
        <v>5687</v>
      </c>
      <c r="E1741" s="560">
        <v>17400</v>
      </c>
      <c r="F1741" s="560">
        <v>263512</v>
      </c>
      <c r="G1741" s="560">
        <v>105271</v>
      </c>
      <c r="H1741" s="657"/>
      <c r="I1741" s="564"/>
      <c r="M1741" s="329"/>
      <c r="P1741" s="593"/>
      <c r="Q1741" s="685"/>
      <c r="R1741" s="685"/>
      <c r="S1741" s="329"/>
      <c r="U1741" s="593"/>
      <c r="Z1741" s="329"/>
      <c r="AB1741" s="589"/>
    </row>
    <row r="1742" spans="1:28">
      <c r="A1742" s="631" t="str">
        <f t="shared" si="39"/>
        <v>DD.05.5602</v>
      </c>
      <c r="B1742" s="565" t="s">
        <v>1495</v>
      </c>
      <c r="C1742" s="567" t="s">
        <v>1788</v>
      </c>
      <c r="D1742" s="568" t="s">
        <v>5687</v>
      </c>
      <c r="E1742" s="560">
        <v>20335</v>
      </c>
      <c r="F1742" s="560">
        <v>108162</v>
      </c>
      <c r="G1742" s="560">
        <v>147379</v>
      </c>
      <c r="H1742" s="657"/>
      <c r="I1742" s="564"/>
      <c r="M1742" s="329"/>
      <c r="P1742" s="593"/>
      <c r="Q1742" s="685"/>
      <c r="R1742" s="685"/>
      <c r="S1742" s="329"/>
      <c r="U1742" s="593"/>
      <c r="Z1742" s="329"/>
      <c r="AB1742" s="589"/>
    </row>
    <row r="1743" spans="1:28">
      <c r="A1743" s="631" t="str">
        <f t="shared" si="39"/>
        <v>DD.05.5702</v>
      </c>
      <c r="B1743" s="565" t="s">
        <v>1496</v>
      </c>
      <c r="C1743" s="567" t="s">
        <v>1789</v>
      </c>
      <c r="D1743" s="568" t="s">
        <v>5687</v>
      </c>
      <c r="E1743" s="560">
        <v>20335</v>
      </c>
      <c r="F1743" s="560">
        <v>108162</v>
      </c>
      <c r="G1743" s="560">
        <v>147379</v>
      </c>
      <c r="H1743" s="657"/>
      <c r="I1743" s="564"/>
      <c r="M1743" s="329"/>
      <c r="P1743" s="593"/>
      <c r="Q1743" s="685"/>
      <c r="R1743" s="685"/>
      <c r="S1743" s="329"/>
      <c r="U1743" s="593"/>
      <c r="Z1743" s="329"/>
      <c r="AB1743" s="589"/>
    </row>
    <row r="1744" spans="1:28">
      <c r="A1744" s="631" t="str">
        <f t="shared" si="39"/>
        <v>DD.05.5802</v>
      </c>
      <c r="B1744" s="565" t="s">
        <v>5693</v>
      </c>
      <c r="C1744" s="567" t="s">
        <v>1790</v>
      </c>
      <c r="D1744" s="568" t="s">
        <v>5687</v>
      </c>
      <c r="E1744" s="560">
        <v>20335</v>
      </c>
      <c r="F1744" s="560">
        <v>165849</v>
      </c>
      <c r="G1744" s="560">
        <v>210542</v>
      </c>
      <c r="H1744" s="657"/>
      <c r="I1744" s="564"/>
      <c r="M1744" s="329"/>
      <c r="P1744" s="593"/>
      <c r="Q1744" s="685"/>
      <c r="R1744" s="685"/>
      <c r="S1744" s="329"/>
      <c r="U1744" s="593"/>
      <c r="Z1744" s="329"/>
      <c r="AB1744" s="589"/>
    </row>
    <row r="1745" spans="1:28">
      <c r="A1745" s="631" t="str">
        <f t="shared" si="39"/>
        <v>DD.05.5902</v>
      </c>
      <c r="B1745" s="565" t="s">
        <v>5694</v>
      </c>
      <c r="C1745" s="567" t="s">
        <v>1791</v>
      </c>
      <c r="D1745" s="568" t="s">
        <v>5687</v>
      </c>
      <c r="E1745" s="560">
        <v>20335</v>
      </c>
      <c r="F1745" s="560">
        <v>165849</v>
      </c>
      <c r="G1745" s="560">
        <v>210542</v>
      </c>
      <c r="H1745" s="657"/>
      <c r="I1745" s="564"/>
      <c r="M1745" s="329"/>
      <c r="P1745" s="593"/>
      <c r="Q1745" s="685"/>
      <c r="R1745" s="685"/>
      <c r="S1745" s="329"/>
      <c r="U1745" s="593"/>
      <c r="Z1745" s="329"/>
      <c r="AB1745" s="589"/>
    </row>
    <row r="1746" spans="1:28">
      <c r="A1746" s="631"/>
      <c r="B1746" s="565"/>
      <c r="C1746" s="567"/>
      <c r="D1746" s="568"/>
      <c r="E1746" s="560"/>
      <c r="F1746" s="560"/>
      <c r="G1746" s="560"/>
      <c r="H1746" s="657"/>
      <c r="I1746" s="564"/>
      <c r="M1746" s="329"/>
      <c r="P1746" s="593"/>
      <c r="Q1746" s="685"/>
      <c r="R1746" s="685"/>
      <c r="S1746" s="329"/>
      <c r="U1746" s="593"/>
      <c r="Z1746" s="329"/>
      <c r="AB1746" s="589"/>
    </row>
    <row r="1747" spans="1:28">
      <c r="A1747" s="631" t="str">
        <f>"DD."&amp;B1747</f>
        <v>DD.05.5603</v>
      </c>
      <c r="B1747" s="565" t="s">
        <v>5695</v>
      </c>
      <c r="C1747" s="567" t="s">
        <v>1792</v>
      </c>
      <c r="D1747" s="568" t="s">
        <v>5687</v>
      </c>
      <c r="E1747" s="560">
        <v>20335</v>
      </c>
      <c r="F1747" s="560">
        <v>323401</v>
      </c>
      <c r="G1747" s="560">
        <v>108162</v>
      </c>
      <c r="H1747" s="657"/>
      <c r="I1747" s="564"/>
      <c r="M1747" s="329"/>
      <c r="P1747" s="593"/>
      <c r="Q1747" s="685"/>
      <c r="R1747" s="685"/>
      <c r="S1747" s="329"/>
      <c r="U1747" s="593"/>
      <c r="Z1747" s="329"/>
      <c r="AB1747" s="589"/>
    </row>
    <row r="1748" spans="1:28">
      <c r="A1748" s="631" t="str">
        <f>"DD."&amp;B1748</f>
        <v>DD.05.5703</v>
      </c>
      <c r="B1748" s="565" t="s">
        <v>4499</v>
      </c>
      <c r="C1748" s="567" t="s">
        <v>1793</v>
      </c>
      <c r="D1748" s="568" t="s">
        <v>5687</v>
      </c>
      <c r="E1748" s="560">
        <v>20335</v>
      </c>
      <c r="F1748" s="560">
        <v>421219</v>
      </c>
      <c r="G1748" s="560">
        <v>108162</v>
      </c>
      <c r="H1748" s="657"/>
      <c r="I1748" s="564"/>
      <c r="M1748" s="329"/>
      <c r="P1748" s="593"/>
      <c r="Q1748" s="685"/>
      <c r="R1748" s="685"/>
      <c r="S1748" s="329"/>
      <c r="U1748" s="593"/>
      <c r="Z1748" s="329"/>
      <c r="AB1748" s="589"/>
    </row>
    <row r="1749" spans="1:28">
      <c r="A1749" s="631" t="str">
        <f>"DD."&amp;B1749</f>
        <v>DD.05.5803</v>
      </c>
      <c r="B1749" s="565" t="s">
        <v>4500</v>
      </c>
      <c r="C1749" s="567" t="s">
        <v>1794</v>
      </c>
      <c r="D1749" s="568" t="s">
        <v>5687</v>
      </c>
      <c r="E1749" s="560">
        <v>20335</v>
      </c>
      <c r="F1749" s="560">
        <v>490092</v>
      </c>
      <c r="G1749" s="560">
        <v>165849</v>
      </c>
      <c r="H1749" s="657"/>
      <c r="I1749" s="564"/>
      <c r="M1749" s="329"/>
      <c r="P1749" s="593"/>
      <c r="Q1749" s="685"/>
      <c r="R1749" s="685"/>
      <c r="S1749" s="329"/>
      <c r="U1749" s="593"/>
      <c r="Z1749" s="329"/>
      <c r="AB1749" s="589"/>
    </row>
    <row r="1750" spans="1:28">
      <c r="A1750" s="631" t="str">
        <f>"DD."&amp;B1750</f>
        <v>DD.05.5903</v>
      </c>
      <c r="B1750" s="565" t="s">
        <v>4501</v>
      </c>
      <c r="C1750" s="567" t="s">
        <v>4487</v>
      </c>
      <c r="D1750" s="568" t="s">
        <v>5687</v>
      </c>
      <c r="E1750" s="560">
        <v>20335</v>
      </c>
      <c r="F1750" s="560">
        <v>535008</v>
      </c>
      <c r="G1750" s="560">
        <v>165849</v>
      </c>
      <c r="H1750" s="657"/>
      <c r="I1750" s="564"/>
      <c r="M1750" s="329"/>
      <c r="P1750" s="593"/>
      <c r="Q1750" s="685"/>
      <c r="R1750" s="685"/>
      <c r="S1750" s="329"/>
      <c r="U1750" s="593"/>
      <c r="Z1750" s="329"/>
      <c r="AB1750" s="589"/>
    </row>
    <row r="1751" spans="1:28">
      <c r="A1751" s="631"/>
      <c r="B1751" s="569" t="s">
        <v>3350</v>
      </c>
      <c r="C1751" s="567"/>
      <c r="D1751" s="568"/>
      <c r="E1751" s="560"/>
      <c r="F1751" s="560"/>
      <c r="G1751" s="560"/>
      <c r="H1751" s="657"/>
      <c r="I1751" s="564"/>
      <c r="M1751" s="329"/>
      <c r="P1751" s="593"/>
      <c r="Q1751" s="685"/>
      <c r="R1751" s="685"/>
      <c r="S1751" s="329"/>
      <c r="U1751" s="593"/>
      <c r="Z1751" s="329"/>
      <c r="AB1751" s="589"/>
    </row>
    <row r="1752" spans="1:28">
      <c r="A1752" s="631" t="str">
        <f t="shared" ref="A1752:A1760" si="40">"DD."&amp;B1752</f>
        <v>DD.05.6001</v>
      </c>
      <c r="B1752" s="565" t="s">
        <v>3081</v>
      </c>
      <c r="C1752" s="567" t="s">
        <v>772</v>
      </c>
      <c r="D1752" s="566" t="s">
        <v>1297</v>
      </c>
      <c r="E1752" s="561"/>
      <c r="F1752" s="560">
        <v>47292</v>
      </c>
      <c r="G1752" s="560"/>
      <c r="H1752" s="657"/>
      <c r="I1752" s="564"/>
      <c r="M1752" s="329"/>
      <c r="P1752" s="593"/>
      <c r="Q1752" s="685"/>
      <c r="R1752" s="685"/>
      <c r="S1752" s="329"/>
      <c r="U1752" s="593"/>
      <c r="Z1752" s="329"/>
      <c r="AB1752" s="589"/>
    </row>
    <row r="1753" spans="1:28">
      <c r="A1753" s="631" t="str">
        <f t="shared" si="40"/>
        <v>DD.05.6011</v>
      </c>
      <c r="B1753" s="565" t="s">
        <v>1602</v>
      </c>
      <c r="C1753" s="567" t="s">
        <v>773</v>
      </c>
      <c r="D1753" s="566" t="s">
        <v>1297</v>
      </c>
      <c r="E1753" s="561"/>
      <c r="F1753" s="560">
        <v>78821</v>
      </c>
      <c r="G1753" s="560"/>
      <c r="H1753" s="657"/>
      <c r="I1753" s="564"/>
      <c r="M1753" s="329"/>
      <c r="P1753" s="593"/>
      <c r="Q1753" s="685"/>
      <c r="R1753" s="685"/>
      <c r="S1753" s="329"/>
      <c r="U1753" s="593"/>
      <c r="Z1753" s="329"/>
      <c r="AB1753" s="589"/>
    </row>
    <row r="1754" spans="1:28">
      <c r="A1754" s="631" t="str">
        <f t="shared" si="40"/>
        <v>DD.05.6021</v>
      </c>
      <c r="B1754" s="565" t="s">
        <v>1603</v>
      </c>
      <c r="C1754" s="567" t="s">
        <v>774</v>
      </c>
      <c r="D1754" s="566" t="s">
        <v>1297</v>
      </c>
      <c r="E1754" s="561"/>
      <c r="F1754" s="560">
        <v>106640</v>
      </c>
      <c r="G1754" s="560"/>
      <c r="H1754" s="657"/>
      <c r="I1754" s="564"/>
      <c r="M1754" s="329"/>
      <c r="P1754" s="593"/>
      <c r="Q1754" s="685"/>
      <c r="R1754" s="685"/>
      <c r="S1754" s="329"/>
      <c r="U1754" s="593"/>
      <c r="Z1754" s="329"/>
      <c r="AB1754" s="589"/>
    </row>
    <row r="1755" spans="1:28">
      <c r="A1755" s="631" t="str">
        <f t="shared" si="40"/>
        <v>DD.05.6031</v>
      </c>
      <c r="B1755" s="565" t="s">
        <v>3697</v>
      </c>
      <c r="C1755" s="567" t="s">
        <v>775</v>
      </c>
      <c r="D1755" s="566" t="s">
        <v>1297</v>
      </c>
      <c r="E1755" s="561"/>
      <c r="F1755" s="560">
        <v>143732</v>
      </c>
      <c r="G1755" s="560"/>
      <c r="H1755" s="657"/>
      <c r="I1755" s="564"/>
      <c r="M1755" s="329"/>
      <c r="P1755" s="593"/>
      <c r="Q1755" s="685"/>
      <c r="R1755" s="685"/>
      <c r="S1755" s="329"/>
      <c r="U1755" s="593"/>
      <c r="Z1755" s="329"/>
      <c r="AB1755" s="589"/>
    </row>
    <row r="1756" spans="1:28">
      <c r="A1756" s="631" t="str">
        <f t="shared" si="40"/>
        <v>DD.05.6041</v>
      </c>
      <c r="B1756" s="565" t="s">
        <v>3698</v>
      </c>
      <c r="C1756" s="567" t="s">
        <v>776</v>
      </c>
      <c r="D1756" s="566" t="s">
        <v>1297</v>
      </c>
      <c r="E1756" s="561"/>
      <c r="F1756" s="560">
        <v>172478</v>
      </c>
      <c r="G1756" s="560"/>
      <c r="H1756" s="657"/>
      <c r="I1756" s="564"/>
      <c r="M1756" s="329"/>
      <c r="P1756" s="593"/>
      <c r="Q1756" s="685"/>
      <c r="R1756" s="685"/>
      <c r="S1756" s="329"/>
      <c r="U1756" s="593"/>
      <c r="Z1756" s="329"/>
      <c r="AB1756" s="589"/>
    </row>
    <row r="1757" spans="1:28">
      <c r="A1757" s="631" t="str">
        <f t="shared" si="40"/>
        <v>DD.05.6051</v>
      </c>
      <c r="B1757" s="565" t="s">
        <v>3699</v>
      </c>
      <c r="C1757" s="567" t="s">
        <v>777</v>
      </c>
      <c r="D1757" s="566" t="s">
        <v>1297</v>
      </c>
      <c r="E1757" s="561"/>
      <c r="F1757" s="560">
        <v>238316</v>
      </c>
      <c r="G1757" s="560"/>
      <c r="H1757" s="657"/>
      <c r="I1757" s="564"/>
      <c r="M1757" s="329"/>
      <c r="P1757" s="593"/>
      <c r="Q1757" s="685"/>
      <c r="R1757" s="685"/>
      <c r="S1757" s="329"/>
      <c r="U1757" s="593"/>
      <c r="Z1757" s="329"/>
      <c r="AB1757" s="589"/>
    </row>
    <row r="1758" spans="1:28">
      <c r="A1758" s="631" t="str">
        <f t="shared" si="40"/>
        <v>DD.05.6061</v>
      </c>
      <c r="B1758" s="565" t="s">
        <v>3700</v>
      </c>
      <c r="C1758" s="567" t="s">
        <v>207</v>
      </c>
      <c r="D1758" s="566" t="s">
        <v>1297</v>
      </c>
      <c r="E1758" s="561"/>
      <c r="F1758" s="560">
        <v>304154</v>
      </c>
      <c r="G1758" s="560"/>
      <c r="H1758" s="657"/>
      <c r="I1758" s="564"/>
      <c r="M1758" s="329"/>
      <c r="P1758" s="593"/>
      <c r="Q1758" s="685"/>
      <c r="R1758" s="685"/>
      <c r="S1758" s="329"/>
      <c r="U1758" s="593"/>
      <c r="Z1758" s="329"/>
      <c r="AB1758" s="589"/>
    </row>
    <row r="1759" spans="1:28">
      <c r="A1759" s="631" t="str">
        <f t="shared" si="40"/>
        <v>DD.05.6071</v>
      </c>
      <c r="B1759" s="565" t="s">
        <v>3701</v>
      </c>
      <c r="C1759" s="567" t="s">
        <v>208</v>
      </c>
      <c r="D1759" s="566" t="s">
        <v>1297</v>
      </c>
      <c r="E1759" s="561"/>
      <c r="F1759" s="560">
        <v>358865</v>
      </c>
      <c r="G1759" s="560"/>
      <c r="H1759" s="657"/>
      <c r="I1759" s="564"/>
      <c r="M1759" s="329"/>
      <c r="P1759" s="593"/>
      <c r="Q1759" s="685"/>
      <c r="R1759" s="685"/>
      <c r="S1759" s="329"/>
      <c r="U1759" s="593"/>
      <c r="Z1759" s="329"/>
      <c r="AB1759" s="589"/>
    </row>
    <row r="1760" spans="1:28">
      <c r="A1760" s="631" t="str">
        <f t="shared" si="40"/>
        <v>DD.05.6081</v>
      </c>
      <c r="B1760" s="565" t="s">
        <v>3702</v>
      </c>
      <c r="C1760" s="567" t="s">
        <v>209</v>
      </c>
      <c r="D1760" s="566" t="s">
        <v>1297</v>
      </c>
      <c r="E1760" s="561"/>
      <c r="F1760" s="560">
        <v>423776</v>
      </c>
      <c r="G1760" s="560"/>
      <c r="H1760" s="657"/>
      <c r="I1760" s="564"/>
      <c r="M1760" s="329"/>
      <c r="P1760" s="593"/>
      <c r="Q1760" s="685"/>
      <c r="R1760" s="685"/>
      <c r="S1760" s="329"/>
      <c r="U1760" s="593"/>
      <c r="Z1760" s="329"/>
      <c r="AB1760" s="589"/>
    </row>
    <row r="1761" spans="1:28">
      <c r="A1761" s="631"/>
      <c r="B1761" s="565"/>
      <c r="C1761" s="567"/>
      <c r="D1761" s="566"/>
      <c r="E1761" s="561"/>
      <c r="F1761" s="560"/>
      <c r="G1761" s="560"/>
      <c r="H1761" s="657"/>
      <c r="I1761" s="564"/>
      <c r="M1761" s="329"/>
      <c r="P1761" s="593"/>
      <c r="Q1761" s="685"/>
      <c r="R1761" s="685"/>
      <c r="S1761" s="329"/>
      <c r="U1761" s="593"/>
      <c r="Z1761" s="329"/>
      <c r="AB1761" s="589"/>
    </row>
    <row r="1762" spans="1:28">
      <c r="A1762" s="631" t="str">
        <f t="shared" ref="A1762:A1770" si="41">"DD."&amp;B1762</f>
        <v>DD.05.6002</v>
      </c>
      <c r="B1762" s="565" t="s">
        <v>3703</v>
      </c>
      <c r="C1762" s="567" t="s">
        <v>5562</v>
      </c>
      <c r="D1762" s="566" t="s">
        <v>1297</v>
      </c>
      <c r="E1762" s="561"/>
      <c r="F1762" s="560">
        <v>62871</v>
      </c>
      <c r="G1762" s="560"/>
      <c r="H1762" s="657"/>
      <c r="I1762" s="564"/>
      <c r="M1762" s="329"/>
      <c r="P1762" s="593"/>
      <c r="Q1762" s="685"/>
      <c r="R1762" s="685"/>
      <c r="S1762" s="329"/>
      <c r="U1762" s="593"/>
      <c r="Z1762" s="329"/>
      <c r="AB1762" s="589"/>
    </row>
    <row r="1763" spans="1:28">
      <c r="A1763" s="631" t="str">
        <f t="shared" si="41"/>
        <v>DD.05.6012</v>
      </c>
      <c r="B1763" s="565" t="s">
        <v>3704</v>
      </c>
      <c r="C1763" s="567" t="s">
        <v>6083</v>
      </c>
      <c r="D1763" s="566" t="s">
        <v>1297</v>
      </c>
      <c r="E1763" s="561"/>
      <c r="F1763" s="560">
        <v>104785</v>
      </c>
      <c r="G1763" s="560"/>
      <c r="H1763" s="657"/>
      <c r="I1763" s="564"/>
      <c r="M1763" s="329"/>
      <c r="P1763" s="593"/>
      <c r="Q1763" s="685"/>
      <c r="R1763" s="685"/>
      <c r="S1763" s="329"/>
      <c r="U1763" s="593"/>
      <c r="Z1763" s="329"/>
      <c r="AB1763" s="589"/>
    </row>
    <row r="1764" spans="1:28">
      <c r="A1764" s="631" t="str">
        <f t="shared" si="41"/>
        <v>DD.05.6022</v>
      </c>
      <c r="B1764" s="565" t="s">
        <v>3705</v>
      </c>
      <c r="C1764" s="567" t="s">
        <v>6084</v>
      </c>
      <c r="D1764" s="566" t="s">
        <v>1297</v>
      </c>
      <c r="E1764" s="561"/>
      <c r="F1764" s="560">
        <v>141877</v>
      </c>
      <c r="G1764" s="560"/>
      <c r="H1764" s="657"/>
      <c r="I1764" s="564"/>
      <c r="M1764" s="329"/>
      <c r="P1764" s="593"/>
      <c r="Q1764" s="685"/>
      <c r="R1764" s="685"/>
      <c r="S1764" s="329"/>
      <c r="U1764" s="593"/>
      <c r="Z1764" s="329"/>
      <c r="AB1764" s="589"/>
    </row>
    <row r="1765" spans="1:28">
      <c r="A1765" s="631" t="str">
        <f t="shared" si="41"/>
        <v>DD.05.6032</v>
      </c>
      <c r="B1765" s="565" t="s">
        <v>3706</v>
      </c>
      <c r="C1765" s="567" t="s">
        <v>5228</v>
      </c>
      <c r="D1765" s="566" t="s">
        <v>1297</v>
      </c>
      <c r="E1765" s="561"/>
      <c r="F1765" s="560">
        <v>191024</v>
      </c>
      <c r="G1765" s="560"/>
      <c r="H1765" s="657"/>
      <c r="I1765" s="564"/>
      <c r="M1765" s="329"/>
      <c r="P1765" s="593"/>
      <c r="Q1765" s="685"/>
      <c r="R1765" s="685"/>
      <c r="S1765" s="329"/>
      <c r="U1765" s="593"/>
      <c r="Z1765" s="329"/>
      <c r="AB1765" s="589"/>
    </row>
    <row r="1766" spans="1:28">
      <c r="A1766" s="631" t="str">
        <f t="shared" si="41"/>
        <v>DD.05.6042</v>
      </c>
      <c r="B1766" s="565" t="s">
        <v>3707</v>
      </c>
      <c r="C1766" s="567" t="s">
        <v>3425</v>
      </c>
      <c r="D1766" s="566" t="s">
        <v>1297</v>
      </c>
      <c r="E1766" s="561"/>
      <c r="F1766" s="560">
        <v>229043</v>
      </c>
      <c r="G1766" s="560"/>
      <c r="H1766" s="657"/>
      <c r="I1766" s="564"/>
      <c r="M1766" s="329"/>
      <c r="P1766" s="593"/>
      <c r="Q1766" s="685"/>
      <c r="R1766" s="685"/>
      <c r="S1766" s="329"/>
      <c r="U1766" s="593"/>
      <c r="Z1766" s="329"/>
      <c r="AB1766" s="589"/>
    </row>
    <row r="1767" spans="1:28">
      <c r="A1767" s="631" t="str">
        <f t="shared" si="41"/>
        <v>DD.05.6052</v>
      </c>
      <c r="B1767" s="565" t="s">
        <v>3708</v>
      </c>
      <c r="C1767" s="567" t="s">
        <v>3426</v>
      </c>
      <c r="D1767" s="566" t="s">
        <v>1297</v>
      </c>
      <c r="E1767" s="561"/>
      <c r="F1767" s="560">
        <v>316209</v>
      </c>
      <c r="G1767" s="560"/>
      <c r="H1767" s="657"/>
      <c r="I1767" s="564"/>
      <c r="M1767" s="329"/>
      <c r="P1767" s="593"/>
      <c r="Q1767" s="685"/>
      <c r="R1767" s="685"/>
      <c r="S1767" s="329"/>
      <c r="U1767" s="593"/>
      <c r="Z1767" s="329"/>
      <c r="AB1767" s="589"/>
    </row>
    <row r="1768" spans="1:28">
      <c r="A1768" s="631" t="str">
        <f t="shared" si="41"/>
        <v>DD.05.6062</v>
      </c>
      <c r="B1768" s="565" t="s">
        <v>2632</v>
      </c>
      <c r="C1768" s="567" t="s">
        <v>3427</v>
      </c>
      <c r="D1768" s="566" t="s">
        <v>1297</v>
      </c>
      <c r="E1768" s="561"/>
      <c r="F1768" s="560">
        <v>404303</v>
      </c>
      <c r="G1768" s="560"/>
      <c r="H1768" s="657"/>
      <c r="I1768" s="564"/>
      <c r="M1768" s="329"/>
      <c r="P1768" s="593"/>
      <c r="Q1768" s="685"/>
      <c r="R1768" s="685"/>
      <c r="S1768" s="329"/>
      <c r="U1768" s="593"/>
      <c r="Z1768" s="329"/>
      <c r="AB1768" s="589"/>
    </row>
    <row r="1769" spans="1:28">
      <c r="A1769" s="631" t="str">
        <f t="shared" si="41"/>
        <v>DD.05.6072</v>
      </c>
      <c r="B1769" s="565" t="s">
        <v>2633</v>
      </c>
      <c r="C1769" s="567" t="s">
        <v>3428</v>
      </c>
      <c r="D1769" s="566" t="s">
        <v>1297</v>
      </c>
      <c r="E1769" s="561"/>
      <c r="F1769" s="560">
        <v>476632</v>
      </c>
      <c r="G1769" s="560"/>
      <c r="H1769" s="657"/>
      <c r="I1769" s="564"/>
      <c r="M1769" s="329"/>
      <c r="P1769" s="593"/>
      <c r="Q1769" s="685"/>
      <c r="R1769" s="685"/>
      <c r="S1769" s="329"/>
      <c r="U1769" s="593"/>
      <c r="Z1769" s="329"/>
      <c r="AB1769" s="589"/>
    </row>
    <row r="1770" spans="1:28">
      <c r="A1770" s="631" t="str">
        <f t="shared" si="41"/>
        <v>DD.05.6082</v>
      </c>
      <c r="B1770" s="565" t="s">
        <v>2634</v>
      </c>
      <c r="C1770" s="567" t="s">
        <v>3429</v>
      </c>
      <c r="D1770" s="566" t="s">
        <v>1297</v>
      </c>
      <c r="E1770" s="561"/>
      <c r="F1770" s="560">
        <v>562871</v>
      </c>
      <c r="G1770" s="560"/>
      <c r="H1770" s="657"/>
      <c r="I1770" s="564"/>
      <c r="M1770" s="329"/>
      <c r="P1770" s="593"/>
      <c r="Q1770" s="685"/>
      <c r="R1770" s="685"/>
      <c r="S1770" s="329"/>
      <c r="U1770" s="593"/>
      <c r="Z1770" s="329"/>
      <c r="AB1770" s="589"/>
    </row>
    <row r="1771" spans="1:28">
      <c r="A1771" s="631"/>
      <c r="B1771" s="565"/>
      <c r="C1771" s="567"/>
      <c r="D1771" s="568"/>
      <c r="E1771" s="560"/>
      <c r="F1771" s="560"/>
      <c r="G1771" s="560"/>
      <c r="H1771" s="657"/>
      <c r="I1771" s="564"/>
      <c r="M1771" s="329"/>
      <c r="P1771" s="593"/>
      <c r="Q1771" s="685"/>
      <c r="R1771" s="685"/>
      <c r="S1771" s="329"/>
      <c r="U1771" s="593"/>
      <c r="Z1771" s="329"/>
      <c r="AB1771" s="589"/>
    </row>
    <row r="1772" spans="1:28">
      <c r="A1772" s="631" t="str">
        <f t="shared" ref="A1772:A1778" si="42">"DD."&amp;B1772</f>
        <v>DD.05.6043</v>
      </c>
      <c r="B1772" s="565" t="s">
        <v>2635</v>
      </c>
      <c r="C1772" s="567" t="s">
        <v>6139</v>
      </c>
      <c r="D1772" s="566" t="s">
        <v>1297</v>
      </c>
      <c r="E1772" s="561"/>
      <c r="F1772" s="560">
        <v>194733</v>
      </c>
      <c r="G1772" s="561"/>
      <c r="H1772" s="657"/>
      <c r="I1772" s="564"/>
      <c r="M1772" s="329"/>
      <c r="P1772" s="593"/>
      <c r="Q1772" s="685"/>
      <c r="R1772" s="685"/>
      <c r="S1772" s="329"/>
      <c r="U1772" s="593"/>
      <c r="Z1772" s="329"/>
      <c r="AB1772" s="589"/>
    </row>
    <row r="1773" spans="1:28">
      <c r="A1773" s="631" t="str">
        <f t="shared" si="42"/>
        <v>DD.05.6053</v>
      </c>
      <c r="B1773" s="565" t="s">
        <v>2636</v>
      </c>
      <c r="C1773" s="567" t="s">
        <v>6140</v>
      </c>
      <c r="D1773" s="566" t="s">
        <v>1297</v>
      </c>
      <c r="E1773" s="561"/>
      <c r="F1773" s="560">
        <v>277263</v>
      </c>
      <c r="G1773" s="561"/>
      <c r="H1773" s="657"/>
      <c r="I1773" s="564"/>
      <c r="M1773" s="329"/>
      <c r="P1773" s="593"/>
      <c r="Q1773" s="685"/>
      <c r="R1773" s="685"/>
      <c r="S1773" s="329"/>
      <c r="U1773" s="593"/>
      <c r="Z1773" s="329"/>
      <c r="AB1773" s="589"/>
    </row>
    <row r="1774" spans="1:28">
      <c r="A1774" s="631" t="str">
        <f t="shared" si="42"/>
        <v>DD.05.6063</v>
      </c>
      <c r="B1774" s="565" t="s">
        <v>5171</v>
      </c>
      <c r="C1774" s="567" t="s">
        <v>6141</v>
      </c>
      <c r="D1774" s="566" t="s">
        <v>1297</v>
      </c>
      <c r="E1774" s="561"/>
      <c r="F1774" s="560">
        <v>347738</v>
      </c>
      <c r="G1774" s="561"/>
      <c r="H1774" s="657"/>
      <c r="I1774" s="564"/>
      <c r="M1774" s="329"/>
      <c r="P1774" s="593"/>
      <c r="Q1774" s="685"/>
      <c r="R1774" s="685"/>
      <c r="S1774" s="329"/>
      <c r="U1774" s="593"/>
      <c r="Z1774" s="329"/>
      <c r="AB1774" s="589"/>
    </row>
    <row r="1775" spans="1:28">
      <c r="A1775" s="631" t="str">
        <f t="shared" si="42"/>
        <v>DD.05.6073</v>
      </c>
      <c r="B1775" s="565" t="s">
        <v>5172</v>
      </c>
      <c r="C1775" s="567" t="s">
        <v>3614</v>
      </c>
      <c r="D1775" s="566" t="s">
        <v>1297</v>
      </c>
      <c r="E1775" s="561"/>
      <c r="F1775" s="560">
        <v>383902</v>
      </c>
      <c r="G1775" s="561"/>
      <c r="H1775" s="657"/>
      <c r="I1775" s="564"/>
      <c r="M1775" s="329"/>
      <c r="P1775" s="593"/>
      <c r="Q1775" s="685"/>
      <c r="R1775" s="685"/>
      <c r="S1775" s="329"/>
      <c r="U1775" s="593"/>
      <c r="Z1775" s="329"/>
      <c r="AB1775" s="589"/>
    </row>
    <row r="1776" spans="1:28">
      <c r="A1776" s="631" t="str">
        <f t="shared" si="42"/>
        <v>DD.05.6083</v>
      </c>
      <c r="B1776" s="565" t="s">
        <v>5173</v>
      </c>
      <c r="C1776" s="567" t="s">
        <v>3615</v>
      </c>
      <c r="D1776" s="566" t="s">
        <v>1297</v>
      </c>
      <c r="E1776" s="561"/>
      <c r="F1776" s="560">
        <v>419140</v>
      </c>
      <c r="G1776" s="561"/>
      <c r="H1776" s="657"/>
      <c r="I1776" s="564"/>
      <c r="M1776" s="329"/>
      <c r="P1776" s="593"/>
      <c r="Q1776" s="685"/>
      <c r="R1776" s="685"/>
      <c r="S1776" s="329"/>
      <c r="U1776" s="593"/>
      <c r="Z1776" s="329"/>
      <c r="AB1776" s="589"/>
    </row>
    <row r="1777" spans="1:28">
      <c r="A1777" s="631" t="str">
        <f t="shared" si="42"/>
        <v>DD.05.6093</v>
      </c>
      <c r="B1777" s="565" t="s">
        <v>5174</v>
      </c>
      <c r="C1777" s="567" t="s">
        <v>3616</v>
      </c>
      <c r="D1777" s="566" t="s">
        <v>1297</v>
      </c>
      <c r="E1777" s="561"/>
      <c r="F1777" s="560">
        <v>536907</v>
      </c>
      <c r="G1777" s="561"/>
      <c r="H1777" s="657"/>
      <c r="I1777" s="564"/>
      <c r="M1777" s="329"/>
      <c r="P1777" s="593"/>
      <c r="Q1777" s="685"/>
      <c r="R1777" s="685"/>
      <c r="S1777" s="329"/>
      <c r="U1777" s="593"/>
      <c r="Z1777" s="329"/>
      <c r="AB1777" s="589"/>
    </row>
    <row r="1778" spans="1:28">
      <c r="A1778" s="631" t="str">
        <f t="shared" si="42"/>
        <v>DD.05.6103</v>
      </c>
      <c r="B1778" s="565" t="s">
        <v>5175</v>
      </c>
      <c r="C1778" s="567" t="s">
        <v>3617</v>
      </c>
      <c r="D1778" s="566" t="s">
        <v>1297</v>
      </c>
      <c r="E1778" s="561"/>
      <c r="F1778" s="560">
        <v>633346</v>
      </c>
      <c r="G1778" s="561"/>
      <c r="H1778" s="657"/>
      <c r="I1778" s="564"/>
      <c r="M1778" s="329"/>
      <c r="P1778" s="593"/>
      <c r="Q1778" s="685"/>
      <c r="R1778" s="685"/>
      <c r="S1778" s="329"/>
      <c r="U1778" s="593"/>
      <c r="Z1778" s="329"/>
      <c r="AB1778" s="589"/>
    </row>
    <row r="1779" spans="1:28">
      <c r="A1779" s="631"/>
      <c r="B1779" s="565"/>
      <c r="C1779" s="567"/>
      <c r="D1779" s="566"/>
      <c r="E1779" s="561"/>
      <c r="F1779" s="560"/>
      <c r="G1779" s="561"/>
      <c r="H1779" s="657"/>
      <c r="I1779" s="564"/>
      <c r="M1779" s="329"/>
      <c r="P1779" s="593"/>
      <c r="Q1779" s="685"/>
      <c r="R1779" s="685"/>
      <c r="S1779" s="329"/>
      <c r="U1779" s="593"/>
      <c r="Z1779" s="329"/>
      <c r="AB1779" s="589"/>
    </row>
    <row r="1780" spans="1:28">
      <c r="A1780" s="631" t="str">
        <f t="shared" ref="A1780:A1786" si="43">"DD."&amp;B1780</f>
        <v>DD.05.6044</v>
      </c>
      <c r="B1780" s="565" t="s">
        <v>5176</v>
      </c>
      <c r="C1780" s="567" t="s">
        <v>2366</v>
      </c>
      <c r="D1780" s="566" t="s">
        <v>1297</v>
      </c>
      <c r="E1780" s="561"/>
      <c r="F1780" s="560">
        <v>216061</v>
      </c>
      <c r="G1780" s="561"/>
      <c r="H1780" s="657"/>
      <c r="I1780" s="564"/>
      <c r="M1780" s="329"/>
      <c r="P1780" s="593"/>
      <c r="Q1780" s="685"/>
      <c r="R1780" s="685"/>
      <c r="S1780" s="329"/>
      <c r="U1780" s="593"/>
      <c r="Z1780" s="329"/>
      <c r="AB1780" s="589"/>
    </row>
    <row r="1781" spans="1:28">
      <c r="A1781" s="631" t="str">
        <f t="shared" si="43"/>
        <v>DD.05.6054</v>
      </c>
      <c r="B1781" s="565" t="s">
        <v>5177</v>
      </c>
      <c r="C1781" s="567" t="s">
        <v>2367</v>
      </c>
      <c r="D1781" s="566" t="s">
        <v>1297</v>
      </c>
      <c r="E1781" s="561"/>
      <c r="F1781" s="560">
        <v>308791</v>
      </c>
      <c r="G1781" s="561"/>
      <c r="H1781" s="657"/>
      <c r="I1781" s="564"/>
      <c r="M1781" s="329"/>
      <c r="P1781" s="593"/>
      <c r="Q1781" s="685"/>
      <c r="R1781" s="685"/>
      <c r="S1781" s="329"/>
      <c r="U1781" s="593"/>
      <c r="Z1781" s="329"/>
      <c r="AB1781" s="589"/>
    </row>
    <row r="1782" spans="1:28">
      <c r="A1782" s="631" t="str">
        <f t="shared" si="43"/>
        <v>DD.05.6064</v>
      </c>
      <c r="B1782" s="565" t="s">
        <v>5178</v>
      </c>
      <c r="C1782" s="567" t="s">
        <v>4508</v>
      </c>
      <c r="D1782" s="566" t="s">
        <v>1297</v>
      </c>
      <c r="E1782" s="561"/>
      <c r="F1782" s="560">
        <v>386684</v>
      </c>
      <c r="G1782" s="561"/>
      <c r="H1782" s="657"/>
      <c r="I1782" s="564"/>
      <c r="M1782" s="329"/>
      <c r="P1782" s="593"/>
      <c r="Q1782" s="685"/>
      <c r="R1782" s="685"/>
      <c r="S1782" s="329"/>
      <c r="U1782" s="593"/>
      <c r="Z1782" s="329"/>
      <c r="AB1782" s="589"/>
    </row>
    <row r="1783" spans="1:28">
      <c r="A1783" s="631" t="str">
        <f t="shared" si="43"/>
        <v>DD.05.6074</v>
      </c>
      <c r="B1783" s="565" t="s">
        <v>5179</v>
      </c>
      <c r="C1783" s="567" t="s">
        <v>4509</v>
      </c>
      <c r="D1783" s="566" t="s">
        <v>1297</v>
      </c>
      <c r="E1783" s="561"/>
      <c r="F1783" s="560">
        <v>426558</v>
      </c>
      <c r="G1783" s="561"/>
      <c r="H1783" s="657"/>
      <c r="I1783" s="564"/>
      <c r="M1783" s="329"/>
      <c r="P1783" s="593"/>
      <c r="Q1783" s="685"/>
      <c r="R1783" s="685"/>
      <c r="S1783" s="329"/>
      <c r="U1783" s="593"/>
      <c r="Z1783" s="329"/>
      <c r="AB1783" s="589"/>
    </row>
    <row r="1784" spans="1:28">
      <c r="A1784" s="631" t="str">
        <f t="shared" si="43"/>
        <v>DD.05.6084</v>
      </c>
      <c r="B1784" s="565" t="s">
        <v>5180</v>
      </c>
      <c r="C1784" s="567" t="s">
        <v>4510</v>
      </c>
      <c r="D1784" s="566" t="s">
        <v>1297</v>
      </c>
      <c r="E1784" s="561"/>
      <c r="F1784" s="560">
        <v>465505</v>
      </c>
      <c r="G1784" s="561"/>
      <c r="H1784" s="657"/>
      <c r="I1784" s="564"/>
      <c r="M1784" s="329"/>
      <c r="P1784" s="593"/>
      <c r="Q1784" s="685"/>
      <c r="R1784" s="685"/>
      <c r="S1784" s="329"/>
      <c r="U1784" s="593"/>
      <c r="Z1784" s="329"/>
      <c r="AB1784" s="589"/>
    </row>
    <row r="1785" spans="1:28">
      <c r="A1785" s="631" t="str">
        <f t="shared" si="43"/>
        <v>DD.05.6094</v>
      </c>
      <c r="B1785" s="565" t="s">
        <v>5613</v>
      </c>
      <c r="C1785" s="567" t="s">
        <v>4511</v>
      </c>
      <c r="D1785" s="566" t="s">
        <v>1297</v>
      </c>
      <c r="E1785" s="561"/>
      <c r="F1785" s="560">
        <v>596254</v>
      </c>
      <c r="G1785" s="561"/>
      <c r="H1785" s="657"/>
      <c r="I1785" s="564"/>
      <c r="M1785" s="329"/>
      <c r="P1785" s="593"/>
      <c r="Q1785" s="685"/>
      <c r="R1785" s="685"/>
      <c r="S1785" s="329"/>
      <c r="U1785" s="593"/>
      <c r="Z1785" s="329"/>
      <c r="AB1785" s="589"/>
    </row>
    <row r="1786" spans="1:28">
      <c r="A1786" s="631" t="str">
        <f t="shared" si="43"/>
        <v>DD.05.6104</v>
      </c>
      <c r="B1786" s="565" t="s">
        <v>5614</v>
      </c>
      <c r="C1786" s="567" t="s">
        <v>4512</v>
      </c>
      <c r="D1786" s="566" t="s">
        <v>1297</v>
      </c>
      <c r="E1786" s="561"/>
      <c r="F1786" s="560">
        <v>703821</v>
      </c>
      <c r="G1786" s="561"/>
      <c r="H1786" s="657"/>
      <c r="I1786" s="564"/>
      <c r="M1786" s="329"/>
      <c r="P1786" s="593"/>
      <c r="Q1786" s="685"/>
      <c r="R1786" s="685"/>
      <c r="S1786" s="329"/>
      <c r="U1786" s="593"/>
      <c r="Z1786" s="329"/>
      <c r="AB1786" s="589"/>
    </row>
    <row r="1787" spans="1:28">
      <c r="A1787" s="631"/>
      <c r="B1787" s="569" t="s">
        <v>4513</v>
      </c>
      <c r="C1787" s="567"/>
      <c r="D1787" s="568"/>
      <c r="E1787" s="560"/>
      <c r="F1787" s="560"/>
      <c r="G1787" s="560"/>
      <c r="H1787" s="657"/>
      <c r="I1787" s="564"/>
      <c r="M1787" s="329"/>
      <c r="P1787" s="593"/>
      <c r="Q1787" s="685"/>
      <c r="R1787" s="685"/>
      <c r="S1787" s="329"/>
      <c r="U1787" s="593"/>
      <c r="Z1787" s="329"/>
      <c r="AB1787" s="589"/>
    </row>
    <row r="1788" spans="1:28">
      <c r="A1788" s="631" t="str">
        <f>"DD."&amp;B1788</f>
        <v>DD.05.7003</v>
      </c>
      <c r="B1788" s="565" t="s">
        <v>4969</v>
      </c>
      <c r="C1788" s="575" t="s">
        <v>4970</v>
      </c>
      <c r="D1788" s="568" t="s">
        <v>4514</v>
      </c>
      <c r="E1788" s="560">
        <v>227</v>
      </c>
      <c r="F1788" s="560">
        <v>61202</v>
      </c>
      <c r="G1788" s="560"/>
      <c r="H1788" s="657"/>
      <c r="I1788" s="564"/>
      <c r="M1788" s="329"/>
      <c r="P1788" s="593"/>
      <c r="Q1788" s="685"/>
      <c r="R1788" s="685"/>
      <c r="S1788" s="329"/>
      <c r="U1788" s="593"/>
      <c r="Z1788" s="329"/>
      <c r="AB1788" s="589"/>
    </row>
    <row r="1789" spans="1:28">
      <c r="A1789" s="631"/>
      <c r="B1789" s="569" t="s">
        <v>4517</v>
      </c>
      <c r="C1789" s="575"/>
      <c r="D1789" s="568"/>
      <c r="E1789" s="560"/>
      <c r="F1789" s="560"/>
      <c r="G1789" s="560"/>
      <c r="H1789" s="657"/>
      <c r="I1789" s="564"/>
      <c r="M1789" s="329"/>
      <c r="P1789" s="593"/>
      <c r="Q1789" s="685"/>
      <c r="R1789" s="685"/>
      <c r="S1789" s="329"/>
      <c r="U1789" s="593"/>
      <c r="Z1789" s="329"/>
      <c r="AB1789" s="589"/>
    </row>
    <row r="1790" spans="1:28">
      <c r="A1790" s="631" t="str">
        <f>"DD."&amp;B1790</f>
        <v>DD.05.8102</v>
      </c>
      <c r="B1790" s="565" t="s">
        <v>4515</v>
      </c>
      <c r="C1790" s="575" t="s">
        <v>4971</v>
      </c>
      <c r="D1790" s="568" t="s">
        <v>4516</v>
      </c>
      <c r="E1790" s="560">
        <v>19091</v>
      </c>
      <c r="F1790" s="560">
        <v>207715</v>
      </c>
      <c r="G1790" s="560"/>
      <c r="H1790" s="560" t="s">
        <v>1676</v>
      </c>
      <c r="I1790" s="697" t="s">
        <v>1675</v>
      </c>
      <c r="M1790" s="329"/>
      <c r="P1790" s="593"/>
      <c r="Q1790" s="685"/>
      <c r="R1790" s="685"/>
      <c r="S1790" s="329"/>
      <c r="U1790" s="593"/>
      <c r="Z1790" s="329"/>
      <c r="AB1790" s="589"/>
    </row>
    <row r="1791" spans="1:28">
      <c r="A1791" s="631" t="str">
        <f>"DD."&amp;B1791</f>
        <v>DD.05.8101</v>
      </c>
      <c r="B1791" s="565" t="s">
        <v>4518</v>
      </c>
      <c r="C1791" s="567" t="s">
        <v>5073</v>
      </c>
      <c r="D1791" s="568" t="s">
        <v>4516</v>
      </c>
      <c r="E1791" s="560">
        <v>19091</v>
      </c>
      <c r="F1791" s="560">
        <v>185460</v>
      </c>
      <c r="G1791" s="560"/>
      <c r="H1791" s="560" t="s">
        <v>6191</v>
      </c>
      <c r="I1791" s="697" t="s">
        <v>1675</v>
      </c>
      <c r="M1791" s="329"/>
      <c r="P1791" s="593"/>
      <c r="Q1791" s="685"/>
      <c r="R1791" s="685"/>
      <c r="S1791" s="329"/>
      <c r="U1791" s="593"/>
      <c r="Z1791" s="329"/>
      <c r="AB1791" s="589"/>
    </row>
    <row r="1792" spans="1:28">
      <c r="A1792" s="631" t="str">
        <f>"DD."&amp;B1792</f>
        <v>DD.05.8102</v>
      </c>
      <c r="B1792" s="565" t="s">
        <v>4515</v>
      </c>
      <c r="C1792" s="567" t="s">
        <v>5074</v>
      </c>
      <c r="D1792" s="568" t="s">
        <v>4516</v>
      </c>
      <c r="E1792" s="560">
        <v>19091</v>
      </c>
      <c r="F1792" s="560">
        <v>207715</v>
      </c>
      <c r="G1792" s="560"/>
      <c r="H1792" s="560" t="s">
        <v>1676</v>
      </c>
      <c r="I1792" s="697" t="s">
        <v>1675</v>
      </c>
      <c r="M1792" s="329"/>
      <c r="P1792" s="593"/>
      <c r="Q1792" s="685"/>
      <c r="R1792" s="685"/>
      <c r="S1792" s="329"/>
      <c r="U1792" s="593"/>
      <c r="Z1792" s="329"/>
      <c r="AB1792" s="589"/>
    </row>
    <row r="1793" spans="1:28">
      <c r="A1793" s="631" t="str">
        <f>"DD."&amp;B1793</f>
        <v>DD.05.8103</v>
      </c>
      <c r="B1793" s="565" t="s">
        <v>4519</v>
      </c>
      <c r="C1793" s="567" t="s">
        <v>5075</v>
      </c>
      <c r="D1793" s="568" t="s">
        <v>4516</v>
      </c>
      <c r="E1793" s="560">
        <v>19091</v>
      </c>
      <c r="F1793" s="560">
        <v>324926</v>
      </c>
      <c r="G1793" s="560"/>
      <c r="H1793" s="560" t="s">
        <v>6192</v>
      </c>
      <c r="I1793" s="697" t="s">
        <v>1675</v>
      </c>
      <c r="M1793" s="329"/>
      <c r="P1793" s="593"/>
      <c r="Q1793" s="685"/>
      <c r="R1793" s="685"/>
      <c r="S1793" s="329"/>
      <c r="U1793" s="593"/>
      <c r="Z1793" s="329"/>
      <c r="AB1793" s="589"/>
    </row>
    <row r="1794" spans="1:28">
      <c r="A1794" s="631" t="str">
        <f>"DD."&amp;B1794</f>
        <v>DD.05.8104</v>
      </c>
      <c r="B1794" s="565" t="s">
        <v>4520</v>
      </c>
      <c r="C1794" s="567" t="s">
        <v>5076</v>
      </c>
      <c r="D1794" s="568" t="s">
        <v>4516</v>
      </c>
      <c r="E1794" s="560">
        <v>19091</v>
      </c>
      <c r="F1794" s="560">
        <v>556380</v>
      </c>
      <c r="G1794" s="560"/>
      <c r="H1794" s="560" t="s">
        <v>6193</v>
      </c>
      <c r="I1794" s="697" t="s">
        <v>1675</v>
      </c>
      <c r="M1794" s="329"/>
      <c r="P1794" s="593"/>
      <c r="Q1794" s="685"/>
      <c r="R1794" s="685"/>
      <c r="S1794" s="329"/>
      <c r="U1794" s="593"/>
      <c r="Z1794" s="329"/>
      <c r="AB1794" s="589"/>
    </row>
    <row r="1795" spans="1:28">
      <c r="A1795" s="631"/>
      <c r="B1795" s="569" t="s">
        <v>6194</v>
      </c>
      <c r="C1795" s="567"/>
      <c r="D1795" s="568"/>
      <c r="E1795" s="560"/>
      <c r="F1795" s="560"/>
      <c r="G1795" s="560"/>
      <c r="H1795" s="657"/>
      <c r="I1795" s="564"/>
      <c r="M1795" s="329"/>
      <c r="P1795" s="593"/>
      <c r="Q1795" s="685"/>
      <c r="R1795" s="685"/>
      <c r="S1795" s="329"/>
      <c r="U1795" s="593"/>
      <c r="Z1795" s="329"/>
      <c r="AB1795" s="589"/>
    </row>
    <row r="1796" spans="1:28">
      <c r="A1796" s="631" t="str">
        <f>"DD."&amp;B1796</f>
        <v>DD.05.9001</v>
      </c>
      <c r="B1796" s="565" t="s">
        <v>6195</v>
      </c>
      <c r="C1796" s="567" t="s">
        <v>1563</v>
      </c>
      <c r="D1796" s="568" t="s">
        <v>2312</v>
      </c>
      <c r="E1796" s="560">
        <v>5155</v>
      </c>
      <c r="F1796" s="560">
        <v>52856</v>
      </c>
      <c r="G1796" s="561"/>
      <c r="H1796" s="657"/>
      <c r="I1796" s="564"/>
      <c r="M1796" s="329"/>
      <c r="P1796" s="593"/>
      <c r="Q1796" s="685"/>
      <c r="R1796" s="685"/>
      <c r="S1796" s="329"/>
      <c r="U1796" s="593"/>
      <c r="Z1796" s="329"/>
      <c r="AB1796" s="589"/>
    </row>
    <row r="1797" spans="1:28">
      <c r="A1797" s="631" t="str">
        <f>"DD."&amp;B1797</f>
        <v>DD.05.9002</v>
      </c>
      <c r="B1797" s="565" t="s">
        <v>6196</v>
      </c>
      <c r="C1797" s="567" t="s">
        <v>1564</v>
      </c>
      <c r="D1797" s="568" t="s">
        <v>2312</v>
      </c>
      <c r="E1797" s="560">
        <v>6300</v>
      </c>
      <c r="F1797" s="560">
        <v>65838</v>
      </c>
      <c r="G1797" s="561"/>
      <c r="H1797" s="657"/>
      <c r="I1797" s="564"/>
      <c r="M1797" s="329"/>
      <c r="P1797" s="593"/>
      <c r="Q1797" s="685"/>
      <c r="R1797" s="685"/>
      <c r="S1797" s="329"/>
      <c r="U1797" s="593"/>
      <c r="Z1797" s="329"/>
      <c r="AB1797" s="589"/>
    </row>
    <row r="1798" spans="1:28">
      <c r="A1798" s="631" t="str">
        <f>"DD."&amp;B1798</f>
        <v>DD.05.9003</v>
      </c>
      <c r="B1798" s="565" t="s">
        <v>1562</v>
      </c>
      <c r="C1798" s="567" t="s">
        <v>1565</v>
      </c>
      <c r="D1798" s="568" t="s">
        <v>2312</v>
      </c>
      <c r="E1798" s="560">
        <v>7159</v>
      </c>
      <c r="F1798" s="560">
        <v>88094</v>
      </c>
      <c r="G1798" s="561"/>
      <c r="H1798" s="657"/>
      <c r="I1798" s="564"/>
      <c r="M1798" s="329"/>
      <c r="P1798" s="593"/>
      <c r="Q1798" s="685"/>
      <c r="R1798" s="685"/>
      <c r="S1798" s="329"/>
      <c r="U1798" s="593"/>
      <c r="Z1798" s="329"/>
      <c r="AB1798" s="589"/>
    </row>
    <row r="1799" spans="1:28">
      <c r="A1799" s="631" t="str">
        <f>"DD."&amp;B1799</f>
        <v>DD.05.9004</v>
      </c>
      <c r="B1799" s="565" t="s">
        <v>1567</v>
      </c>
      <c r="C1799" s="567" t="s">
        <v>1566</v>
      </c>
      <c r="D1799" s="568" t="s">
        <v>2312</v>
      </c>
      <c r="E1799" s="560">
        <v>5007</v>
      </c>
      <c r="F1799" s="560">
        <v>10200</v>
      </c>
      <c r="G1799" s="560"/>
      <c r="H1799" s="657"/>
      <c r="I1799" s="564"/>
      <c r="M1799" s="329"/>
      <c r="P1799" s="593"/>
      <c r="Q1799" s="685"/>
      <c r="R1799" s="685"/>
      <c r="S1799" s="329"/>
      <c r="U1799" s="593"/>
      <c r="Z1799" s="329"/>
      <c r="AB1799" s="589"/>
    </row>
    <row r="1800" spans="1:28">
      <c r="A1800" s="631" t="str">
        <f>"DD."&amp;B1800</f>
        <v>DD.05.9005</v>
      </c>
      <c r="B1800" s="565" t="s">
        <v>1568</v>
      </c>
      <c r="C1800" s="567" t="s">
        <v>997</v>
      </c>
      <c r="D1800" s="568" t="s">
        <v>2312</v>
      </c>
      <c r="E1800" s="560">
        <v>7789</v>
      </c>
      <c r="F1800" s="560">
        <v>14466</v>
      </c>
      <c r="G1800" s="560"/>
      <c r="H1800" s="657"/>
      <c r="I1800" s="564"/>
      <c r="M1800" s="329"/>
      <c r="P1800" s="593"/>
      <c r="Q1800" s="685"/>
      <c r="R1800" s="685"/>
      <c r="S1800" s="329"/>
      <c r="U1800" s="593"/>
      <c r="Z1800" s="329"/>
      <c r="AB1800" s="589"/>
    </row>
    <row r="1801" spans="1:28">
      <c r="A1801" s="631"/>
      <c r="B1801" s="569" t="s">
        <v>998</v>
      </c>
      <c r="C1801" s="567"/>
      <c r="D1801" s="568"/>
      <c r="E1801" s="560"/>
      <c r="F1801" s="560"/>
      <c r="G1801" s="560"/>
      <c r="H1801" s="657"/>
      <c r="I1801" s="564"/>
      <c r="M1801" s="329"/>
      <c r="P1801" s="593"/>
      <c r="Q1801" s="685"/>
      <c r="R1801" s="685"/>
      <c r="S1801" s="329"/>
      <c r="U1801" s="593"/>
      <c r="Z1801" s="329"/>
      <c r="AB1801" s="589"/>
    </row>
    <row r="1802" spans="1:28">
      <c r="A1802" s="631"/>
      <c r="B1802" s="569" t="s">
        <v>999</v>
      </c>
      <c r="C1802" s="567"/>
      <c r="D1802" s="568"/>
      <c r="E1802" s="560"/>
      <c r="F1802" s="560"/>
      <c r="G1802" s="560"/>
      <c r="H1802" s="657"/>
      <c r="I1802" s="564"/>
      <c r="M1802" s="329"/>
      <c r="P1802" s="593"/>
      <c r="Q1802" s="685"/>
      <c r="R1802" s="685"/>
      <c r="S1802" s="329"/>
      <c r="U1802" s="593"/>
      <c r="Z1802" s="329"/>
      <c r="AB1802" s="589"/>
    </row>
    <row r="1803" spans="1:28">
      <c r="A1803" s="631" t="str">
        <f>"DD."&amp;B1803</f>
        <v>DD.06.1115</v>
      </c>
      <c r="B1803" s="565" t="s">
        <v>4972</v>
      </c>
      <c r="C1803" s="575" t="s">
        <v>3618</v>
      </c>
      <c r="D1803" s="568" t="s">
        <v>1000</v>
      </c>
      <c r="E1803" s="560">
        <v>274</v>
      </c>
      <c r="F1803" s="560">
        <v>20957</v>
      </c>
      <c r="G1803" s="560"/>
      <c r="H1803" s="657"/>
      <c r="I1803" s="564"/>
      <c r="M1803" s="329"/>
      <c r="P1803" s="593"/>
      <c r="Q1803" s="685"/>
      <c r="R1803" s="685"/>
      <c r="S1803" s="329"/>
      <c r="U1803" s="593"/>
      <c r="Z1803" s="329"/>
      <c r="AB1803" s="589"/>
    </row>
    <row r="1804" spans="1:28">
      <c r="A1804" s="631" t="str">
        <f>"DD."&amp;B1804</f>
        <v>DD.06.1125</v>
      </c>
      <c r="B1804" s="565" t="s">
        <v>4973</v>
      </c>
      <c r="C1804" s="575" t="s">
        <v>2365</v>
      </c>
      <c r="D1804" s="568" t="s">
        <v>1000</v>
      </c>
      <c r="E1804" s="560">
        <v>274</v>
      </c>
      <c r="F1804" s="560">
        <v>14466</v>
      </c>
      <c r="G1804" s="560"/>
      <c r="H1804" s="657"/>
      <c r="I1804" s="564"/>
      <c r="M1804" s="329"/>
      <c r="P1804" s="593"/>
      <c r="Q1804" s="685"/>
      <c r="R1804" s="685"/>
      <c r="S1804" s="329"/>
      <c r="U1804" s="593"/>
      <c r="Z1804" s="329"/>
      <c r="AB1804" s="589"/>
    </row>
    <row r="1805" spans="1:28">
      <c r="A1805" s="631"/>
      <c r="B1805" s="569" t="s">
        <v>6146</v>
      </c>
      <c r="C1805" s="567"/>
      <c r="D1805" s="568"/>
      <c r="E1805" s="560"/>
      <c r="F1805" s="560"/>
      <c r="G1805" s="560"/>
      <c r="H1805" s="657"/>
      <c r="I1805" s="564"/>
      <c r="M1805" s="329"/>
      <c r="P1805" s="593"/>
      <c r="Q1805" s="685"/>
      <c r="R1805" s="685"/>
      <c r="S1805" s="329"/>
      <c r="U1805" s="593"/>
      <c r="Z1805" s="329"/>
      <c r="AB1805" s="589"/>
    </row>
    <row r="1806" spans="1:28">
      <c r="A1806" s="631" t="str">
        <f>"DD."&amp;B1806</f>
        <v>DD.06.1202</v>
      </c>
      <c r="B1806" s="565" t="s">
        <v>1001</v>
      </c>
      <c r="C1806" s="567" t="s">
        <v>6142</v>
      </c>
      <c r="D1806" s="568" t="s">
        <v>1000</v>
      </c>
      <c r="E1806" s="560"/>
      <c r="F1806" s="560">
        <v>6491</v>
      </c>
      <c r="G1806" s="560"/>
      <c r="H1806" s="657"/>
      <c r="I1806" s="564"/>
      <c r="M1806" s="329"/>
      <c r="P1806" s="593"/>
      <c r="Q1806" s="685"/>
      <c r="R1806" s="685"/>
      <c r="S1806" s="329"/>
      <c r="U1806" s="593"/>
      <c r="Z1806" s="329"/>
      <c r="AB1806" s="589"/>
    </row>
    <row r="1807" spans="1:28">
      <c r="A1807" s="631" t="str">
        <f>"DD."&amp;B1807</f>
        <v>DD.06.1203</v>
      </c>
      <c r="B1807" s="565" t="s">
        <v>1002</v>
      </c>
      <c r="C1807" s="567" t="s">
        <v>6143</v>
      </c>
      <c r="D1807" s="568" t="s">
        <v>1297</v>
      </c>
      <c r="E1807" s="560"/>
      <c r="F1807" s="560">
        <v>25964</v>
      </c>
      <c r="G1807" s="560"/>
      <c r="H1807" s="657"/>
      <c r="I1807" s="564"/>
      <c r="M1807" s="329"/>
      <c r="P1807" s="593"/>
      <c r="Q1807" s="685"/>
      <c r="R1807" s="685"/>
      <c r="S1807" s="329"/>
      <c r="U1807" s="593"/>
      <c r="Z1807" s="329"/>
      <c r="AB1807" s="589"/>
    </row>
    <row r="1808" spans="1:28">
      <c r="A1808" s="631" t="str">
        <f>"DD."&amp;B1808</f>
        <v>DD.06.1204</v>
      </c>
      <c r="B1808" s="565" t="s">
        <v>1003</v>
      </c>
      <c r="C1808" s="567" t="s">
        <v>6144</v>
      </c>
      <c r="D1808" s="568" t="s">
        <v>1297</v>
      </c>
      <c r="E1808" s="560"/>
      <c r="F1808" s="560">
        <v>36165</v>
      </c>
      <c r="G1808" s="560"/>
      <c r="H1808" s="657"/>
      <c r="I1808" s="564"/>
      <c r="M1808" s="329"/>
      <c r="P1808" s="593"/>
      <c r="Q1808" s="685"/>
      <c r="R1808" s="685"/>
      <c r="S1808" s="329"/>
      <c r="U1808" s="593"/>
      <c r="Z1808" s="329"/>
      <c r="AB1808" s="589"/>
    </row>
    <row r="1809" spans="1:28">
      <c r="A1809" s="631" t="str">
        <f>"DD."&amp;B1809</f>
        <v>DD.06.1205</v>
      </c>
      <c r="B1809" s="565" t="s">
        <v>2764</v>
      </c>
      <c r="C1809" s="567" t="s">
        <v>6145</v>
      </c>
      <c r="D1809" s="568" t="s">
        <v>1297</v>
      </c>
      <c r="E1809" s="560"/>
      <c r="F1809" s="560">
        <v>51002</v>
      </c>
      <c r="G1809" s="560"/>
      <c r="H1809" s="657"/>
      <c r="I1809" s="564"/>
      <c r="M1809" s="329"/>
      <c r="P1809" s="593"/>
      <c r="Q1809" s="685"/>
      <c r="R1809" s="685"/>
      <c r="S1809" s="329"/>
      <c r="U1809" s="593"/>
      <c r="Z1809" s="329"/>
      <c r="AB1809" s="589"/>
    </row>
    <row r="1810" spans="1:28">
      <c r="A1810" s="631"/>
      <c r="B1810" s="569" t="s">
        <v>6147</v>
      </c>
      <c r="C1810" s="567"/>
      <c r="D1810" s="568"/>
      <c r="E1810" s="560"/>
      <c r="F1810" s="560"/>
      <c r="G1810" s="560"/>
      <c r="H1810" s="657"/>
      <c r="I1810" s="564"/>
      <c r="M1810" s="329"/>
      <c r="P1810" s="593"/>
      <c r="Q1810" s="685"/>
      <c r="R1810" s="685"/>
      <c r="S1810" s="329"/>
      <c r="U1810" s="593"/>
      <c r="Z1810" s="329"/>
      <c r="AB1810" s="589"/>
    </row>
    <row r="1811" spans="1:28">
      <c r="A1811" s="631" t="str">
        <f>"DD."&amp;B1811</f>
        <v>DD.06.1401</v>
      </c>
      <c r="B1811" s="565" t="s">
        <v>6148</v>
      </c>
      <c r="C1811" s="575" t="s">
        <v>3957</v>
      </c>
      <c r="D1811" s="566" t="s">
        <v>6149</v>
      </c>
      <c r="E1811" s="560">
        <v>465</v>
      </c>
      <c r="F1811" s="560">
        <v>17967</v>
      </c>
      <c r="G1811" s="560"/>
      <c r="H1811" s="657"/>
      <c r="I1811" s="564"/>
      <c r="M1811" s="329"/>
      <c r="P1811" s="593"/>
      <c r="Q1811" s="685"/>
      <c r="R1811" s="685"/>
      <c r="S1811" s="329"/>
      <c r="U1811" s="593"/>
      <c r="Z1811" s="329"/>
      <c r="AB1811" s="589"/>
    </row>
    <row r="1812" spans="1:28">
      <c r="A1812" s="631" t="str">
        <f>"DD."&amp;B1812</f>
        <v>DD.06.1402</v>
      </c>
      <c r="B1812" s="565" t="s">
        <v>6150</v>
      </c>
      <c r="C1812" s="575" t="s">
        <v>3958</v>
      </c>
      <c r="D1812" s="566" t="s">
        <v>6149</v>
      </c>
      <c r="E1812" s="560">
        <v>545</v>
      </c>
      <c r="F1812" s="560">
        <v>39926</v>
      </c>
      <c r="G1812" s="560"/>
      <c r="H1812" s="657"/>
      <c r="I1812" s="564"/>
      <c r="M1812" s="329"/>
      <c r="P1812" s="593"/>
      <c r="Q1812" s="685"/>
      <c r="R1812" s="685"/>
      <c r="S1812" s="329"/>
      <c r="U1812" s="593"/>
      <c r="Z1812" s="329"/>
      <c r="AB1812" s="589"/>
    </row>
    <row r="1813" spans="1:28">
      <c r="A1813" s="631" t="str">
        <f>"DD."&amp;B1813</f>
        <v>DD.06.1701</v>
      </c>
      <c r="B1813" s="565" t="s">
        <v>6151</v>
      </c>
      <c r="C1813" s="575" t="s">
        <v>1436</v>
      </c>
      <c r="D1813" s="566" t="s">
        <v>6149</v>
      </c>
      <c r="E1813" s="560">
        <v>355</v>
      </c>
      <c r="F1813" s="560">
        <v>18965</v>
      </c>
      <c r="G1813" s="560"/>
      <c r="H1813" s="657"/>
      <c r="I1813" s="564"/>
      <c r="M1813" s="329"/>
      <c r="P1813" s="593"/>
      <c r="Q1813" s="685"/>
      <c r="R1813" s="685"/>
      <c r="S1813" s="329"/>
      <c r="U1813" s="593"/>
      <c r="Z1813" s="329"/>
      <c r="AB1813" s="589"/>
    </row>
    <row r="1814" spans="1:28">
      <c r="A1814" s="631" t="str">
        <f>"DD."&amp;B1814</f>
        <v>DD.06.1702</v>
      </c>
      <c r="B1814" s="565" t="s">
        <v>6152</v>
      </c>
      <c r="C1814" s="575" t="s">
        <v>5979</v>
      </c>
      <c r="D1814" s="566" t="s">
        <v>6149</v>
      </c>
      <c r="E1814" s="560">
        <v>545</v>
      </c>
      <c r="F1814" s="560">
        <v>44917</v>
      </c>
      <c r="G1814" s="560"/>
      <c r="H1814" s="657"/>
      <c r="I1814" s="564"/>
      <c r="M1814" s="329"/>
      <c r="P1814" s="593"/>
      <c r="Q1814" s="685"/>
      <c r="R1814" s="685"/>
      <c r="S1814" s="329"/>
      <c r="U1814" s="593"/>
      <c r="Z1814" s="329"/>
      <c r="AB1814" s="589"/>
    </row>
    <row r="1815" spans="1:28">
      <c r="A1815" s="631"/>
      <c r="B1815" s="569" t="s">
        <v>6153</v>
      </c>
      <c r="C1815" s="567"/>
      <c r="D1815" s="568"/>
      <c r="E1815" s="560"/>
      <c r="F1815" s="560"/>
      <c r="G1815" s="560"/>
      <c r="H1815" s="657"/>
      <c r="I1815" s="564"/>
      <c r="M1815" s="329"/>
      <c r="P1815" s="593"/>
      <c r="Q1815" s="685"/>
      <c r="R1815" s="685"/>
      <c r="S1815" s="329"/>
      <c r="U1815" s="593"/>
      <c r="Z1815" s="329"/>
      <c r="AB1815" s="589"/>
    </row>
    <row r="1816" spans="1:28">
      <c r="A1816" s="631" t="str">
        <f>"DD."&amp;B1816</f>
        <v>DD.06.2115</v>
      </c>
      <c r="B1816" s="565" t="s">
        <v>5025</v>
      </c>
      <c r="C1816" s="567" t="s">
        <v>5024</v>
      </c>
      <c r="D1816" s="566" t="s">
        <v>1297</v>
      </c>
      <c r="E1816" s="560">
        <v>2740</v>
      </c>
      <c r="F1816" s="560">
        <v>116840</v>
      </c>
      <c r="G1816" s="560"/>
      <c r="H1816" s="657"/>
      <c r="I1816" s="564"/>
      <c r="M1816" s="329"/>
      <c r="P1816" s="593"/>
      <c r="Q1816" s="685"/>
      <c r="R1816" s="685"/>
      <c r="S1816" s="329"/>
      <c r="U1816" s="593"/>
      <c r="Z1816" s="329"/>
      <c r="AB1816" s="589"/>
    </row>
    <row r="1817" spans="1:28">
      <c r="A1817" s="631" t="str">
        <f>"DD."&amp;B1817</f>
        <v>DD.06.2125</v>
      </c>
      <c r="B1817" s="565" t="s">
        <v>5026</v>
      </c>
      <c r="C1817" s="567" t="s">
        <v>5027</v>
      </c>
      <c r="D1817" s="566" t="s">
        <v>1297</v>
      </c>
      <c r="E1817" s="560">
        <v>2740</v>
      </c>
      <c r="F1817" s="560">
        <v>80675</v>
      </c>
      <c r="G1817" s="560"/>
      <c r="H1817" s="657"/>
      <c r="I1817" s="564"/>
      <c r="M1817" s="329"/>
      <c r="P1817" s="593"/>
      <c r="Q1817" s="685"/>
      <c r="R1817" s="685"/>
      <c r="S1817" s="329"/>
      <c r="U1817" s="593"/>
      <c r="Z1817" s="329"/>
      <c r="AB1817" s="589"/>
    </row>
    <row r="1818" spans="1:28">
      <c r="A1818" s="631" t="str">
        <f>"DD."&amp;B1818</f>
        <v>DD.06.2401</v>
      </c>
      <c r="B1818" s="565" t="s">
        <v>5028</v>
      </c>
      <c r="C1818" s="567" t="s">
        <v>5030</v>
      </c>
      <c r="D1818" s="566" t="s">
        <v>5029</v>
      </c>
      <c r="E1818" s="560">
        <v>545</v>
      </c>
      <c r="F1818" s="560">
        <v>25153</v>
      </c>
      <c r="G1818" s="560"/>
      <c r="H1818" s="657"/>
      <c r="I1818" s="564"/>
      <c r="M1818" s="329"/>
      <c r="P1818" s="593"/>
      <c r="Q1818" s="685"/>
      <c r="R1818" s="685"/>
      <c r="S1818" s="329"/>
      <c r="U1818" s="593"/>
      <c r="Z1818" s="329"/>
      <c r="AB1818" s="589"/>
    </row>
    <row r="1819" spans="1:28">
      <c r="A1819" s="631"/>
      <c r="B1819" s="569" t="s">
        <v>5031</v>
      </c>
      <c r="C1819" s="567"/>
      <c r="D1819" s="568"/>
      <c r="E1819" s="560"/>
      <c r="F1819" s="560"/>
      <c r="G1819" s="560"/>
      <c r="H1819" s="657"/>
      <c r="I1819" s="564"/>
      <c r="M1819" s="329"/>
      <c r="P1819" s="593"/>
      <c r="Q1819" s="685"/>
      <c r="R1819" s="685"/>
      <c r="S1819" s="329"/>
      <c r="U1819" s="593"/>
      <c r="Z1819" s="329"/>
      <c r="AB1819" s="589"/>
    </row>
    <row r="1820" spans="1:28">
      <c r="A1820" s="631" t="str">
        <f t="shared" ref="A1820:A1826" si="44">"DD."&amp;B1820</f>
        <v>DD.06.3191</v>
      </c>
      <c r="B1820" s="565" t="s">
        <v>5033</v>
      </c>
      <c r="C1820" s="567" t="s">
        <v>5032</v>
      </c>
      <c r="D1820" s="566" t="s">
        <v>5029</v>
      </c>
      <c r="E1820" s="561"/>
      <c r="F1820" s="560">
        <v>19963</v>
      </c>
      <c r="G1820" s="560"/>
      <c r="H1820" s="657"/>
      <c r="I1820" s="564"/>
      <c r="M1820" s="329"/>
      <c r="P1820" s="593"/>
      <c r="Q1820" s="685"/>
      <c r="R1820" s="685"/>
      <c r="S1820" s="329"/>
      <c r="U1820" s="593"/>
      <c r="Z1820" s="329"/>
      <c r="AB1820" s="589"/>
    </row>
    <row r="1821" spans="1:28">
      <c r="A1821" s="631" t="str">
        <f t="shared" si="44"/>
        <v>DD.06.3211</v>
      </c>
      <c r="B1821" s="565" t="s">
        <v>5035</v>
      </c>
      <c r="C1821" s="567" t="s">
        <v>5034</v>
      </c>
      <c r="D1821" s="566" t="s">
        <v>5029</v>
      </c>
      <c r="E1821" s="561"/>
      <c r="F1821" s="560">
        <v>249538</v>
      </c>
      <c r="G1821" s="560"/>
      <c r="H1821" s="657"/>
      <c r="I1821" s="564"/>
      <c r="M1821" s="329"/>
      <c r="P1821" s="593"/>
      <c r="Q1821" s="685"/>
      <c r="R1821" s="685"/>
      <c r="S1821" s="329"/>
      <c r="U1821" s="593"/>
      <c r="Z1821" s="329"/>
      <c r="AB1821" s="589"/>
    </row>
    <row r="1822" spans="1:28">
      <c r="A1822" s="631" t="str">
        <f t="shared" si="44"/>
        <v>DD.06.3231</v>
      </c>
      <c r="B1822" s="565" t="s">
        <v>1023</v>
      </c>
      <c r="C1822" s="567" t="s">
        <v>2937</v>
      </c>
      <c r="D1822" s="566" t="s">
        <v>5029</v>
      </c>
      <c r="E1822" s="561"/>
      <c r="F1822" s="560">
        <v>34935</v>
      </c>
      <c r="G1822" s="561"/>
      <c r="H1822" s="657"/>
      <c r="I1822" s="564"/>
      <c r="M1822" s="329"/>
      <c r="P1822" s="593"/>
      <c r="Q1822" s="685"/>
      <c r="R1822" s="685"/>
      <c r="S1822" s="329"/>
      <c r="U1822" s="593"/>
      <c r="Z1822" s="329"/>
      <c r="AB1822" s="589"/>
    </row>
    <row r="1823" spans="1:28">
      <c r="A1823" s="631" t="str">
        <f t="shared" si="44"/>
        <v>DD.06.3241</v>
      </c>
      <c r="B1823" s="565" t="s">
        <v>2371</v>
      </c>
      <c r="C1823" s="567" t="s">
        <v>1024</v>
      </c>
      <c r="D1823" s="566" t="s">
        <v>5029</v>
      </c>
      <c r="E1823" s="560"/>
      <c r="F1823" s="560">
        <v>44917</v>
      </c>
      <c r="G1823" s="561"/>
      <c r="H1823" s="657"/>
      <c r="I1823" s="564"/>
      <c r="M1823" s="329"/>
      <c r="P1823" s="593"/>
      <c r="Q1823" s="685"/>
      <c r="R1823" s="685"/>
      <c r="S1823" s="329"/>
      <c r="U1823" s="593"/>
      <c r="Z1823" s="329"/>
      <c r="AB1823" s="589"/>
    </row>
    <row r="1824" spans="1:28">
      <c r="A1824" s="631" t="str">
        <f t="shared" si="44"/>
        <v>DD.06.3251</v>
      </c>
      <c r="B1824" s="565" t="s">
        <v>5745</v>
      </c>
      <c r="C1824" s="567" t="s">
        <v>2464</v>
      </c>
      <c r="D1824" s="566" t="s">
        <v>5029</v>
      </c>
      <c r="E1824" s="561"/>
      <c r="F1824" s="560">
        <v>10980</v>
      </c>
      <c r="G1824" s="561"/>
      <c r="H1824" s="657"/>
      <c r="I1824" s="564"/>
      <c r="M1824" s="329"/>
      <c r="P1824" s="593"/>
      <c r="Q1824" s="685"/>
      <c r="R1824" s="685"/>
      <c r="S1824" s="329"/>
      <c r="U1824" s="593"/>
      <c r="Z1824" s="329"/>
      <c r="AB1824" s="589"/>
    </row>
    <row r="1825" spans="1:28">
      <c r="A1825" s="631" t="str">
        <f t="shared" si="44"/>
        <v>DD.06.3261</v>
      </c>
      <c r="B1825" s="565" t="s">
        <v>5746</v>
      </c>
      <c r="C1825" s="567" t="s">
        <v>5748</v>
      </c>
      <c r="D1825" s="566" t="s">
        <v>5029</v>
      </c>
      <c r="E1825" s="561"/>
      <c r="F1825" s="560">
        <v>16969</v>
      </c>
      <c r="G1825" s="561"/>
      <c r="H1825" s="657"/>
      <c r="I1825" s="564"/>
      <c r="M1825" s="329"/>
      <c r="P1825" s="593"/>
      <c r="Q1825" s="685"/>
      <c r="R1825" s="685"/>
      <c r="S1825" s="329"/>
      <c r="U1825" s="593"/>
      <c r="Z1825" s="329"/>
      <c r="AB1825" s="589"/>
    </row>
    <row r="1826" spans="1:28">
      <c r="A1826" s="631" t="str">
        <f t="shared" si="44"/>
        <v>DD.06.3271</v>
      </c>
      <c r="B1826" s="565" t="s">
        <v>5747</v>
      </c>
      <c r="C1826" s="567" t="s">
        <v>5749</v>
      </c>
      <c r="D1826" s="566" t="s">
        <v>5029</v>
      </c>
      <c r="E1826" s="561"/>
      <c r="F1826" s="560">
        <v>34935</v>
      </c>
      <c r="G1826" s="561"/>
      <c r="H1826" s="657"/>
      <c r="I1826" s="564"/>
      <c r="M1826" s="329"/>
      <c r="P1826" s="593"/>
      <c r="Q1826" s="685"/>
      <c r="R1826" s="685"/>
      <c r="S1826" s="329"/>
      <c r="U1826" s="593"/>
      <c r="Z1826" s="329"/>
      <c r="AB1826" s="589"/>
    </row>
    <row r="1827" spans="1:28">
      <c r="A1827" s="631"/>
      <c r="B1827" s="569" t="s">
        <v>5750</v>
      </c>
      <c r="C1827" s="567"/>
      <c r="D1827" s="568"/>
      <c r="E1827" s="560"/>
      <c r="F1827" s="560"/>
      <c r="G1827" s="561"/>
      <c r="H1827" s="657"/>
      <c r="I1827" s="564"/>
      <c r="M1827" s="329"/>
      <c r="P1827" s="593"/>
      <c r="Q1827" s="685"/>
      <c r="R1827" s="685"/>
      <c r="S1827" s="329"/>
      <c r="U1827" s="593"/>
      <c r="Z1827" s="329"/>
      <c r="AB1827" s="589"/>
    </row>
    <row r="1828" spans="1:28">
      <c r="A1828" s="631"/>
      <c r="B1828" s="565"/>
      <c r="C1828" s="567"/>
      <c r="D1828" s="568"/>
      <c r="E1828" s="560"/>
      <c r="F1828" s="560"/>
      <c r="G1828" s="561"/>
      <c r="H1828" s="657"/>
      <c r="I1828" s="564"/>
      <c r="M1828" s="329"/>
      <c r="P1828" s="593"/>
      <c r="Q1828" s="685"/>
      <c r="R1828" s="685"/>
      <c r="S1828" s="329"/>
      <c r="U1828" s="593"/>
      <c r="Z1828" s="329"/>
      <c r="AB1828" s="589"/>
    </row>
    <row r="1829" spans="1:28">
      <c r="A1829" s="631" t="str">
        <f t="shared" ref="A1829:A1854" si="45">"DD."&amp;B1829</f>
        <v>DD.06.4011</v>
      </c>
      <c r="B1829" s="565" t="s">
        <v>5751</v>
      </c>
      <c r="C1829" s="567" t="s">
        <v>1025</v>
      </c>
      <c r="D1829" s="568" t="s">
        <v>5752</v>
      </c>
      <c r="E1829" s="560">
        <v>12160</v>
      </c>
      <c r="F1829" s="560">
        <v>108354</v>
      </c>
      <c r="G1829" s="560">
        <v>4713</v>
      </c>
      <c r="H1829" s="657"/>
      <c r="I1829" s="564"/>
      <c r="M1829" s="329"/>
      <c r="P1829" s="593"/>
      <c r="Q1829" s="685"/>
      <c r="R1829" s="685"/>
      <c r="S1829" s="329"/>
      <c r="U1829" s="593"/>
      <c r="Z1829" s="329"/>
      <c r="AB1829" s="589"/>
    </row>
    <row r="1830" spans="1:28">
      <c r="A1830" s="631" t="str">
        <f t="shared" si="45"/>
        <v>DD.06.4012</v>
      </c>
      <c r="B1830" s="565" t="s">
        <v>5753</v>
      </c>
      <c r="C1830" s="567" t="s">
        <v>3762</v>
      </c>
      <c r="D1830" s="568" t="s">
        <v>5752</v>
      </c>
      <c r="E1830" s="560">
        <v>12160</v>
      </c>
      <c r="F1830" s="560">
        <v>136317</v>
      </c>
      <c r="G1830" s="560">
        <v>4713</v>
      </c>
      <c r="H1830" s="657"/>
      <c r="I1830" s="564"/>
      <c r="M1830" s="329"/>
      <c r="P1830" s="593"/>
      <c r="Q1830" s="685"/>
      <c r="R1830" s="685"/>
      <c r="S1830" s="329"/>
      <c r="U1830" s="593"/>
      <c r="Z1830" s="329"/>
      <c r="AB1830" s="589"/>
    </row>
    <row r="1831" spans="1:28">
      <c r="A1831" s="631" t="str">
        <f t="shared" si="45"/>
        <v>DD.06.4013</v>
      </c>
      <c r="B1831" s="565" t="s">
        <v>5754</v>
      </c>
      <c r="C1831" s="567" t="s">
        <v>3763</v>
      </c>
      <c r="D1831" s="568" t="s">
        <v>5752</v>
      </c>
      <c r="E1831" s="560">
        <v>12160</v>
      </c>
      <c r="F1831" s="560">
        <v>167774</v>
      </c>
      <c r="G1831" s="560">
        <v>4713</v>
      </c>
      <c r="H1831" s="657"/>
      <c r="I1831" s="564"/>
      <c r="M1831" s="329"/>
      <c r="P1831" s="593"/>
      <c r="Q1831" s="685"/>
      <c r="R1831" s="685"/>
      <c r="S1831" s="329"/>
      <c r="U1831" s="593"/>
      <c r="Z1831" s="329"/>
      <c r="AB1831" s="589"/>
    </row>
    <row r="1832" spans="1:28">
      <c r="A1832" s="631" t="str">
        <f t="shared" si="45"/>
        <v>DD.06.4014</v>
      </c>
      <c r="B1832" s="565" t="s">
        <v>3757</v>
      </c>
      <c r="C1832" s="567" t="s">
        <v>3764</v>
      </c>
      <c r="D1832" s="568" t="s">
        <v>5752</v>
      </c>
      <c r="E1832" s="560">
        <v>12990</v>
      </c>
      <c r="F1832" s="560">
        <v>217874</v>
      </c>
      <c r="G1832" s="560">
        <v>5891</v>
      </c>
      <c r="H1832" s="657"/>
      <c r="I1832" s="564"/>
      <c r="M1832" s="329"/>
      <c r="P1832" s="593"/>
      <c r="Q1832" s="685"/>
      <c r="R1832" s="685"/>
      <c r="S1832" s="329"/>
      <c r="U1832" s="593"/>
      <c r="Z1832" s="329"/>
      <c r="AB1832" s="589"/>
    </row>
    <row r="1833" spans="1:28">
      <c r="A1833" s="631" t="str">
        <f t="shared" si="45"/>
        <v>DD.06.4015</v>
      </c>
      <c r="B1833" s="565" t="s">
        <v>3758</v>
      </c>
      <c r="C1833" s="567" t="s">
        <v>3765</v>
      </c>
      <c r="D1833" s="568" t="s">
        <v>5752</v>
      </c>
      <c r="E1833" s="560">
        <v>12990</v>
      </c>
      <c r="F1833" s="560">
        <v>233020</v>
      </c>
      <c r="G1833" s="560">
        <v>5891</v>
      </c>
      <c r="H1833" s="657"/>
      <c r="I1833" s="564"/>
      <c r="M1833" s="329"/>
      <c r="P1833" s="593"/>
      <c r="Q1833" s="685"/>
      <c r="R1833" s="685"/>
      <c r="S1833" s="329"/>
      <c r="U1833" s="593"/>
      <c r="Z1833" s="329"/>
      <c r="AB1833" s="589"/>
    </row>
    <row r="1834" spans="1:28">
      <c r="A1834" s="631" t="str">
        <f t="shared" si="45"/>
        <v>DD.06.4016</v>
      </c>
      <c r="B1834" s="565" t="s">
        <v>3759</v>
      </c>
      <c r="C1834" s="567" t="s">
        <v>3766</v>
      </c>
      <c r="D1834" s="568" t="s">
        <v>5752</v>
      </c>
      <c r="E1834" s="560">
        <v>12990</v>
      </c>
      <c r="F1834" s="560">
        <v>248166</v>
      </c>
      <c r="G1834" s="560">
        <v>5891</v>
      </c>
      <c r="H1834" s="657"/>
      <c r="I1834" s="564"/>
      <c r="M1834" s="329"/>
      <c r="P1834" s="593"/>
      <c r="Q1834" s="685"/>
      <c r="R1834" s="685"/>
      <c r="S1834" s="329"/>
      <c r="U1834" s="593"/>
      <c r="Z1834" s="329"/>
      <c r="AB1834" s="589"/>
    </row>
    <row r="1835" spans="1:28">
      <c r="A1835" s="631" t="str">
        <f t="shared" si="45"/>
        <v>DD.06.4017</v>
      </c>
      <c r="B1835" s="565" t="s">
        <v>3760</v>
      </c>
      <c r="C1835" s="567" t="s">
        <v>3767</v>
      </c>
      <c r="D1835" s="568" t="s">
        <v>5752</v>
      </c>
      <c r="E1835" s="560">
        <v>12990</v>
      </c>
      <c r="F1835" s="560">
        <v>262148</v>
      </c>
      <c r="G1835" s="560">
        <v>5891</v>
      </c>
      <c r="H1835" s="657"/>
      <c r="I1835" s="564"/>
      <c r="M1835" s="329"/>
      <c r="P1835" s="593"/>
      <c r="Q1835" s="685"/>
      <c r="R1835" s="685"/>
      <c r="S1835" s="329"/>
      <c r="U1835" s="593"/>
      <c r="Z1835" s="329"/>
      <c r="AB1835" s="589"/>
    </row>
    <row r="1836" spans="1:28">
      <c r="A1836" s="631" t="str">
        <f t="shared" si="45"/>
        <v>DD.06.4018</v>
      </c>
      <c r="B1836" s="565" t="s">
        <v>3761</v>
      </c>
      <c r="C1836" s="567" t="s">
        <v>4851</v>
      </c>
      <c r="D1836" s="568" t="s">
        <v>5752</v>
      </c>
      <c r="E1836" s="560">
        <v>12990</v>
      </c>
      <c r="F1836" s="560">
        <v>314577</v>
      </c>
      <c r="G1836" s="560">
        <v>5891</v>
      </c>
      <c r="H1836" s="657"/>
      <c r="I1836" s="564"/>
      <c r="M1836" s="329"/>
      <c r="P1836" s="593"/>
      <c r="Q1836" s="685"/>
      <c r="R1836" s="685"/>
      <c r="S1836" s="329"/>
      <c r="U1836" s="593"/>
      <c r="Z1836" s="329"/>
      <c r="AB1836" s="589"/>
    </row>
    <row r="1837" spans="1:28">
      <c r="A1837" s="631"/>
      <c r="B1837" s="571"/>
      <c r="C1837" s="567"/>
      <c r="D1837" s="571"/>
      <c r="E1837" s="561"/>
      <c r="F1837" s="561"/>
      <c r="G1837" s="561"/>
      <c r="H1837" s="657"/>
      <c r="I1837" s="564"/>
      <c r="M1837" s="329"/>
      <c r="P1837" s="593"/>
      <c r="Q1837" s="685"/>
      <c r="R1837" s="685"/>
      <c r="S1837" s="329"/>
      <c r="U1837" s="593"/>
      <c r="Z1837" s="329"/>
      <c r="AB1837" s="589"/>
    </row>
    <row r="1838" spans="1:28">
      <c r="A1838" s="631" t="str">
        <f t="shared" si="45"/>
        <v>DD.06.4021</v>
      </c>
      <c r="B1838" s="565" t="s">
        <v>4852</v>
      </c>
      <c r="C1838" s="567" t="s">
        <v>103</v>
      </c>
      <c r="D1838" s="568" t="s">
        <v>5752</v>
      </c>
      <c r="E1838" s="560">
        <v>12160</v>
      </c>
      <c r="F1838" s="560">
        <v>58255</v>
      </c>
      <c r="G1838" s="560">
        <v>4713</v>
      </c>
      <c r="H1838" s="657"/>
      <c r="I1838" s="564"/>
      <c r="M1838" s="329"/>
      <c r="P1838" s="593"/>
      <c r="Q1838" s="685"/>
      <c r="R1838" s="685"/>
      <c r="S1838" s="329"/>
      <c r="U1838" s="593"/>
      <c r="Z1838" s="329"/>
      <c r="AB1838" s="589"/>
    </row>
    <row r="1839" spans="1:28">
      <c r="A1839" s="631" t="str">
        <f t="shared" si="45"/>
        <v>DD.06.4022</v>
      </c>
      <c r="B1839" s="565" t="s">
        <v>4853</v>
      </c>
      <c r="C1839" s="567" t="s">
        <v>4136</v>
      </c>
      <c r="D1839" s="568" t="s">
        <v>5752</v>
      </c>
      <c r="E1839" s="560">
        <v>12160</v>
      </c>
      <c r="F1839" s="560">
        <v>72236</v>
      </c>
      <c r="G1839" s="560">
        <v>4713</v>
      </c>
      <c r="H1839" s="657"/>
      <c r="I1839" s="564"/>
      <c r="M1839" s="329"/>
      <c r="P1839" s="593"/>
      <c r="Q1839" s="685"/>
      <c r="R1839" s="685"/>
      <c r="S1839" s="329"/>
      <c r="U1839" s="593"/>
      <c r="Z1839" s="329"/>
      <c r="AB1839" s="589"/>
    </row>
    <row r="1840" spans="1:28">
      <c r="A1840" s="631" t="str">
        <f t="shared" si="45"/>
        <v>DD.06.4023</v>
      </c>
      <c r="B1840" s="565" t="s">
        <v>4854</v>
      </c>
      <c r="C1840" s="567" t="s">
        <v>5697</v>
      </c>
      <c r="D1840" s="568" t="s">
        <v>5752</v>
      </c>
      <c r="E1840" s="560">
        <v>12160</v>
      </c>
      <c r="F1840" s="560">
        <v>88548</v>
      </c>
      <c r="G1840" s="560">
        <v>4713</v>
      </c>
      <c r="H1840" s="657"/>
      <c r="I1840" s="564"/>
      <c r="M1840" s="329"/>
      <c r="P1840" s="593"/>
      <c r="Q1840" s="685"/>
      <c r="R1840" s="685"/>
      <c r="S1840" s="329"/>
      <c r="U1840" s="593"/>
      <c r="Z1840" s="329"/>
      <c r="AB1840" s="589"/>
    </row>
    <row r="1841" spans="1:28">
      <c r="A1841" s="631" t="str">
        <f t="shared" si="45"/>
        <v>DD.06.4024</v>
      </c>
      <c r="B1841" s="565" t="s">
        <v>4855</v>
      </c>
      <c r="C1841" s="567" t="s">
        <v>4381</v>
      </c>
      <c r="D1841" s="568" t="s">
        <v>5752</v>
      </c>
      <c r="E1841" s="560">
        <v>12990</v>
      </c>
      <c r="F1841" s="560">
        <v>115345</v>
      </c>
      <c r="G1841" s="560">
        <v>5891</v>
      </c>
      <c r="H1841" s="657"/>
      <c r="I1841" s="564"/>
      <c r="M1841" s="329"/>
      <c r="P1841" s="593"/>
      <c r="Q1841" s="685"/>
      <c r="R1841" s="685"/>
      <c r="S1841" s="329"/>
      <c r="U1841" s="593"/>
      <c r="Z1841" s="329"/>
      <c r="AB1841" s="589"/>
    </row>
    <row r="1842" spans="1:28">
      <c r="A1842" s="631" t="str">
        <f t="shared" si="45"/>
        <v>DD.06.4025</v>
      </c>
      <c r="B1842" s="565" t="s">
        <v>2903</v>
      </c>
      <c r="C1842" s="567" t="s">
        <v>4382</v>
      </c>
      <c r="D1842" s="568" t="s">
        <v>5752</v>
      </c>
      <c r="E1842" s="560">
        <v>12990</v>
      </c>
      <c r="F1842" s="560">
        <v>116510</v>
      </c>
      <c r="G1842" s="560">
        <v>5891</v>
      </c>
      <c r="H1842" s="657"/>
      <c r="I1842" s="564"/>
      <c r="M1842" s="329"/>
      <c r="P1842" s="593"/>
      <c r="Q1842" s="685"/>
      <c r="R1842" s="685"/>
      <c r="S1842" s="329"/>
      <c r="U1842" s="593"/>
      <c r="Z1842" s="329"/>
      <c r="AB1842" s="589"/>
    </row>
    <row r="1843" spans="1:28">
      <c r="A1843" s="631" t="str">
        <f t="shared" si="45"/>
        <v>DD.06.4026</v>
      </c>
      <c r="B1843" s="565" t="s">
        <v>2904</v>
      </c>
      <c r="C1843" s="567" t="s">
        <v>4383</v>
      </c>
      <c r="D1843" s="568" t="s">
        <v>5752</v>
      </c>
      <c r="E1843" s="560">
        <v>12990</v>
      </c>
      <c r="F1843" s="560">
        <v>145638</v>
      </c>
      <c r="G1843" s="560">
        <v>5891</v>
      </c>
      <c r="H1843" s="657"/>
      <c r="I1843" s="564"/>
      <c r="M1843" s="329"/>
      <c r="P1843" s="593"/>
      <c r="Q1843" s="685"/>
      <c r="R1843" s="685"/>
      <c r="S1843" s="329"/>
      <c r="U1843" s="593"/>
      <c r="Z1843" s="329"/>
      <c r="AB1843" s="589"/>
    </row>
    <row r="1844" spans="1:28">
      <c r="A1844" s="631" t="str">
        <f t="shared" si="45"/>
        <v>DD.06.4027</v>
      </c>
      <c r="B1844" s="565" t="s">
        <v>2905</v>
      </c>
      <c r="C1844" s="567" t="s">
        <v>4384</v>
      </c>
      <c r="D1844" s="568" t="s">
        <v>5752</v>
      </c>
      <c r="E1844" s="560">
        <v>12990</v>
      </c>
      <c r="F1844" s="560">
        <v>174765</v>
      </c>
      <c r="G1844" s="560">
        <v>5891</v>
      </c>
      <c r="H1844" s="657"/>
      <c r="I1844" s="564"/>
      <c r="M1844" s="329"/>
      <c r="P1844" s="593"/>
      <c r="Q1844" s="685"/>
      <c r="R1844" s="685"/>
      <c r="S1844" s="329"/>
      <c r="U1844" s="593"/>
      <c r="Z1844" s="329"/>
      <c r="AB1844" s="589"/>
    </row>
    <row r="1845" spans="1:28">
      <c r="A1845" s="631" t="str">
        <f t="shared" si="45"/>
        <v>DD.06.4028</v>
      </c>
      <c r="B1845" s="565" t="s">
        <v>2906</v>
      </c>
      <c r="C1845" s="567" t="s">
        <v>104</v>
      </c>
      <c r="D1845" s="568" t="s">
        <v>5752</v>
      </c>
      <c r="E1845" s="560">
        <v>12990</v>
      </c>
      <c r="F1845" s="560">
        <v>209718</v>
      </c>
      <c r="G1845" s="560">
        <v>5891</v>
      </c>
      <c r="H1845" s="657"/>
      <c r="I1845" s="564"/>
      <c r="M1845" s="329"/>
      <c r="P1845" s="593"/>
      <c r="Q1845" s="685"/>
      <c r="R1845" s="685"/>
      <c r="S1845" s="329"/>
      <c r="U1845" s="593"/>
      <c r="Z1845" s="329"/>
      <c r="AB1845" s="589"/>
    </row>
    <row r="1846" spans="1:28">
      <c r="A1846" s="631"/>
      <c r="B1846" s="571"/>
      <c r="C1846" s="567"/>
      <c r="D1846" s="571"/>
      <c r="E1846" s="561"/>
      <c r="F1846" s="561"/>
      <c r="G1846" s="561"/>
      <c r="H1846" s="657"/>
      <c r="I1846" s="564"/>
      <c r="M1846" s="329"/>
      <c r="P1846" s="593"/>
      <c r="Q1846" s="685"/>
      <c r="R1846" s="685"/>
      <c r="S1846" s="329"/>
      <c r="U1846" s="593"/>
      <c r="Z1846" s="329"/>
      <c r="AB1846" s="589"/>
    </row>
    <row r="1847" spans="1:28">
      <c r="A1847" s="631" t="str">
        <f t="shared" si="45"/>
        <v>DD.06.4031</v>
      </c>
      <c r="B1847" s="565" t="s">
        <v>2907</v>
      </c>
      <c r="C1847" s="567" t="s">
        <v>4792</v>
      </c>
      <c r="D1847" s="568" t="s">
        <v>5752</v>
      </c>
      <c r="E1847" s="560">
        <v>12160</v>
      </c>
      <c r="F1847" s="560">
        <v>53595</v>
      </c>
      <c r="G1847" s="560">
        <v>4713</v>
      </c>
      <c r="H1847" s="657"/>
      <c r="I1847" s="564"/>
      <c r="M1847" s="329"/>
      <c r="P1847" s="593"/>
      <c r="Q1847" s="685"/>
      <c r="R1847" s="685"/>
      <c r="S1847" s="329"/>
      <c r="U1847" s="593"/>
      <c r="Z1847" s="329"/>
      <c r="AB1847" s="589"/>
    </row>
    <row r="1848" spans="1:28">
      <c r="A1848" s="631" t="str">
        <f t="shared" si="45"/>
        <v>DD.06.4032</v>
      </c>
      <c r="B1848" s="565" t="s">
        <v>2908</v>
      </c>
      <c r="C1848" s="567" t="s">
        <v>105</v>
      </c>
      <c r="D1848" s="568" t="s">
        <v>5752</v>
      </c>
      <c r="E1848" s="560">
        <v>12160</v>
      </c>
      <c r="F1848" s="560">
        <v>67576</v>
      </c>
      <c r="G1848" s="560">
        <v>4713</v>
      </c>
      <c r="H1848" s="657"/>
      <c r="I1848" s="564"/>
      <c r="M1848" s="329"/>
      <c r="P1848" s="593"/>
      <c r="Q1848" s="685"/>
      <c r="R1848" s="685"/>
      <c r="S1848" s="329"/>
      <c r="U1848" s="593"/>
      <c r="Z1848" s="329"/>
      <c r="AB1848" s="589"/>
    </row>
    <row r="1849" spans="1:28">
      <c r="A1849" s="631" t="str">
        <f t="shared" si="45"/>
        <v>DD.06.4033</v>
      </c>
      <c r="B1849" s="565" t="s">
        <v>2909</v>
      </c>
      <c r="C1849" s="567" t="s">
        <v>3021</v>
      </c>
      <c r="D1849" s="568" t="s">
        <v>5752</v>
      </c>
      <c r="E1849" s="560">
        <v>12160</v>
      </c>
      <c r="F1849" s="560">
        <v>82722</v>
      </c>
      <c r="G1849" s="560">
        <v>4713</v>
      </c>
      <c r="H1849" s="657"/>
      <c r="I1849" s="564"/>
      <c r="M1849" s="329"/>
      <c r="P1849" s="593"/>
      <c r="Q1849" s="685"/>
      <c r="R1849" s="685"/>
      <c r="S1849" s="329"/>
      <c r="U1849" s="593"/>
      <c r="Z1849" s="329"/>
      <c r="AB1849" s="589"/>
    </row>
    <row r="1850" spans="1:28">
      <c r="A1850" s="631" t="str">
        <f t="shared" si="45"/>
        <v>DD.06.4034</v>
      </c>
      <c r="B1850" s="565" t="s">
        <v>2910</v>
      </c>
      <c r="C1850" s="567" t="s">
        <v>4788</v>
      </c>
      <c r="D1850" s="568" t="s">
        <v>5752</v>
      </c>
      <c r="E1850" s="560">
        <v>12990</v>
      </c>
      <c r="F1850" s="560">
        <v>107189</v>
      </c>
      <c r="G1850" s="560">
        <v>5891</v>
      </c>
      <c r="H1850" s="657"/>
      <c r="I1850" s="564"/>
      <c r="M1850" s="329"/>
      <c r="P1850" s="593"/>
      <c r="Q1850" s="685"/>
      <c r="R1850" s="685"/>
      <c r="S1850" s="329"/>
      <c r="U1850" s="593"/>
      <c r="Z1850" s="329"/>
      <c r="AB1850" s="589"/>
    </row>
    <row r="1851" spans="1:28">
      <c r="A1851" s="631" t="str">
        <f t="shared" si="45"/>
        <v>DD.06.4035</v>
      </c>
      <c r="B1851" s="565" t="s">
        <v>2911</v>
      </c>
      <c r="C1851" s="567" t="s">
        <v>4789</v>
      </c>
      <c r="D1851" s="568" t="s">
        <v>5752</v>
      </c>
      <c r="E1851" s="560">
        <v>12990</v>
      </c>
      <c r="F1851" s="560">
        <v>114180</v>
      </c>
      <c r="G1851" s="560">
        <v>5891</v>
      </c>
      <c r="H1851" s="657"/>
      <c r="I1851" s="564"/>
      <c r="M1851" s="329"/>
      <c r="P1851" s="593"/>
      <c r="Q1851" s="685"/>
      <c r="R1851" s="685"/>
      <c r="S1851" s="329"/>
      <c r="U1851" s="593"/>
      <c r="Z1851" s="329"/>
      <c r="AB1851" s="589"/>
    </row>
    <row r="1852" spans="1:28">
      <c r="A1852" s="631" t="str">
        <f t="shared" si="45"/>
        <v>DD.06.4036</v>
      </c>
      <c r="B1852" s="565" t="s">
        <v>2912</v>
      </c>
      <c r="C1852" s="567" t="s">
        <v>4790</v>
      </c>
      <c r="D1852" s="568" t="s">
        <v>5752</v>
      </c>
      <c r="E1852" s="560">
        <v>12990</v>
      </c>
      <c r="F1852" s="560">
        <v>138647</v>
      </c>
      <c r="G1852" s="560">
        <v>5891</v>
      </c>
      <c r="H1852" s="657"/>
      <c r="I1852" s="564"/>
      <c r="M1852" s="329"/>
      <c r="P1852" s="593"/>
      <c r="Q1852" s="685"/>
      <c r="R1852" s="685"/>
      <c r="S1852" s="329"/>
      <c r="U1852" s="593"/>
      <c r="Z1852" s="329"/>
      <c r="AB1852" s="589"/>
    </row>
    <row r="1853" spans="1:28">
      <c r="A1853" s="631" t="str">
        <f t="shared" si="45"/>
        <v>DD.06.4037</v>
      </c>
      <c r="B1853" s="565" t="s">
        <v>4134</v>
      </c>
      <c r="C1853" s="567" t="s">
        <v>4791</v>
      </c>
      <c r="D1853" s="568" t="s">
        <v>5752</v>
      </c>
      <c r="E1853" s="560">
        <v>12990</v>
      </c>
      <c r="F1853" s="560">
        <v>160784</v>
      </c>
      <c r="G1853" s="560">
        <v>5891</v>
      </c>
      <c r="H1853" s="657"/>
      <c r="I1853" s="564"/>
      <c r="M1853" s="329"/>
      <c r="P1853" s="593"/>
      <c r="Q1853" s="685"/>
      <c r="R1853" s="685"/>
      <c r="S1853" s="329"/>
      <c r="U1853" s="593"/>
      <c r="Z1853" s="329"/>
      <c r="AB1853" s="589"/>
    </row>
    <row r="1854" spans="1:28">
      <c r="A1854" s="631" t="str">
        <f t="shared" si="45"/>
        <v>DD.06.4038</v>
      </c>
      <c r="B1854" s="565" t="s">
        <v>4135</v>
      </c>
      <c r="C1854" s="567" t="s">
        <v>4054</v>
      </c>
      <c r="D1854" s="568" t="s">
        <v>5752</v>
      </c>
      <c r="E1854" s="560">
        <v>12990</v>
      </c>
      <c r="F1854" s="560">
        <v>192941</v>
      </c>
      <c r="G1854" s="560">
        <v>5891</v>
      </c>
      <c r="H1854" s="657"/>
      <c r="I1854" s="564"/>
      <c r="M1854" s="329"/>
      <c r="P1854" s="593"/>
      <c r="Q1854" s="685"/>
      <c r="R1854" s="685"/>
      <c r="S1854" s="329"/>
      <c r="U1854" s="593"/>
      <c r="Z1854" s="329"/>
      <c r="AB1854" s="589"/>
    </row>
    <row r="1855" spans="1:28">
      <c r="A1855" s="631"/>
      <c r="B1855" s="567" t="s">
        <v>4163</v>
      </c>
      <c r="C1855" s="567"/>
      <c r="D1855" s="568"/>
      <c r="E1855" s="560"/>
      <c r="F1855" s="560"/>
      <c r="G1855" s="561"/>
      <c r="H1855" s="657"/>
      <c r="I1855" s="564"/>
      <c r="M1855" s="329"/>
      <c r="P1855" s="593"/>
      <c r="Q1855" s="685"/>
      <c r="R1855" s="685"/>
      <c r="S1855" s="329"/>
      <c r="U1855" s="593"/>
      <c r="Z1855" s="329"/>
      <c r="AB1855" s="589"/>
    </row>
    <row r="1856" spans="1:28">
      <c r="A1856" s="631"/>
      <c r="B1856" s="569" t="s">
        <v>4164</v>
      </c>
      <c r="C1856" s="567"/>
      <c r="D1856" s="568"/>
      <c r="E1856" s="560"/>
      <c r="F1856" s="560"/>
      <c r="G1856" s="561"/>
      <c r="H1856" s="657"/>
      <c r="I1856" s="564"/>
      <c r="M1856" s="329"/>
      <c r="P1856" s="593"/>
      <c r="Q1856" s="685"/>
      <c r="R1856" s="685"/>
      <c r="S1856" s="329"/>
      <c r="U1856" s="593"/>
      <c r="Z1856" s="329"/>
      <c r="AB1856" s="589"/>
    </row>
    <row r="1857" spans="1:28">
      <c r="A1857" s="631"/>
      <c r="B1857" s="567"/>
      <c r="C1857" s="567" t="s">
        <v>4165</v>
      </c>
      <c r="D1857" s="568"/>
      <c r="E1857" s="560"/>
      <c r="F1857" s="560"/>
      <c r="G1857" s="561"/>
      <c r="H1857" s="657"/>
      <c r="I1857" s="564"/>
      <c r="M1857" s="329"/>
      <c r="P1857" s="593"/>
      <c r="Q1857" s="685"/>
      <c r="R1857" s="685"/>
      <c r="S1857" s="329"/>
      <c r="U1857" s="593"/>
      <c r="Z1857" s="329"/>
      <c r="AB1857" s="589"/>
    </row>
    <row r="1858" spans="1:28">
      <c r="A1858" s="631"/>
      <c r="B1858" s="567"/>
      <c r="C1858" s="567"/>
      <c r="D1858" s="568"/>
      <c r="E1858" s="560"/>
      <c r="F1858" s="560"/>
      <c r="G1858" s="561"/>
      <c r="H1858" s="657"/>
      <c r="I1858" s="564"/>
      <c r="M1858" s="329"/>
      <c r="P1858" s="593"/>
      <c r="Q1858" s="685"/>
      <c r="R1858" s="685"/>
      <c r="S1858" s="329"/>
      <c r="U1858" s="593"/>
      <c r="Z1858" s="329"/>
      <c r="AB1858" s="589"/>
    </row>
    <row r="1859" spans="1:28">
      <c r="A1859" s="631"/>
      <c r="B1859" s="567"/>
      <c r="C1859" s="567"/>
      <c r="D1859" s="568"/>
      <c r="E1859" s="560"/>
      <c r="F1859" s="560"/>
      <c r="G1859" s="561"/>
      <c r="H1859" s="657"/>
      <c r="I1859" s="564"/>
      <c r="M1859" s="329"/>
      <c r="P1859" s="593"/>
      <c r="Q1859" s="685"/>
      <c r="R1859" s="685"/>
      <c r="S1859" s="329"/>
      <c r="U1859" s="593"/>
      <c r="Z1859" s="329"/>
      <c r="AB1859" s="589"/>
    </row>
    <row r="1860" spans="1:28">
      <c r="A1860" s="631"/>
      <c r="B1860" s="569" t="s">
        <v>4166</v>
      </c>
      <c r="C1860" s="567"/>
      <c r="D1860" s="568"/>
      <c r="E1860" s="560"/>
      <c r="F1860" s="560"/>
      <c r="G1860" s="561"/>
      <c r="H1860" s="657"/>
      <c r="I1860" s="564"/>
      <c r="M1860" s="329"/>
      <c r="P1860" s="593"/>
      <c r="Q1860" s="685"/>
      <c r="R1860" s="685"/>
      <c r="S1860" s="329"/>
      <c r="U1860" s="593"/>
      <c r="Z1860" s="329"/>
      <c r="AB1860" s="589"/>
    </row>
    <row r="1861" spans="1:28">
      <c r="A1861" s="631" t="str">
        <f t="shared" ref="A1861:A1874" si="46">"DD."&amp;B1861</f>
        <v>DD.06.6111</v>
      </c>
      <c r="B1861" s="565" t="s">
        <v>5980</v>
      </c>
      <c r="C1861" s="567" t="s">
        <v>5856</v>
      </c>
      <c r="D1861" s="568" t="s">
        <v>5184</v>
      </c>
      <c r="E1861" s="560">
        <v>226620</v>
      </c>
      <c r="F1861" s="560">
        <v>841440</v>
      </c>
      <c r="G1861" s="561"/>
      <c r="H1861" s="657"/>
      <c r="I1861" s="564"/>
      <c r="M1861" s="329"/>
      <c r="P1861" s="593"/>
      <c r="Q1861" s="685"/>
      <c r="R1861" s="685"/>
      <c r="S1861" s="329"/>
      <c r="U1861" s="593"/>
      <c r="Z1861" s="329"/>
      <c r="AB1861" s="589"/>
    </row>
    <row r="1862" spans="1:28">
      <c r="A1862" s="631" t="str">
        <f t="shared" si="46"/>
        <v>DD.06.6112</v>
      </c>
      <c r="B1862" s="565" t="s">
        <v>4167</v>
      </c>
      <c r="C1862" s="567" t="s">
        <v>1707</v>
      </c>
      <c r="D1862" s="568" t="s">
        <v>5184</v>
      </c>
      <c r="E1862" s="560">
        <v>226620</v>
      </c>
      <c r="F1862" s="560">
        <v>1108945</v>
      </c>
      <c r="G1862" s="561"/>
      <c r="H1862" s="657"/>
      <c r="I1862" s="564"/>
      <c r="M1862" s="329"/>
      <c r="P1862" s="593"/>
      <c r="Q1862" s="685"/>
      <c r="R1862" s="685"/>
      <c r="S1862" s="329"/>
      <c r="U1862" s="593"/>
      <c r="Z1862" s="329"/>
      <c r="AB1862" s="589"/>
    </row>
    <row r="1863" spans="1:28">
      <c r="A1863" s="631" t="str">
        <f t="shared" si="46"/>
        <v>DD.06.6113</v>
      </c>
      <c r="B1863" s="565" t="s">
        <v>4168</v>
      </c>
      <c r="C1863" s="567" t="s">
        <v>1693</v>
      </c>
      <c r="D1863" s="568" t="s">
        <v>5184</v>
      </c>
      <c r="E1863" s="560">
        <v>226620</v>
      </c>
      <c r="F1863" s="560">
        <v>1217743</v>
      </c>
      <c r="G1863" s="561"/>
      <c r="H1863" s="657"/>
      <c r="I1863" s="564"/>
      <c r="M1863" s="329"/>
      <c r="P1863" s="593"/>
      <c r="Q1863" s="685"/>
      <c r="R1863" s="685"/>
      <c r="S1863" s="329"/>
      <c r="U1863" s="593"/>
      <c r="Z1863" s="329"/>
      <c r="AB1863" s="589"/>
    </row>
    <row r="1864" spans="1:28">
      <c r="A1864" s="631" t="str">
        <f t="shared" si="46"/>
        <v>DD.06.6114</v>
      </c>
      <c r="B1864" s="565" t="s">
        <v>4169</v>
      </c>
      <c r="C1864" s="567" t="s">
        <v>281</v>
      </c>
      <c r="D1864" s="568" t="s">
        <v>5184</v>
      </c>
      <c r="E1864" s="560">
        <v>226950</v>
      </c>
      <c r="F1864" s="560">
        <v>1604027</v>
      </c>
      <c r="G1864" s="561"/>
      <c r="H1864" s="657"/>
      <c r="I1864" s="564"/>
      <c r="M1864" s="329"/>
      <c r="P1864" s="593"/>
      <c r="Q1864" s="685"/>
      <c r="R1864" s="685"/>
      <c r="S1864" s="329"/>
      <c r="U1864" s="593"/>
      <c r="Z1864" s="329"/>
      <c r="AB1864" s="589"/>
    </row>
    <row r="1865" spans="1:28">
      <c r="A1865" s="631" t="str">
        <f t="shared" si="46"/>
        <v>DD.06.6115</v>
      </c>
      <c r="B1865" s="565" t="s">
        <v>5185</v>
      </c>
      <c r="C1865" s="567" t="s">
        <v>2902</v>
      </c>
      <c r="D1865" s="568" t="s">
        <v>5184</v>
      </c>
      <c r="E1865" s="560">
        <v>226950</v>
      </c>
      <c r="F1865" s="560">
        <v>2143028</v>
      </c>
      <c r="G1865" s="561"/>
      <c r="H1865" s="657"/>
      <c r="I1865" s="564"/>
      <c r="M1865" s="329"/>
      <c r="P1865" s="593"/>
      <c r="Q1865" s="685"/>
      <c r="R1865" s="685"/>
      <c r="S1865" s="329"/>
      <c r="U1865" s="593"/>
      <c r="Z1865" s="329"/>
      <c r="AB1865" s="589"/>
    </row>
    <row r="1866" spans="1:28">
      <c r="A1866" s="631" t="str">
        <f t="shared" si="46"/>
        <v>DD.06.6116</v>
      </c>
      <c r="B1866" s="565" t="s">
        <v>5186</v>
      </c>
      <c r="C1866" s="567" t="s">
        <v>5348</v>
      </c>
      <c r="D1866" s="568" t="s">
        <v>5184</v>
      </c>
      <c r="E1866" s="560">
        <v>226950</v>
      </c>
      <c r="F1866" s="560">
        <v>2918591</v>
      </c>
      <c r="G1866" s="561"/>
      <c r="H1866" s="657"/>
      <c r="I1866" s="564"/>
      <c r="M1866" s="329"/>
      <c r="P1866" s="593"/>
      <c r="Q1866" s="685"/>
      <c r="R1866" s="685"/>
      <c r="S1866" s="329"/>
      <c r="U1866" s="593"/>
      <c r="Z1866" s="329"/>
      <c r="AB1866" s="589"/>
    </row>
    <row r="1867" spans="1:28">
      <c r="A1867" s="631" t="str">
        <f t="shared" si="46"/>
        <v>DD.06.6161</v>
      </c>
      <c r="B1867" s="565" t="s">
        <v>5187</v>
      </c>
      <c r="C1867" s="567" t="s">
        <v>5349</v>
      </c>
      <c r="D1867" s="568" t="s">
        <v>5184</v>
      </c>
      <c r="E1867" s="560">
        <v>320580</v>
      </c>
      <c r="F1867" s="560">
        <v>3553220</v>
      </c>
      <c r="G1867" s="561"/>
      <c r="H1867" s="657"/>
      <c r="I1867" s="564"/>
      <c r="M1867" s="329"/>
      <c r="P1867" s="593"/>
      <c r="Q1867" s="685"/>
      <c r="R1867" s="685"/>
      <c r="S1867" s="329"/>
      <c r="U1867" s="593"/>
      <c r="Z1867" s="329"/>
      <c r="AB1867" s="589"/>
    </row>
    <row r="1868" spans="1:28">
      <c r="A1868" s="631" t="str">
        <f t="shared" si="46"/>
        <v>DD.06.6162</v>
      </c>
      <c r="B1868" s="565" t="s">
        <v>5188</v>
      </c>
      <c r="C1868" s="567" t="s">
        <v>5149</v>
      </c>
      <c r="D1868" s="568" t="s">
        <v>5184</v>
      </c>
      <c r="E1868" s="560">
        <v>320580</v>
      </c>
      <c r="F1868" s="560">
        <v>4299559</v>
      </c>
      <c r="G1868" s="561"/>
      <c r="H1868" s="657"/>
      <c r="I1868" s="564"/>
      <c r="M1868" s="329"/>
      <c r="P1868" s="593"/>
      <c r="Q1868" s="685"/>
      <c r="R1868" s="685"/>
      <c r="S1868" s="329"/>
      <c r="U1868" s="593"/>
      <c r="Z1868" s="329"/>
      <c r="AB1868" s="589"/>
    </row>
    <row r="1869" spans="1:28">
      <c r="A1869" s="631" t="str">
        <f t="shared" si="46"/>
        <v>DD.06.6163</v>
      </c>
      <c r="B1869" s="565" t="s">
        <v>5189</v>
      </c>
      <c r="C1869" s="567" t="s">
        <v>5150</v>
      </c>
      <c r="D1869" s="568" t="s">
        <v>5184</v>
      </c>
      <c r="E1869" s="560">
        <v>320580</v>
      </c>
      <c r="F1869" s="560">
        <v>5074020</v>
      </c>
      <c r="G1869" s="561"/>
      <c r="H1869" s="657"/>
      <c r="I1869" s="564"/>
      <c r="M1869" s="329"/>
      <c r="P1869" s="593"/>
      <c r="Q1869" s="685"/>
      <c r="R1869" s="685"/>
      <c r="S1869" s="329"/>
      <c r="U1869" s="593"/>
      <c r="Z1869" s="329"/>
      <c r="AB1869" s="589"/>
    </row>
    <row r="1870" spans="1:28">
      <c r="A1870" s="631" t="str">
        <f t="shared" si="46"/>
        <v>DD.06.6164</v>
      </c>
      <c r="B1870" s="565" t="s">
        <v>4187</v>
      </c>
      <c r="C1870" s="567" t="s">
        <v>5151</v>
      </c>
      <c r="D1870" s="568" t="s">
        <v>5184</v>
      </c>
      <c r="E1870" s="560">
        <v>320580</v>
      </c>
      <c r="F1870" s="560">
        <v>5580232</v>
      </c>
      <c r="G1870" s="561"/>
      <c r="H1870" s="657"/>
      <c r="I1870" s="564"/>
      <c r="M1870" s="329"/>
      <c r="P1870" s="593"/>
      <c r="Q1870" s="685"/>
      <c r="R1870" s="685"/>
      <c r="S1870" s="329"/>
      <c r="U1870" s="593"/>
      <c r="Z1870" s="329"/>
      <c r="AB1870" s="589"/>
    </row>
    <row r="1871" spans="1:28">
      <c r="A1871" s="631" t="str">
        <f t="shared" si="46"/>
        <v>DD.06.6165</v>
      </c>
      <c r="B1871" s="565" t="s">
        <v>4188</v>
      </c>
      <c r="C1871" s="567" t="s">
        <v>5152</v>
      </c>
      <c r="D1871" s="568" t="s">
        <v>5184</v>
      </c>
      <c r="E1871" s="560">
        <v>382710</v>
      </c>
      <c r="F1871" s="560">
        <v>7037215</v>
      </c>
      <c r="G1871" s="561"/>
      <c r="H1871" s="657"/>
      <c r="I1871" s="564"/>
      <c r="M1871" s="329"/>
      <c r="P1871" s="593"/>
      <c r="Q1871" s="685"/>
      <c r="R1871" s="685"/>
      <c r="S1871" s="329"/>
      <c r="U1871" s="593"/>
      <c r="Z1871" s="329"/>
      <c r="AB1871" s="589"/>
    </row>
    <row r="1872" spans="1:28">
      <c r="A1872" s="631" t="str">
        <f t="shared" si="46"/>
        <v>DD.06.6166</v>
      </c>
      <c r="B1872" s="565" t="s">
        <v>4365</v>
      </c>
      <c r="C1872" s="567" t="s">
        <v>4636</v>
      </c>
      <c r="D1872" s="568" t="s">
        <v>5184</v>
      </c>
      <c r="E1872" s="560">
        <v>382710</v>
      </c>
      <c r="F1872" s="560">
        <v>9295700</v>
      </c>
      <c r="G1872" s="561"/>
      <c r="H1872" s="657"/>
      <c r="I1872" s="564"/>
      <c r="M1872" s="329"/>
      <c r="P1872" s="593"/>
      <c r="Q1872" s="685"/>
      <c r="R1872" s="685"/>
      <c r="S1872" s="329"/>
      <c r="U1872" s="593"/>
      <c r="Z1872" s="329"/>
      <c r="AB1872" s="589"/>
    </row>
    <row r="1873" spans="1:28">
      <c r="A1873" s="631" t="str">
        <f t="shared" si="46"/>
        <v>DD.06.6167</v>
      </c>
      <c r="B1873" s="565" t="s">
        <v>5134</v>
      </c>
      <c r="C1873" s="567" t="s">
        <v>5855</v>
      </c>
      <c r="D1873" s="568" t="s">
        <v>5184</v>
      </c>
      <c r="E1873" s="560">
        <v>382710</v>
      </c>
      <c r="F1873" s="560">
        <v>10892216</v>
      </c>
      <c r="G1873" s="561"/>
      <c r="H1873" s="657"/>
      <c r="I1873" s="564"/>
      <c r="M1873" s="329"/>
      <c r="P1873" s="593"/>
      <c r="Q1873" s="685"/>
      <c r="R1873" s="685"/>
      <c r="S1873" s="329"/>
      <c r="U1873" s="593"/>
      <c r="Z1873" s="329"/>
      <c r="AB1873" s="589"/>
    </row>
    <row r="1874" spans="1:28">
      <c r="A1874" s="631" t="str">
        <f t="shared" si="46"/>
        <v>DD.06.6168</v>
      </c>
      <c r="B1874" s="565" t="s">
        <v>5135</v>
      </c>
      <c r="C1874" s="567" t="s">
        <v>5857</v>
      </c>
      <c r="D1874" s="568" t="s">
        <v>5184</v>
      </c>
      <c r="E1874" s="560">
        <v>382710</v>
      </c>
      <c r="F1874" s="560">
        <v>14158799</v>
      </c>
      <c r="G1874" s="561"/>
      <c r="H1874" s="657"/>
      <c r="I1874" s="564"/>
      <c r="M1874" s="329"/>
      <c r="P1874" s="593"/>
      <c r="Q1874" s="685"/>
      <c r="R1874" s="685"/>
      <c r="S1874" s="329"/>
      <c r="U1874" s="593"/>
      <c r="Z1874" s="329"/>
      <c r="AB1874" s="589"/>
    </row>
    <row r="1875" spans="1:28">
      <c r="A1875" s="631"/>
      <c r="B1875" s="571"/>
      <c r="C1875" s="567"/>
      <c r="D1875" s="571"/>
      <c r="E1875" s="561"/>
      <c r="F1875" s="561"/>
      <c r="G1875" s="561"/>
      <c r="H1875" s="657"/>
      <c r="I1875" s="564"/>
      <c r="M1875" s="329"/>
      <c r="P1875" s="593"/>
      <c r="Q1875" s="685"/>
      <c r="R1875" s="685"/>
      <c r="S1875" s="329"/>
      <c r="U1875" s="593"/>
      <c r="Z1875" s="329"/>
      <c r="AB1875" s="589"/>
    </row>
    <row r="1876" spans="1:28">
      <c r="A1876" s="631" t="str">
        <f t="shared" ref="A1876:A1881" si="47">"DD."&amp;B1876</f>
        <v>DD.06.6121</v>
      </c>
      <c r="B1876" s="565" t="s">
        <v>5981</v>
      </c>
      <c r="C1876" s="567" t="s">
        <v>5858</v>
      </c>
      <c r="D1876" s="568" t="s">
        <v>5184</v>
      </c>
      <c r="E1876" s="560">
        <v>226620</v>
      </c>
      <c r="F1876" s="560">
        <v>568946</v>
      </c>
      <c r="G1876" s="561"/>
      <c r="H1876" s="657"/>
      <c r="I1876" s="564"/>
      <c r="M1876" s="329"/>
      <c r="P1876" s="593"/>
      <c r="Q1876" s="685"/>
      <c r="R1876" s="685"/>
      <c r="S1876" s="329"/>
      <c r="U1876" s="593"/>
      <c r="Z1876" s="329"/>
      <c r="AB1876" s="589"/>
    </row>
    <row r="1877" spans="1:28">
      <c r="A1877" s="631" t="str">
        <f t="shared" si="47"/>
        <v>DD.06.6122</v>
      </c>
      <c r="B1877" s="565" t="s">
        <v>5982</v>
      </c>
      <c r="C1877" s="567" t="s">
        <v>5859</v>
      </c>
      <c r="D1877" s="568" t="s">
        <v>5184</v>
      </c>
      <c r="E1877" s="560">
        <v>226620</v>
      </c>
      <c r="F1877" s="560">
        <v>748613</v>
      </c>
      <c r="G1877" s="561"/>
      <c r="H1877" s="657"/>
      <c r="I1877" s="564"/>
      <c r="M1877" s="329"/>
      <c r="P1877" s="593"/>
      <c r="Q1877" s="685"/>
      <c r="R1877" s="685"/>
      <c r="S1877" s="329"/>
      <c r="U1877" s="593"/>
      <c r="Z1877" s="329"/>
      <c r="AB1877" s="589"/>
    </row>
    <row r="1878" spans="1:28">
      <c r="A1878" s="631" t="str">
        <f t="shared" si="47"/>
        <v>DD.06.6123</v>
      </c>
      <c r="B1878" s="565" t="s">
        <v>5983</v>
      </c>
      <c r="C1878" s="567" t="s">
        <v>3547</v>
      </c>
      <c r="D1878" s="568" t="s">
        <v>5184</v>
      </c>
      <c r="E1878" s="560">
        <v>226620</v>
      </c>
      <c r="F1878" s="560">
        <v>978187</v>
      </c>
      <c r="G1878" s="561"/>
      <c r="H1878" s="657"/>
      <c r="I1878" s="564"/>
      <c r="M1878" s="329"/>
      <c r="P1878" s="593"/>
      <c r="Q1878" s="685"/>
      <c r="R1878" s="685"/>
      <c r="S1878" s="329"/>
      <c r="U1878" s="593"/>
      <c r="Z1878" s="329"/>
      <c r="AB1878" s="589"/>
    </row>
    <row r="1879" spans="1:28">
      <c r="A1879" s="631" t="str">
        <f t="shared" si="47"/>
        <v>DD.06.6124</v>
      </c>
      <c r="B1879" s="565" t="s">
        <v>5984</v>
      </c>
      <c r="C1879" s="567" t="s">
        <v>4488</v>
      </c>
      <c r="D1879" s="568" t="s">
        <v>5184</v>
      </c>
      <c r="E1879" s="560">
        <v>226950</v>
      </c>
      <c r="F1879" s="560">
        <v>1277632</v>
      </c>
      <c r="G1879" s="561"/>
      <c r="H1879" s="657"/>
      <c r="I1879" s="564"/>
      <c r="M1879" s="329"/>
      <c r="P1879" s="593"/>
      <c r="Q1879" s="685"/>
      <c r="R1879" s="685"/>
      <c r="S1879" s="329"/>
      <c r="U1879" s="593"/>
      <c r="Z1879" s="329"/>
      <c r="AB1879" s="589"/>
    </row>
    <row r="1880" spans="1:28">
      <c r="A1880" s="631" t="str">
        <f t="shared" si="47"/>
        <v>DD.06.6125</v>
      </c>
      <c r="B1880" s="565" t="s">
        <v>3467</v>
      </c>
      <c r="C1880" s="567" t="s">
        <v>857</v>
      </c>
      <c r="D1880" s="568" t="s">
        <v>5184</v>
      </c>
      <c r="E1880" s="560">
        <v>226950</v>
      </c>
      <c r="F1880" s="560">
        <v>1716818</v>
      </c>
      <c r="G1880" s="561"/>
      <c r="H1880" s="657"/>
      <c r="I1880" s="564"/>
      <c r="M1880" s="329"/>
      <c r="P1880" s="593"/>
      <c r="Q1880" s="685"/>
      <c r="R1880" s="685"/>
      <c r="S1880" s="329"/>
      <c r="U1880" s="593"/>
      <c r="Z1880" s="329"/>
      <c r="AB1880" s="589"/>
    </row>
    <row r="1881" spans="1:28">
      <c r="A1881" s="631" t="str">
        <f t="shared" si="47"/>
        <v>DD.06.6126</v>
      </c>
      <c r="B1881" s="565" t="s">
        <v>3468</v>
      </c>
      <c r="C1881" s="567" t="s">
        <v>5091</v>
      </c>
      <c r="D1881" s="568" t="s">
        <v>5184</v>
      </c>
      <c r="E1881" s="560">
        <v>226950</v>
      </c>
      <c r="F1881" s="560">
        <v>2345653</v>
      </c>
      <c r="G1881" s="561"/>
      <c r="H1881" s="657"/>
      <c r="I1881" s="564"/>
      <c r="M1881" s="329"/>
      <c r="P1881" s="593"/>
      <c r="Q1881" s="685"/>
      <c r="R1881" s="685"/>
      <c r="S1881" s="329"/>
      <c r="U1881" s="593"/>
      <c r="Z1881" s="329"/>
      <c r="AB1881" s="589"/>
    </row>
    <row r="1882" spans="1:28">
      <c r="A1882" s="631"/>
      <c r="B1882" s="571"/>
      <c r="C1882" s="567"/>
      <c r="D1882" s="571"/>
      <c r="E1882" s="561"/>
      <c r="F1882" s="561"/>
      <c r="G1882" s="561"/>
      <c r="H1882" s="657"/>
      <c r="I1882" s="564"/>
      <c r="M1882" s="329"/>
      <c r="P1882" s="593"/>
      <c r="Q1882" s="685"/>
      <c r="R1882" s="685"/>
      <c r="S1882" s="329"/>
      <c r="U1882" s="593"/>
      <c r="Z1882" s="329"/>
      <c r="AB1882" s="589"/>
    </row>
    <row r="1883" spans="1:28">
      <c r="A1883" s="631" t="str">
        <f>"DD."&amp;B1883</f>
        <v>DD.06.6131</v>
      </c>
      <c r="B1883" s="565" t="s">
        <v>4366</v>
      </c>
      <c r="C1883" s="567" t="s">
        <v>5092</v>
      </c>
      <c r="D1883" s="568" t="s">
        <v>5184</v>
      </c>
      <c r="E1883" s="560">
        <v>226620</v>
      </c>
      <c r="F1883" s="560">
        <v>1623990</v>
      </c>
      <c r="G1883" s="561"/>
      <c r="H1883" s="657"/>
      <c r="I1883" s="564"/>
      <c r="M1883" s="329"/>
      <c r="P1883" s="593"/>
      <c r="Q1883" s="685"/>
      <c r="R1883" s="685"/>
      <c r="S1883" s="329"/>
      <c r="U1883" s="593"/>
      <c r="Z1883" s="329"/>
      <c r="AB1883" s="589"/>
    </row>
    <row r="1884" spans="1:28">
      <c r="A1884" s="631" t="str">
        <f>"DD."&amp;B1884</f>
        <v>DD.06.6132</v>
      </c>
      <c r="B1884" s="565" t="s">
        <v>4367</v>
      </c>
      <c r="C1884" s="567" t="s">
        <v>3986</v>
      </c>
      <c r="D1884" s="568" t="s">
        <v>5184</v>
      </c>
      <c r="E1884" s="560">
        <v>226620</v>
      </c>
      <c r="F1884" s="560">
        <v>1996300</v>
      </c>
      <c r="G1884" s="561"/>
      <c r="H1884" s="657"/>
      <c r="I1884" s="564"/>
      <c r="M1884" s="329"/>
      <c r="P1884" s="593"/>
      <c r="Q1884" s="685"/>
      <c r="R1884" s="685"/>
      <c r="S1884" s="329"/>
      <c r="U1884" s="593"/>
      <c r="Z1884" s="329"/>
      <c r="AB1884" s="589"/>
    </row>
    <row r="1885" spans="1:28">
      <c r="A1885" s="631" t="str">
        <f>"DD."&amp;B1885</f>
        <v>DD.06.6133</v>
      </c>
      <c r="B1885" s="565" t="s">
        <v>4368</v>
      </c>
      <c r="C1885" s="567" t="s">
        <v>3987</v>
      </c>
      <c r="D1885" s="568" t="s">
        <v>5184</v>
      </c>
      <c r="E1885" s="560">
        <v>226620</v>
      </c>
      <c r="F1885" s="560">
        <v>2244839</v>
      </c>
      <c r="G1885" s="561"/>
      <c r="H1885" s="657"/>
      <c r="I1885" s="564"/>
      <c r="M1885" s="329"/>
      <c r="P1885" s="593"/>
      <c r="Q1885" s="685"/>
      <c r="R1885" s="685"/>
      <c r="S1885" s="329"/>
      <c r="U1885" s="593"/>
      <c r="Z1885" s="329"/>
      <c r="AB1885" s="589"/>
    </row>
    <row r="1886" spans="1:28">
      <c r="A1886" s="631" t="str">
        <f>"DD."&amp;B1886</f>
        <v>DD.06.6134</v>
      </c>
      <c r="B1886" s="565" t="s">
        <v>4369</v>
      </c>
      <c r="C1886" s="567" t="s">
        <v>3988</v>
      </c>
      <c r="D1886" s="568" t="s">
        <v>5184</v>
      </c>
      <c r="E1886" s="560">
        <v>226950</v>
      </c>
      <c r="F1886" s="560">
        <v>2515338</v>
      </c>
      <c r="G1886" s="561"/>
      <c r="H1886" s="657"/>
      <c r="I1886" s="564"/>
      <c r="M1886" s="329"/>
      <c r="P1886" s="593"/>
      <c r="Q1886" s="685"/>
      <c r="R1886" s="685"/>
      <c r="S1886" s="329"/>
      <c r="U1886" s="593"/>
      <c r="Z1886" s="329"/>
      <c r="AB1886" s="589"/>
    </row>
    <row r="1887" spans="1:28">
      <c r="A1887" s="631" t="str">
        <f>"DD."&amp;B1887</f>
        <v>DD.06.6135</v>
      </c>
      <c r="B1887" s="565" t="s">
        <v>4370</v>
      </c>
      <c r="C1887" s="567" t="s">
        <v>3989</v>
      </c>
      <c r="D1887" s="568" t="s">
        <v>5184</v>
      </c>
      <c r="E1887" s="560">
        <v>226950</v>
      </c>
      <c r="F1887" s="560">
        <v>3018406</v>
      </c>
      <c r="G1887" s="561"/>
      <c r="H1887" s="657"/>
      <c r="I1887" s="564"/>
      <c r="M1887" s="329"/>
      <c r="P1887" s="593"/>
      <c r="Q1887" s="685"/>
      <c r="R1887" s="685"/>
      <c r="S1887" s="329"/>
      <c r="U1887" s="593"/>
      <c r="Z1887" s="329"/>
      <c r="AB1887" s="589"/>
    </row>
    <row r="1888" spans="1:28">
      <c r="A1888" s="631"/>
      <c r="B1888" s="571"/>
      <c r="C1888" s="567"/>
      <c r="D1888" s="571"/>
      <c r="E1888" s="561"/>
      <c r="F1888" s="561"/>
      <c r="G1888" s="561"/>
      <c r="H1888" s="657"/>
      <c r="I1888" s="564"/>
      <c r="M1888" s="329"/>
      <c r="P1888" s="593"/>
      <c r="Q1888" s="685"/>
      <c r="R1888" s="685"/>
      <c r="S1888" s="329"/>
      <c r="U1888" s="593"/>
      <c r="Z1888" s="329"/>
      <c r="AB1888" s="589"/>
    </row>
    <row r="1889" spans="1:28">
      <c r="A1889" s="631" t="str">
        <f t="shared" ref="A1889:A1898" si="48">"DD."&amp;B1889</f>
        <v>DD.06.6141</v>
      </c>
      <c r="B1889" s="565" t="s">
        <v>5128</v>
      </c>
      <c r="C1889" s="567" t="s">
        <v>2336</v>
      </c>
      <c r="D1889" s="568" t="s">
        <v>5184</v>
      </c>
      <c r="E1889" s="560">
        <v>226620</v>
      </c>
      <c r="F1889" s="560">
        <v>1112937</v>
      </c>
      <c r="G1889" s="561"/>
      <c r="H1889" s="657"/>
      <c r="I1889" s="564"/>
      <c r="M1889" s="329"/>
      <c r="P1889" s="593"/>
      <c r="Q1889" s="685"/>
      <c r="R1889" s="685"/>
      <c r="S1889" s="329"/>
      <c r="U1889" s="593"/>
      <c r="Z1889" s="329"/>
      <c r="AB1889" s="589"/>
    </row>
    <row r="1890" spans="1:28">
      <c r="A1890" s="631" t="str">
        <f t="shared" si="48"/>
        <v>DD.06.6142</v>
      </c>
      <c r="B1890" s="565" t="s">
        <v>5129</v>
      </c>
      <c r="C1890" s="567" t="s">
        <v>2337</v>
      </c>
      <c r="D1890" s="568" t="s">
        <v>5184</v>
      </c>
      <c r="E1890" s="560">
        <v>226620</v>
      </c>
      <c r="F1890" s="560">
        <v>1444323</v>
      </c>
      <c r="G1890" s="561"/>
      <c r="H1890" s="657"/>
      <c r="I1890" s="564"/>
      <c r="M1890" s="329"/>
      <c r="P1890" s="593"/>
      <c r="Q1890" s="685"/>
      <c r="R1890" s="685"/>
      <c r="S1890" s="329"/>
      <c r="U1890" s="593"/>
      <c r="Z1890" s="329"/>
      <c r="AB1890" s="589"/>
    </row>
    <row r="1891" spans="1:28">
      <c r="A1891" s="631" t="str">
        <f t="shared" si="48"/>
        <v>DD.06.6143</v>
      </c>
      <c r="B1891" s="565" t="s">
        <v>5130</v>
      </c>
      <c r="C1891" s="567" t="s">
        <v>2338</v>
      </c>
      <c r="D1891" s="568" t="s">
        <v>5184</v>
      </c>
      <c r="E1891" s="560">
        <v>226620</v>
      </c>
      <c r="F1891" s="560">
        <v>1583066</v>
      </c>
      <c r="G1891" s="561"/>
      <c r="H1891" s="657"/>
      <c r="I1891" s="564"/>
      <c r="M1891" s="329"/>
      <c r="P1891" s="593"/>
      <c r="Q1891" s="685"/>
      <c r="R1891" s="685"/>
      <c r="S1891" s="329"/>
      <c r="U1891" s="593"/>
      <c r="Z1891" s="329"/>
      <c r="AB1891" s="589"/>
    </row>
    <row r="1892" spans="1:28">
      <c r="A1892" s="631" t="str">
        <f t="shared" si="48"/>
        <v>DD.06.6144</v>
      </c>
      <c r="B1892" s="565" t="s">
        <v>5131</v>
      </c>
      <c r="C1892" s="567" t="s">
        <v>2339</v>
      </c>
      <c r="D1892" s="568" t="s">
        <v>5184</v>
      </c>
      <c r="E1892" s="560">
        <v>226950</v>
      </c>
      <c r="F1892" s="560">
        <v>2068167</v>
      </c>
      <c r="G1892" s="561"/>
      <c r="H1892" s="657"/>
      <c r="I1892" s="564"/>
      <c r="M1892" s="329"/>
      <c r="P1892" s="593"/>
      <c r="Q1892" s="685"/>
      <c r="R1892" s="685"/>
      <c r="S1892" s="329"/>
      <c r="U1892" s="593"/>
      <c r="Z1892" s="329"/>
      <c r="AB1892" s="589"/>
    </row>
    <row r="1893" spans="1:28">
      <c r="A1893" s="631" t="str">
        <f t="shared" si="48"/>
        <v>DD.06.6145</v>
      </c>
      <c r="B1893" s="565" t="s">
        <v>5132</v>
      </c>
      <c r="C1893" s="567" t="s">
        <v>2340</v>
      </c>
      <c r="D1893" s="568" t="s">
        <v>5184</v>
      </c>
      <c r="E1893" s="560">
        <v>226950</v>
      </c>
      <c r="F1893" s="560">
        <v>2785837</v>
      </c>
      <c r="G1893" s="561"/>
      <c r="H1893" s="657"/>
      <c r="I1893" s="564"/>
      <c r="M1893" s="329"/>
      <c r="P1893" s="593"/>
      <c r="Q1893" s="685"/>
      <c r="R1893" s="685"/>
      <c r="S1893" s="329"/>
      <c r="U1893" s="593"/>
      <c r="Z1893" s="329"/>
      <c r="AB1893" s="589"/>
    </row>
    <row r="1894" spans="1:28">
      <c r="A1894" s="631" t="str">
        <f t="shared" si="48"/>
        <v>DD.06.6146</v>
      </c>
      <c r="B1894" s="565" t="s">
        <v>5133</v>
      </c>
      <c r="C1894" s="567" t="s">
        <v>6025</v>
      </c>
      <c r="D1894" s="568" t="s">
        <v>5184</v>
      </c>
      <c r="E1894" s="560">
        <v>226950</v>
      </c>
      <c r="F1894" s="560">
        <v>3796963</v>
      </c>
      <c r="G1894" s="561"/>
      <c r="H1894" s="657"/>
      <c r="I1894" s="564"/>
      <c r="M1894" s="329"/>
      <c r="P1894" s="593"/>
      <c r="Q1894" s="685"/>
      <c r="R1894" s="685"/>
      <c r="S1894" s="329"/>
      <c r="U1894" s="593"/>
      <c r="Z1894" s="329"/>
      <c r="AB1894" s="589"/>
    </row>
    <row r="1895" spans="1:28">
      <c r="A1895" s="631" t="str">
        <f t="shared" si="48"/>
        <v>DD.06.6171</v>
      </c>
      <c r="B1895" s="565" t="s">
        <v>4371</v>
      </c>
      <c r="C1895" s="567" t="s">
        <v>6026</v>
      </c>
      <c r="D1895" s="568" t="s">
        <v>5184</v>
      </c>
      <c r="E1895" s="560">
        <v>320580</v>
      </c>
      <c r="F1895" s="560">
        <v>4587278</v>
      </c>
      <c r="G1895" s="561"/>
      <c r="H1895" s="657"/>
      <c r="I1895" s="564"/>
      <c r="M1895" s="329"/>
      <c r="P1895" s="593"/>
      <c r="Q1895" s="685"/>
      <c r="R1895" s="685"/>
      <c r="S1895" s="329"/>
      <c r="U1895" s="593"/>
      <c r="Z1895" s="329"/>
      <c r="AB1895" s="589"/>
    </row>
    <row r="1896" spans="1:28">
      <c r="A1896" s="631" t="str">
        <f t="shared" si="48"/>
        <v>DD.06.6172</v>
      </c>
      <c r="B1896" s="565" t="s">
        <v>4372</v>
      </c>
      <c r="C1896" s="567" t="s">
        <v>6027</v>
      </c>
      <c r="D1896" s="568" t="s">
        <v>5184</v>
      </c>
      <c r="E1896" s="560">
        <v>320580</v>
      </c>
      <c r="F1896" s="560">
        <v>5587804</v>
      </c>
      <c r="G1896" s="561"/>
      <c r="H1896" s="657"/>
      <c r="I1896" s="564"/>
      <c r="M1896" s="329"/>
      <c r="P1896" s="593"/>
      <c r="Q1896" s="685"/>
      <c r="R1896" s="685"/>
      <c r="S1896" s="329"/>
      <c r="U1896" s="593"/>
      <c r="Z1896" s="329"/>
      <c r="AB1896" s="589"/>
    </row>
    <row r="1897" spans="1:28">
      <c r="A1897" s="631" t="str">
        <f t="shared" si="48"/>
        <v>DD.06.6173</v>
      </c>
      <c r="B1897" s="565" t="s">
        <v>1705</v>
      </c>
      <c r="C1897" s="567" t="s">
        <v>6028</v>
      </c>
      <c r="D1897" s="568" t="s">
        <v>5184</v>
      </c>
      <c r="E1897" s="560">
        <v>320580</v>
      </c>
      <c r="F1897" s="560">
        <v>6595902</v>
      </c>
      <c r="G1897" s="561"/>
      <c r="H1897" s="657"/>
      <c r="I1897" s="564"/>
      <c r="M1897" s="329"/>
      <c r="P1897" s="593"/>
      <c r="Q1897" s="685"/>
      <c r="R1897" s="685"/>
      <c r="S1897" s="329"/>
      <c r="U1897" s="593"/>
      <c r="Z1897" s="329"/>
      <c r="AB1897" s="589"/>
    </row>
    <row r="1898" spans="1:28">
      <c r="A1898" s="631" t="str">
        <f t="shared" si="48"/>
        <v>DD.06.6174</v>
      </c>
      <c r="B1898" s="565" t="s">
        <v>1706</v>
      </c>
      <c r="C1898" s="567" t="s">
        <v>3947</v>
      </c>
      <c r="D1898" s="568" t="s">
        <v>5184</v>
      </c>
      <c r="E1898" s="560">
        <v>320580</v>
      </c>
      <c r="F1898" s="560">
        <v>7254627</v>
      </c>
      <c r="G1898" s="561"/>
      <c r="H1898" s="657"/>
      <c r="I1898" s="564"/>
      <c r="M1898" s="329"/>
      <c r="P1898" s="593"/>
      <c r="Q1898" s="685"/>
      <c r="R1898" s="685"/>
      <c r="S1898" s="329"/>
      <c r="U1898" s="593"/>
      <c r="Z1898" s="329"/>
      <c r="AB1898" s="589"/>
    </row>
    <row r="1899" spans="1:28">
      <c r="A1899" s="631"/>
      <c r="B1899" s="569" t="s">
        <v>3948</v>
      </c>
      <c r="C1899" s="569"/>
      <c r="D1899" s="573"/>
      <c r="E1899" s="574"/>
      <c r="F1899" s="574"/>
      <c r="G1899" s="561"/>
      <c r="H1899" s="657"/>
      <c r="I1899" s="564"/>
      <c r="M1899" s="329"/>
      <c r="P1899" s="593"/>
      <c r="Q1899" s="685"/>
      <c r="R1899" s="685"/>
      <c r="S1899" s="329"/>
      <c r="U1899" s="593"/>
      <c r="Z1899" s="329"/>
      <c r="AB1899" s="589"/>
    </row>
    <row r="1900" spans="1:28">
      <c r="A1900" s="631"/>
      <c r="B1900" s="567" t="s">
        <v>3212</v>
      </c>
      <c r="C1900" s="575"/>
      <c r="D1900" s="571"/>
      <c r="E1900" s="561"/>
      <c r="F1900" s="561"/>
      <c r="G1900" s="561"/>
      <c r="H1900" s="657"/>
      <c r="I1900" s="564"/>
      <c r="M1900" s="329"/>
      <c r="P1900" s="593"/>
      <c r="Q1900" s="685"/>
      <c r="R1900" s="685"/>
      <c r="S1900" s="329"/>
      <c r="U1900" s="593"/>
      <c r="Z1900" s="329"/>
      <c r="AB1900" s="589"/>
    </row>
    <row r="1901" spans="1:28">
      <c r="A1901" s="631"/>
      <c r="B1901" s="567" t="s">
        <v>78</v>
      </c>
      <c r="C1901" s="575"/>
      <c r="D1901" s="571"/>
      <c r="E1901" s="561"/>
      <c r="F1901" s="561"/>
      <c r="G1901" s="561"/>
      <c r="H1901" s="657"/>
      <c r="I1901" s="564"/>
      <c r="M1901" s="329"/>
      <c r="P1901" s="593"/>
      <c r="Q1901" s="685"/>
      <c r="R1901" s="685"/>
      <c r="S1901" s="329"/>
      <c r="U1901" s="593"/>
      <c r="Z1901" s="329"/>
      <c r="AB1901" s="589"/>
    </row>
    <row r="1902" spans="1:28">
      <c r="A1902" s="631" t="str">
        <f t="shared" ref="A1902:A1909" si="49">"DD."&amp;B1902</f>
        <v>DD.06.6501</v>
      </c>
      <c r="B1902" s="565" t="s">
        <v>3949</v>
      </c>
      <c r="C1902" s="567" t="s">
        <v>79</v>
      </c>
      <c r="D1902" s="568" t="s">
        <v>5184</v>
      </c>
      <c r="E1902" s="560">
        <v>8355</v>
      </c>
      <c r="F1902" s="560">
        <v>1287614</v>
      </c>
      <c r="G1902" s="561"/>
      <c r="H1902" s="657"/>
      <c r="I1902" s="564"/>
      <c r="M1902" s="329"/>
      <c r="P1902" s="593"/>
      <c r="Q1902" s="685"/>
      <c r="R1902" s="685"/>
      <c r="S1902" s="329"/>
      <c r="U1902" s="593"/>
      <c r="Z1902" s="329"/>
      <c r="AB1902" s="589"/>
    </row>
    <row r="1903" spans="1:28">
      <c r="A1903" s="631" t="str">
        <f t="shared" si="49"/>
        <v>DD.06.6502</v>
      </c>
      <c r="B1903" s="565" t="s">
        <v>3950</v>
      </c>
      <c r="C1903" s="567" t="s">
        <v>4277</v>
      </c>
      <c r="D1903" s="568" t="s">
        <v>5184</v>
      </c>
      <c r="E1903" s="560">
        <v>8355</v>
      </c>
      <c r="F1903" s="560">
        <v>1750755</v>
      </c>
      <c r="G1903" s="561"/>
      <c r="H1903" s="657"/>
      <c r="I1903" s="564"/>
      <c r="M1903" s="329"/>
      <c r="P1903" s="593"/>
      <c r="Q1903" s="685"/>
      <c r="R1903" s="685"/>
      <c r="S1903" s="329"/>
      <c r="U1903" s="593"/>
      <c r="Z1903" s="329"/>
      <c r="AB1903" s="589"/>
    </row>
    <row r="1904" spans="1:28">
      <c r="A1904" s="631" t="str">
        <f t="shared" si="49"/>
        <v>DD.06.6503</v>
      </c>
      <c r="B1904" s="565" t="s">
        <v>3951</v>
      </c>
      <c r="C1904" s="567" t="s">
        <v>4278</v>
      </c>
      <c r="D1904" s="568" t="s">
        <v>5184</v>
      </c>
      <c r="E1904" s="560">
        <v>8355</v>
      </c>
      <c r="F1904" s="560">
        <v>1967354</v>
      </c>
      <c r="G1904" s="561"/>
      <c r="H1904" s="657"/>
      <c r="I1904" s="564"/>
      <c r="M1904" s="329"/>
      <c r="P1904" s="593"/>
      <c r="Q1904" s="685"/>
      <c r="R1904" s="685"/>
      <c r="S1904" s="329"/>
      <c r="U1904" s="593"/>
      <c r="Z1904" s="329"/>
      <c r="AB1904" s="589"/>
    </row>
    <row r="1905" spans="1:28">
      <c r="A1905" s="631" t="str">
        <f t="shared" si="49"/>
        <v>DD.06.6504</v>
      </c>
      <c r="B1905" s="565" t="s">
        <v>3952</v>
      </c>
      <c r="C1905" s="567" t="s">
        <v>2148</v>
      </c>
      <c r="D1905" s="568" t="s">
        <v>5184</v>
      </c>
      <c r="E1905" s="560">
        <v>9162</v>
      </c>
      <c r="F1905" s="560">
        <v>2380588</v>
      </c>
      <c r="G1905" s="561"/>
      <c r="H1905" s="657"/>
      <c r="I1905" s="564"/>
      <c r="M1905" s="329"/>
      <c r="P1905" s="593"/>
      <c r="Q1905" s="685"/>
      <c r="R1905" s="685"/>
      <c r="S1905" s="329"/>
      <c r="U1905" s="593"/>
      <c r="Z1905" s="329"/>
      <c r="AB1905" s="589"/>
    </row>
    <row r="1906" spans="1:28">
      <c r="A1906" s="631" t="str">
        <f t="shared" si="49"/>
        <v>DD.06.6505</v>
      </c>
      <c r="B1906" s="565" t="s">
        <v>3953</v>
      </c>
      <c r="C1906" s="567" t="s">
        <v>2149</v>
      </c>
      <c r="D1906" s="568" t="s">
        <v>5184</v>
      </c>
      <c r="E1906" s="560">
        <v>9562</v>
      </c>
      <c r="F1906" s="560">
        <v>2809792</v>
      </c>
      <c r="G1906" s="561"/>
      <c r="H1906" s="657"/>
      <c r="I1906" s="564"/>
      <c r="M1906" s="329"/>
      <c r="P1906" s="593"/>
      <c r="Q1906" s="685"/>
      <c r="R1906" s="685"/>
      <c r="S1906" s="329"/>
      <c r="U1906" s="593"/>
      <c r="Z1906" s="329"/>
      <c r="AB1906" s="589"/>
    </row>
    <row r="1907" spans="1:28">
      <c r="A1907" s="631" t="str">
        <f t="shared" si="49"/>
        <v>DD.06.6506</v>
      </c>
      <c r="B1907" s="565" t="s">
        <v>3954</v>
      </c>
      <c r="C1907" s="567" t="s">
        <v>2150</v>
      </c>
      <c r="D1907" s="568" t="s">
        <v>5184</v>
      </c>
      <c r="E1907" s="560">
        <v>10368</v>
      </c>
      <c r="F1907" s="560">
        <v>3896778</v>
      </c>
      <c r="G1907" s="561"/>
      <c r="H1907" s="657"/>
      <c r="I1907" s="564"/>
      <c r="M1907" s="329"/>
      <c r="P1907" s="593"/>
      <c r="Q1907" s="685"/>
      <c r="R1907" s="685"/>
      <c r="S1907" s="329"/>
      <c r="U1907" s="593"/>
      <c r="Z1907" s="329"/>
      <c r="AB1907" s="589"/>
    </row>
    <row r="1908" spans="1:28">
      <c r="A1908" s="631" t="str">
        <f t="shared" si="49"/>
        <v>DD.06.6507</v>
      </c>
      <c r="B1908" s="565" t="s">
        <v>3955</v>
      </c>
      <c r="C1908" s="567" t="s">
        <v>481</v>
      </c>
      <c r="D1908" s="568" t="s">
        <v>5184</v>
      </c>
      <c r="E1908" s="560">
        <v>10368</v>
      </c>
      <c r="F1908" s="560">
        <v>5144465</v>
      </c>
      <c r="G1908" s="561"/>
      <c r="H1908" s="657"/>
      <c r="I1908" s="564"/>
      <c r="M1908" s="329"/>
      <c r="P1908" s="593"/>
      <c r="Q1908" s="685"/>
      <c r="R1908" s="685"/>
      <c r="S1908" s="329"/>
      <c r="U1908" s="593"/>
      <c r="Z1908" s="329"/>
      <c r="AB1908" s="589"/>
    </row>
    <row r="1909" spans="1:28">
      <c r="A1909" s="631" t="str">
        <f t="shared" si="49"/>
        <v>DD.06.6508</v>
      </c>
      <c r="B1909" s="565" t="s">
        <v>3956</v>
      </c>
      <c r="C1909" s="567" t="s">
        <v>482</v>
      </c>
      <c r="D1909" s="568" t="s">
        <v>5184</v>
      </c>
      <c r="E1909" s="560">
        <v>10368</v>
      </c>
      <c r="F1909" s="560">
        <v>6173358</v>
      </c>
      <c r="G1909" s="561"/>
      <c r="H1909" s="657"/>
      <c r="I1909" s="564"/>
      <c r="M1909" s="329"/>
      <c r="P1909" s="593"/>
      <c r="Q1909" s="685"/>
      <c r="R1909" s="685"/>
      <c r="S1909" s="329"/>
      <c r="U1909" s="593"/>
      <c r="Z1909" s="329"/>
      <c r="AB1909" s="589"/>
    </row>
    <row r="1910" spans="1:28">
      <c r="A1910" s="631"/>
      <c r="B1910" s="567"/>
      <c r="C1910" s="567"/>
      <c r="D1910" s="568"/>
      <c r="E1910" s="560"/>
      <c r="F1910" s="560"/>
      <c r="G1910" s="561"/>
      <c r="H1910" s="657"/>
      <c r="I1910" s="564"/>
      <c r="M1910" s="329"/>
      <c r="P1910" s="593"/>
      <c r="Q1910" s="685"/>
      <c r="R1910" s="685"/>
      <c r="S1910" s="329"/>
      <c r="U1910" s="593"/>
      <c r="Z1910" s="329"/>
      <c r="AB1910" s="589"/>
    </row>
    <row r="1911" spans="1:28">
      <c r="A1911" s="631" t="str">
        <f>"DD."&amp;B1911&amp;"a"</f>
        <v>DD.06.6501a</v>
      </c>
      <c r="B1911" s="565" t="s">
        <v>3949</v>
      </c>
      <c r="C1911" s="567" t="s">
        <v>483</v>
      </c>
      <c r="D1911" s="568" t="s">
        <v>5184</v>
      </c>
      <c r="E1911" s="560">
        <v>8355</v>
      </c>
      <c r="F1911" s="560">
        <v>901330</v>
      </c>
      <c r="G1911" s="561"/>
      <c r="H1911" s="560" t="s">
        <v>6064</v>
      </c>
      <c r="I1911" s="697" t="s">
        <v>6063</v>
      </c>
      <c r="M1911" s="329"/>
      <c r="P1911" s="593"/>
      <c r="Q1911" s="685"/>
      <c r="R1911" s="685"/>
      <c r="S1911" s="329"/>
      <c r="U1911" s="593"/>
      <c r="Z1911" s="329"/>
      <c r="AB1911" s="589"/>
    </row>
    <row r="1912" spans="1:28">
      <c r="A1912" s="631" t="str">
        <f t="shared" ref="A1912:A1918" si="50">"DD."&amp;B1912&amp;"a"</f>
        <v>DD.06.6502a</v>
      </c>
      <c r="B1912" s="565" t="s">
        <v>3950</v>
      </c>
      <c r="C1912" s="567" t="s">
        <v>2413</v>
      </c>
      <c r="D1912" s="568" t="s">
        <v>5184</v>
      </c>
      <c r="E1912" s="560">
        <v>8355</v>
      </c>
      <c r="F1912" s="560">
        <v>1225529</v>
      </c>
      <c r="G1912" s="561"/>
      <c r="H1912" s="560" t="s">
        <v>6065</v>
      </c>
      <c r="I1912" s="697" t="s">
        <v>6063</v>
      </c>
      <c r="M1912" s="329"/>
      <c r="P1912" s="593"/>
      <c r="Q1912" s="685"/>
      <c r="R1912" s="685"/>
      <c r="S1912" s="329"/>
      <c r="U1912" s="593"/>
      <c r="Z1912" s="329"/>
      <c r="AB1912" s="589"/>
    </row>
    <row r="1913" spans="1:28">
      <c r="A1913" s="631" t="str">
        <f t="shared" si="50"/>
        <v>DD.06.6503a</v>
      </c>
      <c r="B1913" s="565" t="s">
        <v>3951</v>
      </c>
      <c r="C1913" s="567" t="s">
        <v>2414</v>
      </c>
      <c r="D1913" s="568" t="s">
        <v>5184</v>
      </c>
      <c r="E1913" s="560">
        <v>8355</v>
      </c>
      <c r="F1913" s="560">
        <v>1377148</v>
      </c>
      <c r="G1913" s="561"/>
      <c r="H1913" s="560" t="s">
        <v>6066</v>
      </c>
      <c r="I1913" s="697" t="s">
        <v>6063</v>
      </c>
      <c r="M1913" s="329"/>
      <c r="P1913" s="593"/>
      <c r="Q1913" s="685"/>
      <c r="R1913" s="685"/>
      <c r="S1913" s="329"/>
      <c r="U1913" s="593"/>
      <c r="Z1913" s="329"/>
      <c r="AB1913" s="589"/>
    </row>
    <row r="1914" spans="1:28">
      <c r="A1914" s="631" t="str">
        <f t="shared" si="50"/>
        <v>DD.06.6504a</v>
      </c>
      <c r="B1914" s="565" t="s">
        <v>3952</v>
      </c>
      <c r="C1914" s="567" t="s">
        <v>3892</v>
      </c>
      <c r="D1914" s="568" t="s">
        <v>5184</v>
      </c>
      <c r="E1914" s="560">
        <v>9162</v>
      </c>
      <c r="F1914" s="560">
        <v>1666412</v>
      </c>
      <c r="G1914" s="561"/>
      <c r="H1914" s="560" t="s">
        <v>6067</v>
      </c>
      <c r="I1914" s="697" t="s">
        <v>6063</v>
      </c>
      <c r="M1914" s="329"/>
      <c r="P1914" s="593"/>
      <c r="Q1914" s="685"/>
      <c r="R1914" s="685"/>
      <c r="S1914" s="329"/>
      <c r="U1914" s="593"/>
      <c r="Z1914" s="329"/>
      <c r="AB1914" s="589"/>
    </row>
    <row r="1915" spans="1:28">
      <c r="A1915" s="631" t="str">
        <f t="shared" si="50"/>
        <v>DD.06.6505a</v>
      </c>
      <c r="B1915" s="565" t="s">
        <v>3953</v>
      </c>
      <c r="C1915" s="567" t="s">
        <v>288</v>
      </c>
      <c r="D1915" s="568" t="s">
        <v>5184</v>
      </c>
      <c r="E1915" s="560">
        <v>9562</v>
      </c>
      <c r="F1915" s="560">
        <v>1966854</v>
      </c>
      <c r="G1915" s="561"/>
      <c r="H1915" s="560" t="s">
        <v>6068</v>
      </c>
      <c r="I1915" s="697" t="s">
        <v>6063</v>
      </c>
      <c r="M1915" s="329"/>
      <c r="P1915" s="593"/>
      <c r="Q1915" s="685"/>
      <c r="R1915" s="685"/>
      <c r="S1915" s="329"/>
      <c r="U1915" s="593"/>
      <c r="Z1915" s="329"/>
      <c r="AB1915" s="589"/>
    </row>
    <row r="1916" spans="1:28">
      <c r="A1916" s="631" t="str">
        <f t="shared" si="50"/>
        <v>DD.06.6506a</v>
      </c>
      <c r="B1916" s="565" t="s">
        <v>3954</v>
      </c>
      <c r="C1916" s="567" t="s">
        <v>289</v>
      </c>
      <c r="D1916" s="568" t="s">
        <v>5184</v>
      </c>
      <c r="E1916" s="560">
        <v>10368</v>
      </c>
      <c r="F1916" s="560">
        <v>2727745</v>
      </c>
      <c r="G1916" s="561"/>
      <c r="H1916" s="560" t="s">
        <v>2932</v>
      </c>
      <c r="I1916" s="697" t="s">
        <v>6063</v>
      </c>
      <c r="M1916" s="329"/>
      <c r="P1916" s="593"/>
      <c r="Q1916" s="685"/>
      <c r="R1916" s="685"/>
      <c r="S1916" s="329"/>
      <c r="U1916" s="593"/>
      <c r="Z1916" s="329"/>
      <c r="AB1916" s="589"/>
    </row>
    <row r="1917" spans="1:28">
      <c r="A1917" s="631" t="str">
        <f t="shared" si="50"/>
        <v>DD.06.6507a</v>
      </c>
      <c r="B1917" s="565" t="s">
        <v>3955</v>
      </c>
      <c r="C1917" s="567" t="s">
        <v>290</v>
      </c>
      <c r="D1917" s="568" t="s">
        <v>5184</v>
      </c>
      <c r="E1917" s="560">
        <v>10368</v>
      </c>
      <c r="F1917" s="560">
        <v>3601126</v>
      </c>
      <c r="G1917" s="561"/>
      <c r="H1917" s="560" t="s">
        <v>2933</v>
      </c>
      <c r="I1917" s="697" t="s">
        <v>6063</v>
      </c>
      <c r="M1917" s="329"/>
      <c r="P1917" s="593"/>
      <c r="Q1917" s="685"/>
      <c r="R1917" s="685"/>
      <c r="S1917" s="329"/>
      <c r="U1917" s="593"/>
      <c r="Z1917" s="329"/>
      <c r="AB1917" s="589"/>
    </row>
    <row r="1918" spans="1:28">
      <c r="A1918" s="631" t="str">
        <f t="shared" si="50"/>
        <v>DD.06.6508a</v>
      </c>
      <c r="B1918" s="565" t="s">
        <v>3956</v>
      </c>
      <c r="C1918" s="567" t="s">
        <v>6062</v>
      </c>
      <c r="D1918" s="568" t="s">
        <v>5184</v>
      </c>
      <c r="E1918" s="560">
        <v>10368</v>
      </c>
      <c r="F1918" s="560">
        <v>4321351</v>
      </c>
      <c r="G1918" s="561"/>
      <c r="H1918" s="560" t="s">
        <v>2934</v>
      </c>
      <c r="I1918" s="697" t="s">
        <v>6063</v>
      </c>
      <c r="M1918" s="329"/>
      <c r="P1918" s="593"/>
      <c r="Q1918" s="685"/>
      <c r="R1918" s="685"/>
      <c r="S1918" s="329"/>
      <c r="U1918" s="593"/>
      <c r="Z1918" s="329"/>
      <c r="AB1918" s="589"/>
    </row>
    <row r="1919" spans="1:28">
      <c r="A1919" s="594"/>
      <c r="B1919" s="564"/>
      <c r="C1919" s="627"/>
      <c r="D1919" s="571"/>
      <c r="E1919" s="571"/>
      <c r="F1919" s="620"/>
      <c r="G1919" s="620"/>
      <c r="H1919" s="620"/>
      <c r="I1919" s="564"/>
      <c r="M1919" s="329"/>
      <c r="P1919" s="593"/>
      <c r="Q1919" s="685"/>
      <c r="R1919" s="685"/>
      <c r="S1919" s="329"/>
      <c r="U1919" s="593"/>
      <c r="Z1919" s="329"/>
      <c r="AB1919" s="589"/>
    </row>
    <row r="1920" spans="1:28">
      <c r="A1920" s="594"/>
      <c r="B1920" s="569" t="s">
        <v>2316</v>
      </c>
      <c r="C1920" s="627"/>
      <c r="D1920" s="571"/>
      <c r="E1920" s="571"/>
      <c r="F1920" s="620"/>
      <c r="G1920" s="620"/>
      <c r="H1920" s="620"/>
      <c r="I1920" s="564"/>
      <c r="M1920" s="329"/>
      <c r="P1920" s="593"/>
      <c r="Q1920" s="685"/>
      <c r="R1920" s="685"/>
      <c r="S1920" s="329"/>
      <c r="U1920" s="593"/>
      <c r="Z1920" s="329"/>
      <c r="AB1920" s="589"/>
    </row>
    <row r="1921" spans="1:28">
      <c r="A1921" s="594"/>
      <c r="B1921" s="569" t="s">
        <v>2651</v>
      </c>
      <c r="C1921" s="627"/>
      <c r="D1921" s="571"/>
      <c r="E1921" s="571"/>
      <c r="F1921" s="620"/>
      <c r="G1921" s="620"/>
      <c r="H1921" s="620"/>
      <c r="I1921" s="564"/>
      <c r="M1921" s="329"/>
      <c r="P1921" s="593"/>
      <c r="Q1921" s="685"/>
      <c r="R1921" s="685"/>
      <c r="S1921" s="329"/>
      <c r="U1921" s="593"/>
      <c r="Z1921" s="329"/>
      <c r="AB1921" s="589"/>
    </row>
    <row r="1922" spans="1:28">
      <c r="A1922" s="594"/>
      <c r="B1922" s="569" t="s">
        <v>3862</v>
      </c>
      <c r="C1922" s="627"/>
      <c r="D1922" s="571"/>
      <c r="E1922" s="571"/>
      <c r="F1922" s="620"/>
      <c r="G1922" s="620"/>
      <c r="H1922" s="620"/>
      <c r="I1922" s="564"/>
      <c r="M1922" s="329"/>
      <c r="P1922" s="593"/>
      <c r="Q1922" s="685"/>
      <c r="R1922" s="685"/>
      <c r="S1922" s="329"/>
      <c r="U1922" s="593"/>
      <c r="Z1922" s="329"/>
      <c r="AB1922" s="589"/>
    </row>
    <row r="1923" spans="1:28">
      <c r="A1923" s="594"/>
      <c r="B1923" s="569" t="s">
        <v>2318</v>
      </c>
      <c r="C1923" s="627"/>
      <c r="D1923" s="571"/>
      <c r="E1923" s="571"/>
      <c r="F1923" s="620"/>
      <c r="G1923" s="620"/>
      <c r="H1923" s="620"/>
      <c r="I1923" s="564"/>
      <c r="M1923" s="329"/>
      <c r="P1923" s="593"/>
      <c r="Q1923" s="685"/>
      <c r="R1923" s="685"/>
      <c r="S1923" s="329"/>
      <c r="U1923" s="593"/>
      <c r="Z1923" s="329"/>
      <c r="AB1923" s="589"/>
    </row>
    <row r="1924" spans="1:28">
      <c r="A1924" s="594"/>
      <c r="B1924" s="569" t="s">
        <v>2317</v>
      </c>
      <c r="C1924" s="576"/>
      <c r="D1924" s="573"/>
      <c r="E1924" s="574"/>
      <c r="F1924" s="574"/>
      <c r="G1924" s="620"/>
      <c r="H1924" s="620"/>
      <c r="I1924" s="564"/>
      <c r="M1924" s="329"/>
      <c r="P1924" s="593"/>
      <c r="Q1924" s="685"/>
      <c r="R1924" s="685"/>
      <c r="S1924" s="329"/>
      <c r="U1924" s="593"/>
      <c r="Z1924" s="329"/>
      <c r="AB1924" s="589"/>
    </row>
    <row r="1925" spans="1:28">
      <c r="A1925" s="631" t="str">
        <f t="shared" ref="A1925:A1930" si="51">"DD."&amp;B1925</f>
        <v>DD.07.1111</v>
      </c>
      <c r="B1925" s="565" t="s">
        <v>4456</v>
      </c>
      <c r="C1925" s="567" t="s">
        <v>4752</v>
      </c>
      <c r="D1925" s="568" t="s">
        <v>2312</v>
      </c>
      <c r="E1925" s="561"/>
      <c r="F1925" s="560">
        <v>2782</v>
      </c>
      <c r="G1925" s="620"/>
      <c r="H1925" s="620"/>
      <c r="I1925" s="564"/>
      <c r="M1925" s="329"/>
      <c r="P1925" s="593"/>
      <c r="Q1925" s="685"/>
      <c r="R1925" s="685"/>
      <c r="S1925" s="329"/>
      <c r="U1925" s="593"/>
      <c r="Z1925" s="329"/>
      <c r="AB1925" s="589"/>
    </row>
    <row r="1926" spans="1:28">
      <c r="A1926" s="631" t="str">
        <f t="shared" si="51"/>
        <v>DD.07.1112</v>
      </c>
      <c r="B1926" s="565" t="s">
        <v>4457</v>
      </c>
      <c r="C1926" s="567" t="s">
        <v>4753</v>
      </c>
      <c r="D1926" s="568" t="s">
        <v>2312</v>
      </c>
      <c r="E1926" s="561"/>
      <c r="F1926" s="560">
        <v>4637</v>
      </c>
      <c r="G1926" s="620"/>
      <c r="H1926" s="620"/>
      <c r="I1926" s="564"/>
      <c r="M1926" s="329"/>
      <c r="P1926" s="593"/>
      <c r="Q1926" s="685"/>
      <c r="R1926" s="685"/>
      <c r="S1926" s="329"/>
      <c r="U1926" s="593"/>
      <c r="Z1926" s="329"/>
      <c r="AB1926" s="589"/>
    </row>
    <row r="1927" spans="1:28">
      <c r="A1927" s="631" t="str">
        <f t="shared" si="51"/>
        <v>DD.07.1113</v>
      </c>
      <c r="B1927" s="565" t="s">
        <v>4458</v>
      </c>
      <c r="C1927" s="567" t="s">
        <v>4754</v>
      </c>
      <c r="D1927" s="568" t="s">
        <v>2312</v>
      </c>
      <c r="E1927" s="561"/>
      <c r="F1927" s="560">
        <v>6491</v>
      </c>
      <c r="G1927" s="620"/>
      <c r="H1927" s="620"/>
      <c r="I1927" s="564"/>
      <c r="M1927" s="329"/>
      <c r="P1927" s="593"/>
      <c r="Q1927" s="685"/>
      <c r="R1927" s="685"/>
      <c r="S1927" s="329"/>
      <c r="U1927" s="593"/>
      <c r="Z1927" s="329"/>
      <c r="AB1927" s="589"/>
    </row>
    <row r="1928" spans="1:28">
      <c r="A1928" s="631" t="str">
        <f t="shared" si="51"/>
        <v>DD.07.1114</v>
      </c>
      <c r="B1928" s="565" t="s">
        <v>4459</v>
      </c>
      <c r="C1928" s="567" t="s">
        <v>4755</v>
      </c>
      <c r="D1928" s="568" t="s">
        <v>2312</v>
      </c>
      <c r="E1928" s="561"/>
      <c r="F1928" s="560">
        <v>7418</v>
      </c>
      <c r="G1928" s="620"/>
      <c r="H1928" s="620"/>
      <c r="I1928" s="564"/>
      <c r="M1928" s="329"/>
      <c r="P1928" s="593"/>
      <c r="Q1928" s="685"/>
      <c r="R1928" s="685"/>
      <c r="S1928" s="329"/>
      <c r="U1928" s="593"/>
      <c r="Z1928" s="329"/>
      <c r="AB1928" s="589"/>
    </row>
    <row r="1929" spans="1:28">
      <c r="A1929" s="631" t="str">
        <f t="shared" si="51"/>
        <v>DD.07.1115</v>
      </c>
      <c r="B1929" s="565" t="s">
        <v>491</v>
      </c>
      <c r="C1929" s="567" t="s">
        <v>4756</v>
      </c>
      <c r="D1929" s="568" t="s">
        <v>2312</v>
      </c>
      <c r="E1929" s="561"/>
      <c r="F1929" s="560">
        <v>5564</v>
      </c>
      <c r="G1929" s="620"/>
      <c r="H1929" s="620"/>
      <c r="I1929" s="564"/>
      <c r="M1929" s="329"/>
      <c r="P1929" s="593"/>
      <c r="Q1929" s="685"/>
      <c r="R1929" s="685"/>
      <c r="S1929" s="329"/>
      <c r="U1929" s="593"/>
      <c r="Z1929" s="329"/>
      <c r="AB1929" s="589"/>
    </row>
    <row r="1930" spans="1:28">
      <c r="A1930" s="631" t="str">
        <f t="shared" si="51"/>
        <v>DD.07.1116</v>
      </c>
      <c r="B1930" s="565" t="s">
        <v>492</v>
      </c>
      <c r="C1930" s="567" t="s">
        <v>2640</v>
      </c>
      <c r="D1930" s="568" t="s">
        <v>2312</v>
      </c>
      <c r="E1930" s="561"/>
      <c r="F1930" s="560">
        <v>8346</v>
      </c>
      <c r="G1930" s="620"/>
      <c r="H1930" s="620"/>
      <c r="I1930" s="564"/>
      <c r="M1930" s="329"/>
      <c r="P1930" s="593"/>
      <c r="Q1930" s="685"/>
      <c r="R1930" s="685"/>
      <c r="S1930" s="329"/>
      <c r="U1930" s="593"/>
      <c r="Z1930" s="329"/>
      <c r="AB1930" s="589"/>
    </row>
    <row r="1931" spans="1:28">
      <c r="A1931" s="594"/>
      <c r="B1931" s="577" t="s">
        <v>493</v>
      </c>
      <c r="C1931" s="569" t="s">
        <v>6215</v>
      </c>
      <c r="D1931" s="573"/>
      <c r="E1931" s="574"/>
      <c r="F1931" s="574"/>
      <c r="G1931" s="620"/>
      <c r="H1931" s="620"/>
      <c r="I1931" s="564"/>
      <c r="M1931" s="329"/>
      <c r="P1931" s="593"/>
      <c r="Q1931" s="685"/>
      <c r="R1931" s="685"/>
      <c r="S1931" s="329"/>
      <c r="U1931" s="593"/>
      <c r="Z1931" s="329"/>
      <c r="AB1931" s="589"/>
    </row>
    <row r="1932" spans="1:28">
      <c r="A1932" s="631" t="str">
        <f>"DD."&amp;B1932</f>
        <v>DD.07.1121</v>
      </c>
      <c r="B1932" s="565" t="s">
        <v>5136</v>
      </c>
      <c r="C1932" s="567" t="s">
        <v>2641</v>
      </c>
      <c r="D1932" s="568" t="s">
        <v>968</v>
      </c>
      <c r="E1932" s="561"/>
      <c r="F1932" s="560">
        <v>138168</v>
      </c>
      <c r="G1932" s="620"/>
      <c r="H1932" s="620"/>
      <c r="I1932" s="564"/>
      <c r="M1932" s="329"/>
      <c r="P1932" s="593"/>
      <c r="Q1932" s="685"/>
      <c r="R1932" s="685"/>
      <c r="S1932" s="329"/>
      <c r="U1932" s="593"/>
      <c r="Z1932" s="329"/>
      <c r="AB1932" s="589"/>
    </row>
    <row r="1933" spans="1:28">
      <c r="A1933" s="631" t="str">
        <f>"DD."&amp;B1933</f>
        <v>DD.07.1122</v>
      </c>
      <c r="B1933" s="565" t="s">
        <v>5137</v>
      </c>
      <c r="C1933" s="567" t="s">
        <v>2642</v>
      </c>
      <c r="D1933" s="568" t="s">
        <v>968</v>
      </c>
      <c r="E1933" s="561"/>
      <c r="F1933" s="560">
        <v>150223</v>
      </c>
      <c r="G1933" s="620"/>
      <c r="H1933" s="620"/>
      <c r="I1933" s="564"/>
      <c r="M1933" s="329"/>
      <c r="P1933" s="593"/>
      <c r="Q1933" s="685"/>
      <c r="R1933" s="685"/>
      <c r="S1933" s="329"/>
      <c r="U1933" s="593"/>
      <c r="Z1933" s="329"/>
      <c r="AB1933" s="589"/>
    </row>
    <row r="1934" spans="1:28">
      <c r="A1934" s="631" t="str">
        <f>"DD."&amp;B1934</f>
        <v>DD.07.1123</v>
      </c>
      <c r="B1934" s="565" t="s">
        <v>5138</v>
      </c>
      <c r="C1934" s="567" t="s">
        <v>2643</v>
      </c>
      <c r="D1934" s="568" t="s">
        <v>968</v>
      </c>
      <c r="E1934" s="561"/>
      <c r="F1934" s="560">
        <v>177114</v>
      </c>
      <c r="G1934" s="620"/>
      <c r="H1934" s="620"/>
      <c r="I1934" s="564"/>
      <c r="M1934" s="329"/>
      <c r="P1934" s="593"/>
      <c r="Q1934" s="685"/>
      <c r="R1934" s="685"/>
      <c r="S1934" s="329"/>
      <c r="U1934" s="593"/>
      <c r="Z1934" s="329"/>
      <c r="AB1934" s="589"/>
    </row>
    <row r="1935" spans="1:28">
      <c r="A1935" s="631" t="str">
        <f>"DD."&amp;B1935</f>
        <v>DD.07.1124</v>
      </c>
      <c r="B1935" s="565" t="s">
        <v>5139</v>
      </c>
      <c r="C1935" s="567" t="s">
        <v>2644</v>
      </c>
      <c r="D1935" s="568" t="s">
        <v>968</v>
      </c>
      <c r="E1935" s="561"/>
      <c r="F1935" s="560">
        <v>208643</v>
      </c>
      <c r="G1935" s="620"/>
      <c r="H1935" s="620"/>
      <c r="I1935" s="564"/>
      <c r="M1935" s="329"/>
      <c r="P1935" s="593"/>
      <c r="Q1935" s="685"/>
      <c r="R1935" s="685"/>
      <c r="S1935" s="329"/>
      <c r="U1935" s="593"/>
      <c r="Z1935" s="329"/>
      <c r="AB1935" s="589"/>
    </row>
    <row r="1936" spans="1:28">
      <c r="A1936" s="631" t="str">
        <f>"DD."&amp;B1936</f>
        <v>DD.07.1125</v>
      </c>
      <c r="B1936" s="565" t="s">
        <v>4745</v>
      </c>
      <c r="C1936" s="567" t="s">
        <v>2645</v>
      </c>
      <c r="D1936" s="568" t="s">
        <v>968</v>
      </c>
      <c r="E1936" s="561"/>
      <c r="F1936" s="560">
        <v>326410</v>
      </c>
      <c r="G1936" s="620"/>
      <c r="H1936" s="620"/>
      <c r="I1936" s="564"/>
      <c r="M1936" s="329"/>
      <c r="P1936" s="593"/>
      <c r="Q1936" s="685"/>
      <c r="R1936" s="685"/>
      <c r="S1936" s="329"/>
      <c r="U1936" s="593"/>
      <c r="Z1936" s="329"/>
      <c r="AB1936" s="589"/>
    </row>
    <row r="1937" spans="1:28">
      <c r="A1937" s="594"/>
      <c r="B1937" s="578" t="s">
        <v>4746</v>
      </c>
      <c r="C1937" s="569" t="s">
        <v>4747</v>
      </c>
      <c r="D1937" s="573"/>
      <c r="E1937" s="574"/>
      <c r="F1937" s="574"/>
      <c r="G1937" s="620"/>
      <c r="H1937" s="620"/>
      <c r="I1937" s="564"/>
      <c r="M1937" s="329"/>
      <c r="P1937" s="593"/>
      <c r="Q1937" s="685"/>
      <c r="R1937" s="685"/>
      <c r="S1937" s="329"/>
      <c r="U1937" s="593"/>
      <c r="Z1937" s="329"/>
      <c r="AB1937" s="589"/>
    </row>
    <row r="1938" spans="1:28">
      <c r="A1938" s="631" t="str">
        <f>"DD."&amp;B1938</f>
        <v>DD.07.1131</v>
      </c>
      <c r="B1938" s="565" t="s">
        <v>4748</v>
      </c>
      <c r="C1938" s="567" t="s">
        <v>2646</v>
      </c>
      <c r="D1938" s="568" t="s">
        <v>968</v>
      </c>
      <c r="E1938" s="561"/>
      <c r="F1938" s="560">
        <v>278190</v>
      </c>
      <c r="G1938" s="620"/>
      <c r="H1938" s="620"/>
      <c r="I1938" s="564"/>
      <c r="M1938" s="329"/>
      <c r="P1938" s="593"/>
      <c r="Q1938" s="685"/>
      <c r="R1938" s="685"/>
      <c r="S1938" s="329"/>
      <c r="U1938" s="593"/>
      <c r="Z1938" s="329"/>
      <c r="AB1938" s="589"/>
    </row>
    <row r="1939" spans="1:28">
      <c r="A1939" s="631" t="str">
        <f>"DD."&amp;B1939</f>
        <v>DD.07.1132</v>
      </c>
      <c r="B1939" s="565" t="s">
        <v>4749</v>
      </c>
      <c r="C1939" s="567" t="s">
        <v>2647</v>
      </c>
      <c r="D1939" s="568" t="s">
        <v>968</v>
      </c>
      <c r="E1939" s="561"/>
      <c r="F1939" s="560">
        <v>519288</v>
      </c>
      <c r="G1939" s="620"/>
      <c r="H1939" s="620"/>
      <c r="I1939" s="564"/>
      <c r="M1939" s="329"/>
      <c r="P1939" s="593"/>
      <c r="Q1939" s="685"/>
      <c r="R1939" s="685"/>
      <c r="S1939" s="329"/>
      <c r="U1939" s="593"/>
      <c r="Z1939" s="329"/>
      <c r="AB1939" s="589"/>
    </row>
    <row r="1940" spans="1:28">
      <c r="A1940" s="631" t="str">
        <f>"DD."&amp;B1940</f>
        <v>DD.07.1133</v>
      </c>
      <c r="B1940" s="565" t="s">
        <v>4750</v>
      </c>
      <c r="C1940" s="567" t="s">
        <v>2648</v>
      </c>
      <c r="D1940" s="568" t="s">
        <v>968</v>
      </c>
      <c r="E1940" s="561"/>
      <c r="F1940" s="560">
        <v>361647</v>
      </c>
      <c r="G1940" s="620"/>
      <c r="H1940" s="620"/>
      <c r="I1940" s="564"/>
      <c r="M1940" s="329"/>
      <c r="P1940" s="593"/>
      <c r="Q1940" s="685"/>
      <c r="R1940" s="685"/>
      <c r="S1940" s="329"/>
      <c r="U1940" s="593"/>
      <c r="Z1940" s="329"/>
      <c r="AB1940" s="589"/>
    </row>
    <row r="1941" spans="1:28">
      <c r="A1941" s="631" t="str">
        <f>"DD."&amp;B1941</f>
        <v>DD.07.1134</v>
      </c>
      <c r="B1941" s="565" t="s">
        <v>4751</v>
      </c>
      <c r="C1941" s="567" t="s">
        <v>2649</v>
      </c>
      <c r="D1941" s="568" t="s">
        <v>968</v>
      </c>
      <c r="E1941" s="561"/>
      <c r="F1941" s="560">
        <v>204006</v>
      </c>
      <c r="G1941" s="620"/>
      <c r="H1941" s="620"/>
      <c r="I1941" s="564"/>
      <c r="M1941" s="329"/>
      <c r="P1941" s="593"/>
      <c r="Q1941" s="685"/>
      <c r="R1941" s="685"/>
      <c r="S1941" s="329"/>
      <c r="U1941" s="593"/>
      <c r="Z1941" s="329"/>
      <c r="AB1941" s="589"/>
    </row>
    <row r="1942" spans="1:28">
      <c r="A1942" s="594"/>
      <c r="B1942" s="576" t="s">
        <v>2650</v>
      </c>
      <c r="C1942" s="575"/>
      <c r="D1942" s="571"/>
      <c r="E1942" s="561"/>
      <c r="F1942" s="561"/>
      <c r="G1942" s="620"/>
      <c r="H1942" s="620"/>
      <c r="I1942" s="564"/>
      <c r="M1942" s="329"/>
      <c r="P1942" s="593"/>
      <c r="Q1942" s="685"/>
      <c r="R1942" s="685"/>
      <c r="S1942" s="329"/>
      <c r="U1942" s="593"/>
      <c r="Z1942" s="329"/>
      <c r="AB1942" s="589"/>
    </row>
    <row r="1943" spans="1:28" s="579" customFormat="1">
      <c r="B1943" s="572" t="s">
        <v>3863</v>
      </c>
      <c r="C1943" s="569" t="s">
        <v>5316</v>
      </c>
      <c r="D1943" s="573"/>
      <c r="E1943" s="574"/>
      <c r="F1943" s="574"/>
      <c r="G1943" s="574"/>
      <c r="H1943" s="620"/>
      <c r="I1943" s="564"/>
      <c r="J1943" s="584"/>
      <c r="K1943" s="580"/>
    </row>
    <row r="1944" spans="1:28">
      <c r="A1944" s="631" t="str">
        <f>"DD."&amp;B1944</f>
        <v>DD.07.1201</v>
      </c>
      <c r="B1944" s="565" t="s">
        <v>4460</v>
      </c>
      <c r="C1944" s="567" t="s">
        <v>5064</v>
      </c>
      <c r="D1944" s="568" t="s">
        <v>968</v>
      </c>
      <c r="E1944" s="560">
        <v>27273</v>
      </c>
      <c r="F1944" s="560">
        <v>55638</v>
      </c>
      <c r="G1944" s="560">
        <v>134918</v>
      </c>
      <c r="H1944" s="620"/>
      <c r="I1944" s="564"/>
      <c r="J1944" s="585"/>
      <c r="K1944" s="581"/>
      <c r="M1944" s="329"/>
      <c r="N1944" s="329"/>
      <c r="O1944" s="329"/>
      <c r="P1944" s="329"/>
      <c r="S1944" s="329"/>
      <c r="Z1944" s="329"/>
    </row>
    <row r="1945" spans="1:28">
      <c r="A1945" s="631" t="str">
        <f>"DD."&amp;B1945</f>
        <v>DD.07.1202</v>
      </c>
      <c r="B1945" s="565" t="s">
        <v>4461</v>
      </c>
      <c r="C1945" s="567" t="s">
        <v>5065</v>
      </c>
      <c r="D1945" s="568" t="s">
        <v>968</v>
      </c>
      <c r="E1945" s="560"/>
      <c r="F1945" s="560">
        <v>46365</v>
      </c>
      <c r="G1945" s="560">
        <v>88731</v>
      </c>
      <c r="H1945" s="620"/>
      <c r="I1945" s="564"/>
      <c r="J1945" s="585"/>
      <c r="K1945" s="581"/>
      <c r="M1945" s="329"/>
      <c r="N1945" s="329"/>
      <c r="O1945" s="329"/>
      <c r="P1945" s="329"/>
      <c r="S1945" s="329"/>
      <c r="Z1945" s="329"/>
    </row>
    <row r="1946" spans="1:28">
      <c r="A1946" s="631" t="str">
        <f>"DD."&amp;B1946</f>
        <v>DD.07.1203</v>
      </c>
      <c r="B1946" s="565" t="s">
        <v>4462</v>
      </c>
      <c r="C1946" s="567" t="s">
        <v>5066</v>
      </c>
      <c r="D1946" s="568" t="s">
        <v>968</v>
      </c>
      <c r="E1946" s="560"/>
      <c r="F1946" s="560">
        <v>18546</v>
      </c>
      <c r="G1946" s="560">
        <v>54217</v>
      </c>
      <c r="H1946" s="620"/>
      <c r="I1946" s="564"/>
      <c r="J1946" s="585"/>
      <c r="K1946" s="581"/>
      <c r="M1946" s="329"/>
      <c r="N1946" s="329"/>
      <c r="O1946" s="329"/>
      <c r="P1946" s="329"/>
      <c r="S1946" s="329"/>
      <c r="Z1946" s="329"/>
    </row>
    <row r="1947" spans="1:28" s="579" customFormat="1">
      <c r="B1947" s="572" t="s">
        <v>5317</v>
      </c>
      <c r="C1947" s="569" t="s">
        <v>5318</v>
      </c>
      <c r="D1947" s="573"/>
      <c r="E1947" s="574"/>
      <c r="F1947" s="574"/>
      <c r="G1947" s="574"/>
      <c r="H1947" s="620"/>
      <c r="I1947" s="564"/>
      <c r="J1947" s="584"/>
      <c r="K1947" s="580"/>
    </row>
    <row r="1948" spans="1:28">
      <c r="B1948" s="571"/>
      <c r="C1948" s="567" t="s">
        <v>5319</v>
      </c>
      <c r="D1948" s="571"/>
      <c r="E1948" s="561"/>
      <c r="F1948" s="561"/>
      <c r="G1948" s="561"/>
      <c r="H1948" s="620"/>
      <c r="I1948" s="564"/>
      <c r="J1948" s="585"/>
      <c r="K1948" s="581"/>
      <c r="M1948" s="329"/>
      <c r="N1948" s="329"/>
      <c r="O1948" s="329"/>
      <c r="P1948" s="329"/>
      <c r="S1948" s="329"/>
      <c r="Z1948" s="329"/>
    </row>
    <row r="1949" spans="1:28">
      <c r="A1949" s="631" t="str">
        <f>"DD."&amp;B1949</f>
        <v>DD.07.1221</v>
      </c>
      <c r="B1949" s="565" t="s">
        <v>5320</v>
      </c>
      <c r="C1949" s="567" t="s">
        <v>5067</v>
      </c>
      <c r="D1949" s="568" t="s">
        <v>968</v>
      </c>
      <c r="E1949" s="560">
        <v>27273</v>
      </c>
      <c r="F1949" s="560">
        <v>187315</v>
      </c>
      <c r="G1949" s="560">
        <v>122127</v>
      </c>
      <c r="H1949" s="620"/>
      <c r="I1949" s="564"/>
      <c r="J1949" s="585"/>
      <c r="K1949" s="581"/>
      <c r="M1949" s="329"/>
      <c r="N1949" s="329"/>
      <c r="O1949" s="329"/>
      <c r="P1949" s="329"/>
      <c r="S1949" s="329"/>
      <c r="Z1949" s="329"/>
    </row>
    <row r="1950" spans="1:28">
      <c r="A1950" s="631" t="str">
        <f>"DD."&amp;B1950</f>
        <v>DD.07.1222</v>
      </c>
      <c r="B1950" s="565" t="s">
        <v>5321</v>
      </c>
      <c r="C1950" s="567" t="s">
        <v>975</v>
      </c>
      <c r="D1950" s="568" t="s">
        <v>968</v>
      </c>
      <c r="E1950" s="560"/>
      <c r="F1950" s="560">
        <v>174332</v>
      </c>
      <c r="G1950" s="560">
        <v>62230</v>
      </c>
      <c r="H1950" s="620"/>
      <c r="I1950" s="564"/>
      <c r="J1950" s="585"/>
      <c r="K1950" s="581"/>
      <c r="M1950" s="329"/>
      <c r="N1950" s="329"/>
      <c r="O1950" s="329"/>
      <c r="P1950" s="329"/>
      <c r="S1950" s="329"/>
      <c r="Z1950" s="329"/>
    </row>
    <row r="1951" spans="1:28">
      <c r="A1951" s="631" t="str">
        <f>"DD."&amp;B1951</f>
        <v>DD.07.1223</v>
      </c>
      <c r="B1951" s="565" t="s">
        <v>5322</v>
      </c>
      <c r="C1951" s="567" t="s">
        <v>976</v>
      </c>
      <c r="D1951" s="568" t="s">
        <v>968</v>
      </c>
      <c r="E1951" s="560"/>
      <c r="F1951" s="560">
        <v>153005</v>
      </c>
      <c r="G1951" s="560">
        <v>56180</v>
      </c>
      <c r="H1951" s="620"/>
      <c r="I1951" s="564"/>
      <c r="J1951" s="585"/>
      <c r="K1951" s="581"/>
      <c r="M1951" s="329"/>
      <c r="N1951" s="329"/>
      <c r="O1951" s="329"/>
      <c r="P1951" s="329"/>
      <c r="S1951" s="329"/>
      <c r="Z1951" s="329"/>
    </row>
    <row r="1952" spans="1:28" s="579" customFormat="1">
      <c r="B1952" s="572" t="s">
        <v>5323</v>
      </c>
      <c r="C1952" s="569" t="s">
        <v>5761</v>
      </c>
      <c r="D1952" s="573"/>
      <c r="E1952" s="574"/>
      <c r="F1952" s="574"/>
      <c r="G1952" s="574"/>
      <c r="H1952" s="620"/>
      <c r="I1952" s="564"/>
      <c r="J1952" s="584"/>
      <c r="K1952" s="580"/>
    </row>
    <row r="1953" spans="1:28" s="579" customFormat="1">
      <c r="B1953" s="572" t="s">
        <v>5762</v>
      </c>
      <c r="C1953" s="569" t="s">
        <v>3917</v>
      </c>
      <c r="D1953" s="573"/>
      <c r="E1953" s="574"/>
      <c r="F1953" s="574"/>
      <c r="G1953" s="574"/>
      <c r="H1953" s="620"/>
      <c r="I1953" s="564"/>
      <c r="J1953" s="584"/>
      <c r="K1953" s="580"/>
    </row>
    <row r="1954" spans="1:28">
      <c r="B1954" s="571"/>
      <c r="C1954" s="567" t="s">
        <v>3918</v>
      </c>
      <c r="D1954" s="571"/>
      <c r="E1954" s="561"/>
      <c r="F1954" s="561"/>
      <c r="G1954" s="561"/>
      <c r="H1954" s="620"/>
      <c r="I1954" s="564"/>
      <c r="J1954" s="585"/>
      <c r="K1954" s="581"/>
      <c r="M1954" s="329"/>
      <c r="N1954" s="329"/>
      <c r="O1954" s="329"/>
      <c r="P1954" s="329"/>
      <c r="S1954" s="329"/>
      <c r="Z1954" s="329"/>
    </row>
    <row r="1955" spans="1:28">
      <c r="A1955" s="631" t="str">
        <f t="shared" ref="A1955:A1960" si="52">"DD."&amp;B1955</f>
        <v>DD.07.2101</v>
      </c>
      <c r="B1955" s="565" t="s">
        <v>4463</v>
      </c>
      <c r="C1955" s="567" t="s">
        <v>3919</v>
      </c>
      <c r="D1955" s="568" t="s">
        <v>968</v>
      </c>
      <c r="E1955" s="561"/>
      <c r="F1955" s="560">
        <v>42820</v>
      </c>
      <c r="G1955" s="561"/>
      <c r="H1955" s="620"/>
      <c r="I1955" s="564"/>
      <c r="J1955" s="585"/>
      <c r="K1955" s="581"/>
      <c r="M1955" s="329"/>
      <c r="N1955" s="329"/>
      <c r="O1955" s="329"/>
      <c r="P1955" s="329"/>
      <c r="S1955" s="329"/>
      <c r="Z1955" s="329"/>
    </row>
    <row r="1956" spans="1:28">
      <c r="A1956" s="631" t="str">
        <f t="shared" si="52"/>
        <v>DD.07.2102</v>
      </c>
      <c r="B1956" s="565" t="s">
        <v>4464</v>
      </c>
      <c r="C1956" s="567" t="s">
        <v>2569</v>
      </c>
      <c r="D1956" s="568" t="s">
        <v>4831</v>
      </c>
      <c r="E1956" s="561"/>
      <c r="F1956" s="560">
        <v>42820</v>
      </c>
      <c r="G1956" s="561"/>
      <c r="H1956" s="620"/>
      <c r="I1956" s="564"/>
      <c r="J1956" s="585"/>
      <c r="K1956" s="581"/>
      <c r="M1956" s="329"/>
      <c r="N1956" s="329"/>
      <c r="O1956" s="329"/>
      <c r="P1956" s="329"/>
      <c r="S1956" s="329"/>
      <c r="Z1956" s="329"/>
    </row>
    <row r="1957" spans="1:28">
      <c r="A1957" s="631" t="str">
        <f t="shared" si="52"/>
        <v>DD.07.2103</v>
      </c>
      <c r="B1957" s="565" t="s">
        <v>3635</v>
      </c>
      <c r="C1957" s="567" t="s">
        <v>3472</v>
      </c>
      <c r="D1957" s="568" t="s">
        <v>4831</v>
      </c>
      <c r="E1957" s="561"/>
      <c r="F1957" s="560">
        <v>85640</v>
      </c>
      <c r="G1957" s="561"/>
      <c r="H1957" s="620"/>
      <c r="I1957" s="564"/>
      <c r="J1957" s="585"/>
      <c r="K1957" s="581"/>
      <c r="M1957" s="329"/>
      <c r="N1957" s="329"/>
      <c r="O1957" s="329"/>
      <c r="P1957" s="329"/>
      <c r="S1957" s="329"/>
      <c r="Z1957" s="329"/>
    </row>
    <row r="1958" spans="1:28">
      <c r="A1958" s="631" t="str">
        <f t="shared" si="52"/>
        <v>DD.07.2104</v>
      </c>
      <c r="B1958" s="565" t="s">
        <v>3473</v>
      </c>
      <c r="C1958" s="567" t="s">
        <v>3636</v>
      </c>
      <c r="D1958" s="568" t="s">
        <v>2984</v>
      </c>
      <c r="E1958" s="561"/>
      <c r="F1958" s="560">
        <v>342560</v>
      </c>
      <c r="G1958" s="561"/>
      <c r="H1958" s="620"/>
      <c r="I1958" s="564"/>
      <c r="J1958" s="585"/>
      <c r="K1958" s="581"/>
      <c r="M1958" s="329"/>
      <c r="N1958" s="329"/>
      <c r="O1958" s="329"/>
      <c r="P1958" s="329"/>
      <c r="S1958" s="329"/>
      <c r="Z1958" s="329"/>
    </row>
    <row r="1959" spans="1:28">
      <c r="A1959" s="631" t="str">
        <f t="shared" si="52"/>
        <v>DD.07.2105</v>
      </c>
      <c r="B1959" s="565" t="s">
        <v>3474</v>
      </c>
      <c r="C1959" s="567" t="s">
        <v>977</v>
      </c>
      <c r="D1959" s="568" t="s">
        <v>3475</v>
      </c>
      <c r="E1959" s="561"/>
      <c r="F1959" s="560">
        <v>5995</v>
      </c>
      <c r="G1959" s="561"/>
      <c r="H1959" s="620"/>
      <c r="I1959" s="564"/>
      <c r="J1959" s="585"/>
      <c r="K1959" s="581"/>
      <c r="M1959" s="329"/>
      <c r="N1959" s="329"/>
      <c r="O1959" s="329"/>
      <c r="P1959" s="329"/>
      <c r="S1959" s="329"/>
      <c r="Z1959" s="329"/>
    </row>
    <row r="1960" spans="1:28">
      <c r="A1960" s="631" t="str">
        <f t="shared" si="52"/>
        <v>DD.07.2106</v>
      </c>
      <c r="B1960" s="565" t="s">
        <v>3476</v>
      </c>
      <c r="C1960" s="567" t="s">
        <v>2315</v>
      </c>
      <c r="D1960" s="568" t="s">
        <v>3475</v>
      </c>
      <c r="E1960" s="561"/>
      <c r="F1960" s="560">
        <v>8564</v>
      </c>
      <c r="G1960" s="561"/>
      <c r="H1960" s="620"/>
      <c r="I1960" s="564"/>
      <c r="J1960" s="585"/>
      <c r="K1960" s="581"/>
      <c r="M1960" s="329"/>
      <c r="N1960" s="329"/>
      <c r="O1960" s="329"/>
      <c r="P1960" s="329"/>
      <c r="S1960" s="329"/>
      <c r="Z1960" s="329"/>
    </row>
    <row r="1961" spans="1:28">
      <c r="A1961" s="594"/>
      <c r="B1961" s="569" t="s">
        <v>1099</v>
      </c>
      <c r="C1961" s="627"/>
      <c r="D1961" s="571"/>
      <c r="E1961" s="571"/>
      <c r="F1961" s="620"/>
      <c r="G1961" s="620"/>
      <c r="H1961" s="620"/>
      <c r="I1961" s="564"/>
      <c r="M1961" s="329"/>
      <c r="P1961" s="593"/>
      <c r="Q1961" s="685"/>
      <c r="R1961" s="685"/>
      <c r="S1961" s="329"/>
      <c r="U1961" s="593"/>
      <c r="Z1961" s="329"/>
      <c r="AB1961" s="589"/>
    </row>
    <row r="1962" spans="1:28">
      <c r="A1962" s="631" t="str">
        <f>"DD."&amp;B1962</f>
        <v>DD.07.2201</v>
      </c>
      <c r="B1962" s="565" t="s">
        <v>3637</v>
      </c>
      <c r="C1962" s="567" t="s">
        <v>819</v>
      </c>
      <c r="D1962" s="568" t="s">
        <v>5276</v>
      </c>
      <c r="E1962" s="560">
        <v>1632750</v>
      </c>
      <c r="F1962" s="560">
        <v>2503710</v>
      </c>
      <c r="G1962" s="620"/>
      <c r="H1962" s="620"/>
      <c r="I1962" s="564"/>
      <c r="M1962" s="329"/>
      <c r="P1962" s="593"/>
      <c r="Q1962" s="685"/>
      <c r="R1962" s="685"/>
      <c r="S1962" s="329"/>
      <c r="U1962" s="593"/>
      <c r="Z1962" s="329"/>
      <c r="AB1962" s="589"/>
    </row>
    <row r="1963" spans="1:28">
      <c r="A1963" s="631" t="str">
        <f>"DD."&amp;B1963</f>
        <v>DD.07.2202</v>
      </c>
      <c r="B1963" s="565" t="s">
        <v>3638</v>
      </c>
      <c r="C1963" s="567" t="s">
        <v>820</v>
      </c>
      <c r="D1963" s="568" t="s">
        <v>5276</v>
      </c>
      <c r="E1963" s="560">
        <v>1942500</v>
      </c>
      <c r="F1963" s="560">
        <v>2946032</v>
      </c>
      <c r="G1963" s="620"/>
      <c r="H1963" s="620"/>
      <c r="I1963" s="564"/>
      <c r="M1963" s="329"/>
      <c r="P1963" s="593"/>
      <c r="Q1963" s="685"/>
      <c r="R1963" s="685"/>
      <c r="S1963" s="329"/>
      <c r="U1963" s="593"/>
      <c r="Z1963" s="329"/>
      <c r="AB1963" s="589"/>
    </row>
    <row r="1964" spans="1:28">
      <c r="A1964" s="631" t="str">
        <f>"DD."&amp;B1964</f>
        <v>DD.07.2203</v>
      </c>
      <c r="B1964" s="565" t="s">
        <v>3639</v>
      </c>
      <c r="C1964" s="567" t="s">
        <v>821</v>
      </c>
      <c r="D1964" s="568" t="s">
        <v>5276</v>
      </c>
      <c r="E1964" s="560">
        <v>1942500</v>
      </c>
      <c r="F1964" s="560">
        <v>3406900</v>
      </c>
      <c r="G1964" s="620"/>
      <c r="H1964" s="620"/>
      <c r="I1964" s="564"/>
      <c r="M1964" s="329"/>
      <c r="P1964" s="593"/>
      <c r="Q1964" s="685"/>
      <c r="R1964" s="685"/>
      <c r="S1964" s="329"/>
      <c r="U1964" s="593"/>
      <c r="Z1964" s="329"/>
      <c r="AB1964" s="589"/>
    </row>
    <row r="1965" spans="1:28">
      <c r="A1965" s="631" t="str">
        <f>"DD."&amp;B1965</f>
        <v>DD.07.2204</v>
      </c>
      <c r="B1965" s="565" t="s">
        <v>3640</v>
      </c>
      <c r="C1965" s="567" t="s">
        <v>6045</v>
      </c>
      <c r="D1965" s="568" t="s">
        <v>5276</v>
      </c>
      <c r="E1965" s="560">
        <v>1942500</v>
      </c>
      <c r="F1965" s="560">
        <v>3940098</v>
      </c>
      <c r="G1965" s="620"/>
      <c r="H1965" s="620"/>
      <c r="I1965" s="564"/>
      <c r="M1965" s="329"/>
      <c r="P1965" s="593"/>
      <c r="Q1965" s="685"/>
      <c r="R1965" s="685"/>
      <c r="S1965" s="329"/>
      <c r="U1965" s="593"/>
      <c r="Z1965" s="329"/>
      <c r="AB1965" s="589"/>
    </row>
    <row r="1966" spans="1:28">
      <c r="A1966" s="631" t="str">
        <f>"DD."&amp;B1966</f>
        <v>DD.07.2205</v>
      </c>
      <c r="B1966" s="565" t="s">
        <v>1100</v>
      </c>
      <c r="C1966" s="567" t="s">
        <v>6046</v>
      </c>
      <c r="D1966" s="568" t="s">
        <v>5276</v>
      </c>
      <c r="E1966" s="560">
        <v>1942500</v>
      </c>
      <c r="F1966" s="560">
        <v>4570662</v>
      </c>
      <c r="G1966" s="620"/>
      <c r="H1966" s="620"/>
      <c r="I1966" s="564"/>
      <c r="M1966" s="329"/>
      <c r="P1966" s="593"/>
      <c r="Q1966" s="685"/>
      <c r="R1966" s="685"/>
      <c r="S1966" s="329"/>
      <c r="U1966" s="593"/>
      <c r="Z1966" s="329"/>
      <c r="AB1966" s="589"/>
    </row>
    <row r="1967" spans="1:28">
      <c r="A1967" s="594"/>
      <c r="B1967" s="569" t="s">
        <v>1101</v>
      </c>
      <c r="C1967" s="627"/>
      <c r="D1967" s="571"/>
      <c r="E1967" s="571"/>
      <c r="F1967" s="620"/>
      <c r="G1967" s="620"/>
      <c r="H1967" s="620"/>
      <c r="I1967" s="564"/>
      <c r="M1967" s="329"/>
      <c r="P1967" s="593"/>
      <c r="Q1967" s="685"/>
      <c r="R1967" s="685"/>
      <c r="S1967" s="329"/>
      <c r="U1967" s="593"/>
      <c r="Z1967" s="329"/>
      <c r="AB1967" s="589"/>
    </row>
    <row r="1968" spans="1:28">
      <c r="A1968" s="594"/>
      <c r="B1968" s="571"/>
      <c r="C1968" s="567" t="s">
        <v>1102</v>
      </c>
      <c r="D1968" s="571"/>
      <c r="E1968" s="561"/>
      <c r="F1968" s="561"/>
      <c r="G1968" s="620"/>
      <c r="H1968" s="620"/>
      <c r="I1968" s="564"/>
      <c r="M1968" s="329"/>
      <c r="P1968" s="593"/>
      <c r="Q1968" s="685"/>
      <c r="R1968" s="685"/>
      <c r="S1968" s="329"/>
      <c r="U1968" s="593"/>
      <c r="Z1968" s="329"/>
      <c r="AB1968" s="589"/>
    </row>
    <row r="1969" spans="1:28">
      <c r="A1969" s="631" t="str">
        <f>"DD."&amp;B1969</f>
        <v>DD.07.2301</v>
      </c>
      <c r="B1969" s="565" t="s">
        <v>1103</v>
      </c>
      <c r="C1969" s="567" t="s">
        <v>2434</v>
      </c>
      <c r="D1969" s="568" t="s">
        <v>5276</v>
      </c>
      <c r="E1969" s="560">
        <v>451652</v>
      </c>
      <c r="F1969" s="560">
        <v>1518917</v>
      </c>
      <c r="G1969" s="620"/>
      <c r="H1969" s="620"/>
      <c r="I1969" s="564"/>
      <c r="M1969" s="329"/>
      <c r="P1969" s="593"/>
      <c r="Q1969" s="685"/>
      <c r="R1969" s="685"/>
      <c r="S1969" s="329"/>
      <c r="U1969" s="593"/>
      <c r="Z1969" s="329"/>
      <c r="AB1969" s="589"/>
    </row>
    <row r="1970" spans="1:28">
      <c r="A1970" s="631" t="str">
        <f>"DD."&amp;B1970</f>
        <v>DD.07.2302</v>
      </c>
      <c r="B1970" s="565" t="s">
        <v>1104</v>
      </c>
      <c r="C1970" s="567" t="s">
        <v>2435</v>
      </c>
      <c r="D1970" s="568" t="s">
        <v>5276</v>
      </c>
      <c r="E1970" s="560">
        <v>708946</v>
      </c>
      <c r="F1970" s="560">
        <v>2077152</v>
      </c>
      <c r="G1970" s="620"/>
      <c r="H1970" s="620"/>
      <c r="I1970" s="564"/>
      <c r="M1970" s="329"/>
      <c r="P1970" s="593"/>
      <c r="Q1970" s="685"/>
      <c r="R1970" s="685"/>
      <c r="S1970" s="329"/>
      <c r="U1970" s="593"/>
      <c r="Z1970" s="329"/>
      <c r="AB1970" s="589"/>
    </row>
    <row r="1971" spans="1:28">
      <c r="A1971" s="594"/>
      <c r="B1971" s="571"/>
      <c r="C1971" s="567" t="s">
        <v>1105</v>
      </c>
      <c r="D1971" s="568" t="s">
        <v>5276</v>
      </c>
      <c r="E1971" s="561"/>
      <c r="F1971" s="561"/>
      <c r="G1971" s="620"/>
      <c r="H1971" s="620"/>
      <c r="I1971" s="564"/>
      <c r="M1971" s="329"/>
      <c r="P1971" s="593"/>
      <c r="Q1971" s="685"/>
      <c r="R1971" s="685"/>
      <c r="S1971" s="329"/>
      <c r="U1971" s="593"/>
      <c r="Z1971" s="329"/>
      <c r="AB1971" s="589"/>
    </row>
    <row r="1972" spans="1:28">
      <c r="A1972" s="631" t="str">
        <f>"DD."&amp;B1972</f>
        <v>DD.07.2303</v>
      </c>
      <c r="B1972" s="565" t="s">
        <v>1106</v>
      </c>
      <c r="C1972" s="567" t="s">
        <v>2436</v>
      </c>
      <c r="D1972" s="568" t="s">
        <v>5276</v>
      </c>
      <c r="E1972" s="560">
        <v>264636</v>
      </c>
      <c r="F1972" s="560">
        <v>3570105</v>
      </c>
      <c r="G1972" s="620"/>
      <c r="H1972" s="620"/>
      <c r="I1972" s="564"/>
      <c r="M1972" s="329"/>
      <c r="P1972" s="593"/>
      <c r="Q1972" s="685"/>
      <c r="R1972" s="685"/>
      <c r="S1972" s="329"/>
      <c r="U1972" s="593"/>
      <c r="Z1972" s="329"/>
      <c r="AB1972" s="589"/>
    </row>
    <row r="1973" spans="1:28">
      <c r="A1973" s="631" t="str">
        <f>"DD."&amp;B1973</f>
        <v>DD.07.2304</v>
      </c>
      <c r="B1973" s="565" t="s">
        <v>1107</v>
      </c>
      <c r="C1973" s="567" t="s">
        <v>2437</v>
      </c>
      <c r="D1973" s="568" t="s">
        <v>5276</v>
      </c>
      <c r="E1973" s="560">
        <v>397296</v>
      </c>
      <c r="F1973" s="560">
        <v>4543770</v>
      </c>
      <c r="G1973" s="620"/>
      <c r="H1973" s="620"/>
      <c r="I1973" s="564"/>
      <c r="M1973" s="329"/>
      <c r="P1973" s="593"/>
      <c r="Q1973" s="685"/>
      <c r="R1973" s="685"/>
      <c r="S1973" s="329"/>
      <c r="U1973" s="593"/>
      <c r="Z1973" s="329"/>
      <c r="AB1973" s="589"/>
    </row>
    <row r="1974" spans="1:28">
      <c r="A1974" s="594"/>
      <c r="B1974" s="569" t="s">
        <v>1266</v>
      </c>
      <c r="C1974" s="567"/>
      <c r="D1974" s="568"/>
      <c r="E1974" s="560"/>
      <c r="F1974" s="560"/>
      <c r="G1974" s="620"/>
      <c r="H1974" s="620"/>
      <c r="I1974" s="564"/>
      <c r="M1974" s="329"/>
      <c r="P1974" s="593"/>
      <c r="Q1974" s="685"/>
      <c r="R1974" s="685"/>
      <c r="S1974" s="329"/>
      <c r="U1974" s="593"/>
      <c r="Z1974" s="329"/>
      <c r="AB1974" s="589"/>
    </row>
    <row r="1975" spans="1:28">
      <c r="A1975" s="631" t="str">
        <f t="shared" ref="A1975:A1988" si="53">"DD."&amp;B1975</f>
        <v>DD.07.2401</v>
      </c>
      <c r="B1975" s="565" t="s">
        <v>1267</v>
      </c>
      <c r="C1975" s="567" t="s">
        <v>2725</v>
      </c>
      <c r="D1975" s="568" t="s">
        <v>5276</v>
      </c>
      <c r="E1975" s="560">
        <v>353</v>
      </c>
      <c r="F1975" s="560">
        <v>927300</v>
      </c>
      <c r="G1975" s="620"/>
      <c r="H1975" s="620"/>
      <c r="I1975" s="564"/>
      <c r="M1975" s="329"/>
      <c r="P1975" s="593"/>
      <c r="Q1975" s="685"/>
      <c r="R1975" s="685"/>
      <c r="S1975" s="329"/>
      <c r="U1975" s="593"/>
      <c r="Z1975" s="329"/>
      <c r="AB1975" s="589"/>
    </row>
    <row r="1976" spans="1:28">
      <c r="A1976" s="631" t="str">
        <f t="shared" si="53"/>
        <v>DD.07.2402</v>
      </c>
      <c r="B1976" s="565" t="s">
        <v>1268</v>
      </c>
      <c r="C1976" s="567" t="s">
        <v>2836</v>
      </c>
      <c r="D1976" s="568" t="s">
        <v>5276</v>
      </c>
      <c r="E1976" s="560">
        <v>479</v>
      </c>
      <c r="F1976" s="560">
        <v>973665</v>
      </c>
      <c r="G1976" s="620"/>
      <c r="H1976" s="620"/>
      <c r="I1976" s="564"/>
      <c r="M1976" s="329"/>
      <c r="P1976" s="593"/>
      <c r="Q1976" s="685"/>
      <c r="R1976" s="685"/>
      <c r="S1976" s="329"/>
      <c r="U1976" s="593"/>
      <c r="Z1976" s="329"/>
      <c r="AB1976" s="589"/>
    </row>
    <row r="1977" spans="1:28">
      <c r="A1977" s="631" t="str">
        <f t="shared" si="53"/>
        <v>DD.07.2403</v>
      </c>
      <c r="B1977" s="565" t="s">
        <v>1269</v>
      </c>
      <c r="C1977" s="567" t="s">
        <v>2837</v>
      </c>
      <c r="D1977" s="568" t="s">
        <v>5276</v>
      </c>
      <c r="E1977" s="560">
        <v>588</v>
      </c>
      <c r="F1977" s="560">
        <v>992211</v>
      </c>
      <c r="G1977" s="620"/>
      <c r="H1977" s="620"/>
      <c r="I1977" s="564"/>
      <c r="M1977" s="329"/>
      <c r="P1977" s="593"/>
      <c r="Q1977" s="685"/>
      <c r="R1977" s="685"/>
      <c r="S1977" s="329"/>
      <c r="U1977" s="593"/>
      <c r="Z1977" s="329"/>
      <c r="AB1977" s="589"/>
    </row>
    <row r="1978" spans="1:28">
      <c r="A1978" s="631" t="str">
        <f t="shared" si="53"/>
        <v>DD.07.2404</v>
      </c>
      <c r="B1978" s="565" t="s">
        <v>1270</v>
      </c>
      <c r="C1978" s="567" t="s">
        <v>2838</v>
      </c>
      <c r="D1978" s="568" t="s">
        <v>5276</v>
      </c>
      <c r="E1978" s="560">
        <v>905</v>
      </c>
      <c r="F1978" s="560">
        <v>1020030</v>
      </c>
      <c r="G1978" s="620"/>
      <c r="H1978" s="620"/>
      <c r="I1978" s="564"/>
      <c r="M1978" s="329"/>
      <c r="P1978" s="593"/>
      <c r="Q1978" s="685"/>
      <c r="R1978" s="685"/>
      <c r="S1978" s="329"/>
      <c r="U1978" s="593"/>
      <c r="Z1978" s="329"/>
      <c r="AB1978" s="589"/>
    </row>
    <row r="1979" spans="1:28">
      <c r="A1979" s="631" t="str">
        <f t="shared" si="53"/>
        <v>DD.07.2405</v>
      </c>
      <c r="B1979" s="565" t="s">
        <v>2142</v>
      </c>
      <c r="C1979" s="567" t="s">
        <v>2591</v>
      </c>
      <c r="D1979" s="568" t="s">
        <v>5276</v>
      </c>
      <c r="E1979" s="560">
        <v>1036</v>
      </c>
      <c r="F1979" s="560">
        <v>1279674</v>
      </c>
      <c r="G1979" s="620"/>
      <c r="H1979" s="620"/>
      <c r="I1979" s="564"/>
      <c r="M1979" s="329"/>
      <c r="P1979" s="593"/>
      <c r="Q1979" s="685"/>
      <c r="R1979" s="685"/>
      <c r="S1979" s="329"/>
      <c r="U1979" s="593"/>
      <c r="Z1979" s="329"/>
      <c r="AB1979" s="589"/>
    </row>
    <row r="1980" spans="1:28">
      <c r="A1980" s="631" t="str">
        <f t="shared" si="53"/>
        <v>DD.07.2411</v>
      </c>
      <c r="B1980" s="565" t="s">
        <v>1271</v>
      </c>
      <c r="C1980" s="567" t="s">
        <v>1079</v>
      </c>
      <c r="D1980" s="568" t="s">
        <v>5276</v>
      </c>
      <c r="E1980" s="560">
        <v>1273</v>
      </c>
      <c r="F1980" s="560">
        <v>1298220</v>
      </c>
      <c r="G1980" s="620"/>
      <c r="H1980" s="620"/>
      <c r="I1980" s="564"/>
      <c r="M1980" s="329"/>
      <c r="P1980" s="593"/>
      <c r="Q1980" s="685"/>
      <c r="R1980" s="685"/>
      <c r="S1980" s="329"/>
      <c r="U1980" s="593"/>
      <c r="Z1980" s="329"/>
      <c r="AB1980" s="589"/>
    </row>
    <row r="1981" spans="1:28">
      <c r="A1981" s="631" t="str">
        <f t="shared" si="53"/>
        <v>DD.07.2412</v>
      </c>
      <c r="B1981" s="565" t="s">
        <v>1272</v>
      </c>
      <c r="C1981" s="567" t="s">
        <v>1080</v>
      </c>
      <c r="D1981" s="568" t="s">
        <v>5276</v>
      </c>
      <c r="E1981" s="560">
        <v>1641</v>
      </c>
      <c r="F1981" s="560">
        <v>1391877</v>
      </c>
      <c r="G1981" s="620"/>
      <c r="H1981" s="620"/>
      <c r="I1981" s="564"/>
      <c r="M1981" s="329"/>
      <c r="P1981" s="593"/>
      <c r="Q1981" s="685"/>
      <c r="R1981" s="685"/>
      <c r="S1981" s="329"/>
      <c r="U1981" s="593"/>
      <c r="Z1981" s="329"/>
      <c r="AB1981" s="589"/>
    </row>
    <row r="1982" spans="1:28">
      <c r="A1982" s="631" t="str">
        <f t="shared" si="53"/>
        <v>DD.07.2413</v>
      </c>
      <c r="B1982" s="565" t="s">
        <v>1273</v>
      </c>
      <c r="C1982" s="567" t="s">
        <v>2718</v>
      </c>
      <c r="D1982" s="568" t="s">
        <v>5276</v>
      </c>
      <c r="E1982" s="560">
        <v>2040</v>
      </c>
      <c r="F1982" s="560">
        <v>1391877</v>
      </c>
      <c r="G1982" s="620"/>
      <c r="H1982" s="620"/>
      <c r="I1982" s="564"/>
      <c r="M1982" s="329"/>
      <c r="P1982" s="593"/>
      <c r="Q1982" s="685"/>
      <c r="R1982" s="685"/>
      <c r="S1982" s="329"/>
      <c r="U1982" s="593"/>
      <c r="Z1982" s="329"/>
      <c r="AB1982" s="589"/>
    </row>
    <row r="1983" spans="1:28">
      <c r="A1983" s="631" t="str">
        <f t="shared" si="53"/>
        <v>DD.07.2414</v>
      </c>
      <c r="B1983" s="565" t="s">
        <v>1274</v>
      </c>
      <c r="C1983" s="567" t="s">
        <v>2719</v>
      </c>
      <c r="D1983" s="568" t="s">
        <v>5276</v>
      </c>
      <c r="E1983" s="560">
        <v>2422</v>
      </c>
      <c r="F1983" s="560">
        <v>1578265</v>
      </c>
      <c r="G1983" s="620"/>
      <c r="H1983" s="620"/>
      <c r="I1983" s="564"/>
      <c r="M1983" s="329"/>
      <c r="P1983" s="593"/>
      <c r="Q1983" s="685"/>
      <c r="R1983" s="685"/>
      <c r="S1983" s="329"/>
      <c r="U1983" s="593"/>
      <c r="Z1983" s="329"/>
      <c r="AB1983" s="589"/>
    </row>
    <row r="1984" spans="1:28">
      <c r="A1984" s="631" t="str">
        <f t="shared" si="53"/>
        <v>DD.07.2415</v>
      </c>
      <c r="B1984" s="565" t="s">
        <v>1275</v>
      </c>
      <c r="C1984" s="567" t="s">
        <v>2720</v>
      </c>
      <c r="D1984" s="568" t="s">
        <v>5276</v>
      </c>
      <c r="E1984" s="560">
        <v>2807</v>
      </c>
      <c r="F1984" s="560">
        <v>1849036</v>
      </c>
      <c r="G1984" s="620"/>
      <c r="H1984" s="620"/>
      <c r="I1984" s="564"/>
      <c r="M1984" s="329"/>
      <c r="P1984" s="593"/>
      <c r="Q1984" s="685"/>
      <c r="R1984" s="685"/>
      <c r="S1984" s="329"/>
      <c r="U1984" s="593"/>
      <c r="Z1984" s="329"/>
      <c r="AB1984" s="589"/>
    </row>
    <row r="1985" spans="1:28">
      <c r="A1985" s="631" t="str">
        <f t="shared" si="53"/>
        <v>DD.07.2426</v>
      </c>
      <c r="B1985" s="565" t="s">
        <v>1276</v>
      </c>
      <c r="C1985" s="567" t="s">
        <v>2721</v>
      </c>
      <c r="D1985" s="568" t="s">
        <v>5276</v>
      </c>
      <c r="E1985" s="560">
        <v>958</v>
      </c>
      <c r="F1985" s="560">
        <v>2170809</v>
      </c>
      <c r="G1985" s="620"/>
      <c r="H1985" s="620"/>
      <c r="I1985" s="564"/>
      <c r="M1985" s="329"/>
      <c r="P1985" s="593"/>
      <c r="Q1985" s="685"/>
      <c r="R1985" s="685"/>
      <c r="S1985" s="329"/>
      <c r="U1985" s="593"/>
      <c r="Z1985" s="329"/>
      <c r="AB1985" s="589"/>
    </row>
    <row r="1986" spans="1:28">
      <c r="A1986" s="631" t="str">
        <f t="shared" si="53"/>
        <v>DD.07.2427</v>
      </c>
      <c r="B1986" s="565" t="s">
        <v>2833</v>
      </c>
      <c r="C1986" s="567" t="s">
        <v>2722</v>
      </c>
      <c r="D1986" s="568" t="s">
        <v>5276</v>
      </c>
      <c r="E1986" s="560">
        <v>1307</v>
      </c>
      <c r="F1986" s="560">
        <v>2664133</v>
      </c>
      <c r="G1986" s="620"/>
      <c r="H1986" s="620"/>
      <c r="I1986" s="564"/>
      <c r="M1986" s="329"/>
      <c r="P1986" s="593"/>
      <c r="Q1986" s="685"/>
      <c r="R1986" s="685"/>
      <c r="S1986" s="329"/>
      <c r="U1986" s="593"/>
      <c r="Z1986" s="329"/>
      <c r="AB1986" s="589"/>
    </row>
    <row r="1987" spans="1:28">
      <c r="A1987" s="631" t="str">
        <f t="shared" si="53"/>
        <v>DD.07.2428</v>
      </c>
      <c r="B1987" s="565" t="s">
        <v>2834</v>
      </c>
      <c r="C1987" s="567" t="s">
        <v>2723</v>
      </c>
      <c r="D1987" s="568" t="s">
        <v>5276</v>
      </c>
      <c r="E1987" s="560">
        <v>1742</v>
      </c>
      <c r="F1987" s="560">
        <v>3552486</v>
      </c>
      <c r="G1987" s="620"/>
      <c r="H1987" s="620"/>
      <c r="I1987" s="564"/>
      <c r="M1987" s="329"/>
      <c r="P1987" s="593"/>
      <c r="Q1987" s="685"/>
      <c r="R1987" s="685"/>
      <c r="S1987" s="329"/>
      <c r="U1987" s="593"/>
      <c r="Z1987" s="329"/>
      <c r="AB1987" s="589"/>
    </row>
    <row r="1988" spans="1:28">
      <c r="A1988" s="631" t="str">
        <f t="shared" si="53"/>
        <v>DD.07.2429</v>
      </c>
      <c r="B1988" s="565" t="s">
        <v>2835</v>
      </c>
      <c r="C1988" s="567" t="s">
        <v>2724</v>
      </c>
      <c r="D1988" s="568" t="s">
        <v>5276</v>
      </c>
      <c r="E1988" s="560">
        <v>2178</v>
      </c>
      <c r="F1988" s="560">
        <v>4440840</v>
      </c>
      <c r="G1988" s="620"/>
      <c r="H1988" s="620"/>
      <c r="I1988" s="564"/>
      <c r="M1988" s="329"/>
      <c r="P1988" s="593"/>
      <c r="Q1988" s="685"/>
      <c r="R1988" s="685"/>
      <c r="S1988" s="329"/>
      <c r="U1988" s="593"/>
      <c r="Z1988" s="329"/>
      <c r="AB1988" s="589"/>
    </row>
    <row r="1989" spans="1:28">
      <c r="A1989" s="594"/>
      <c r="B1989" s="569" t="s">
        <v>2316</v>
      </c>
      <c r="C1989" s="567"/>
      <c r="D1989" s="568"/>
      <c r="E1989" s="560"/>
      <c r="F1989" s="560"/>
      <c r="G1989" s="620"/>
      <c r="H1989" s="620"/>
      <c r="I1989" s="564"/>
      <c r="M1989" s="329"/>
      <c r="P1989" s="593"/>
      <c r="Q1989" s="685"/>
      <c r="R1989" s="685"/>
      <c r="S1989" s="329"/>
      <c r="U1989" s="593"/>
      <c r="Z1989" s="329"/>
      <c r="AB1989" s="589"/>
    </row>
    <row r="1990" spans="1:28">
      <c r="A1990" s="594"/>
      <c r="B1990" s="569" t="s">
        <v>2726</v>
      </c>
      <c r="C1990" s="567"/>
      <c r="D1990" s="568"/>
      <c r="E1990" s="560"/>
      <c r="F1990" s="560"/>
      <c r="G1990" s="620"/>
      <c r="H1990" s="620"/>
      <c r="I1990" s="564"/>
      <c r="M1990" s="329"/>
      <c r="P1990" s="593"/>
      <c r="Q1990" s="685"/>
      <c r="R1990" s="685"/>
      <c r="S1990" s="329"/>
      <c r="U1990" s="593"/>
      <c r="Z1990" s="329"/>
      <c r="AB1990" s="589"/>
    </row>
    <row r="1991" spans="1:28">
      <c r="A1991" s="631" t="str">
        <f t="shared" ref="A1991:A2005" si="54">"DD."&amp;B1991</f>
        <v>DD.07.3101</v>
      </c>
      <c r="B1991" s="565" t="s">
        <v>2727</v>
      </c>
      <c r="C1991" s="567" t="s">
        <v>6136</v>
      </c>
      <c r="D1991" s="568" t="s">
        <v>5276</v>
      </c>
      <c r="E1991" s="560">
        <v>6970</v>
      </c>
      <c r="F1991" s="560">
        <v>177671</v>
      </c>
      <c r="G1991" s="620"/>
      <c r="H1991" s="620"/>
      <c r="I1991" s="564"/>
      <c r="M1991" s="329"/>
      <c r="P1991" s="593"/>
      <c r="Q1991" s="685"/>
      <c r="R1991" s="685"/>
      <c r="S1991" s="329"/>
      <c r="U1991" s="593"/>
      <c r="Z1991" s="329"/>
      <c r="AB1991" s="589"/>
    </row>
    <row r="1992" spans="1:28">
      <c r="A1992" s="631" t="str">
        <f t="shared" si="54"/>
        <v>DD.07.3102</v>
      </c>
      <c r="B1992" s="565" t="s">
        <v>6257</v>
      </c>
      <c r="C1992" s="567" t="s">
        <v>6137</v>
      </c>
      <c r="D1992" s="568" t="s">
        <v>5276</v>
      </c>
      <c r="E1992" s="560">
        <v>6970</v>
      </c>
      <c r="F1992" s="560">
        <v>206617</v>
      </c>
      <c r="G1992" s="620"/>
      <c r="H1992" s="620"/>
      <c r="I1992" s="564"/>
      <c r="M1992" s="329"/>
      <c r="P1992" s="593"/>
      <c r="Q1992" s="685"/>
      <c r="R1992" s="685"/>
      <c r="S1992" s="329"/>
      <c r="U1992" s="593"/>
      <c r="Z1992" s="329"/>
      <c r="AB1992" s="589"/>
    </row>
    <row r="1993" spans="1:28">
      <c r="A1993" s="631" t="str">
        <f t="shared" si="54"/>
        <v>DD.07.3103</v>
      </c>
      <c r="B1993" s="565" t="s">
        <v>6258</v>
      </c>
      <c r="C1993" s="567" t="s">
        <v>5229</v>
      </c>
      <c r="D1993" s="568" t="s">
        <v>5276</v>
      </c>
      <c r="E1993" s="560">
        <v>6970</v>
      </c>
      <c r="F1993" s="560">
        <v>274491</v>
      </c>
      <c r="G1993" s="620"/>
      <c r="H1993" s="620"/>
      <c r="I1993" s="564"/>
      <c r="M1993" s="329"/>
      <c r="P1993" s="593"/>
      <c r="Q1993" s="685"/>
      <c r="R1993" s="685"/>
      <c r="S1993" s="329"/>
      <c r="U1993" s="593"/>
      <c r="Z1993" s="329"/>
      <c r="AB1993" s="589"/>
    </row>
    <row r="1994" spans="1:28">
      <c r="A1994" s="631" t="str">
        <f t="shared" si="54"/>
        <v>DD.07.3104</v>
      </c>
      <c r="B1994" s="565" t="s">
        <v>2143</v>
      </c>
      <c r="C1994" s="567" t="s">
        <v>5230</v>
      </c>
      <c r="D1994" s="568" t="s">
        <v>5276</v>
      </c>
      <c r="E1994" s="560">
        <v>8680</v>
      </c>
      <c r="F1994" s="560">
        <v>357338</v>
      </c>
      <c r="G1994" s="620"/>
      <c r="H1994" s="620"/>
      <c r="I1994" s="564"/>
      <c r="M1994" s="329"/>
      <c r="P1994" s="593"/>
      <c r="Q1994" s="685"/>
      <c r="R1994" s="685"/>
      <c r="S1994" s="329"/>
      <c r="U1994" s="593"/>
      <c r="Z1994" s="329"/>
      <c r="AB1994" s="589"/>
    </row>
    <row r="1995" spans="1:28">
      <c r="A1995" s="631" t="str">
        <f t="shared" si="54"/>
        <v>DD.07.3105</v>
      </c>
      <c r="B1995" s="565" t="s">
        <v>5711</v>
      </c>
      <c r="C1995" s="567" t="s">
        <v>5231</v>
      </c>
      <c r="D1995" s="568" t="s">
        <v>5276</v>
      </c>
      <c r="E1995" s="560">
        <v>8680</v>
      </c>
      <c r="F1995" s="560">
        <v>453160</v>
      </c>
      <c r="G1995" s="620"/>
      <c r="H1995" s="620"/>
      <c r="I1995" s="564"/>
      <c r="M1995" s="329"/>
      <c r="P1995" s="593"/>
      <c r="Q1995" s="685"/>
      <c r="R1995" s="685"/>
      <c r="S1995" s="329"/>
      <c r="U1995" s="593"/>
      <c r="Z1995" s="329"/>
      <c r="AB1995" s="589"/>
    </row>
    <row r="1996" spans="1:28">
      <c r="A1996" s="631" t="str">
        <f t="shared" si="54"/>
        <v>DD.07.3106</v>
      </c>
      <c r="B1996" s="565" t="s">
        <v>5712</v>
      </c>
      <c r="C1996" s="567" t="s">
        <v>6295</v>
      </c>
      <c r="D1996" s="568" t="s">
        <v>5276</v>
      </c>
      <c r="E1996" s="560">
        <v>10390</v>
      </c>
      <c r="F1996" s="560">
        <v>576931</v>
      </c>
      <c r="G1996" s="620"/>
      <c r="H1996" s="620"/>
      <c r="I1996" s="564"/>
      <c r="M1996" s="329"/>
      <c r="P1996" s="593"/>
      <c r="Q1996" s="685"/>
      <c r="R1996" s="685"/>
      <c r="S1996" s="329"/>
      <c r="U1996" s="593"/>
      <c r="Z1996" s="329"/>
      <c r="AB1996" s="589"/>
    </row>
    <row r="1997" spans="1:28">
      <c r="A1997" s="631" t="str">
        <f t="shared" si="54"/>
        <v>DD.07.3107</v>
      </c>
      <c r="B1997" s="565" t="s">
        <v>5713</v>
      </c>
      <c r="C1997" s="567" t="s">
        <v>3052</v>
      </c>
      <c r="D1997" s="568" t="s">
        <v>5276</v>
      </c>
      <c r="E1997" s="560">
        <v>10390</v>
      </c>
      <c r="F1997" s="560">
        <v>724657</v>
      </c>
      <c r="G1997" s="620"/>
      <c r="H1997" s="620"/>
      <c r="I1997" s="564"/>
      <c r="M1997" s="329"/>
      <c r="P1997" s="593"/>
      <c r="Q1997" s="685"/>
      <c r="R1997" s="685"/>
      <c r="S1997" s="329"/>
      <c r="U1997" s="593"/>
      <c r="Z1997" s="329"/>
      <c r="AB1997" s="589"/>
    </row>
    <row r="1998" spans="1:28">
      <c r="A1998" s="631" t="str">
        <f t="shared" si="54"/>
        <v>DD.07.3108</v>
      </c>
      <c r="B1998" s="565" t="s">
        <v>2105</v>
      </c>
      <c r="C1998" s="567" t="s">
        <v>3811</v>
      </c>
      <c r="D1998" s="568" t="s">
        <v>5276</v>
      </c>
      <c r="E1998" s="560">
        <v>11300</v>
      </c>
      <c r="F1998" s="560">
        <v>952235</v>
      </c>
      <c r="G1998" s="620"/>
      <c r="H1998" s="620"/>
      <c r="I1998" s="564"/>
      <c r="M1998" s="329"/>
      <c r="P1998" s="593"/>
      <c r="Q1998" s="685"/>
      <c r="R1998" s="685"/>
      <c r="S1998" s="329"/>
      <c r="U1998" s="593"/>
      <c r="Z1998" s="329"/>
      <c r="AB1998" s="589"/>
    </row>
    <row r="1999" spans="1:28">
      <c r="A1999" s="631" t="str">
        <f t="shared" si="54"/>
        <v>DD.07.3109</v>
      </c>
      <c r="B1999" s="565" t="s">
        <v>2106</v>
      </c>
      <c r="C1999" s="567" t="s">
        <v>917</v>
      </c>
      <c r="D1999" s="568" t="s">
        <v>5276</v>
      </c>
      <c r="E1999" s="560">
        <v>11300</v>
      </c>
      <c r="F1999" s="560">
        <v>1187799</v>
      </c>
      <c r="G1999" s="620"/>
      <c r="H1999" s="620"/>
      <c r="I1999" s="564"/>
      <c r="M1999" s="329"/>
      <c r="P1999" s="593"/>
      <c r="Q1999" s="685"/>
      <c r="R1999" s="685"/>
      <c r="S1999" s="329"/>
      <c r="U1999" s="593"/>
      <c r="Z1999" s="329"/>
      <c r="AB1999" s="589"/>
    </row>
    <row r="2000" spans="1:28">
      <c r="A2000" s="631" t="str">
        <f t="shared" si="54"/>
        <v>DD.07.3111</v>
      </c>
      <c r="B2000" s="582" t="s">
        <v>2107</v>
      </c>
      <c r="C2000" s="567" t="s">
        <v>918</v>
      </c>
      <c r="D2000" s="568" t="s">
        <v>5276</v>
      </c>
      <c r="E2000" s="560">
        <v>13120</v>
      </c>
      <c r="F2000" s="560">
        <v>1331532</v>
      </c>
      <c r="G2000" s="620"/>
      <c r="H2000" s="620"/>
      <c r="I2000" s="564"/>
      <c r="M2000" s="329"/>
      <c r="P2000" s="593"/>
      <c r="Q2000" s="685"/>
      <c r="R2000" s="685"/>
      <c r="S2000" s="329"/>
      <c r="U2000" s="593"/>
      <c r="Z2000" s="329"/>
      <c r="AB2000" s="589"/>
    </row>
    <row r="2001" spans="1:28">
      <c r="A2001" s="631" t="str">
        <f t="shared" si="54"/>
        <v>DD.07.31111</v>
      </c>
      <c r="B2001" s="565" t="s">
        <v>6259</v>
      </c>
      <c r="C2001" s="567" t="s">
        <v>919</v>
      </c>
      <c r="D2001" s="568" t="s">
        <v>5276</v>
      </c>
      <c r="E2001" s="560">
        <v>13920</v>
      </c>
      <c r="F2001" s="560">
        <v>1729794</v>
      </c>
      <c r="G2001" s="620"/>
      <c r="H2001" s="620"/>
      <c r="I2001" s="564"/>
      <c r="M2001" s="329"/>
      <c r="P2001" s="593"/>
      <c r="Q2001" s="685"/>
      <c r="R2001" s="685"/>
      <c r="S2001" s="329"/>
      <c r="U2001" s="593"/>
      <c r="Z2001" s="329"/>
      <c r="AB2001" s="589"/>
    </row>
    <row r="2002" spans="1:28">
      <c r="A2002" s="631" t="str">
        <f t="shared" si="54"/>
        <v>DD.07.31112</v>
      </c>
      <c r="B2002" s="565" t="s">
        <v>6260</v>
      </c>
      <c r="C2002" s="567" t="s">
        <v>920</v>
      </c>
      <c r="D2002" s="568" t="s">
        <v>5276</v>
      </c>
      <c r="E2002" s="560">
        <v>13920</v>
      </c>
      <c r="F2002" s="560">
        <v>2305727</v>
      </c>
      <c r="G2002" s="620"/>
      <c r="H2002" s="620"/>
      <c r="I2002" s="564"/>
      <c r="M2002" s="329"/>
      <c r="P2002" s="593"/>
      <c r="Q2002" s="685"/>
      <c r="R2002" s="685"/>
      <c r="S2002" s="329"/>
      <c r="U2002" s="593"/>
      <c r="Z2002" s="329"/>
      <c r="AB2002" s="589"/>
    </row>
    <row r="2003" spans="1:28">
      <c r="A2003" s="631" t="str">
        <f t="shared" si="54"/>
        <v>DD.07.31113</v>
      </c>
      <c r="B2003" s="565" t="s">
        <v>6261</v>
      </c>
      <c r="C2003" s="567" t="s">
        <v>5277</v>
      </c>
      <c r="D2003" s="568" t="s">
        <v>5276</v>
      </c>
      <c r="E2003" s="560">
        <v>15740</v>
      </c>
      <c r="F2003" s="560">
        <v>3074302</v>
      </c>
      <c r="G2003" s="620"/>
      <c r="H2003" s="620"/>
      <c r="I2003" s="564"/>
      <c r="M2003" s="329"/>
      <c r="P2003" s="593"/>
      <c r="Q2003" s="685"/>
      <c r="R2003" s="685"/>
      <c r="S2003" s="329"/>
      <c r="U2003" s="593"/>
      <c r="Z2003" s="329"/>
      <c r="AB2003" s="589"/>
    </row>
    <row r="2004" spans="1:28">
      <c r="A2004" s="631" t="str">
        <f t="shared" si="54"/>
        <v>DD.07.31114</v>
      </c>
      <c r="B2004" s="565" t="s">
        <v>6262</v>
      </c>
      <c r="C2004" s="567" t="s">
        <v>5278</v>
      </c>
      <c r="D2004" s="568" t="s">
        <v>5276</v>
      </c>
      <c r="E2004" s="560">
        <v>17200</v>
      </c>
      <c r="F2004" s="560">
        <v>3995594</v>
      </c>
      <c r="G2004" s="620"/>
      <c r="H2004" s="620"/>
      <c r="I2004" s="564"/>
      <c r="M2004" s="329"/>
      <c r="P2004" s="593"/>
      <c r="Q2004" s="685"/>
      <c r="R2004" s="685"/>
      <c r="S2004" s="329"/>
      <c r="U2004" s="593"/>
      <c r="Z2004" s="329"/>
      <c r="AB2004" s="589"/>
    </row>
    <row r="2005" spans="1:28">
      <c r="A2005" s="631" t="str">
        <f t="shared" si="54"/>
        <v>DD.07.31115</v>
      </c>
      <c r="B2005" s="565" t="s">
        <v>6263</v>
      </c>
      <c r="C2005" s="567" t="s">
        <v>3597</v>
      </c>
      <c r="D2005" s="568" t="s">
        <v>5276</v>
      </c>
      <c r="E2005" s="560">
        <v>17860</v>
      </c>
      <c r="F2005" s="560">
        <v>5193374</v>
      </c>
      <c r="G2005" s="620"/>
      <c r="H2005" s="620"/>
      <c r="I2005" s="564"/>
      <c r="M2005" s="329"/>
      <c r="P2005" s="593"/>
      <c r="Q2005" s="685"/>
      <c r="R2005" s="685"/>
      <c r="S2005" s="329"/>
      <c r="U2005" s="593"/>
      <c r="Z2005" s="329"/>
      <c r="AB2005" s="589"/>
    </row>
    <row r="2006" spans="1:28">
      <c r="A2006" s="594"/>
      <c r="B2006" s="569" t="s">
        <v>3598</v>
      </c>
      <c r="C2006" s="569"/>
      <c r="D2006" s="573"/>
      <c r="E2006" s="574"/>
      <c r="F2006" s="574"/>
      <c r="G2006" s="620"/>
      <c r="H2006" s="620"/>
      <c r="I2006" s="564"/>
      <c r="M2006" s="329"/>
      <c r="P2006" s="593"/>
      <c r="Q2006" s="685"/>
      <c r="R2006" s="685"/>
      <c r="S2006" s="329"/>
      <c r="U2006" s="593"/>
      <c r="Z2006" s="329"/>
      <c r="AB2006" s="589"/>
    </row>
    <row r="2007" spans="1:28">
      <c r="A2007" s="631" t="str">
        <f t="shared" ref="A2007:A2015" si="55">"DD."&amp;B2007</f>
        <v>DD.07.3301</v>
      </c>
      <c r="B2007" s="565" t="s">
        <v>3599</v>
      </c>
      <c r="C2007" s="567" t="s">
        <v>467</v>
      </c>
      <c r="D2007" s="568" t="s">
        <v>5276</v>
      </c>
      <c r="E2007" s="560">
        <v>283866</v>
      </c>
      <c r="F2007" s="560">
        <v>371312</v>
      </c>
      <c r="G2007" s="620"/>
      <c r="H2007" s="620"/>
      <c r="I2007" s="564"/>
      <c r="M2007" s="329"/>
      <c r="P2007" s="593"/>
      <c r="Q2007" s="685"/>
      <c r="R2007" s="685"/>
      <c r="S2007" s="329"/>
      <c r="U2007" s="593"/>
      <c r="Z2007" s="329"/>
      <c r="AB2007" s="589"/>
    </row>
    <row r="2008" spans="1:28">
      <c r="A2008" s="631" t="str">
        <f t="shared" si="55"/>
        <v>DD.07.3302</v>
      </c>
      <c r="B2008" s="565" t="s">
        <v>3600</v>
      </c>
      <c r="C2008" s="567" t="s">
        <v>468</v>
      </c>
      <c r="D2008" s="568" t="s">
        <v>5276</v>
      </c>
      <c r="E2008" s="560">
        <v>283866</v>
      </c>
      <c r="F2008" s="560">
        <v>412236</v>
      </c>
      <c r="G2008" s="620"/>
      <c r="H2008" s="620"/>
      <c r="I2008" s="564"/>
      <c r="M2008" s="329"/>
      <c r="P2008" s="593"/>
      <c r="Q2008" s="685"/>
      <c r="R2008" s="685"/>
      <c r="S2008" s="329"/>
      <c r="U2008" s="593"/>
      <c r="Z2008" s="329"/>
      <c r="AB2008" s="589"/>
    </row>
    <row r="2009" spans="1:28">
      <c r="A2009" s="631" t="str">
        <f t="shared" si="55"/>
        <v>DD.07.3303</v>
      </c>
      <c r="B2009" s="565" t="s">
        <v>3601</v>
      </c>
      <c r="C2009" s="567" t="s">
        <v>4775</v>
      </c>
      <c r="D2009" s="568" t="s">
        <v>5276</v>
      </c>
      <c r="E2009" s="560">
        <v>283866</v>
      </c>
      <c r="F2009" s="560">
        <v>522032</v>
      </c>
      <c r="G2009" s="620"/>
      <c r="H2009" s="620"/>
      <c r="I2009" s="564"/>
      <c r="M2009" s="329"/>
      <c r="P2009" s="593"/>
      <c r="Q2009" s="685"/>
      <c r="R2009" s="685"/>
      <c r="S2009" s="329"/>
      <c r="U2009" s="593"/>
      <c r="Z2009" s="329"/>
      <c r="AB2009" s="589"/>
    </row>
    <row r="2010" spans="1:28">
      <c r="A2010" s="631" t="str">
        <f t="shared" si="55"/>
        <v>DD.07.3304</v>
      </c>
      <c r="B2010" s="565" t="s">
        <v>3602</v>
      </c>
      <c r="C2010" s="567" t="s">
        <v>4776</v>
      </c>
      <c r="D2010" s="568" t="s">
        <v>5276</v>
      </c>
      <c r="E2010" s="560">
        <v>387340</v>
      </c>
      <c r="F2010" s="560">
        <v>699703</v>
      </c>
      <c r="G2010" s="620"/>
      <c r="H2010" s="620"/>
      <c r="I2010" s="564"/>
      <c r="M2010" s="329"/>
      <c r="P2010" s="593"/>
      <c r="Q2010" s="685"/>
      <c r="R2010" s="685"/>
      <c r="S2010" s="329"/>
      <c r="U2010" s="593"/>
      <c r="Z2010" s="329"/>
      <c r="AB2010" s="589"/>
    </row>
    <row r="2011" spans="1:28">
      <c r="A2011" s="631" t="str">
        <f t="shared" si="55"/>
        <v>DD.07.3305</v>
      </c>
      <c r="B2011" s="565" t="s">
        <v>3603</v>
      </c>
      <c r="C2011" s="567" t="s">
        <v>4450</v>
      </c>
      <c r="D2011" s="568" t="s">
        <v>5276</v>
      </c>
      <c r="E2011" s="560">
        <v>388140</v>
      </c>
      <c r="F2011" s="560">
        <v>878372</v>
      </c>
      <c r="G2011" s="620"/>
      <c r="H2011" s="620"/>
      <c r="I2011" s="564"/>
      <c r="M2011" s="329"/>
      <c r="P2011" s="593"/>
      <c r="Q2011" s="685"/>
      <c r="R2011" s="685"/>
      <c r="S2011" s="329"/>
      <c r="U2011" s="593"/>
      <c r="Z2011" s="329"/>
      <c r="AB2011" s="589"/>
    </row>
    <row r="2012" spans="1:28">
      <c r="A2012" s="631" t="str">
        <f t="shared" si="55"/>
        <v>DD.07.3311</v>
      </c>
      <c r="B2012" s="565" t="s">
        <v>3604</v>
      </c>
      <c r="C2012" s="567" t="s">
        <v>4451</v>
      </c>
      <c r="D2012" s="568" t="s">
        <v>5276</v>
      </c>
      <c r="E2012" s="560">
        <v>284974</v>
      </c>
      <c r="F2012" s="560">
        <v>1112937</v>
      </c>
      <c r="G2012" s="620"/>
      <c r="H2012" s="620"/>
      <c r="I2012" s="564"/>
      <c r="M2012" s="329"/>
      <c r="P2012" s="593"/>
      <c r="Q2012" s="685"/>
      <c r="R2012" s="685"/>
      <c r="S2012" s="329"/>
      <c r="U2012" s="593"/>
      <c r="Z2012" s="329"/>
      <c r="AB2012" s="589"/>
    </row>
    <row r="2013" spans="1:28">
      <c r="A2013" s="631" t="str">
        <f t="shared" si="55"/>
        <v>DD.07.3312</v>
      </c>
      <c r="B2013" s="565" t="s">
        <v>3605</v>
      </c>
      <c r="C2013" s="567" t="s">
        <v>5631</v>
      </c>
      <c r="D2013" s="568" t="s">
        <v>5276</v>
      </c>
      <c r="E2013" s="560">
        <v>284974</v>
      </c>
      <c r="F2013" s="560">
        <v>1646948</v>
      </c>
      <c r="G2013" s="620"/>
      <c r="H2013" s="620"/>
      <c r="I2013" s="564"/>
      <c r="M2013" s="329"/>
      <c r="P2013" s="593"/>
      <c r="Q2013" s="685"/>
      <c r="R2013" s="685"/>
      <c r="S2013" s="329"/>
      <c r="U2013" s="593"/>
      <c r="Z2013" s="329"/>
      <c r="AB2013" s="589"/>
    </row>
    <row r="2014" spans="1:28">
      <c r="A2014" s="631" t="str">
        <f t="shared" si="55"/>
        <v>DD.07.3313</v>
      </c>
      <c r="B2014" s="565" t="s">
        <v>3606</v>
      </c>
      <c r="C2014" s="567" t="s">
        <v>5632</v>
      </c>
      <c r="D2014" s="568" t="s">
        <v>5276</v>
      </c>
      <c r="E2014" s="560">
        <v>286106</v>
      </c>
      <c r="F2014" s="560">
        <v>1921439</v>
      </c>
      <c r="G2014" s="620"/>
      <c r="H2014" s="620"/>
      <c r="I2014" s="564"/>
      <c r="M2014" s="329"/>
      <c r="P2014" s="593"/>
      <c r="Q2014" s="685"/>
      <c r="R2014" s="685"/>
      <c r="S2014" s="329"/>
      <c r="U2014" s="593"/>
      <c r="Z2014" s="329"/>
      <c r="AB2014" s="589"/>
    </row>
    <row r="2015" spans="1:28">
      <c r="A2015" s="631" t="str">
        <f t="shared" si="55"/>
        <v>DD.07.3314</v>
      </c>
      <c r="B2015" s="565" t="s">
        <v>1925</v>
      </c>
      <c r="C2015" s="567" t="s">
        <v>5633</v>
      </c>
      <c r="D2015" s="568" t="s">
        <v>5276</v>
      </c>
      <c r="E2015" s="560">
        <v>286106</v>
      </c>
      <c r="F2015" s="560">
        <v>2195930</v>
      </c>
      <c r="G2015" s="620"/>
      <c r="H2015" s="620"/>
      <c r="I2015" s="564"/>
      <c r="M2015" s="329"/>
      <c r="P2015" s="593"/>
      <c r="Q2015" s="685"/>
      <c r="R2015" s="685"/>
      <c r="S2015" s="329"/>
      <c r="U2015" s="593"/>
      <c r="Z2015" s="329"/>
      <c r="AB2015" s="589"/>
    </row>
    <row r="2016" spans="1:28">
      <c r="A2016" s="594"/>
      <c r="B2016" s="569" t="s">
        <v>5634</v>
      </c>
      <c r="C2016" s="569"/>
      <c r="D2016" s="573"/>
      <c r="E2016" s="574"/>
      <c r="F2016" s="574"/>
      <c r="G2016" s="620"/>
      <c r="H2016" s="620"/>
      <c r="I2016" s="564"/>
      <c r="M2016" s="329"/>
      <c r="P2016" s="593"/>
      <c r="Q2016" s="685"/>
      <c r="R2016" s="685"/>
      <c r="S2016" s="329"/>
      <c r="U2016" s="593"/>
      <c r="Z2016" s="329"/>
      <c r="AB2016" s="589"/>
    </row>
    <row r="2017" spans="1:28">
      <c r="A2017" s="631" t="str">
        <f t="shared" ref="A2017:A2031" si="56">"DD."&amp;B2017</f>
        <v>DD.07.3401</v>
      </c>
      <c r="B2017" s="565" t="s">
        <v>5635</v>
      </c>
      <c r="C2017" s="567" t="s">
        <v>4013</v>
      </c>
      <c r="D2017" s="568" t="s">
        <v>5276</v>
      </c>
      <c r="E2017" s="560">
        <v>13746</v>
      </c>
      <c r="F2017" s="560">
        <v>288465</v>
      </c>
      <c r="G2017" s="620"/>
      <c r="H2017" s="620"/>
      <c r="I2017" s="564"/>
      <c r="M2017" s="329"/>
      <c r="P2017" s="593"/>
      <c r="Q2017" s="685"/>
      <c r="R2017" s="685"/>
      <c r="S2017" s="329"/>
      <c r="U2017" s="593"/>
      <c r="Z2017" s="329"/>
      <c r="AB2017" s="589"/>
    </row>
    <row r="2018" spans="1:28">
      <c r="A2018" s="631" t="str">
        <f t="shared" si="56"/>
        <v>DD.07.3402</v>
      </c>
      <c r="B2018" s="565" t="s">
        <v>5636</v>
      </c>
      <c r="C2018" s="567" t="s">
        <v>2519</v>
      </c>
      <c r="D2018" s="568" t="s">
        <v>5276</v>
      </c>
      <c r="E2018" s="560">
        <v>13570</v>
      </c>
      <c r="F2018" s="560">
        <v>329390</v>
      </c>
      <c r="G2018" s="620"/>
      <c r="H2018" s="620"/>
      <c r="I2018" s="564"/>
      <c r="M2018" s="329"/>
      <c r="P2018" s="593"/>
      <c r="Q2018" s="685"/>
      <c r="R2018" s="685"/>
      <c r="S2018" s="329"/>
      <c r="U2018" s="593"/>
      <c r="Z2018" s="329"/>
      <c r="AB2018" s="589"/>
    </row>
    <row r="2019" spans="1:28">
      <c r="A2019" s="631" t="str">
        <f t="shared" si="56"/>
        <v>DD.07.3403</v>
      </c>
      <c r="B2019" s="565" t="s">
        <v>5637</v>
      </c>
      <c r="C2019" s="567" t="s">
        <v>2520</v>
      </c>
      <c r="D2019" s="568" t="s">
        <v>5276</v>
      </c>
      <c r="E2019" s="560">
        <v>13570</v>
      </c>
      <c r="F2019" s="560">
        <v>412236</v>
      </c>
      <c r="G2019" s="620"/>
      <c r="H2019" s="620"/>
      <c r="I2019" s="564"/>
      <c r="M2019" s="329"/>
      <c r="P2019" s="593"/>
      <c r="Q2019" s="685"/>
      <c r="R2019" s="685"/>
      <c r="S2019" s="329"/>
      <c r="U2019" s="593"/>
      <c r="Z2019" s="329"/>
      <c r="AB2019" s="589"/>
    </row>
    <row r="2020" spans="1:28">
      <c r="A2020" s="631" t="str">
        <f t="shared" si="56"/>
        <v>DD.07.3404</v>
      </c>
      <c r="B2020" s="565" t="s">
        <v>2108</v>
      </c>
      <c r="C2020" s="567" t="s">
        <v>2521</v>
      </c>
      <c r="D2020" s="568" t="s">
        <v>5276</v>
      </c>
      <c r="E2020" s="560">
        <v>15280</v>
      </c>
      <c r="F2020" s="560">
        <v>548983</v>
      </c>
      <c r="G2020" s="620"/>
      <c r="H2020" s="620"/>
      <c r="I2020" s="564"/>
      <c r="M2020" s="329"/>
      <c r="P2020" s="593"/>
      <c r="Q2020" s="685"/>
      <c r="R2020" s="685"/>
      <c r="S2020" s="329"/>
      <c r="U2020" s="593"/>
      <c r="Z2020" s="329"/>
      <c r="AB2020" s="589"/>
    </row>
    <row r="2021" spans="1:28">
      <c r="A2021" s="631" t="str">
        <f t="shared" si="56"/>
        <v>DD.07.3405</v>
      </c>
      <c r="B2021" s="565" t="s">
        <v>2109</v>
      </c>
      <c r="C2021" s="567" t="s">
        <v>2522</v>
      </c>
      <c r="D2021" s="568" t="s">
        <v>5276</v>
      </c>
      <c r="E2021" s="560">
        <v>15280</v>
      </c>
      <c r="F2021" s="560">
        <v>699703</v>
      </c>
      <c r="G2021" s="620"/>
      <c r="H2021" s="620"/>
      <c r="I2021" s="564"/>
      <c r="M2021" s="329"/>
      <c r="P2021" s="593"/>
      <c r="Q2021" s="685"/>
      <c r="R2021" s="685"/>
      <c r="S2021" s="329"/>
      <c r="U2021" s="593"/>
      <c r="Z2021" s="329"/>
      <c r="AB2021" s="589"/>
    </row>
    <row r="2022" spans="1:28">
      <c r="A2022" s="631" t="str">
        <f t="shared" si="56"/>
        <v>DD.07.3406</v>
      </c>
      <c r="B2022" s="565" t="s">
        <v>2110</v>
      </c>
      <c r="C2022" s="567" t="s">
        <v>4140</v>
      </c>
      <c r="D2022" s="568" t="s">
        <v>5276</v>
      </c>
      <c r="E2022" s="560">
        <v>23942</v>
      </c>
      <c r="F2022" s="560">
        <v>906320</v>
      </c>
      <c r="G2022" s="620"/>
      <c r="H2022" s="620"/>
      <c r="I2022" s="564"/>
      <c r="M2022" s="329"/>
      <c r="P2022" s="593"/>
      <c r="Q2022" s="685"/>
      <c r="R2022" s="685"/>
      <c r="S2022" s="329"/>
      <c r="U2022" s="593"/>
      <c r="Z2022" s="329"/>
      <c r="AB2022" s="589"/>
    </row>
    <row r="2023" spans="1:28">
      <c r="A2023" s="631" t="str">
        <f t="shared" si="56"/>
        <v>DD.07.3407</v>
      </c>
      <c r="B2023" s="565" t="s">
        <v>2111</v>
      </c>
      <c r="C2023" s="567" t="s">
        <v>4141</v>
      </c>
      <c r="D2023" s="568" t="s">
        <v>5276</v>
      </c>
      <c r="E2023" s="560">
        <v>23942</v>
      </c>
      <c r="F2023" s="560">
        <v>1111939</v>
      </c>
      <c r="G2023" s="620"/>
      <c r="H2023" s="620"/>
      <c r="I2023" s="564"/>
      <c r="M2023" s="329"/>
      <c r="P2023" s="593"/>
      <c r="Q2023" s="685"/>
      <c r="R2023" s="685"/>
      <c r="S2023" s="329"/>
      <c r="U2023" s="593"/>
      <c r="Z2023" s="329"/>
      <c r="AB2023" s="589"/>
    </row>
    <row r="2024" spans="1:28">
      <c r="A2024" s="631" t="str">
        <f t="shared" si="56"/>
        <v>DD.07.3408</v>
      </c>
      <c r="B2024" s="565" t="s">
        <v>2112</v>
      </c>
      <c r="C2024" s="567" t="s">
        <v>4142</v>
      </c>
      <c r="D2024" s="568" t="s">
        <v>5276</v>
      </c>
      <c r="E2024" s="560">
        <v>24852</v>
      </c>
      <c r="F2024" s="560">
        <v>1345506</v>
      </c>
      <c r="G2024" s="620"/>
      <c r="H2024" s="620"/>
      <c r="I2024" s="564"/>
      <c r="M2024" s="329"/>
      <c r="P2024" s="593"/>
      <c r="Q2024" s="685"/>
      <c r="R2024" s="685"/>
      <c r="S2024" s="329"/>
      <c r="U2024" s="593"/>
      <c r="Z2024" s="329"/>
      <c r="AB2024" s="589"/>
    </row>
    <row r="2025" spans="1:28">
      <c r="A2025" s="631" t="str">
        <f t="shared" si="56"/>
        <v>DD.07.3411</v>
      </c>
      <c r="B2025" s="565" t="s">
        <v>2113</v>
      </c>
      <c r="C2025" s="567" t="s">
        <v>4143</v>
      </c>
      <c r="D2025" s="568" t="s">
        <v>5276</v>
      </c>
      <c r="E2025" s="560">
        <v>28240</v>
      </c>
      <c r="F2025" s="560">
        <v>1565099</v>
      </c>
      <c r="G2025" s="620"/>
      <c r="H2025" s="620"/>
      <c r="I2025" s="564"/>
      <c r="M2025" s="329"/>
      <c r="P2025" s="593"/>
      <c r="Q2025" s="685"/>
      <c r="R2025" s="685"/>
      <c r="S2025" s="329"/>
      <c r="U2025" s="593"/>
      <c r="Z2025" s="329"/>
      <c r="AB2025" s="589"/>
    </row>
    <row r="2026" spans="1:28">
      <c r="A2026" s="631" t="str">
        <f t="shared" si="56"/>
        <v>DD.07.3412</v>
      </c>
      <c r="B2026" s="565" t="s">
        <v>2114</v>
      </c>
      <c r="C2026" s="567" t="s">
        <v>5524</v>
      </c>
      <c r="D2026" s="568" t="s">
        <v>5276</v>
      </c>
      <c r="E2026" s="560">
        <v>30060</v>
      </c>
      <c r="F2026" s="560">
        <v>2004285</v>
      </c>
      <c r="G2026" s="620"/>
      <c r="H2026" s="620"/>
      <c r="I2026" s="564"/>
      <c r="M2026" s="329"/>
      <c r="P2026" s="593"/>
      <c r="Q2026" s="685"/>
      <c r="R2026" s="685"/>
      <c r="S2026" s="329"/>
      <c r="U2026" s="593"/>
      <c r="Z2026" s="329"/>
      <c r="AB2026" s="589"/>
    </row>
    <row r="2027" spans="1:28">
      <c r="A2027" s="631" t="str">
        <f t="shared" si="56"/>
        <v>DD.07.3413</v>
      </c>
      <c r="B2027" s="565" t="s">
        <v>2115</v>
      </c>
      <c r="C2027" s="567" t="s">
        <v>5007</v>
      </c>
      <c r="D2027" s="568" t="s">
        <v>5276</v>
      </c>
      <c r="E2027" s="560">
        <v>30860</v>
      </c>
      <c r="F2027" s="560">
        <v>2799811</v>
      </c>
      <c r="G2027" s="620"/>
      <c r="H2027" s="620"/>
      <c r="I2027" s="564"/>
      <c r="M2027" s="329"/>
      <c r="P2027" s="593"/>
      <c r="Q2027" s="685"/>
      <c r="R2027" s="685"/>
      <c r="S2027" s="329"/>
      <c r="U2027" s="593"/>
      <c r="Z2027" s="329"/>
      <c r="AB2027" s="589"/>
    </row>
    <row r="2028" spans="1:28">
      <c r="A2028" s="631" t="str">
        <f t="shared" si="56"/>
        <v>DD.07.3414</v>
      </c>
      <c r="B2028" s="565" t="s">
        <v>5638</v>
      </c>
      <c r="C2028" s="567" t="s">
        <v>5008</v>
      </c>
      <c r="D2028" s="568" t="s">
        <v>5276</v>
      </c>
      <c r="E2028" s="560">
        <v>30860</v>
      </c>
      <c r="F2028" s="560">
        <v>3458590</v>
      </c>
      <c r="G2028" s="620"/>
      <c r="H2028" s="620"/>
      <c r="I2028" s="564"/>
      <c r="M2028" s="329"/>
      <c r="P2028" s="593"/>
      <c r="Q2028" s="685"/>
      <c r="R2028" s="685"/>
      <c r="S2028" s="329"/>
      <c r="U2028" s="593"/>
      <c r="Z2028" s="329"/>
      <c r="AB2028" s="589"/>
    </row>
    <row r="2029" spans="1:28">
      <c r="A2029" s="631" t="str">
        <f t="shared" si="56"/>
        <v>DD.07.3415</v>
      </c>
      <c r="B2029" s="565" t="s">
        <v>5639</v>
      </c>
      <c r="C2029" s="567" t="s">
        <v>5009</v>
      </c>
      <c r="D2029" s="568" t="s">
        <v>5276</v>
      </c>
      <c r="E2029" s="560">
        <v>32680</v>
      </c>
      <c r="F2029" s="560">
        <v>4271084</v>
      </c>
      <c r="G2029" s="620"/>
      <c r="H2029" s="620"/>
      <c r="I2029" s="564"/>
      <c r="M2029" s="329"/>
      <c r="P2029" s="593"/>
      <c r="Q2029" s="685"/>
      <c r="R2029" s="685"/>
      <c r="S2029" s="329"/>
      <c r="U2029" s="593"/>
      <c r="Z2029" s="329"/>
      <c r="AB2029" s="589"/>
    </row>
    <row r="2030" spans="1:28">
      <c r="A2030" s="631" t="str">
        <f t="shared" si="56"/>
        <v>DD.07.3416</v>
      </c>
      <c r="B2030" s="565" t="s">
        <v>5640</v>
      </c>
      <c r="C2030" s="567" t="s">
        <v>5010</v>
      </c>
      <c r="D2030" s="568" t="s">
        <v>5276</v>
      </c>
      <c r="E2030" s="560">
        <v>34140</v>
      </c>
      <c r="F2030" s="560">
        <v>5259252</v>
      </c>
      <c r="G2030" s="620"/>
      <c r="H2030" s="620"/>
      <c r="I2030" s="564"/>
      <c r="M2030" s="329"/>
      <c r="P2030" s="593"/>
      <c r="Q2030" s="685"/>
      <c r="R2030" s="685"/>
      <c r="S2030" s="329"/>
      <c r="U2030" s="593"/>
      <c r="Z2030" s="329"/>
      <c r="AB2030" s="589"/>
    </row>
    <row r="2031" spans="1:28">
      <c r="A2031" s="631" t="str">
        <f t="shared" si="56"/>
        <v>DD.07.3417</v>
      </c>
      <c r="B2031" s="565" t="s">
        <v>4012</v>
      </c>
      <c r="C2031" s="567" t="s">
        <v>5011</v>
      </c>
      <c r="D2031" s="568" t="s">
        <v>5276</v>
      </c>
      <c r="E2031" s="560">
        <v>34800</v>
      </c>
      <c r="F2031" s="560">
        <v>6302319</v>
      </c>
      <c r="G2031" s="620"/>
      <c r="H2031" s="620"/>
      <c r="I2031" s="564"/>
      <c r="M2031" s="329"/>
      <c r="P2031" s="593"/>
      <c r="Q2031" s="685"/>
      <c r="R2031" s="685"/>
      <c r="S2031" s="329"/>
      <c r="U2031" s="593"/>
      <c r="Z2031" s="329"/>
      <c r="AB2031" s="589"/>
    </row>
    <row r="2032" spans="1:28">
      <c r="A2032" s="594"/>
      <c r="B2032" s="576" t="s">
        <v>5012</v>
      </c>
      <c r="C2032" s="567"/>
      <c r="D2032" s="568"/>
      <c r="E2032" s="560"/>
      <c r="F2032" s="560"/>
      <c r="G2032" s="620"/>
      <c r="H2032" s="620"/>
      <c r="I2032" s="564"/>
      <c r="M2032" s="329"/>
      <c r="P2032" s="593"/>
      <c r="Q2032" s="685"/>
      <c r="R2032" s="685"/>
      <c r="S2032" s="329"/>
      <c r="U2032" s="593"/>
      <c r="Z2032" s="329"/>
      <c r="AB2032" s="589"/>
    </row>
    <row r="2033" spans="1:28">
      <c r="A2033" s="631" t="str">
        <f t="shared" ref="A2033:A2039" si="57">"DD."&amp;B2033</f>
        <v>DD.07.4101</v>
      </c>
      <c r="B2033" s="565" t="s">
        <v>2116</v>
      </c>
      <c r="C2033" s="567" t="s">
        <v>3630</v>
      </c>
      <c r="D2033" s="568" t="s">
        <v>2117</v>
      </c>
      <c r="E2033" s="560">
        <v>2399</v>
      </c>
      <c r="F2033" s="560">
        <v>85450</v>
      </c>
      <c r="G2033" s="620"/>
      <c r="H2033" s="620"/>
      <c r="I2033" s="564"/>
      <c r="M2033" s="329"/>
      <c r="P2033" s="593"/>
      <c r="Q2033" s="685"/>
      <c r="R2033" s="685"/>
      <c r="S2033" s="329"/>
      <c r="U2033" s="593"/>
      <c r="Z2033" s="329"/>
      <c r="AB2033" s="589"/>
    </row>
    <row r="2034" spans="1:28">
      <c r="A2034" s="631" t="str">
        <f t="shared" si="57"/>
        <v>DD.07.4102</v>
      </c>
      <c r="B2034" s="565" t="s">
        <v>4612</v>
      </c>
      <c r="C2034" s="567" t="s">
        <v>3631</v>
      </c>
      <c r="D2034" s="568" t="s">
        <v>2117</v>
      </c>
      <c r="E2034" s="560">
        <v>2402</v>
      </c>
      <c r="F2034" s="560">
        <v>98430</v>
      </c>
      <c r="G2034" s="620"/>
      <c r="H2034" s="620"/>
      <c r="I2034" s="564"/>
      <c r="M2034" s="329"/>
      <c r="P2034" s="593"/>
      <c r="Q2034" s="685"/>
      <c r="R2034" s="685"/>
      <c r="S2034" s="329"/>
      <c r="U2034" s="593"/>
      <c r="Z2034" s="329"/>
      <c r="AB2034" s="589"/>
    </row>
    <row r="2035" spans="1:28">
      <c r="A2035" s="631" t="str">
        <f t="shared" si="57"/>
        <v>DD.07.4103</v>
      </c>
      <c r="B2035" s="565" t="s">
        <v>4613</v>
      </c>
      <c r="C2035" s="567" t="s">
        <v>3632</v>
      </c>
      <c r="D2035" s="568" t="s">
        <v>2117</v>
      </c>
      <c r="E2035" s="560">
        <v>2506</v>
      </c>
      <c r="F2035" s="560">
        <v>111410</v>
      </c>
      <c r="G2035" s="620"/>
      <c r="H2035" s="620"/>
      <c r="I2035" s="564"/>
      <c r="M2035" s="329"/>
      <c r="P2035" s="593"/>
      <c r="Q2035" s="685"/>
      <c r="R2035" s="685"/>
      <c r="S2035" s="329"/>
      <c r="U2035" s="593"/>
      <c r="Z2035" s="329"/>
      <c r="AB2035" s="589"/>
    </row>
    <row r="2036" spans="1:28">
      <c r="A2036" s="631" t="str">
        <f t="shared" si="57"/>
        <v>DD.07.4104</v>
      </c>
      <c r="B2036" s="565" t="s">
        <v>4614</v>
      </c>
      <c r="C2036" s="567" t="s">
        <v>4946</v>
      </c>
      <c r="D2036" s="568" t="s">
        <v>2117</v>
      </c>
      <c r="E2036" s="560">
        <v>3176</v>
      </c>
      <c r="F2036" s="560">
        <v>123308</v>
      </c>
      <c r="G2036" s="620"/>
      <c r="H2036" s="620"/>
      <c r="I2036" s="564"/>
      <c r="M2036" s="329"/>
      <c r="P2036" s="593"/>
      <c r="Q2036" s="685"/>
      <c r="R2036" s="685"/>
      <c r="S2036" s="329"/>
      <c r="U2036" s="593"/>
      <c r="Z2036" s="329"/>
      <c r="AB2036" s="589"/>
    </row>
    <row r="2037" spans="1:28">
      <c r="A2037" s="631" t="str">
        <f t="shared" si="57"/>
        <v>DD.07.4105</v>
      </c>
      <c r="B2037" s="565" t="s">
        <v>4615</v>
      </c>
      <c r="C2037" s="567" t="s">
        <v>4947</v>
      </c>
      <c r="D2037" s="568" t="s">
        <v>2117</v>
      </c>
      <c r="E2037" s="560">
        <v>3281</v>
      </c>
      <c r="F2037" s="560">
        <v>138451</v>
      </c>
      <c r="G2037" s="620"/>
      <c r="H2037" s="620"/>
      <c r="I2037" s="564"/>
      <c r="M2037" s="329"/>
      <c r="P2037" s="593"/>
      <c r="Q2037" s="685"/>
      <c r="R2037" s="685"/>
      <c r="S2037" s="329"/>
      <c r="U2037" s="593"/>
      <c r="Z2037" s="329"/>
      <c r="AB2037" s="589"/>
    </row>
    <row r="2038" spans="1:28">
      <c r="A2038" s="631" t="str">
        <f t="shared" si="57"/>
        <v>DD.07.4106</v>
      </c>
      <c r="B2038" s="565" t="s">
        <v>4616</v>
      </c>
      <c r="C2038" s="567" t="s">
        <v>4948</v>
      </c>
      <c r="D2038" s="568" t="s">
        <v>2117</v>
      </c>
      <c r="E2038" s="560">
        <v>3287</v>
      </c>
      <c r="F2038" s="560">
        <v>155758</v>
      </c>
      <c r="G2038" s="620"/>
      <c r="H2038" s="620"/>
      <c r="I2038" s="564"/>
      <c r="M2038" s="329"/>
      <c r="P2038" s="593"/>
      <c r="Q2038" s="685"/>
      <c r="R2038" s="685"/>
      <c r="S2038" s="329"/>
      <c r="U2038" s="593"/>
      <c r="Z2038" s="329"/>
      <c r="AB2038" s="589"/>
    </row>
    <row r="2039" spans="1:28">
      <c r="A2039" s="631" t="str">
        <f t="shared" si="57"/>
        <v>DD.07.4107</v>
      </c>
      <c r="B2039" s="565" t="s">
        <v>5013</v>
      </c>
      <c r="C2039" s="567" t="s">
        <v>5014</v>
      </c>
      <c r="D2039" s="568" t="s">
        <v>2117</v>
      </c>
      <c r="E2039" s="560">
        <v>4095</v>
      </c>
      <c r="F2039" s="560">
        <v>187125</v>
      </c>
      <c r="G2039" s="620"/>
      <c r="H2039" s="620"/>
      <c r="I2039" s="564"/>
      <c r="M2039" s="329"/>
      <c r="P2039" s="593"/>
      <c r="Q2039" s="685"/>
      <c r="R2039" s="685"/>
      <c r="S2039" s="329"/>
      <c r="U2039" s="593"/>
      <c r="Z2039" s="329"/>
      <c r="AB2039" s="589"/>
    </row>
    <row r="2040" spans="1:28">
      <c r="A2040" s="594"/>
      <c r="B2040" s="565"/>
      <c r="C2040" s="567"/>
      <c r="D2040" s="568"/>
      <c r="E2040" s="560"/>
      <c r="F2040" s="560"/>
      <c r="G2040" s="620"/>
      <c r="H2040" s="620"/>
      <c r="I2040" s="564"/>
      <c r="M2040" s="329"/>
      <c r="P2040" s="593"/>
      <c r="Q2040" s="685"/>
      <c r="R2040" s="685"/>
      <c r="S2040" s="329"/>
      <c r="U2040" s="593"/>
      <c r="Z2040" s="329"/>
      <c r="AB2040" s="589"/>
    </row>
    <row r="2041" spans="1:28">
      <c r="A2041" s="631" t="str">
        <f t="shared" ref="A2041:A2047" si="58">"DD."&amp;B2041</f>
        <v>DD.07.4311</v>
      </c>
      <c r="B2041" s="565" t="s">
        <v>4617</v>
      </c>
      <c r="C2041" s="567" t="s">
        <v>5016</v>
      </c>
      <c r="D2041" s="568" t="s">
        <v>2117</v>
      </c>
      <c r="E2041" s="560">
        <v>4441</v>
      </c>
      <c r="F2041" s="560">
        <v>200105</v>
      </c>
      <c r="G2041" s="561"/>
      <c r="H2041" s="620"/>
      <c r="I2041" s="564"/>
      <c r="M2041" s="329"/>
      <c r="P2041" s="593"/>
      <c r="Q2041" s="685"/>
      <c r="R2041" s="685"/>
      <c r="S2041" s="329"/>
      <c r="U2041" s="593"/>
      <c r="Z2041" s="329"/>
      <c r="AB2041" s="589"/>
    </row>
    <row r="2042" spans="1:28">
      <c r="A2042" s="631" t="str">
        <f t="shared" si="58"/>
        <v>DD.07.4312</v>
      </c>
      <c r="B2042" s="565" t="s">
        <v>2510</v>
      </c>
      <c r="C2042" s="567" t="s">
        <v>5853</v>
      </c>
      <c r="D2042" s="568" t="s">
        <v>2117</v>
      </c>
      <c r="E2042" s="560">
        <v>4449</v>
      </c>
      <c r="F2042" s="560">
        <v>221738</v>
      </c>
      <c r="G2042" s="561"/>
      <c r="H2042" s="620"/>
      <c r="I2042" s="564"/>
      <c r="M2042" s="329"/>
      <c r="P2042" s="593"/>
      <c r="Q2042" s="685"/>
      <c r="R2042" s="685"/>
      <c r="S2042" s="329"/>
      <c r="U2042" s="593"/>
      <c r="Z2042" s="329"/>
      <c r="AB2042" s="589"/>
    </row>
    <row r="2043" spans="1:28">
      <c r="A2043" s="631" t="str">
        <f t="shared" si="58"/>
        <v>DD.07.4313</v>
      </c>
      <c r="B2043" s="565" t="s">
        <v>2511</v>
      </c>
      <c r="C2043" s="567" t="s">
        <v>5086</v>
      </c>
      <c r="D2043" s="568" t="s">
        <v>2117</v>
      </c>
      <c r="E2043" s="560">
        <v>4561</v>
      </c>
      <c r="F2043" s="560">
        <v>245535</v>
      </c>
      <c r="G2043" s="561"/>
      <c r="H2043" s="620"/>
      <c r="I2043" s="564"/>
      <c r="M2043" s="329"/>
      <c r="P2043" s="593"/>
      <c r="Q2043" s="685"/>
      <c r="R2043" s="685"/>
      <c r="S2043" s="329"/>
      <c r="U2043" s="593"/>
      <c r="Z2043" s="329"/>
      <c r="AB2043" s="589"/>
    </row>
    <row r="2044" spans="1:28">
      <c r="A2044" s="631" t="str">
        <f t="shared" si="58"/>
        <v>DD.07.4314</v>
      </c>
      <c r="B2044" s="565" t="s">
        <v>2512</v>
      </c>
      <c r="C2044" s="567" t="s">
        <v>5087</v>
      </c>
      <c r="D2044" s="568" t="s">
        <v>2117</v>
      </c>
      <c r="E2044" s="560">
        <v>5248</v>
      </c>
      <c r="F2044" s="560">
        <v>270413</v>
      </c>
      <c r="G2044" s="561"/>
      <c r="H2044" s="620"/>
      <c r="I2044" s="564"/>
      <c r="M2044" s="329"/>
      <c r="P2044" s="593"/>
      <c r="Q2044" s="685"/>
      <c r="R2044" s="685"/>
      <c r="S2044" s="329"/>
      <c r="U2044" s="593"/>
      <c r="Z2044" s="329"/>
      <c r="AB2044" s="589"/>
    </row>
    <row r="2045" spans="1:28">
      <c r="A2045" s="631" t="str">
        <f t="shared" si="58"/>
        <v>DD.07.4315</v>
      </c>
      <c r="B2045" s="565" t="s">
        <v>2513</v>
      </c>
      <c r="C2045" s="567" t="s">
        <v>5088</v>
      </c>
      <c r="D2045" s="568" t="s">
        <v>2117</v>
      </c>
      <c r="E2045" s="560">
        <v>5366</v>
      </c>
      <c r="F2045" s="560">
        <v>301780</v>
      </c>
      <c r="G2045" s="561"/>
      <c r="H2045" s="620"/>
      <c r="I2045" s="564"/>
      <c r="M2045" s="329"/>
      <c r="P2045" s="593"/>
      <c r="Q2045" s="685"/>
      <c r="R2045" s="685"/>
      <c r="S2045" s="329"/>
      <c r="U2045" s="593"/>
      <c r="Z2045" s="329"/>
      <c r="AB2045" s="589"/>
    </row>
    <row r="2046" spans="1:28">
      <c r="A2046" s="631" t="str">
        <f t="shared" si="58"/>
        <v>DD.07.4316</v>
      </c>
      <c r="B2046" s="565" t="s">
        <v>2514</v>
      </c>
      <c r="C2046" s="567" t="s">
        <v>63</v>
      </c>
      <c r="D2046" s="568" t="s">
        <v>2117</v>
      </c>
      <c r="E2046" s="560">
        <v>5409</v>
      </c>
      <c r="F2046" s="560">
        <v>391557</v>
      </c>
      <c r="G2046" s="561"/>
      <c r="H2046" s="620"/>
      <c r="I2046" s="564"/>
      <c r="M2046" s="329"/>
      <c r="P2046" s="593"/>
      <c r="Q2046" s="685"/>
      <c r="R2046" s="685"/>
      <c r="S2046" s="329"/>
      <c r="U2046" s="593"/>
      <c r="Z2046" s="329"/>
      <c r="AB2046" s="589"/>
    </row>
    <row r="2047" spans="1:28">
      <c r="A2047" s="631" t="str">
        <f t="shared" si="58"/>
        <v>DD.07.4317</v>
      </c>
      <c r="B2047" s="565" t="s">
        <v>5015</v>
      </c>
      <c r="C2047" s="567" t="s">
        <v>64</v>
      </c>
      <c r="D2047" s="568" t="s">
        <v>2117</v>
      </c>
      <c r="E2047" s="560">
        <v>6541</v>
      </c>
      <c r="F2047" s="560">
        <v>469436</v>
      </c>
      <c r="G2047" s="561"/>
      <c r="H2047" s="620"/>
      <c r="I2047" s="564"/>
      <c r="M2047" s="329"/>
      <c r="P2047" s="593"/>
      <c r="Q2047" s="685"/>
      <c r="R2047" s="685"/>
      <c r="S2047" s="329"/>
      <c r="U2047" s="593"/>
      <c r="Z2047" s="329"/>
      <c r="AB2047" s="589"/>
    </row>
    <row r="2048" spans="1:28">
      <c r="A2048" s="594"/>
      <c r="B2048" s="565"/>
      <c r="C2048" s="567"/>
      <c r="D2048" s="568"/>
      <c r="E2048" s="560"/>
      <c r="F2048" s="560"/>
      <c r="G2048" s="620"/>
      <c r="H2048" s="620"/>
      <c r="I2048" s="564"/>
      <c r="M2048" s="329"/>
      <c r="P2048" s="593"/>
      <c r="Q2048" s="685"/>
      <c r="R2048" s="685"/>
      <c r="S2048" s="329"/>
      <c r="U2048" s="593"/>
      <c r="Z2048" s="329"/>
      <c r="AB2048" s="589"/>
    </row>
    <row r="2049" spans="1:28">
      <c r="A2049" s="631" t="str">
        <f t="shared" ref="A2049:A2055" si="59">"DD."&amp;B2049</f>
        <v>DD.07.4311</v>
      </c>
      <c r="B2049" s="565" t="s">
        <v>4617</v>
      </c>
      <c r="C2049" s="567" t="s">
        <v>3201</v>
      </c>
      <c r="D2049" s="568" t="s">
        <v>2117</v>
      </c>
      <c r="E2049" s="560">
        <v>4441</v>
      </c>
      <c r="F2049" s="560">
        <v>360189</v>
      </c>
      <c r="G2049" s="560"/>
      <c r="H2049" s="560" t="s">
        <v>4466</v>
      </c>
      <c r="I2049" s="697" t="s">
        <v>6063</v>
      </c>
      <c r="M2049" s="329"/>
      <c r="P2049" s="593"/>
      <c r="Q2049" s="685"/>
      <c r="R2049" s="685"/>
      <c r="S2049" s="329"/>
      <c r="U2049" s="593"/>
      <c r="Z2049" s="329"/>
      <c r="AB2049" s="589"/>
    </row>
    <row r="2050" spans="1:28">
      <c r="A2050" s="631" t="str">
        <f t="shared" si="59"/>
        <v>DD.07.4312</v>
      </c>
      <c r="B2050" s="565" t="s">
        <v>2510</v>
      </c>
      <c r="C2050" s="567" t="s">
        <v>3202</v>
      </c>
      <c r="D2050" s="568" t="s">
        <v>2117</v>
      </c>
      <c r="E2050" s="560">
        <v>4449</v>
      </c>
      <c r="F2050" s="560">
        <v>399128</v>
      </c>
      <c r="G2050" s="560"/>
      <c r="H2050" s="560" t="s">
        <v>4467</v>
      </c>
      <c r="I2050" s="697" t="s">
        <v>6063</v>
      </c>
      <c r="M2050" s="329"/>
      <c r="P2050" s="593"/>
      <c r="Q2050" s="685"/>
      <c r="R2050" s="685"/>
      <c r="S2050" s="329"/>
      <c r="U2050" s="593"/>
      <c r="Z2050" s="329"/>
      <c r="AB2050" s="589"/>
    </row>
    <row r="2051" spans="1:28">
      <c r="A2051" s="631" t="str">
        <f t="shared" si="59"/>
        <v>DD.07.4313</v>
      </c>
      <c r="B2051" s="565" t="s">
        <v>2511</v>
      </c>
      <c r="C2051" s="567" t="s">
        <v>2260</v>
      </c>
      <c r="D2051" s="568" t="s">
        <v>2117</v>
      </c>
      <c r="E2051" s="560">
        <v>4561</v>
      </c>
      <c r="F2051" s="560">
        <v>441963</v>
      </c>
      <c r="G2051" s="560"/>
      <c r="H2051" s="560" t="s">
        <v>4468</v>
      </c>
      <c r="I2051" s="697" t="s">
        <v>6063</v>
      </c>
      <c r="M2051" s="329"/>
      <c r="P2051" s="593"/>
      <c r="Q2051" s="685"/>
      <c r="R2051" s="685"/>
      <c r="S2051" s="329"/>
      <c r="U2051" s="593"/>
      <c r="Z2051" s="329"/>
      <c r="AB2051" s="589"/>
    </row>
    <row r="2052" spans="1:28">
      <c r="A2052" s="631" t="str">
        <f t="shared" si="59"/>
        <v>DD.07.4314</v>
      </c>
      <c r="B2052" s="565" t="s">
        <v>2512</v>
      </c>
      <c r="C2052" s="567" t="s">
        <v>1504</v>
      </c>
      <c r="D2052" s="568" t="s">
        <v>2117</v>
      </c>
      <c r="E2052" s="560">
        <v>5248</v>
      </c>
      <c r="F2052" s="560">
        <v>486743</v>
      </c>
      <c r="G2052" s="560"/>
      <c r="H2052" s="560" t="s">
        <v>4469</v>
      </c>
      <c r="I2052" s="697" t="s">
        <v>6063</v>
      </c>
      <c r="M2052" s="329"/>
      <c r="P2052" s="593"/>
      <c r="Q2052" s="685"/>
      <c r="R2052" s="685"/>
      <c r="S2052" s="329"/>
      <c r="U2052" s="593"/>
      <c r="Z2052" s="329"/>
      <c r="AB2052" s="589"/>
    </row>
    <row r="2053" spans="1:28">
      <c r="A2053" s="631" t="str">
        <f t="shared" si="59"/>
        <v>DD.07.4315</v>
      </c>
      <c r="B2053" s="565" t="s">
        <v>2513</v>
      </c>
      <c r="C2053" s="567" t="s">
        <v>1505</v>
      </c>
      <c r="D2053" s="568" t="s">
        <v>2117</v>
      </c>
      <c r="E2053" s="560">
        <v>5366</v>
      </c>
      <c r="F2053" s="560">
        <v>543204</v>
      </c>
      <c r="G2053" s="560"/>
      <c r="H2053" s="560" t="s">
        <v>4470</v>
      </c>
      <c r="I2053" s="697" t="s">
        <v>6063</v>
      </c>
      <c r="M2053" s="329"/>
      <c r="P2053" s="593"/>
      <c r="Q2053" s="685"/>
      <c r="R2053" s="685"/>
      <c r="S2053" s="329"/>
      <c r="U2053" s="593"/>
      <c r="Z2053" s="329"/>
      <c r="AB2053" s="589"/>
    </row>
    <row r="2054" spans="1:28">
      <c r="A2054" s="631" t="str">
        <f t="shared" si="59"/>
        <v>DD.07.4316</v>
      </c>
      <c r="B2054" s="565" t="s">
        <v>2514</v>
      </c>
      <c r="C2054" s="567" t="s">
        <v>6333</v>
      </c>
      <c r="D2054" s="568" t="s">
        <v>2117</v>
      </c>
      <c r="E2054" s="560">
        <v>5409</v>
      </c>
      <c r="F2054" s="560">
        <v>704803</v>
      </c>
      <c r="G2054" s="560"/>
      <c r="H2054" s="560" t="s">
        <v>4471</v>
      </c>
      <c r="I2054" s="697" t="s">
        <v>6063</v>
      </c>
      <c r="M2054" s="329"/>
      <c r="P2054" s="593"/>
      <c r="Q2054" s="685"/>
      <c r="R2054" s="685"/>
      <c r="S2054" s="329"/>
      <c r="U2054" s="593"/>
      <c r="Z2054" s="329"/>
      <c r="AB2054" s="589"/>
    </row>
    <row r="2055" spans="1:28">
      <c r="A2055" s="631" t="str">
        <f t="shared" si="59"/>
        <v>DD.07.4317</v>
      </c>
      <c r="B2055" s="565" t="s">
        <v>5015</v>
      </c>
      <c r="C2055" s="567" t="s">
        <v>6334</v>
      </c>
      <c r="D2055" s="568" t="s">
        <v>2117</v>
      </c>
      <c r="E2055" s="560">
        <v>6541</v>
      </c>
      <c r="F2055" s="560">
        <v>844985</v>
      </c>
      <c r="G2055" s="560"/>
      <c r="H2055" s="560" t="s">
        <v>4472</v>
      </c>
      <c r="I2055" s="697" t="s">
        <v>6063</v>
      </c>
      <c r="M2055" s="329"/>
      <c r="P2055" s="593"/>
      <c r="Q2055" s="685"/>
      <c r="R2055" s="685"/>
      <c r="S2055" s="329"/>
      <c r="U2055" s="593"/>
      <c r="Z2055" s="329"/>
      <c r="AB2055" s="589"/>
    </row>
    <row r="2056" spans="1:28">
      <c r="A2056" s="594"/>
      <c r="B2056" s="569" t="s">
        <v>4473</v>
      </c>
      <c r="C2056" s="576"/>
      <c r="D2056" s="573"/>
      <c r="E2056" s="574"/>
      <c r="F2056" s="574"/>
      <c r="G2056" s="574"/>
      <c r="H2056" s="620"/>
      <c r="I2056" s="564"/>
      <c r="M2056" s="329"/>
      <c r="P2056" s="593"/>
      <c r="Q2056" s="685"/>
      <c r="R2056" s="685"/>
      <c r="S2056" s="329"/>
      <c r="U2056" s="593"/>
      <c r="Z2056" s="329"/>
      <c r="AB2056" s="589"/>
    </row>
    <row r="2057" spans="1:28">
      <c r="A2057" s="631" t="str">
        <f t="shared" ref="A2057:A2066" si="60">"DD."&amp;B2057</f>
        <v>DD.07.6001</v>
      </c>
      <c r="B2057" s="565" t="s">
        <v>4474</v>
      </c>
      <c r="C2057" s="567" t="s">
        <v>5894</v>
      </c>
      <c r="D2057" s="568" t="s">
        <v>4475</v>
      </c>
      <c r="E2057" s="561"/>
      <c r="F2057" s="560">
        <v>21633</v>
      </c>
      <c r="G2057" s="560">
        <v>14727</v>
      </c>
      <c r="H2057" s="620"/>
      <c r="I2057" s="564"/>
      <c r="M2057" s="329"/>
      <c r="P2057" s="593"/>
      <c r="Q2057" s="685"/>
      <c r="R2057" s="685"/>
      <c r="S2057" s="329"/>
      <c r="U2057" s="593"/>
      <c r="Z2057" s="329"/>
      <c r="AB2057" s="589"/>
    </row>
    <row r="2058" spans="1:28">
      <c r="A2058" s="631" t="str">
        <f t="shared" si="60"/>
        <v>DD.07.6002</v>
      </c>
      <c r="B2058" s="565" t="s">
        <v>3226</v>
      </c>
      <c r="C2058" s="567" t="s">
        <v>5895</v>
      </c>
      <c r="D2058" s="568" t="s">
        <v>4475</v>
      </c>
      <c r="E2058" s="561"/>
      <c r="F2058" s="560">
        <v>37858</v>
      </c>
      <c r="G2058" s="560">
        <v>14727</v>
      </c>
      <c r="H2058" s="620"/>
      <c r="I2058" s="564"/>
      <c r="M2058" s="329"/>
      <c r="P2058" s="593"/>
      <c r="Q2058" s="685"/>
      <c r="R2058" s="685"/>
      <c r="S2058" s="329"/>
      <c r="U2058" s="593"/>
      <c r="Z2058" s="329"/>
      <c r="AB2058" s="589"/>
    </row>
    <row r="2059" spans="1:28">
      <c r="A2059" s="631" t="str">
        <f t="shared" si="60"/>
        <v>DD.07.6003</v>
      </c>
      <c r="B2059" s="565" t="s">
        <v>3227</v>
      </c>
      <c r="C2059" s="567" t="s">
        <v>52</v>
      </c>
      <c r="D2059" s="568" t="s">
        <v>4475</v>
      </c>
      <c r="E2059" s="561"/>
      <c r="F2059" s="560">
        <v>59491</v>
      </c>
      <c r="G2059" s="560">
        <v>17672</v>
      </c>
      <c r="H2059" s="620"/>
      <c r="I2059" s="564"/>
      <c r="M2059" s="329"/>
      <c r="P2059" s="593"/>
      <c r="Q2059" s="685"/>
      <c r="R2059" s="685"/>
      <c r="S2059" s="329"/>
      <c r="U2059" s="593"/>
      <c r="Z2059" s="329"/>
      <c r="AB2059" s="589"/>
    </row>
    <row r="2060" spans="1:28">
      <c r="A2060" s="631" t="str">
        <f t="shared" si="60"/>
        <v>DD.07.6004</v>
      </c>
      <c r="B2060" s="565" t="s">
        <v>3228</v>
      </c>
      <c r="C2060" s="567" t="s">
        <v>53</v>
      </c>
      <c r="D2060" s="568" t="s">
        <v>4475</v>
      </c>
      <c r="E2060" s="561"/>
      <c r="F2060" s="560">
        <v>75716</v>
      </c>
      <c r="G2060" s="560">
        <v>17672</v>
      </c>
      <c r="H2060" s="620"/>
      <c r="I2060" s="564"/>
      <c r="M2060" s="329"/>
      <c r="P2060" s="593"/>
      <c r="Q2060" s="685"/>
      <c r="R2060" s="685"/>
      <c r="S2060" s="329"/>
      <c r="U2060" s="593"/>
      <c r="Z2060" s="329"/>
      <c r="AB2060" s="589"/>
    </row>
    <row r="2061" spans="1:28">
      <c r="A2061" s="631" t="str">
        <f t="shared" si="60"/>
        <v>DD.07.6005</v>
      </c>
      <c r="B2061" s="565" t="s">
        <v>3229</v>
      </c>
      <c r="C2061" s="567" t="s">
        <v>5000</v>
      </c>
      <c r="D2061" s="568" t="s">
        <v>4475</v>
      </c>
      <c r="E2061" s="561"/>
      <c r="F2061" s="560">
        <v>97349</v>
      </c>
      <c r="G2061" s="560">
        <v>20617</v>
      </c>
      <c r="H2061" s="620"/>
      <c r="I2061" s="564"/>
      <c r="M2061" s="329"/>
      <c r="P2061" s="593"/>
      <c r="Q2061" s="685"/>
      <c r="R2061" s="685"/>
      <c r="S2061" s="329"/>
      <c r="U2061" s="593"/>
      <c r="Z2061" s="329"/>
      <c r="AB2061" s="589"/>
    </row>
    <row r="2062" spans="1:28">
      <c r="A2062" s="631" t="str">
        <f t="shared" si="60"/>
        <v>DD.07.6006</v>
      </c>
      <c r="B2062" s="565" t="s">
        <v>499</v>
      </c>
      <c r="C2062" s="567" t="s">
        <v>5001</v>
      </c>
      <c r="D2062" s="568" t="s">
        <v>4475</v>
      </c>
      <c r="E2062" s="561"/>
      <c r="F2062" s="560">
        <v>118982</v>
      </c>
      <c r="G2062" s="560">
        <v>23563</v>
      </c>
      <c r="H2062" s="620"/>
      <c r="I2062" s="564"/>
      <c r="M2062" s="329"/>
      <c r="P2062" s="593"/>
      <c r="Q2062" s="685"/>
      <c r="R2062" s="685"/>
      <c r="S2062" s="329"/>
      <c r="U2062" s="593"/>
      <c r="Z2062" s="329"/>
      <c r="AB2062" s="589"/>
    </row>
    <row r="2063" spans="1:28">
      <c r="A2063" s="631" t="str">
        <f t="shared" si="60"/>
        <v>DD.07.6007</v>
      </c>
      <c r="B2063" s="565" t="s">
        <v>5891</v>
      </c>
      <c r="C2063" s="567" t="s">
        <v>5002</v>
      </c>
      <c r="D2063" s="568" t="s">
        <v>4475</v>
      </c>
      <c r="E2063" s="561"/>
      <c r="F2063" s="560">
        <v>142778</v>
      </c>
      <c r="G2063" s="560">
        <v>26508</v>
      </c>
      <c r="H2063" s="620"/>
      <c r="I2063" s="564"/>
      <c r="M2063" s="329"/>
      <c r="P2063" s="593"/>
      <c r="Q2063" s="685"/>
      <c r="R2063" s="685"/>
      <c r="S2063" s="329"/>
      <c r="U2063" s="593"/>
      <c r="Z2063" s="329"/>
      <c r="AB2063" s="589"/>
    </row>
    <row r="2064" spans="1:28">
      <c r="A2064" s="631" t="str">
        <f t="shared" si="60"/>
        <v>DD.07.6008</v>
      </c>
      <c r="B2064" s="565" t="s">
        <v>5892</v>
      </c>
      <c r="C2064" s="567" t="s">
        <v>5003</v>
      </c>
      <c r="D2064" s="568" t="s">
        <v>4475</v>
      </c>
      <c r="E2064" s="561"/>
      <c r="F2064" s="560">
        <v>178472</v>
      </c>
      <c r="G2064" s="560">
        <v>29454</v>
      </c>
      <c r="H2064" s="620"/>
      <c r="I2064" s="564"/>
      <c r="M2064" s="329"/>
      <c r="P2064" s="593"/>
      <c r="Q2064" s="685"/>
      <c r="R2064" s="685"/>
      <c r="S2064" s="329"/>
      <c r="U2064" s="593"/>
      <c r="Z2064" s="329"/>
      <c r="AB2064" s="589"/>
    </row>
    <row r="2065" spans="1:28">
      <c r="A2065" s="631" t="str">
        <f t="shared" si="60"/>
        <v>DD.07.6009</v>
      </c>
      <c r="B2065" s="565" t="s">
        <v>5893</v>
      </c>
      <c r="C2065" s="567" t="s">
        <v>5004</v>
      </c>
      <c r="D2065" s="568" t="s">
        <v>4475</v>
      </c>
      <c r="E2065" s="561"/>
      <c r="F2065" s="560">
        <v>212003</v>
      </c>
      <c r="G2065" s="560">
        <v>41235</v>
      </c>
      <c r="H2065" s="620"/>
      <c r="I2065" s="564"/>
      <c r="M2065" s="329"/>
      <c r="P2065" s="593"/>
      <c r="Q2065" s="685"/>
      <c r="R2065" s="685"/>
      <c r="S2065" s="329"/>
      <c r="U2065" s="593"/>
      <c r="Z2065" s="329"/>
      <c r="AB2065" s="589"/>
    </row>
    <row r="2066" spans="1:28">
      <c r="A2066" s="631" t="str">
        <f t="shared" si="60"/>
        <v>DD.07.6001</v>
      </c>
      <c r="B2066" s="582" t="s">
        <v>4474</v>
      </c>
      <c r="C2066" s="567" t="s">
        <v>5005</v>
      </c>
      <c r="D2066" s="568" t="s">
        <v>4475</v>
      </c>
      <c r="E2066" s="561"/>
      <c r="F2066" s="560">
        <v>282311</v>
      </c>
      <c r="G2066" s="560">
        <v>53016</v>
      </c>
      <c r="H2066" s="620"/>
      <c r="I2066" s="564"/>
      <c r="M2066" s="329"/>
      <c r="P2066" s="593"/>
      <c r="Q2066" s="685"/>
      <c r="R2066" s="685"/>
      <c r="S2066" s="329"/>
      <c r="U2066" s="593"/>
      <c r="Z2066" s="329"/>
      <c r="AB2066" s="589"/>
    </row>
    <row r="2067" spans="1:28">
      <c r="A2067" s="594"/>
      <c r="B2067" s="565"/>
      <c r="C2067" s="567"/>
      <c r="D2067" s="568"/>
      <c r="E2067" s="560"/>
      <c r="F2067" s="560"/>
      <c r="G2067" s="620"/>
      <c r="H2067" s="620"/>
      <c r="I2067" s="564"/>
      <c r="M2067" s="329"/>
      <c r="P2067" s="593"/>
      <c r="Q2067" s="685"/>
      <c r="R2067" s="685"/>
      <c r="S2067" s="329"/>
      <c r="U2067" s="593"/>
      <c r="Z2067" s="329"/>
      <c r="AB2067" s="589"/>
    </row>
    <row r="2068" spans="1:28">
      <c r="G2068" s="589"/>
      <c r="H2068" s="589"/>
      <c r="I2068" s="329"/>
      <c r="K2068" s="593"/>
      <c r="M2068" s="329"/>
      <c r="N2068" s="329"/>
      <c r="P2068" s="593"/>
      <c r="Q2068" s="685"/>
      <c r="R2068" s="685"/>
      <c r="S2068" s="329"/>
      <c r="U2068" s="593"/>
      <c r="Z2068" s="329"/>
      <c r="AB2068" s="589"/>
    </row>
    <row r="2069" spans="1:28">
      <c r="G2069" s="589"/>
      <c r="H2069" s="589"/>
      <c r="I2069" s="329"/>
      <c r="K2069" s="593"/>
      <c r="M2069" s="329"/>
      <c r="N2069" s="329"/>
      <c r="P2069" s="593"/>
      <c r="Q2069" s="685"/>
      <c r="R2069" s="685"/>
      <c r="S2069" s="329"/>
      <c r="U2069" s="593"/>
      <c r="Z2069" s="329"/>
      <c r="AB2069" s="589"/>
    </row>
    <row r="2070" spans="1:28">
      <c r="G2070" s="589"/>
      <c r="H2070" s="589"/>
      <c r="I2070" s="329"/>
      <c r="K2070" s="593"/>
      <c r="M2070" s="329"/>
      <c r="N2070" s="329"/>
      <c r="P2070" s="593"/>
      <c r="Q2070" s="685"/>
      <c r="R2070" s="685"/>
      <c r="S2070" s="329"/>
      <c r="U2070" s="593"/>
      <c r="Z2070" s="329"/>
      <c r="AB2070" s="589"/>
    </row>
    <row r="2071" spans="1:28">
      <c r="G2071" s="589"/>
      <c r="H2071" s="589"/>
      <c r="I2071" s="329"/>
      <c r="K2071" s="593"/>
      <c r="M2071" s="329"/>
      <c r="N2071" s="329"/>
      <c r="P2071" s="593"/>
      <c r="Q2071" s="685"/>
      <c r="R2071" s="685"/>
      <c r="S2071" s="329"/>
      <c r="U2071" s="593"/>
      <c r="Z2071" s="329"/>
      <c r="AB2071" s="589"/>
    </row>
    <row r="2072" spans="1:28">
      <c r="G2072" s="589"/>
      <c r="H2072" s="589"/>
      <c r="I2072" s="329"/>
      <c r="K2072" s="593"/>
      <c r="M2072" s="329"/>
      <c r="N2072" s="329"/>
      <c r="P2072" s="593"/>
      <c r="Q2072" s="685"/>
      <c r="R2072" s="685"/>
      <c r="S2072" s="329"/>
      <c r="U2072" s="593"/>
      <c r="Z2072" s="329"/>
      <c r="AB2072" s="589"/>
    </row>
    <row r="2073" spans="1:28">
      <c r="G2073" s="589"/>
      <c r="H2073" s="589"/>
      <c r="I2073" s="329"/>
      <c r="K2073" s="593"/>
      <c r="M2073" s="329"/>
      <c r="N2073" s="329"/>
      <c r="P2073" s="593"/>
      <c r="Q2073" s="685"/>
      <c r="R2073" s="685"/>
      <c r="S2073" s="329"/>
      <c r="U2073" s="593"/>
      <c r="Z2073" s="329"/>
      <c r="AB2073" s="589"/>
    </row>
    <row r="2074" spans="1:28">
      <c r="G2074" s="589"/>
      <c r="H2074" s="589"/>
      <c r="I2074" s="329"/>
      <c r="K2074" s="593"/>
      <c r="M2074" s="329"/>
      <c r="N2074" s="329"/>
      <c r="P2074" s="593"/>
      <c r="Q2074" s="685"/>
      <c r="R2074" s="685"/>
      <c r="S2074" s="329"/>
      <c r="U2074" s="593"/>
      <c r="Z2074" s="329"/>
      <c r="AB2074" s="589"/>
    </row>
    <row r="2075" spans="1:28">
      <c r="G2075" s="589"/>
      <c r="H2075" s="589"/>
      <c r="I2075" s="329"/>
      <c r="K2075" s="593"/>
      <c r="M2075" s="329"/>
      <c r="N2075" s="329"/>
      <c r="P2075" s="593"/>
      <c r="Q2075" s="685"/>
      <c r="R2075" s="685"/>
      <c r="S2075" s="329"/>
      <c r="U2075" s="593"/>
      <c r="Z2075" s="329"/>
      <c r="AB2075" s="589"/>
    </row>
    <row r="2076" spans="1:28">
      <c r="G2076" s="589"/>
      <c r="H2076" s="589"/>
      <c r="I2076" s="329"/>
      <c r="K2076" s="593"/>
      <c r="M2076" s="329"/>
      <c r="N2076" s="329"/>
      <c r="P2076" s="593"/>
      <c r="Q2076" s="685"/>
      <c r="R2076" s="685"/>
      <c r="S2076" s="329"/>
      <c r="U2076" s="593"/>
      <c r="Z2076" s="329"/>
      <c r="AB2076" s="589"/>
    </row>
    <row r="2077" spans="1:28">
      <c r="G2077" s="589"/>
      <c r="H2077" s="589"/>
      <c r="I2077" s="329"/>
      <c r="K2077" s="593"/>
      <c r="M2077" s="329"/>
      <c r="N2077" s="329"/>
      <c r="P2077" s="593"/>
      <c r="Q2077" s="685"/>
      <c r="R2077" s="685"/>
      <c r="S2077" s="329"/>
      <c r="U2077" s="593"/>
      <c r="Z2077" s="329"/>
      <c r="AB2077" s="589"/>
    </row>
    <row r="2078" spans="1:28">
      <c r="G2078" s="589"/>
      <c r="H2078" s="589"/>
      <c r="I2078" s="329"/>
      <c r="K2078" s="593"/>
      <c r="M2078" s="329"/>
      <c r="N2078" s="329"/>
      <c r="P2078" s="593"/>
      <c r="Q2078" s="685"/>
      <c r="R2078" s="685"/>
      <c r="S2078" s="329"/>
      <c r="U2078" s="593"/>
      <c r="Z2078" s="329"/>
      <c r="AB2078" s="589"/>
    </row>
    <row r="2079" spans="1:28">
      <c r="G2079" s="589"/>
      <c r="H2079" s="589"/>
      <c r="I2079" s="329"/>
      <c r="K2079" s="593"/>
      <c r="M2079" s="329"/>
      <c r="N2079" s="329"/>
      <c r="P2079" s="593"/>
      <c r="Q2079" s="685"/>
      <c r="R2079" s="685"/>
      <c r="S2079" s="329"/>
      <c r="U2079" s="593"/>
      <c r="Z2079" s="329"/>
      <c r="AB2079" s="589"/>
    </row>
    <row r="2080" spans="1:28">
      <c r="G2080" s="589"/>
      <c r="H2080" s="589"/>
      <c r="I2080" s="329"/>
      <c r="K2080" s="593"/>
      <c r="M2080" s="329"/>
      <c r="N2080" s="329"/>
      <c r="P2080" s="593"/>
      <c r="Q2080" s="685"/>
      <c r="R2080" s="685"/>
      <c r="S2080" s="329"/>
      <c r="U2080" s="593"/>
      <c r="Z2080" s="329"/>
      <c r="AB2080" s="589"/>
    </row>
    <row r="2081" spans="7:28">
      <c r="G2081" s="589"/>
      <c r="H2081" s="589"/>
      <c r="I2081" s="329"/>
      <c r="K2081" s="593"/>
      <c r="M2081" s="329"/>
      <c r="N2081" s="329"/>
      <c r="P2081" s="593"/>
      <c r="Q2081" s="685"/>
      <c r="R2081" s="685"/>
      <c r="S2081" s="329"/>
      <c r="U2081" s="593"/>
      <c r="Z2081" s="329"/>
      <c r="AB2081" s="589"/>
    </row>
    <row r="2082" spans="7:28">
      <c r="G2082" s="589"/>
      <c r="I2082" s="329"/>
      <c r="J2082" s="697"/>
      <c r="M2082" s="329"/>
      <c r="N2082" s="685"/>
      <c r="O2082" s="593"/>
      <c r="Q2082" s="685"/>
      <c r="S2082" s="329"/>
      <c r="T2082" s="593"/>
      <c r="Z2082" s="329"/>
      <c r="AA2082" s="589"/>
    </row>
    <row r="2083" spans="7:28">
      <c r="G2083" s="589"/>
      <c r="I2083" s="329"/>
      <c r="J2083" s="697"/>
      <c r="M2083" s="329"/>
      <c r="N2083" s="685"/>
      <c r="O2083" s="593"/>
      <c r="Q2083" s="685"/>
      <c r="S2083" s="329"/>
      <c r="T2083" s="593"/>
      <c r="Z2083" s="329"/>
      <c r="AA2083" s="589"/>
    </row>
    <row r="2084" spans="7:28">
      <c r="G2084" s="589"/>
      <c r="I2084" s="329"/>
      <c r="J2084" s="697"/>
      <c r="M2084" s="329"/>
      <c r="N2084" s="685"/>
      <c r="O2084" s="593"/>
      <c r="Q2084" s="685"/>
      <c r="S2084" s="329"/>
      <c r="T2084" s="593"/>
      <c r="Z2084" s="329"/>
      <c r="AA2084" s="589"/>
    </row>
    <row r="2085" spans="7:28">
      <c r="G2085" s="589"/>
      <c r="I2085" s="329"/>
      <c r="J2085" s="697"/>
      <c r="M2085" s="329"/>
      <c r="N2085" s="685"/>
      <c r="O2085" s="593"/>
      <c r="Q2085" s="685"/>
      <c r="S2085" s="329"/>
      <c r="T2085" s="593"/>
      <c r="Z2085" s="329"/>
      <c r="AA2085" s="589"/>
    </row>
    <row r="2086" spans="7:28">
      <c r="G2086" s="589"/>
      <c r="I2086" s="329"/>
      <c r="J2086" s="697"/>
      <c r="M2086" s="329"/>
      <c r="N2086" s="685"/>
      <c r="O2086" s="593"/>
      <c r="Q2086" s="685"/>
      <c r="S2086" s="329"/>
      <c r="T2086" s="593"/>
      <c r="Z2086" s="329"/>
      <c r="AA2086" s="589"/>
    </row>
    <row r="2087" spans="7:28">
      <c r="G2087" s="589"/>
      <c r="I2087" s="329"/>
      <c r="J2087" s="697"/>
      <c r="M2087" s="329"/>
      <c r="N2087" s="685"/>
      <c r="O2087" s="593"/>
      <c r="Q2087" s="685"/>
      <c r="S2087" s="329"/>
      <c r="T2087" s="593"/>
      <c r="Z2087" s="329"/>
      <c r="AA2087" s="589"/>
    </row>
    <row r="2088" spans="7:28">
      <c r="G2088" s="589"/>
      <c r="I2088" s="329"/>
      <c r="J2088" s="697"/>
      <c r="M2088" s="329"/>
      <c r="N2088" s="685"/>
      <c r="O2088" s="593"/>
      <c r="Q2088" s="685"/>
      <c r="S2088" s="329"/>
      <c r="T2088" s="593"/>
      <c r="Z2088" s="329"/>
      <c r="AA2088" s="589"/>
    </row>
    <row r="2089" spans="7:28">
      <c r="G2089" s="589"/>
      <c r="I2089" s="329"/>
      <c r="J2089" s="697"/>
      <c r="M2089" s="329"/>
      <c r="N2089" s="685"/>
      <c r="O2089" s="593"/>
      <c r="Q2089" s="685"/>
      <c r="S2089" s="329"/>
      <c r="T2089" s="593"/>
      <c r="Z2089" s="329"/>
      <c r="AA2089" s="589"/>
    </row>
    <row r="2090" spans="7:28">
      <c r="G2090" s="589"/>
      <c r="I2090" s="329"/>
      <c r="J2090" s="697"/>
      <c r="M2090" s="329"/>
      <c r="N2090" s="685"/>
      <c r="O2090" s="593"/>
      <c r="Q2090" s="685"/>
      <c r="S2090" s="329"/>
      <c r="T2090" s="593"/>
      <c r="Z2090" s="329"/>
      <c r="AA2090" s="589"/>
    </row>
    <row r="2091" spans="7:28">
      <c r="G2091" s="589"/>
      <c r="I2091" s="329"/>
      <c r="J2091" s="697"/>
      <c r="M2091" s="329"/>
      <c r="N2091" s="685"/>
      <c r="O2091" s="593"/>
      <c r="Q2091" s="685"/>
      <c r="S2091" s="329"/>
      <c r="T2091" s="593"/>
      <c r="Z2091" s="329"/>
      <c r="AA2091" s="589"/>
    </row>
    <row r="2092" spans="7:28">
      <c r="G2092" s="589"/>
      <c r="I2092" s="329"/>
      <c r="J2092" s="697"/>
      <c r="M2092" s="329"/>
      <c r="N2092" s="685"/>
      <c r="O2092" s="593"/>
      <c r="Q2092" s="685"/>
      <c r="S2092" s="329"/>
      <c r="T2092" s="593"/>
      <c r="Z2092" s="329"/>
      <c r="AA2092" s="589"/>
    </row>
    <row r="2093" spans="7:28">
      <c r="G2093" s="589"/>
      <c r="I2093" s="329"/>
      <c r="J2093" s="697"/>
      <c r="M2093" s="329"/>
      <c r="N2093" s="685"/>
      <c r="O2093" s="593"/>
      <c r="Q2093" s="685"/>
      <c r="S2093" s="329"/>
      <c r="T2093" s="593"/>
      <c r="Z2093" s="329"/>
      <c r="AA2093" s="589"/>
    </row>
    <row r="2094" spans="7:28">
      <c r="G2094" s="589"/>
      <c r="I2094" s="329"/>
      <c r="J2094" s="697"/>
      <c r="M2094" s="329"/>
      <c r="N2094" s="685"/>
      <c r="O2094" s="593"/>
      <c r="Q2094" s="685"/>
      <c r="S2094" s="329"/>
      <c r="T2094" s="593"/>
      <c r="Z2094" s="329"/>
      <c r="AA2094" s="589"/>
    </row>
    <row r="2095" spans="7:28">
      <c r="G2095" s="589"/>
      <c r="I2095" s="329"/>
      <c r="J2095" s="697"/>
      <c r="M2095" s="329"/>
      <c r="N2095" s="685"/>
      <c r="O2095" s="593"/>
      <c r="Q2095" s="685"/>
      <c r="S2095" s="329"/>
      <c r="T2095" s="593"/>
      <c r="Z2095" s="329"/>
      <c r="AA2095" s="589"/>
    </row>
    <row r="2096" spans="7:28">
      <c r="G2096" s="589"/>
      <c r="I2096" s="329"/>
      <c r="J2096" s="697"/>
      <c r="M2096" s="329"/>
      <c r="N2096" s="685"/>
      <c r="O2096" s="593"/>
      <c r="Q2096" s="685"/>
      <c r="S2096" s="329"/>
      <c r="T2096" s="593"/>
      <c r="Z2096" s="329"/>
      <c r="AA2096" s="589"/>
    </row>
    <row r="2097" spans="7:27">
      <c r="G2097" s="589"/>
      <c r="I2097" s="329"/>
      <c r="J2097" s="697"/>
      <c r="M2097" s="329"/>
      <c r="N2097" s="685"/>
      <c r="O2097" s="593"/>
      <c r="Q2097" s="685"/>
      <c r="S2097" s="329"/>
      <c r="T2097" s="593"/>
      <c r="Z2097" s="329"/>
      <c r="AA2097" s="589"/>
    </row>
    <row r="2098" spans="7:27">
      <c r="G2098" s="589"/>
      <c r="I2098" s="329"/>
      <c r="J2098" s="697"/>
      <c r="M2098" s="329"/>
      <c r="N2098" s="685"/>
      <c r="O2098" s="593"/>
      <c r="Q2098" s="685"/>
      <c r="S2098" s="329"/>
      <c r="T2098" s="593"/>
      <c r="Z2098" s="329"/>
      <c r="AA2098" s="589"/>
    </row>
    <row r="2099" spans="7:27">
      <c r="G2099" s="589"/>
      <c r="I2099" s="329"/>
      <c r="J2099" s="697"/>
      <c r="M2099" s="329"/>
      <c r="N2099" s="685"/>
      <c r="O2099" s="593"/>
      <c r="Q2099" s="685"/>
      <c r="S2099" s="329"/>
      <c r="T2099" s="593"/>
      <c r="Z2099" s="329"/>
      <c r="AA2099" s="589"/>
    </row>
    <row r="2100" spans="7:27">
      <c r="G2100" s="589"/>
      <c r="I2100" s="329"/>
      <c r="J2100" s="697"/>
      <c r="M2100" s="329"/>
      <c r="N2100" s="685"/>
      <c r="O2100" s="593"/>
      <c r="Q2100" s="685"/>
      <c r="S2100" s="329"/>
      <c r="T2100" s="593"/>
      <c r="Z2100" s="329"/>
      <c r="AA2100" s="589"/>
    </row>
    <row r="2101" spans="7:27">
      <c r="G2101" s="589"/>
      <c r="I2101" s="329"/>
      <c r="J2101" s="697"/>
      <c r="M2101" s="329"/>
      <c r="N2101" s="685"/>
      <c r="O2101" s="593"/>
      <c r="Q2101" s="685"/>
      <c r="S2101" s="329"/>
      <c r="T2101" s="593"/>
      <c r="Z2101" s="329"/>
      <c r="AA2101" s="589"/>
    </row>
  </sheetData>
  <sheetProtection password="E3F0" sheet="1"/>
  <mergeCells count="3">
    <mergeCell ref="B1149:B1150"/>
    <mergeCell ref="C1149:C1150"/>
    <mergeCell ref="D1149:D1150"/>
  </mergeCells>
  <phoneticPr fontId="75" type="noConversion"/>
  <pageMargins left="0.75" right="0.75" top="1" bottom="1" header="0.5" footer="0.5"/>
  <pageSetup paperSize="9"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indexed="22"/>
  </sheetPr>
  <dimension ref="A1:P40"/>
  <sheetViews>
    <sheetView showGridLines="0" showRuler="0" view="pageLayout" topLeftCell="A7" zoomScaleNormal="85" workbookViewId="0">
      <selection activeCell="C10" sqref="C10:D10"/>
    </sheetView>
  </sheetViews>
  <sheetFormatPr defaultColWidth="8.83203125" defaultRowHeight="15" zeroHeight="1"/>
  <cols>
    <col min="1" max="1" width="4.83203125" style="87" customWidth="1"/>
    <col min="2" max="2" width="63.83203125" style="85" customWidth="1"/>
    <col min="3" max="3" width="8" style="87" customWidth="1"/>
    <col min="4" max="4" width="29.83203125" style="85" customWidth="1"/>
    <col min="5" max="5" width="17.83203125" style="85" customWidth="1"/>
    <col min="6" max="6" width="7.83203125" style="85" customWidth="1"/>
    <col min="7" max="7" width="12.33203125" style="85" customWidth="1"/>
    <col min="8" max="8" width="18.83203125" style="85" customWidth="1"/>
    <col min="9" max="9" width="0.83203125" style="85" customWidth="1"/>
    <col min="10" max="10" width="5.83203125" style="85" customWidth="1"/>
    <col min="11" max="11" width="7.33203125" style="85" customWidth="1"/>
    <col min="12" max="12" width="95.83203125" style="85" customWidth="1"/>
    <col min="13" max="16384" width="8.83203125" style="85"/>
  </cols>
  <sheetData>
    <row r="1" spans="1:11" ht="18.75">
      <c r="A1" s="2009" t="s">
        <v>3557</v>
      </c>
      <c r="B1" s="2009"/>
      <c r="C1" s="2009"/>
      <c r="D1" s="2009"/>
      <c r="E1" s="2009"/>
      <c r="F1" s="2009"/>
      <c r="G1" s="2009"/>
      <c r="H1" s="2009"/>
    </row>
    <row r="2" spans="1:11" ht="15.75">
      <c r="A2" s="2030" t="s">
        <v>489</v>
      </c>
      <c r="B2" s="2030"/>
      <c r="C2" s="2030"/>
      <c r="D2" s="2030"/>
      <c r="E2" s="2030"/>
      <c r="F2" s="2030"/>
      <c r="G2" s="2030"/>
      <c r="H2" s="2030"/>
    </row>
    <row r="3" spans="1:11" ht="5.0999999999999996" customHeight="1">
      <c r="A3" s="1253"/>
      <c r="B3" s="157"/>
      <c r="C3" s="549"/>
      <c r="D3" s="157"/>
      <c r="E3" s="157"/>
      <c r="F3" s="550"/>
    </row>
    <row r="4" spans="1:11" ht="38.25" customHeight="1">
      <c r="A4" s="518" t="s">
        <v>6345</v>
      </c>
      <c r="B4" s="518" t="s">
        <v>3311</v>
      </c>
      <c r="C4" s="520" t="s">
        <v>3312</v>
      </c>
      <c r="D4" s="520" t="s">
        <v>3313</v>
      </c>
      <c r="E4" s="520" t="s">
        <v>4391</v>
      </c>
      <c r="F4" s="158" t="s">
        <v>807</v>
      </c>
      <c r="G4" s="158" t="s">
        <v>808</v>
      </c>
      <c r="H4" s="158" t="s">
        <v>3315</v>
      </c>
    </row>
    <row r="5" spans="1:11" ht="18" customHeight="1">
      <c r="A5" s="521" t="s">
        <v>5284</v>
      </c>
      <c r="B5" s="522" t="s">
        <v>3316</v>
      </c>
      <c r="C5" s="535" t="s">
        <v>3317</v>
      </c>
      <c r="D5" s="1117" t="s">
        <v>841</v>
      </c>
      <c r="E5" s="1126">
        <f>SUM(E6:E7)</f>
        <v>974281905</v>
      </c>
      <c r="F5" s="1126"/>
      <c r="G5" s="1126">
        <f>SUM(G6:G7)</f>
        <v>97428191</v>
      </c>
      <c r="H5" s="1126">
        <f>SUM(H6:H7)</f>
        <v>1071710096</v>
      </c>
    </row>
    <row r="6" spans="1:11" ht="18" customHeight="1">
      <c r="A6" s="1103" t="s">
        <v>1237</v>
      </c>
      <c r="B6" s="536" t="s">
        <v>2571</v>
      </c>
      <c r="C6" s="1104" t="s">
        <v>5665</v>
      </c>
      <c r="D6" s="525" t="s">
        <v>420</v>
      </c>
      <c r="E6" s="1132">
        <f>ROUND('II.2.1.vtHA'!J12,0)</f>
        <v>555734577</v>
      </c>
      <c r="F6" s="1124" t="s">
        <v>5279</v>
      </c>
      <c r="G6" s="1132">
        <f>ROUND(E6*10%,0)</f>
        <v>55573458</v>
      </c>
      <c r="H6" s="1132">
        <f>E6+G6</f>
        <v>611308035</v>
      </c>
    </row>
    <row r="7" spans="1:11" s="135" customFormat="1" ht="15.95" customHeight="1">
      <c r="A7" s="1103" t="s">
        <v>154</v>
      </c>
      <c r="B7" s="536" t="s">
        <v>5168</v>
      </c>
      <c r="C7" s="1104" t="s">
        <v>5666</v>
      </c>
      <c r="D7" s="525"/>
      <c r="E7" s="1132">
        <f>SUM(E8:E9)</f>
        <v>418547328</v>
      </c>
      <c r="F7" s="1124" t="s">
        <v>5279</v>
      </c>
      <c r="G7" s="1132">
        <f>ROUND(E7*10%,0)</f>
        <v>41854733</v>
      </c>
      <c r="H7" s="1132">
        <f>E7+G7</f>
        <v>460402061</v>
      </c>
      <c r="I7" s="85"/>
      <c r="J7" s="85"/>
      <c r="K7" s="85"/>
    </row>
    <row r="8" spans="1:11" s="264" customFormat="1">
      <c r="A8" s="524">
        <v>1</v>
      </c>
      <c r="B8" s="527" t="s">
        <v>5169</v>
      </c>
      <c r="C8" s="528"/>
      <c r="D8" s="525" t="s">
        <v>4481</v>
      </c>
      <c r="E8" s="865">
        <f>ROUND('II.2.2.xdHA'!J16,0)</f>
        <v>132000954</v>
      </c>
      <c r="F8" s="1124" t="s">
        <v>5279</v>
      </c>
      <c r="G8" s="865">
        <f>ROUND(E8*10%,0)</f>
        <v>13200095</v>
      </c>
      <c r="H8" s="865">
        <f>E8+G8</f>
        <v>145201049</v>
      </c>
      <c r="I8" s="260"/>
      <c r="J8" s="260"/>
      <c r="K8" s="260"/>
    </row>
    <row r="9" spans="1:11" s="264" customFormat="1">
      <c r="A9" s="524">
        <v>2</v>
      </c>
      <c r="B9" s="527" t="s">
        <v>3479</v>
      </c>
      <c r="C9" s="528"/>
      <c r="D9" s="525" t="s">
        <v>276</v>
      </c>
      <c r="E9" s="865">
        <f>ROUND('II.2.3.ldvlHA'!J17,0)</f>
        <v>286546374</v>
      </c>
      <c r="F9" s="1124" t="s">
        <v>5279</v>
      </c>
      <c r="G9" s="865">
        <f>ROUND(E9*10%,0)</f>
        <v>28654637</v>
      </c>
      <c r="H9" s="865">
        <f>E9+G9</f>
        <v>315201011</v>
      </c>
      <c r="I9" s="260"/>
      <c r="J9" s="260"/>
      <c r="K9" s="260"/>
    </row>
    <row r="10" spans="1:11" ht="18" customHeight="1">
      <c r="A10" s="521" t="s">
        <v>1233</v>
      </c>
      <c r="B10" s="522" t="s">
        <v>5280</v>
      </c>
      <c r="C10" s="535" t="s">
        <v>5281</v>
      </c>
      <c r="D10" s="1117" t="s">
        <v>842</v>
      </c>
      <c r="E10" s="1126">
        <f>E11+E14</f>
        <v>0</v>
      </c>
      <c r="F10" s="1126"/>
      <c r="G10" s="1126">
        <f>G11+G14</f>
        <v>0</v>
      </c>
      <c r="H10" s="1126">
        <f>E10+G10</f>
        <v>0</v>
      </c>
    </row>
    <row r="11" spans="1:11" s="135" customFormat="1" ht="15.75">
      <c r="A11" s="539" t="s">
        <v>1238</v>
      </c>
      <c r="B11" s="536" t="s">
        <v>1234</v>
      </c>
      <c r="C11" s="1105" t="s">
        <v>5667</v>
      </c>
      <c r="D11" s="525"/>
      <c r="E11" s="1132">
        <f>SUM(E12:E13)</f>
        <v>0</v>
      </c>
      <c r="F11" s="1133"/>
      <c r="G11" s="1132">
        <f>SUM(G12:G13)</f>
        <v>0</v>
      </c>
      <c r="H11" s="1132">
        <f>SUM(H12:H13)</f>
        <v>0</v>
      </c>
      <c r="I11" s="85"/>
      <c r="J11" s="85"/>
      <c r="K11" s="85"/>
    </row>
    <row r="12" spans="1:11" s="135" customFormat="1">
      <c r="A12" s="524">
        <v>1</v>
      </c>
      <c r="B12" s="527" t="s">
        <v>4480</v>
      </c>
      <c r="C12" s="540"/>
      <c r="D12" s="525" t="s">
        <v>6106</v>
      </c>
      <c r="E12" s="865">
        <f>ROUND('II.2.5.nc+mtcHA'!J39,0)</f>
        <v>0</v>
      </c>
      <c r="F12" s="1124" t="s">
        <v>5279</v>
      </c>
      <c r="G12" s="865">
        <f>ROUND(E12*10%,0)</f>
        <v>0</v>
      </c>
      <c r="H12" s="865">
        <f>E12+G12</f>
        <v>0</v>
      </c>
      <c r="I12" s="85"/>
      <c r="J12" s="85"/>
      <c r="K12" s="85"/>
    </row>
    <row r="13" spans="1:11" s="135" customFormat="1">
      <c r="A13" s="524">
        <v>2</v>
      </c>
      <c r="B13" s="527" t="s">
        <v>806</v>
      </c>
      <c r="C13" s="540"/>
      <c r="D13" s="525"/>
      <c r="E13" s="865"/>
      <c r="F13" s="1124" t="s">
        <v>5279</v>
      </c>
      <c r="G13" s="865"/>
      <c r="H13" s="865">
        <f>E13+G13</f>
        <v>0</v>
      </c>
      <c r="I13" s="85"/>
      <c r="J13" s="85"/>
      <c r="K13" s="85"/>
    </row>
    <row r="14" spans="1:11" s="135" customFormat="1" ht="15.75">
      <c r="A14" s="539" t="s">
        <v>1239</v>
      </c>
      <c r="B14" s="536" t="s">
        <v>994</v>
      </c>
      <c r="C14" s="1105" t="s">
        <v>5668</v>
      </c>
      <c r="D14" s="525"/>
      <c r="E14" s="1132">
        <f>SUM(E15:E16)</f>
        <v>0</v>
      </c>
      <c r="F14" s="1134"/>
      <c r="G14" s="1132">
        <f>SUM(G15:G16)</f>
        <v>0</v>
      </c>
      <c r="H14" s="1132">
        <f>SUM(H15:H16)</f>
        <v>0</v>
      </c>
      <c r="I14" s="85"/>
      <c r="J14" s="85"/>
      <c r="K14" s="85"/>
    </row>
    <row r="15" spans="1:11" s="135" customFormat="1">
      <c r="A15" s="524">
        <v>1</v>
      </c>
      <c r="B15" s="527" t="s">
        <v>3796</v>
      </c>
      <c r="C15" s="540"/>
      <c r="D15" s="525" t="s">
        <v>275</v>
      </c>
      <c r="E15" s="865">
        <f>ROUND('II.2.4.ldtbHA'!J17,0)</f>
        <v>0</v>
      </c>
      <c r="F15" s="1124" t="s">
        <v>5279</v>
      </c>
      <c r="G15" s="865">
        <f>ROUND(E15*10%,0)</f>
        <v>0</v>
      </c>
      <c r="H15" s="865">
        <f>E15+G15</f>
        <v>0</v>
      </c>
      <c r="I15" s="85"/>
      <c r="J15" s="85"/>
      <c r="K15" s="85"/>
    </row>
    <row r="16" spans="1:11" s="135" customFormat="1">
      <c r="A16" s="524">
        <v>2</v>
      </c>
      <c r="B16" s="527" t="s">
        <v>1524</v>
      </c>
      <c r="C16" s="540"/>
      <c r="D16" s="525"/>
      <c r="E16" s="865"/>
      <c r="F16" s="1124"/>
      <c r="G16" s="865"/>
      <c r="H16" s="865">
        <f>E16+G16</f>
        <v>0</v>
      </c>
      <c r="I16" s="85"/>
      <c r="J16" s="85"/>
      <c r="K16" s="85"/>
    </row>
    <row r="17" spans="1:16" ht="18" customHeight="1">
      <c r="A17" s="521" t="s">
        <v>4085</v>
      </c>
      <c r="B17" s="522" t="s">
        <v>1784</v>
      </c>
      <c r="C17" s="535" t="s">
        <v>513</v>
      </c>
      <c r="D17" s="1117" t="str">
        <f>K17&amp;"% x (GXD+ GTB)"</f>
        <v>3,453% x (GXD+ GTB)</v>
      </c>
      <c r="E17" s="1126">
        <f>ROUND(K17%*(E5+E10),0)</f>
        <v>33641954</v>
      </c>
      <c r="F17" s="1135" t="s">
        <v>5279</v>
      </c>
      <c r="G17" s="1136">
        <f>ROUND(E17*10%,0)</f>
        <v>3364195</v>
      </c>
      <c r="H17" s="1132">
        <f>E17+G17</f>
        <v>37006149</v>
      </c>
      <c r="K17" s="89">
        <f>'Noi suy'!O22</f>
        <v>3.4529999999999998</v>
      </c>
      <c r="L17" s="85" t="s">
        <v>325</v>
      </c>
    </row>
    <row r="18" spans="1:16" ht="18" customHeight="1">
      <c r="A18" s="521" t="s">
        <v>4065</v>
      </c>
      <c r="B18" s="522" t="s">
        <v>512</v>
      </c>
      <c r="C18" s="535" t="s">
        <v>514</v>
      </c>
      <c r="D18" s="526"/>
      <c r="E18" s="1126">
        <f>SUM(E19:E27)</f>
        <v>126646613</v>
      </c>
      <c r="F18" s="1124" t="s">
        <v>5279</v>
      </c>
      <c r="G18" s="1126">
        <f>SUM(G19:G27)</f>
        <v>12664662</v>
      </c>
      <c r="H18" s="1126">
        <f>SUM(H19:H27)</f>
        <v>139311275</v>
      </c>
    </row>
    <row r="19" spans="1:16" s="135" customFormat="1" ht="15.95" customHeight="1">
      <c r="A19" s="524">
        <v>1</v>
      </c>
      <c r="B19" s="864" t="s">
        <v>4341</v>
      </c>
      <c r="C19" s="528" t="s">
        <v>763</v>
      </c>
      <c r="D19" s="1110" t="s">
        <v>3647</v>
      </c>
      <c r="E19" s="865">
        <f>ROUND('II.9.tuvan'!M23/1.1,0)</f>
        <v>36876291</v>
      </c>
      <c r="F19" s="1124" t="s">
        <v>5279</v>
      </c>
      <c r="G19" s="865">
        <f t="shared" ref="G19:G27" si="0">ROUND(E19*10%,0)</f>
        <v>3687629</v>
      </c>
      <c r="H19" s="865">
        <f t="shared" ref="H19:H27" si="1">E19+G19</f>
        <v>40563920</v>
      </c>
      <c r="I19" s="85"/>
      <c r="J19" s="85"/>
      <c r="K19" s="85"/>
    </row>
    <row r="20" spans="1:16" s="135" customFormat="1" ht="15.95" customHeight="1">
      <c r="A20" s="524">
        <v>2</v>
      </c>
      <c r="B20" s="864" t="s">
        <v>13</v>
      </c>
      <c r="C20" s="528" t="s">
        <v>629</v>
      </c>
      <c r="D20" s="1110" t="s">
        <v>3647</v>
      </c>
      <c r="E20" s="865">
        <f>ROUND('II.9.tuvan'!M53/1.1,0)</f>
        <v>43647829</v>
      </c>
      <c r="F20" s="1124" t="s">
        <v>5279</v>
      </c>
      <c r="G20" s="865">
        <f t="shared" si="0"/>
        <v>4364783</v>
      </c>
      <c r="H20" s="865">
        <f t="shared" si="1"/>
        <v>48012612</v>
      </c>
      <c r="I20" s="85"/>
      <c r="J20" s="85"/>
      <c r="K20" s="1241">
        <f>'Noi suy'!G58</f>
        <v>4.4800000000000004</v>
      </c>
      <c r="L20" s="260" t="s">
        <v>1516</v>
      </c>
    </row>
    <row r="21" spans="1:16" s="135" customFormat="1" ht="15.95" customHeight="1">
      <c r="A21" s="524">
        <v>3</v>
      </c>
      <c r="B21" s="529" t="s">
        <v>1517</v>
      </c>
      <c r="C21" s="528" t="s">
        <v>764</v>
      </c>
      <c r="D21" s="1111" t="str">
        <f>K21&amp;"% x GXD"</f>
        <v>0,29% x GXD</v>
      </c>
      <c r="E21" s="865">
        <f>ROUND(K21%*($E$5),0)</f>
        <v>2825418</v>
      </c>
      <c r="F21" s="1124" t="s">
        <v>5279</v>
      </c>
      <c r="G21" s="865">
        <f t="shared" si="0"/>
        <v>282542</v>
      </c>
      <c r="H21" s="865">
        <f t="shared" si="1"/>
        <v>3107960</v>
      </c>
      <c r="J21" s="85"/>
      <c r="K21" s="1189">
        <f>'Noi suy'!N166</f>
        <v>0.28999999999999998</v>
      </c>
      <c r="L21" s="85" t="s">
        <v>1518</v>
      </c>
    </row>
    <row r="22" spans="1:16" s="135" customFormat="1" ht="15.95" customHeight="1">
      <c r="A22" s="524">
        <v>4</v>
      </c>
      <c r="B22" s="529" t="s">
        <v>1519</v>
      </c>
      <c r="C22" s="528" t="s">
        <v>765</v>
      </c>
      <c r="D22" s="1111" t="str">
        <f>K22&amp;"% x GXD"</f>
        <v>0,282% x GXD</v>
      </c>
      <c r="E22" s="865">
        <f>ROUND(K22%*($E$5),0)</f>
        <v>2747475</v>
      </c>
      <c r="F22" s="1124" t="s">
        <v>5279</v>
      </c>
      <c r="G22" s="865">
        <f t="shared" si="0"/>
        <v>274748</v>
      </c>
      <c r="H22" s="865">
        <f t="shared" si="1"/>
        <v>3022223</v>
      </c>
      <c r="J22" s="85"/>
      <c r="K22" s="89">
        <f>'Noi suy'!N178</f>
        <v>0.28199999999999997</v>
      </c>
      <c r="L22" s="85" t="s">
        <v>4025</v>
      </c>
    </row>
    <row r="23" spans="1:16" s="135" customFormat="1" ht="15.95" customHeight="1">
      <c r="A23" s="524">
        <v>5</v>
      </c>
      <c r="B23" s="529" t="s">
        <v>5224</v>
      </c>
      <c r="C23" s="528" t="s">
        <v>1438</v>
      </c>
      <c r="D23" s="1190" t="str">
        <f>K23&amp;"% x GTV"</f>
        <v>0,816% x GTV</v>
      </c>
      <c r="E23" s="865">
        <f>ROUND(K23%*E37,0)</f>
        <v>1022983</v>
      </c>
      <c r="F23" s="1124" t="s">
        <v>5279</v>
      </c>
      <c r="G23" s="865">
        <f t="shared" si="0"/>
        <v>102298</v>
      </c>
      <c r="H23" s="865">
        <f t="shared" si="1"/>
        <v>1125281</v>
      </c>
      <c r="J23" s="85"/>
      <c r="K23" s="89">
        <f>'Noi suy'!J189</f>
        <v>0.81599999999999995</v>
      </c>
      <c r="L23" s="85" t="s">
        <v>5227</v>
      </c>
    </row>
    <row r="24" spans="1:16" s="135" customFormat="1" ht="15.95" customHeight="1">
      <c r="A24" s="524">
        <v>6</v>
      </c>
      <c r="B24" s="529" t="s">
        <v>5225</v>
      </c>
      <c r="C24" s="528" t="s">
        <v>766</v>
      </c>
      <c r="D24" s="1111" t="str">
        <f>K24&amp;"% x GXD"</f>
        <v>0,549% x GXD</v>
      </c>
      <c r="E24" s="865">
        <f>ROUND(K24%*($E$5),0)</f>
        <v>5348808</v>
      </c>
      <c r="F24" s="1124" t="s">
        <v>5279</v>
      </c>
      <c r="G24" s="865">
        <f t="shared" si="0"/>
        <v>534881</v>
      </c>
      <c r="H24" s="865">
        <f t="shared" si="1"/>
        <v>5883689</v>
      </c>
      <c r="J24" s="85"/>
      <c r="K24" s="89">
        <f>'Noi suy'!K198</f>
        <v>0.54900000000000004</v>
      </c>
      <c r="L24" s="85" t="s">
        <v>4026</v>
      </c>
    </row>
    <row r="25" spans="1:16" s="135" customFormat="1" ht="15.95" customHeight="1">
      <c r="A25" s="524">
        <v>7</v>
      </c>
      <c r="B25" s="529" t="s">
        <v>4027</v>
      </c>
      <c r="C25" s="528" t="s">
        <v>626</v>
      </c>
      <c r="D25" s="1111" t="str">
        <f>K25&amp;"% x GTB"</f>
        <v>0,549% x GTB</v>
      </c>
      <c r="E25" s="865">
        <f>ROUND(K25%*($E$10),0)</f>
        <v>0</v>
      </c>
      <c r="F25" s="1124" t="s">
        <v>5279</v>
      </c>
      <c r="G25" s="865">
        <f t="shared" si="0"/>
        <v>0</v>
      </c>
      <c r="H25" s="865">
        <f t="shared" si="1"/>
        <v>0</v>
      </c>
      <c r="J25" s="85"/>
      <c r="K25" s="89">
        <f>'Noi suy'!K210</f>
        <v>0.54900000000000004</v>
      </c>
      <c r="L25" s="85" t="s">
        <v>4028</v>
      </c>
    </row>
    <row r="26" spans="1:16" s="135" customFormat="1" ht="15.95" customHeight="1">
      <c r="A26" s="524">
        <v>8</v>
      </c>
      <c r="B26" s="529" t="s">
        <v>5771</v>
      </c>
      <c r="C26" s="528" t="s">
        <v>627</v>
      </c>
      <c r="D26" s="1111" t="str">
        <f>K26&amp;"% x GXD"</f>
        <v>3,508% x GXD</v>
      </c>
      <c r="E26" s="865">
        <f>ROUND(K26%*($E$5),0)</f>
        <v>34177809</v>
      </c>
      <c r="F26" s="1124" t="s">
        <v>5279</v>
      </c>
      <c r="G26" s="865">
        <f t="shared" si="0"/>
        <v>3417781</v>
      </c>
      <c r="H26" s="865">
        <f t="shared" si="1"/>
        <v>37595590</v>
      </c>
      <c r="J26" s="85"/>
      <c r="K26" s="89">
        <f>'Noi suy'!N222</f>
        <v>3.508</v>
      </c>
      <c r="L26" s="85" t="s">
        <v>4029</v>
      </c>
    </row>
    <row r="27" spans="1:16" s="135" customFormat="1" ht="15.95" customHeight="1">
      <c r="A27" s="524">
        <v>9</v>
      </c>
      <c r="B27" s="529" t="s">
        <v>5772</v>
      </c>
      <c r="C27" s="528" t="s">
        <v>628</v>
      </c>
      <c r="D27" s="1111" t="str">
        <f>K27&amp;"% x GTB"</f>
        <v>1,147% x GTB</v>
      </c>
      <c r="E27" s="865">
        <f>ROUND(K27%*($E$10),0)</f>
        <v>0</v>
      </c>
      <c r="F27" s="1124" t="s">
        <v>5279</v>
      </c>
      <c r="G27" s="865">
        <f t="shared" si="0"/>
        <v>0</v>
      </c>
      <c r="H27" s="865">
        <f t="shared" si="1"/>
        <v>0</v>
      </c>
      <c r="J27" s="85"/>
      <c r="K27" s="89">
        <f>'Noi suy'!N234</f>
        <v>1.147</v>
      </c>
      <c r="L27" s="85" t="s">
        <v>4030</v>
      </c>
    </row>
    <row r="28" spans="1:16" s="135" customFormat="1" ht="18" customHeight="1">
      <c r="A28" s="521" t="s">
        <v>173</v>
      </c>
      <c r="B28" s="541" t="s">
        <v>3304</v>
      </c>
      <c r="C28" s="535" t="s">
        <v>5282</v>
      </c>
      <c r="D28" s="542"/>
      <c r="E28" s="1126">
        <f>SUM(E29:E34)</f>
        <v>97365247</v>
      </c>
      <c r="F28" s="1137"/>
      <c r="G28" s="1138">
        <f>SUM(G29:G34)</f>
        <v>8649782</v>
      </c>
      <c r="H28" s="1138">
        <f>SUM(H29:H34)</f>
        <v>106015029</v>
      </c>
      <c r="J28" s="85"/>
      <c r="K28" s="260"/>
      <c r="L28" s="119"/>
    </row>
    <row r="29" spans="1:16" s="135" customFormat="1">
      <c r="A29" s="524">
        <v>1</v>
      </c>
      <c r="B29" s="527" t="s">
        <v>5773</v>
      </c>
      <c r="C29" s="528" t="s">
        <v>630</v>
      </c>
      <c r="D29" s="526" t="str">
        <f>K29&amp;"% x (GXD+ GTB)"</f>
        <v>0,35% x (GXD+ GTB)</v>
      </c>
      <c r="E29" s="865">
        <f>ROUND(K29%*(E5+E10),0)</f>
        <v>3409987</v>
      </c>
      <c r="F29" s="1124" t="s">
        <v>5279</v>
      </c>
      <c r="G29" s="865">
        <f>ROUND(E29*10%,0)</f>
        <v>340999</v>
      </c>
      <c r="H29" s="865">
        <f>E29+G29</f>
        <v>3750986</v>
      </c>
      <c r="J29" s="85"/>
      <c r="K29" s="89">
        <f>'II.1.ThopTA'!K29</f>
        <v>0.35</v>
      </c>
      <c r="L29" s="85" t="s">
        <v>4521</v>
      </c>
    </row>
    <row r="30" spans="1:16" s="135" customFormat="1">
      <c r="A30" s="524">
        <v>2</v>
      </c>
      <c r="B30" s="527" t="s">
        <v>469</v>
      </c>
      <c r="C30" s="528" t="s">
        <v>631</v>
      </c>
      <c r="D30" s="526" t="str">
        <f>K30&amp;"% x TMĐT"</f>
        <v>0,821% x TMĐT</v>
      </c>
      <c r="E30" s="865">
        <f>ROUND(K30%*E40,0)</f>
        <v>10867440</v>
      </c>
      <c r="F30" s="1124"/>
      <c r="G30" s="865"/>
      <c r="H30" s="865">
        <f>E30</f>
        <v>10867440</v>
      </c>
      <c r="J30" s="85"/>
      <c r="K30" s="922">
        <f>'Noi suy'!J343</f>
        <v>0.82099999999999995</v>
      </c>
      <c r="L30" s="85" t="s">
        <v>3241</v>
      </c>
    </row>
    <row r="31" spans="1:16" s="135" customFormat="1">
      <c r="A31" s="524">
        <v>3</v>
      </c>
      <c r="B31" s="530" t="s">
        <v>470</v>
      </c>
      <c r="C31" s="528" t="s">
        <v>632</v>
      </c>
      <c r="D31" s="526" t="str">
        <f>K31&amp;"% x TMĐT"</f>
        <v>1,375% x TMĐT</v>
      </c>
      <c r="E31" s="865">
        <f>ROUND(K31%*E40,0)</f>
        <v>18200645</v>
      </c>
      <c r="F31" s="1124" t="s">
        <v>5279</v>
      </c>
      <c r="G31" s="865">
        <f>ROUND(E31*10%,0)</f>
        <v>1820065</v>
      </c>
      <c r="H31" s="865">
        <f>E31+G31</f>
        <v>20020710</v>
      </c>
      <c r="J31" s="85"/>
      <c r="K31" s="922">
        <f>'Noi suy'!J350</f>
        <v>1.375</v>
      </c>
      <c r="L31" s="85" t="s">
        <v>3241</v>
      </c>
    </row>
    <row r="32" spans="1:16" s="264" customFormat="1" ht="15.95" customHeight="1">
      <c r="A32" s="524">
        <v>4</v>
      </c>
      <c r="B32" s="530" t="s">
        <v>5525</v>
      </c>
      <c r="C32" s="538" t="s">
        <v>5528</v>
      </c>
      <c r="D32" s="526" t="str">
        <f>K32&amp;"% x (GXD+GLTTB)"</f>
        <v>2% x (GXD+GLTTB)</v>
      </c>
      <c r="E32" s="865">
        <f>ROUND(2%*(E5+E14),0)</f>
        <v>19485638</v>
      </c>
      <c r="F32" s="1124" t="s">
        <v>5279</v>
      </c>
      <c r="G32" s="865">
        <f>ROUND(E32*10%,0)</f>
        <v>1948564</v>
      </c>
      <c r="H32" s="865">
        <f>E32+G32</f>
        <v>21434202</v>
      </c>
      <c r="I32" s="260"/>
      <c r="J32" s="260"/>
      <c r="K32" s="922">
        <v>2</v>
      </c>
      <c r="L32" s="85" t="s">
        <v>3242</v>
      </c>
      <c r="M32" s="135"/>
      <c r="N32" s="135"/>
      <c r="O32" s="135"/>
      <c r="P32" s="135"/>
    </row>
    <row r="33" spans="1:16" s="264" customFormat="1" ht="15.95" customHeight="1">
      <c r="A33" s="524">
        <v>5</v>
      </c>
      <c r="B33" s="530" t="s">
        <v>4869</v>
      </c>
      <c r="C33" s="538" t="s">
        <v>5529</v>
      </c>
      <c r="D33" s="526" t="str">
        <f>K33&amp;"% x (GXD+GLTTB)"</f>
        <v>2% x (GXD+GLTTB)</v>
      </c>
      <c r="E33" s="865">
        <f>ROUND(2%*(E5+E14),0)</f>
        <v>19485638</v>
      </c>
      <c r="F33" s="1124" t="s">
        <v>5279</v>
      </c>
      <c r="G33" s="865">
        <f>ROUND(E33*10%,0)</f>
        <v>1948564</v>
      </c>
      <c r="H33" s="865">
        <f>E33+G33</f>
        <v>21434202</v>
      </c>
      <c r="I33" s="260"/>
      <c r="J33" s="260"/>
      <c r="K33" s="922">
        <v>2</v>
      </c>
      <c r="L33" s="85" t="s">
        <v>3243</v>
      </c>
      <c r="M33" s="135"/>
      <c r="N33" s="135"/>
      <c r="O33" s="135"/>
      <c r="P33" s="135"/>
    </row>
    <row r="34" spans="1:16" s="135" customFormat="1" ht="15" customHeight="1">
      <c r="A34" s="524">
        <v>6</v>
      </c>
      <c r="B34" s="527" t="s">
        <v>1622</v>
      </c>
      <c r="C34" s="528" t="s">
        <v>1623</v>
      </c>
      <c r="D34" s="526" t="str">
        <f>IF(NL!C54="ĐDHA trên không",K34&amp;"% x 1.4 x GXD",IF(NL!C54="ĐDHA ngầm",J34&amp;"% x 1.5 x GXD","Nhập lại"))</f>
        <v>1,9% x 1.4 x GXD</v>
      </c>
      <c r="E34" s="865">
        <f>ROUND(IF(NL!C54="ĐDHA trên không",K34%*1.4*E5,IF(NL!C54="ĐDHA ngầm",J34%*1.5*E5,"Nhập lại")),0)</f>
        <v>25915899</v>
      </c>
      <c r="F34" s="1124" t="s">
        <v>5279</v>
      </c>
      <c r="G34" s="865">
        <f>ROUND(E34*10%,0)</f>
        <v>2591590</v>
      </c>
      <c r="H34" s="865">
        <f>E34+G34</f>
        <v>28507489</v>
      </c>
      <c r="J34" s="821" t="str">
        <f>IF(NL!U53/1000&lt;=5,"0.54",IF(NL!U53/1000&gt;5,"0.50","Nhập lại"))</f>
        <v>0.54</v>
      </c>
      <c r="K34" s="821">
        <v>1.9</v>
      </c>
      <c r="L34" s="85" t="s">
        <v>1624</v>
      </c>
    </row>
    <row r="35" spans="1:16" s="135" customFormat="1" ht="18" customHeight="1">
      <c r="A35" s="531" t="s">
        <v>3344</v>
      </c>
      <c r="B35" s="543" t="s">
        <v>3305</v>
      </c>
      <c r="C35" s="544" t="s">
        <v>1236</v>
      </c>
      <c r="D35" s="534" t="s">
        <v>1809</v>
      </c>
      <c r="E35" s="1139">
        <f>ROUND(5%*(E5+E10+E17+E18+E28),0)</f>
        <v>61596786</v>
      </c>
      <c r="F35" s="1130"/>
      <c r="G35" s="1139">
        <f>ROUND(5%*(G5+G10+G17+G18+G28),0)</f>
        <v>6105342</v>
      </c>
      <c r="H35" s="1139">
        <f>E35+G35</f>
        <v>67702128</v>
      </c>
      <c r="J35" s="85"/>
      <c r="K35" s="85"/>
      <c r="L35" s="85" t="s">
        <v>4521</v>
      </c>
    </row>
    <row r="36" spans="1:16">
      <c r="C36" s="85"/>
      <c r="D36" s="1196" t="s">
        <v>6330</v>
      </c>
      <c r="E36" s="1197">
        <f>E18</f>
        <v>126646613</v>
      </c>
      <c r="F36" s="2026" t="s">
        <v>6329</v>
      </c>
      <c r="G36" s="2026"/>
    </row>
    <row r="37" spans="1:16">
      <c r="C37" s="85"/>
      <c r="D37" s="1193" t="s">
        <v>4859</v>
      </c>
      <c r="E37" s="1367">
        <v>125365613</v>
      </c>
      <c r="F37" s="2027">
        <f>E36-E37</f>
        <v>1281000</v>
      </c>
      <c r="G37" s="2027"/>
    </row>
    <row r="38" spans="1:16">
      <c r="C38" s="85"/>
      <c r="D38" s="1193"/>
      <c r="E38" s="1199"/>
      <c r="F38" s="1200"/>
      <c r="G38" s="1200"/>
    </row>
    <row r="39" spans="1:16">
      <c r="C39" s="85"/>
      <c r="D39" s="1192" t="s">
        <v>6328</v>
      </c>
      <c r="E39" s="1201">
        <f>E5+E10+E17+E18+E28+E35</f>
        <v>1293532505</v>
      </c>
      <c r="F39" s="2024" t="s">
        <v>6329</v>
      </c>
      <c r="G39" s="2024"/>
    </row>
    <row r="40" spans="1:16">
      <c r="C40" s="85"/>
      <c r="D40" s="1193" t="s">
        <v>6331</v>
      </c>
      <c r="E40" s="1201">
        <v>1323683309</v>
      </c>
      <c r="F40" s="2025">
        <f>E39-E40</f>
        <v>-30150804</v>
      </c>
      <c r="G40" s="2025"/>
    </row>
  </sheetData>
  <mergeCells count="6">
    <mergeCell ref="F39:G39"/>
    <mergeCell ref="F40:G40"/>
    <mergeCell ref="A1:H1"/>
    <mergeCell ref="A2:H2"/>
    <mergeCell ref="F36:G36"/>
    <mergeCell ref="F37:G37"/>
  </mergeCells>
  <phoneticPr fontId="75" type="noConversion"/>
  <printOptions horizontalCentered="1"/>
  <pageMargins left="0.19685039370078741" right="0.19685039370078741" top="0.39370078740157483" bottom="0.19685039370078741" header="0.35433070866141736" footer="0.15748031496062992"/>
  <pageSetup paperSize="9" scale="95" orientation="landscape"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tabColor indexed="22"/>
  </sheetPr>
  <dimension ref="B1:M43"/>
  <sheetViews>
    <sheetView showZeros="0" workbookViewId="0">
      <selection activeCell="C10" sqref="C10:D10"/>
    </sheetView>
  </sheetViews>
  <sheetFormatPr defaultColWidth="0" defaultRowHeight="15" customHeight="1" zeroHeight="1"/>
  <cols>
    <col min="1" max="1" width="3.5" style="85" customWidth="1"/>
    <col min="2" max="2" width="4.83203125" style="87" customWidth="1"/>
    <col min="3" max="3" width="36.83203125" style="85" customWidth="1"/>
    <col min="4" max="4" width="9" style="85" customWidth="1"/>
    <col min="5" max="5" width="35.33203125" style="85" customWidth="1"/>
    <col min="6" max="6" width="12.83203125" style="85" customWidth="1"/>
    <col min="7" max="7" width="11.83203125" style="85" customWidth="1"/>
    <col min="8" max="8" width="11.6640625" style="85" bestFit="1" customWidth="1"/>
    <col min="9" max="9" width="15.83203125" style="85" customWidth="1"/>
    <col min="10" max="10" width="13.83203125" style="85" bestFit="1" customWidth="1"/>
    <col min="11" max="11" width="9.33203125" style="85" customWidth="1"/>
    <col min="12" max="16384" width="0" style="85" hidden="1"/>
  </cols>
  <sheetData>
    <row r="1" spans="2:13"/>
    <row r="2" spans="2:13" ht="18.75">
      <c r="B2" s="2009" t="s">
        <v>2564</v>
      </c>
      <c r="C2" s="2009"/>
      <c r="D2" s="2009"/>
      <c r="E2" s="2009"/>
      <c r="F2" s="2009"/>
      <c r="G2" s="2009"/>
      <c r="H2" s="2009"/>
      <c r="I2" s="2009"/>
      <c r="J2" s="2009"/>
    </row>
    <row r="3" spans="2:13" ht="15.75">
      <c r="B3" s="2030" t="s">
        <v>489</v>
      </c>
      <c r="C3" s="2030"/>
      <c r="D3" s="2030"/>
      <c r="E3" s="2030"/>
      <c r="F3" s="2030"/>
      <c r="G3" s="2030"/>
      <c r="H3" s="2030"/>
      <c r="I3" s="2030"/>
      <c r="J3" s="2030"/>
      <c r="K3" s="106"/>
      <c r="L3" s="106"/>
      <c r="M3" s="106"/>
    </row>
    <row r="4" spans="2:13" ht="15.75">
      <c r="B4" s="1249"/>
      <c r="C4" s="160"/>
      <c r="D4" s="160"/>
      <c r="E4" s="161"/>
      <c r="F4" s="161"/>
      <c r="G4" s="161"/>
      <c r="H4" s="161"/>
      <c r="I4" s="161"/>
      <c r="J4" s="545"/>
    </row>
    <row r="5" spans="2:13">
      <c r="B5" s="2034" t="s">
        <v>6345</v>
      </c>
      <c r="C5" s="2034" t="s">
        <v>1097</v>
      </c>
      <c r="D5" s="2034" t="s">
        <v>1098</v>
      </c>
      <c r="E5" s="2034" t="s">
        <v>5017</v>
      </c>
      <c r="F5" s="2031" t="s">
        <v>3455</v>
      </c>
      <c r="G5" s="2032"/>
      <c r="H5" s="2033"/>
      <c r="I5" s="2034" t="s">
        <v>5676</v>
      </c>
      <c r="J5" s="2034" t="s">
        <v>271</v>
      </c>
    </row>
    <row r="6" spans="2:13" ht="24">
      <c r="B6" s="2035"/>
      <c r="C6" s="2035"/>
      <c r="D6" s="2035"/>
      <c r="E6" s="2035"/>
      <c r="F6" s="551" t="s">
        <v>3456</v>
      </c>
      <c r="G6" s="551" t="s">
        <v>3457</v>
      </c>
      <c r="H6" s="551" t="s">
        <v>6346</v>
      </c>
      <c r="I6" s="2035"/>
      <c r="J6" s="2035"/>
    </row>
    <row r="7" spans="2:13">
      <c r="B7" s="165" t="s">
        <v>5284</v>
      </c>
      <c r="C7" s="166" t="s">
        <v>428</v>
      </c>
      <c r="D7" s="546" t="s">
        <v>5023</v>
      </c>
      <c r="E7" s="170" t="s">
        <v>843</v>
      </c>
      <c r="F7" s="1140">
        <f>SUM(F8:F11)</f>
        <v>555734577</v>
      </c>
      <c r="G7" s="1140">
        <f>SUM(G8:G11)</f>
        <v>0</v>
      </c>
      <c r="H7" s="1140">
        <f>SUM(H8:H11)</f>
        <v>555734577</v>
      </c>
      <c r="I7" s="1140">
        <f>SUM(I8:I11)</f>
        <v>0</v>
      </c>
      <c r="J7" s="1140">
        <f>SUM(J8:J11)</f>
        <v>555734577</v>
      </c>
    </row>
    <row r="8" spans="2:13">
      <c r="B8" s="168">
        <v>1</v>
      </c>
      <c r="C8" s="1062" t="s">
        <v>2563</v>
      </c>
      <c r="D8" s="169" t="s">
        <v>5165</v>
      </c>
      <c r="E8" s="169" t="s">
        <v>6106</v>
      </c>
      <c r="F8" s="1141">
        <f>ROUND('II.2.5.nc+mtcHA'!J38,0)</f>
        <v>545044446</v>
      </c>
      <c r="G8" s="1141">
        <f>SUM(G9)</f>
        <v>0</v>
      </c>
      <c r="H8" s="1174">
        <f t="shared" ref="H8:H14" si="0">SUM(F8:G8)</f>
        <v>545044446</v>
      </c>
      <c r="I8" s="1141"/>
      <c r="J8" s="1141">
        <f>SUM(H8:I8)</f>
        <v>545044446</v>
      </c>
    </row>
    <row r="9" spans="2:13">
      <c r="B9" s="168">
        <v>2</v>
      </c>
      <c r="C9" s="1062" t="s">
        <v>2994</v>
      </c>
      <c r="D9" s="169" t="s">
        <v>5164</v>
      </c>
      <c r="E9" s="169" t="s">
        <v>6106</v>
      </c>
      <c r="F9" s="1141">
        <f>ROUND('II.2.5.nc+mtcHA'!K38,0)</f>
        <v>285302</v>
      </c>
      <c r="G9" s="1142"/>
      <c r="H9" s="1152">
        <f t="shared" si="0"/>
        <v>285302</v>
      </c>
      <c r="I9" s="1142"/>
      <c r="J9" s="1141">
        <f t="shared" ref="J9:J14" si="1">SUM(H9:I9)</f>
        <v>285302</v>
      </c>
    </row>
    <row r="10" spans="2:13">
      <c r="B10" s="168">
        <v>3</v>
      </c>
      <c r="C10" s="1062" t="s">
        <v>2995</v>
      </c>
      <c r="D10" s="169" t="s">
        <v>5167</v>
      </c>
      <c r="E10" s="169" t="s">
        <v>6106</v>
      </c>
      <c r="F10" s="1142"/>
      <c r="G10" s="1151"/>
      <c r="H10" s="1152">
        <f t="shared" si="0"/>
        <v>0</v>
      </c>
      <c r="I10" s="1151"/>
      <c r="J10" s="1141">
        <f t="shared" si="1"/>
        <v>0</v>
      </c>
    </row>
    <row r="11" spans="2:13">
      <c r="B11" s="168">
        <v>4</v>
      </c>
      <c r="C11" s="1062" t="s">
        <v>3478</v>
      </c>
      <c r="D11" s="169" t="s">
        <v>269</v>
      </c>
      <c r="E11" s="169" t="s">
        <v>1908</v>
      </c>
      <c r="F11" s="1142">
        <f>ROUND(vcHA!H11/1.05,0)</f>
        <v>10404829</v>
      </c>
      <c r="G11" s="1151"/>
      <c r="H11" s="1174">
        <f t="shared" si="0"/>
        <v>10404829</v>
      </c>
      <c r="I11" s="1151"/>
      <c r="J11" s="1141">
        <f t="shared" si="1"/>
        <v>10404829</v>
      </c>
    </row>
    <row r="12" spans="2:13">
      <c r="B12" s="173"/>
      <c r="C12" s="174" t="s">
        <v>4063</v>
      </c>
      <c r="D12" s="175" t="s">
        <v>5866</v>
      </c>
      <c r="E12" s="170" t="s">
        <v>5023</v>
      </c>
      <c r="F12" s="1153">
        <f>F7</f>
        <v>555734577</v>
      </c>
      <c r="G12" s="1153">
        <f>G7</f>
        <v>0</v>
      </c>
      <c r="H12" s="1153">
        <f t="shared" si="0"/>
        <v>555734577</v>
      </c>
      <c r="I12" s="1153"/>
      <c r="J12" s="1154">
        <f t="shared" si="1"/>
        <v>555734577</v>
      </c>
    </row>
    <row r="13" spans="2:13">
      <c r="B13" s="170" t="s">
        <v>1233</v>
      </c>
      <c r="C13" s="171" t="s">
        <v>4066</v>
      </c>
      <c r="D13" s="176" t="s">
        <v>4098</v>
      </c>
      <c r="E13" s="170" t="s">
        <v>5867</v>
      </c>
      <c r="F13" s="1144">
        <f>ROUND(F12*10%,0)</f>
        <v>55573458</v>
      </c>
      <c r="G13" s="1144">
        <f>ROUND(G12*10%,0)</f>
        <v>0</v>
      </c>
      <c r="H13" s="1153">
        <f t="shared" si="0"/>
        <v>55573458</v>
      </c>
      <c r="I13" s="1144"/>
      <c r="J13" s="1154">
        <f t="shared" si="1"/>
        <v>55573458</v>
      </c>
    </row>
    <row r="14" spans="2:13">
      <c r="B14" s="167"/>
      <c r="C14" s="171" t="s">
        <v>5163</v>
      </c>
      <c r="D14" s="175" t="s">
        <v>4099</v>
      </c>
      <c r="E14" s="553" t="s">
        <v>5868</v>
      </c>
      <c r="F14" s="1146">
        <f>ROUND(F12+F13,0)</f>
        <v>611308035</v>
      </c>
      <c r="G14" s="1146">
        <f>ROUND(G12+G13,0)</f>
        <v>0</v>
      </c>
      <c r="H14" s="1153">
        <f t="shared" si="0"/>
        <v>611308035</v>
      </c>
      <c r="I14" s="1146"/>
      <c r="J14" s="1175">
        <f t="shared" si="1"/>
        <v>611308035</v>
      </c>
    </row>
    <row r="15" spans="2:13">
      <c r="B15" s="178"/>
      <c r="C15" s="179"/>
      <c r="D15" s="180"/>
      <c r="E15" s="181"/>
      <c r="F15" s="181"/>
      <c r="G15" s="181"/>
      <c r="H15" s="181"/>
      <c r="I15" s="181"/>
      <c r="J15" s="548"/>
    </row>
    <row r="16" spans="2:13">
      <c r="B16" s="1250"/>
      <c r="C16" s="183"/>
      <c r="D16" s="183"/>
      <c r="E16" s="183"/>
      <c r="F16" s="183"/>
      <c r="G16" s="183"/>
      <c r="H16" s="183"/>
      <c r="I16" s="183"/>
      <c r="J16" s="183"/>
    </row>
    <row r="17" spans="2:3" hidden="1">
      <c r="B17" s="87" t="s">
        <v>993</v>
      </c>
    </row>
    <row r="18" spans="2:3" hidden="1">
      <c r="B18" s="87" t="s">
        <v>3797</v>
      </c>
    </row>
    <row r="19" spans="2:3" hidden="1">
      <c r="B19" s="87" t="s">
        <v>1251</v>
      </c>
      <c r="C19" s="772">
        <f>'II.1.1.vlTA'!C28</f>
        <v>0</v>
      </c>
    </row>
    <row r="20" spans="2:3" hidden="1">
      <c r="B20" s="87" t="s">
        <v>1251</v>
      </c>
      <c r="C20" s="773">
        <f>'II.3.2.xdtram'!C24</f>
        <v>1</v>
      </c>
    </row>
    <row r="22" spans="2:3"/>
    <row r="23" spans="2:3"/>
    <row r="24" spans="2:3"/>
    <row r="25" spans="2:3"/>
    <row r="26" spans="2:3"/>
    <row r="27" spans="2:3"/>
    <row r="28" spans="2:3"/>
    <row r="29" spans="2:3"/>
    <row r="30" spans="2:3"/>
    <row r="31" spans="2:3" ht="15" customHeight="1"/>
    <row r="32" spans="2: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sheetData>
  <sheetProtection password="E3F0" sheet="1" objects="1" scenarios="1"/>
  <mergeCells count="9">
    <mergeCell ref="B2:J2"/>
    <mergeCell ref="B3:J3"/>
    <mergeCell ref="B5:B6"/>
    <mergeCell ref="C5:C6"/>
    <mergeCell ref="D5:D6"/>
    <mergeCell ref="E5:E6"/>
    <mergeCell ref="F5:H5"/>
    <mergeCell ref="I5:I6"/>
    <mergeCell ref="J5:J6"/>
  </mergeCells>
  <phoneticPr fontId="152" type="noConversion"/>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22"/>
  </sheetPr>
  <dimension ref="B1:M35"/>
  <sheetViews>
    <sheetView showGridLines="0" showZeros="0" showRuler="0" view="pageLayout" zoomScaleNormal="100" workbookViewId="0">
      <selection activeCell="C10" sqref="C10:D10"/>
    </sheetView>
  </sheetViews>
  <sheetFormatPr defaultColWidth="0" defaultRowHeight="15" customHeight="1" zeroHeight="1"/>
  <cols>
    <col min="1" max="1" width="3.33203125" style="85" customWidth="1"/>
    <col min="2" max="2" width="4.83203125" style="87" customWidth="1"/>
    <col min="3" max="3" width="36.1640625" style="85" customWidth="1"/>
    <col min="4" max="4" width="9.5" style="85" customWidth="1"/>
    <col min="5" max="5" width="32.83203125" style="85" customWidth="1"/>
    <col min="6" max="6" width="12.83203125" style="85" customWidth="1"/>
    <col min="7" max="7" width="11.6640625" style="85" bestFit="1" customWidth="1"/>
    <col min="8" max="8" width="12.83203125" style="85" customWidth="1"/>
    <col min="9" max="9" width="15.83203125" style="85" customWidth="1"/>
    <col min="10" max="10" width="14.83203125" style="85" customWidth="1"/>
    <col min="11" max="11" width="7.83203125" style="85" customWidth="1"/>
    <col min="12" max="16384" width="0" style="85" hidden="1"/>
  </cols>
  <sheetData>
    <row r="1" spans="2:13"/>
    <row r="2" spans="2:13" ht="18.75">
      <c r="B2" s="2009" t="s">
        <v>6107</v>
      </c>
      <c r="C2" s="2009"/>
      <c r="D2" s="2009"/>
      <c r="E2" s="2009"/>
      <c r="F2" s="2009"/>
      <c r="G2" s="2009"/>
      <c r="H2" s="2009"/>
      <c r="I2" s="2009"/>
      <c r="J2" s="2009"/>
    </row>
    <row r="3" spans="2:13" ht="15.75">
      <c r="B3" s="2030" t="s">
        <v>489</v>
      </c>
      <c r="C3" s="2030"/>
      <c r="D3" s="2030"/>
      <c r="E3" s="2030"/>
      <c r="F3" s="2030"/>
      <c r="G3" s="2030"/>
      <c r="H3" s="2030"/>
      <c r="I3" s="2030"/>
      <c r="J3" s="2030"/>
      <c r="K3" s="106"/>
      <c r="L3" s="106"/>
      <c r="M3" s="106"/>
    </row>
    <row r="4" spans="2:13" ht="15.75">
      <c r="B4" s="1249"/>
      <c r="C4" s="160"/>
      <c r="D4" s="160"/>
      <c r="E4" s="161"/>
      <c r="F4" s="161"/>
      <c r="G4" s="161"/>
      <c r="H4" s="161"/>
      <c r="I4" s="161"/>
      <c r="J4" s="545"/>
    </row>
    <row r="5" spans="2:13">
      <c r="B5" s="2034" t="s">
        <v>6345</v>
      </c>
      <c r="C5" s="2034" t="s">
        <v>1097</v>
      </c>
      <c r="D5" s="2034" t="s">
        <v>1098</v>
      </c>
      <c r="E5" s="2034" t="s">
        <v>5017</v>
      </c>
      <c r="F5" s="2031" t="s">
        <v>3455</v>
      </c>
      <c r="G5" s="2032"/>
      <c r="H5" s="2033"/>
      <c r="I5" s="2034" t="s">
        <v>3458</v>
      </c>
      <c r="J5" s="2034" t="s">
        <v>6346</v>
      </c>
    </row>
    <row r="6" spans="2:13" ht="24">
      <c r="B6" s="2035"/>
      <c r="C6" s="2035"/>
      <c r="D6" s="2035"/>
      <c r="E6" s="2035"/>
      <c r="F6" s="551" t="s">
        <v>3456</v>
      </c>
      <c r="G6" s="551" t="s">
        <v>3457</v>
      </c>
      <c r="H6" s="551" t="s">
        <v>6346</v>
      </c>
      <c r="I6" s="2035"/>
      <c r="J6" s="2035"/>
    </row>
    <row r="7" spans="2:13">
      <c r="B7" s="165" t="s">
        <v>5284</v>
      </c>
      <c r="C7" s="166" t="s">
        <v>3148</v>
      </c>
      <c r="D7" s="546" t="s">
        <v>5020</v>
      </c>
      <c r="E7" s="1097" t="s">
        <v>4867</v>
      </c>
      <c r="F7" s="1140">
        <f>SUM(F8:F12)</f>
        <v>118037158</v>
      </c>
      <c r="G7" s="1140">
        <f>SUM(G8:G12)</f>
        <v>0</v>
      </c>
      <c r="H7" s="1140">
        <f>SUM(H8:H12)</f>
        <v>118037158</v>
      </c>
      <c r="I7" s="1140">
        <f>SUM(I8:I12)</f>
        <v>0</v>
      </c>
      <c r="J7" s="1140">
        <f>SUM(J8:J12)</f>
        <v>118037158</v>
      </c>
    </row>
    <row r="8" spans="2:13">
      <c r="B8" s="168">
        <v>1</v>
      </c>
      <c r="C8" s="1062" t="s">
        <v>3149</v>
      </c>
      <c r="D8" s="168" t="s">
        <v>3302</v>
      </c>
      <c r="E8" s="169" t="s">
        <v>6106</v>
      </c>
      <c r="F8" s="1141">
        <f>ROUND('II.2.5.nc+mtcHA'!J37+'II.2.5.nc+mtcHA'!L37,0)</f>
        <v>61666395</v>
      </c>
      <c r="G8" s="1141"/>
      <c r="H8" s="1152">
        <f t="shared" ref="H8:H18" si="0">SUM(F8:G8)</f>
        <v>61666395</v>
      </c>
      <c r="I8" s="1141"/>
      <c r="J8" s="1152">
        <f t="shared" ref="J8:J18" si="1">SUM(H8:I8)</f>
        <v>61666395</v>
      </c>
    </row>
    <row r="9" spans="2:13">
      <c r="B9" s="169">
        <v>2</v>
      </c>
      <c r="C9" s="1099" t="s">
        <v>3150</v>
      </c>
      <c r="D9" s="169" t="s">
        <v>3303</v>
      </c>
      <c r="E9" s="169" t="s">
        <v>6106</v>
      </c>
      <c r="F9" s="1142">
        <f>ROUND('II.2.5.nc+mtcHA'!M37,0)</f>
        <v>55881453</v>
      </c>
      <c r="G9" s="1151"/>
      <c r="H9" s="1152">
        <f t="shared" si="0"/>
        <v>55881453</v>
      </c>
      <c r="I9" s="1151"/>
      <c r="J9" s="1152">
        <f t="shared" si="1"/>
        <v>55881453</v>
      </c>
    </row>
    <row r="10" spans="2:13">
      <c r="B10" s="169"/>
      <c r="C10" s="1099"/>
      <c r="D10" s="169"/>
      <c r="E10" s="547" t="s">
        <v>3625</v>
      </c>
      <c r="F10" s="1308"/>
      <c r="G10" s="1166"/>
      <c r="H10" s="1171">
        <f t="shared" si="0"/>
        <v>0</v>
      </c>
      <c r="I10" s="1166"/>
      <c r="J10" s="1167">
        <f t="shared" si="1"/>
        <v>0</v>
      </c>
    </row>
    <row r="11" spans="2:13">
      <c r="B11" s="169">
        <v>3</v>
      </c>
      <c r="C11" s="1099" t="s">
        <v>5251</v>
      </c>
      <c r="D11" s="169" t="s">
        <v>5022</v>
      </c>
      <c r="E11" s="169" t="s">
        <v>6106</v>
      </c>
      <c r="F11" s="1308">
        <f>ROUND('II.2.5.nc+mtcHA'!N37,0)</f>
        <v>489310</v>
      </c>
      <c r="G11" s="1151"/>
      <c r="H11" s="1152">
        <f t="shared" si="0"/>
        <v>489310</v>
      </c>
      <c r="I11" s="1151"/>
      <c r="J11" s="1152">
        <f t="shared" si="1"/>
        <v>489310</v>
      </c>
    </row>
    <row r="12" spans="2:13">
      <c r="B12" s="169"/>
      <c r="C12" s="1099"/>
      <c r="D12" s="169"/>
      <c r="E12" s="547" t="s">
        <v>3625</v>
      </c>
      <c r="F12" s="1263"/>
      <c r="G12" s="1166"/>
      <c r="H12" s="1171">
        <f t="shared" si="0"/>
        <v>0</v>
      </c>
      <c r="I12" s="1172"/>
      <c r="J12" s="1167">
        <f t="shared" si="1"/>
        <v>0</v>
      </c>
    </row>
    <row r="13" spans="2:13">
      <c r="B13" s="170" t="s">
        <v>1233</v>
      </c>
      <c r="C13" s="171" t="s">
        <v>5252</v>
      </c>
      <c r="D13" s="170" t="s">
        <v>5023</v>
      </c>
      <c r="E13" s="170" t="s">
        <v>5253</v>
      </c>
      <c r="F13" s="1144">
        <f>ROUND(5.5%*F7,0)</f>
        <v>6492044</v>
      </c>
      <c r="G13" s="1144">
        <f>ROUND(5.5%*G7,0)</f>
        <v>0</v>
      </c>
      <c r="H13" s="1169">
        <f t="shared" si="0"/>
        <v>6492044</v>
      </c>
      <c r="I13" s="1144"/>
      <c r="J13" s="1169">
        <f t="shared" si="1"/>
        <v>6492044</v>
      </c>
    </row>
    <row r="14" spans="2:13">
      <c r="B14" s="167"/>
      <c r="C14" s="171" t="s">
        <v>5254</v>
      </c>
      <c r="D14" s="170" t="s">
        <v>5019</v>
      </c>
      <c r="E14" s="172" t="s">
        <v>5255</v>
      </c>
      <c r="F14" s="1145">
        <f>ROUND(F7+F13,0)</f>
        <v>124529202</v>
      </c>
      <c r="G14" s="1145">
        <f>ROUND(G7+G13,0)</f>
        <v>0</v>
      </c>
      <c r="H14" s="1169">
        <f t="shared" si="0"/>
        <v>124529202</v>
      </c>
      <c r="I14" s="1145"/>
      <c r="J14" s="1169">
        <f t="shared" si="1"/>
        <v>124529202</v>
      </c>
    </row>
    <row r="15" spans="2:13">
      <c r="B15" s="170" t="s">
        <v>4085</v>
      </c>
      <c r="C15" s="171" t="s">
        <v>4060</v>
      </c>
      <c r="D15" s="170" t="s">
        <v>4061</v>
      </c>
      <c r="E15" s="170" t="s">
        <v>4062</v>
      </c>
      <c r="F15" s="1144">
        <f>ROUND(6%*(F7+F13),0)</f>
        <v>7471752</v>
      </c>
      <c r="G15" s="1144">
        <f>ROUND(6%*(G7+G13),0)</f>
        <v>0</v>
      </c>
      <c r="H15" s="1169">
        <f t="shared" si="0"/>
        <v>7471752</v>
      </c>
      <c r="I15" s="1144"/>
      <c r="J15" s="1169">
        <f t="shared" si="1"/>
        <v>7471752</v>
      </c>
    </row>
    <row r="16" spans="2:13">
      <c r="B16" s="173"/>
      <c r="C16" s="174" t="s">
        <v>4063</v>
      </c>
      <c r="D16" s="175" t="s">
        <v>5866</v>
      </c>
      <c r="E16" s="170" t="s">
        <v>4064</v>
      </c>
      <c r="F16" s="1144">
        <f>ROUND(F7+F13+F15,0)</f>
        <v>132000954</v>
      </c>
      <c r="G16" s="1144">
        <f>ROUND(G7+G13+G15,0)</f>
        <v>0</v>
      </c>
      <c r="H16" s="1169">
        <f t="shared" si="0"/>
        <v>132000954</v>
      </c>
      <c r="I16" s="1144"/>
      <c r="J16" s="1169">
        <f t="shared" si="1"/>
        <v>132000954</v>
      </c>
    </row>
    <row r="17" spans="2:10">
      <c r="B17" s="170" t="s">
        <v>4065</v>
      </c>
      <c r="C17" s="171" t="s">
        <v>4066</v>
      </c>
      <c r="D17" s="176" t="s">
        <v>4098</v>
      </c>
      <c r="E17" s="170" t="s">
        <v>5867</v>
      </c>
      <c r="F17" s="1144">
        <f>ROUND(F16*10%,0)</f>
        <v>13200095</v>
      </c>
      <c r="G17" s="1144">
        <f>ROUND(G16*10%,0)</f>
        <v>0</v>
      </c>
      <c r="H17" s="1169">
        <f t="shared" si="0"/>
        <v>13200095</v>
      </c>
      <c r="I17" s="1144"/>
      <c r="J17" s="1169">
        <f t="shared" si="1"/>
        <v>13200095</v>
      </c>
    </row>
    <row r="18" spans="2:10">
      <c r="B18" s="167"/>
      <c r="C18" s="171" t="s">
        <v>5148</v>
      </c>
      <c r="D18" s="175" t="s">
        <v>4099</v>
      </c>
      <c r="E18" s="177" t="s">
        <v>5868</v>
      </c>
      <c r="F18" s="1146">
        <f>ROUND(F16+F17,0)</f>
        <v>145201049</v>
      </c>
      <c r="G18" s="1146">
        <f>ROUND(G16+G17,0)</f>
        <v>0</v>
      </c>
      <c r="H18" s="1169">
        <f t="shared" si="0"/>
        <v>145201049</v>
      </c>
      <c r="I18" s="1146"/>
      <c r="J18" s="1173">
        <f t="shared" si="1"/>
        <v>145201049</v>
      </c>
    </row>
    <row r="19" spans="2:10">
      <c r="B19" s="178"/>
      <c r="C19" s="179"/>
      <c r="D19" s="180"/>
      <c r="E19" s="181"/>
      <c r="F19" s="181"/>
      <c r="G19" s="181"/>
      <c r="H19" s="181"/>
      <c r="I19" s="181"/>
      <c r="J19" s="548"/>
    </row>
    <row r="20" spans="2:10">
      <c r="B20" s="1250"/>
      <c r="C20" s="183"/>
      <c r="D20" s="183"/>
      <c r="E20" s="183"/>
      <c r="F20" s="183"/>
      <c r="G20" s="183"/>
      <c r="H20" s="183"/>
      <c r="I20" s="183"/>
      <c r="J20" s="183"/>
    </row>
    <row r="21" spans="2:10" hidden="1">
      <c r="B21" s="87" t="s">
        <v>993</v>
      </c>
    </row>
    <row r="22" spans="2:10" hidden="1">
      <c r="B22" s="87" t="s">
        <v>3797</v>
      </c>
    </row>
    <row r="23" spans="2:10" hidden="1">
      <c r="B23" s="87" t="s">
        <v>1251</v>
      </c>
      <c r="C23" s="877">
        <f>IF(NL!AJ2="","",IF(NL!AJ2=3,NL!J85,IF(NL!AJ2=4,NL!Q85)))</f>
        <v>1</v>
      </c>
    </row>
    <row r="24" spans="2:10" hidden="1">
      <c r="B24" s="87" t="s">
        <v>1251</v>
      </c>
      <c r="C24" s="917">
        <f>IF(NL!AJ2="","",IF(NL!AJ2=3,NL!J87,IF(NL!AJ2=4,NL!Q87)))</f>
        <v>1</v>
      </c>
    </row>
    <row r="26" spans="2:10"/>
    <row r="27" spans="2:10"/>
    <row r="28" spans="2:10"/>
    <row r="29" spans="2:10"/>
    <row r="30" spans="2:10"/>
    <row r="31" spans="2:10"/>
    <row r="32" spans="2:10"/>
    <row r="33"/>
    <row r="34"/>
    <row r="35"/>
  </sheetData>
  <mergeCells count="9">
    <mergeCell ref="B2:J2"/>
    <mergeCell ref="B3:J3"/>
    <mergeCell ref="I5:I6"/>
    <mergeCell ref="J5:J6"/>
    <mergeCell ref="B5:B6"/>
    <mergeCell ref="C5:C6"/>
    <mergeCell ref="D5:D6"/>
    <mergeCell ref="E5:E6"/>
    <mergeCell ref="F5:H5"/>
  </mergeCells>
  <phoneticPr fontId="0" type="noConversion"/>
  <printOptions horizontalCentered="1"/>
  <pageMargins left="0.39370078740157483" right="0.39370078740157483" top="0.39370078740157483" bottom="0.39370078740157483" header="0.51181102362204722" footer="0.51181102362204722"/>
  <pageSetup paperSize="9" firstPageNumber="3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8">
    <tabColor indexed="22"/>
  </sheetPr>
  <dimension ref="B1:M35"/>
  <sheetViews>
    <sheetView showZeros="0" workbookViewId="0">
      <selection activeCell="C10" sqref="C10:D10"/>
    </sheetView>
  </sheetViews>
  <sheetFormatPr defaultColWidth="0" defaultRowHeight="15" customHeight="1" zeroHeight="1"/>
  <cols>
    <col min="1" max="1" width="1.83203125" style="85" customWidth="1"/>
    <col min="2" max="2" width="4.83203125" style="87" customWidth="1"/>
    <col min="3" max="3" width="37" style="85" customWidth="1"/>
    <col min="4" max="4" width="10.5" style="85" customWidth="1"/>
    <col min="5" max="5" width="32.83203125" style="85" customWidth="1"/>
    <col min="6" max="6" width="14.1640625" style="85" customWidth="1"/>
    <col min="7" max="8" width="12.33203125" style="85" customWidth="1"/>
    <col min="9" max="9" width="13.83203125" style="85" customWidth="1"/>
    <col min="10" max="10" width="15.83203125" style="85" customWidth="1"/>
    <col min="11" max="11" width="3.1640625" style="85" customWidth="1"/>
    <col min="12" max="16384" width="0" style="85" hidden="1"/>
  </cols>
  <sheetData>
    <row r="1" spans="2:13"/>
    <row r="2" spans="2:13" ht="18.75">
      <c r="B2" s="2009" t="s">
        <v>3454</v>
      </c>
      <c r="C2" s="2009"/>
      <c r="D2" s="2009"/>
      <c r="E2" s="2009"/>
      <c r="F2" s="2009"/>
      <c r="G2" s="2009"/>
      <c r="H2" s="2009"/>
      <c r="I2" s="2009"/>
      <c r="J2" s="2009"/>
    </row>
    <row r="3" spans="2:13" ht="15.75">
      <c r="B3" s="2030" t="s">
        <v>489</v>
      </c>
      <c r="C3" s="2030"/>
      <c r="D3" s="2030"/>
      <c r="E3" s="2030"/>
      <c r="F3" s="2030"/>
      <c r="G3" s="2030"/>
      <c r="H3" s="2030"/>
      <c r="I3" s="2030"/>
      <c r="J3" s="2030"/>
      <c r="K3" s="106"/>
      <c r="L3" s="106"/>
      <c r="M3" s="106"/>
    </row>
    <row r="4" spans="2:13" ht="15.75">
      <c r="B4" s="1249"/>
      <c r="C4" s="160"/>
      <c r="D4" s="160"/>
      <c r="E4" s="161"/>
      <c r="F4" s="161"/>
      <c r="G4" s="161"/>
      <c r="H4" s="161"/>
      <c r="I4" s="161"/>
      <c r="J4" s="162"/>
    </row>
    <row r="5" spans="2:13" s="900" customFormat="1" ht="15" customHeight="1">
      <c r="B5" s="2041" t="s">
        <v>6345</v>
      </c>
      <c r="C5" s="2041" t="s">
        <v>1097</v>
      </c>
      <c r="D5" s="2041" t="s">
        <v>1098</v>
      </c>
      <c r="E5" s="2041" t="s">
        <v>5017</v>
      </c>
      <c r="F5" s="2038" t="s">
        <v>3455</v>
      </c>
      <c r="G5" s="2039"/>
      <c r="H5" s="2040"/>
      <c r="I5" s="2041" t="s">
        <v>2561</v>
      </c>
      <c r="J5" s="2041" t="s">
        <v>271</v>
      </c>
    </row>
    <row r="6" spans="2:13" s="900" customFormat="1" ht="27" customHeight="1">
      <c r="B6" s="2042"/>
      <c r="C6" s="2042"/>
      <c r="D6" s="2042"/>
      <c r="E6" s="2042"/>
      <c r="F6" s="163" t="s">
        <v>3456</v>
      </c>
      <c r="G6" s="163" t="s">
        <v>2559</v>
      </c>
      <c r="H6" s="209" t="s">
        <v>271</v>
      </c>
      <c r="I6" s="2043"/>
      <c r="J6" s="2042"/>
    </row>
    <row r="7" spans="2:13">
      <c r="B7" s="164" t="s">
        <v>176</v>
      </c>
      <c r="C7" s="164" t="s">
        <v>4275</v>
      </c>
      <c r="D7" s="164" t="s">
        <v>4276</v>
      </c>
      <c r="E7" s="164" t="s">
        <v>5860</v>
      </c>
      <c r="F7" s="164" t="s">
        <v>5861</v>
      </c>
      <c r="G7" s="164" t="s">
        <v>5862</v>
      </c>
      <c r="H7" s="164" t="s">
        <v>1525</v>
      </c>
      <c r="I7" s="164" t="s">
        <v>5864</v>
      </c>
      <c r="J7" s="164" t="s">
        <v>3453</v>
      </c>
    </row>
    <row r="8" spans="2:13">
      <c r="B8" s="165" t="s">
        <v>5284</v>
      </c>
      <c r="C8" s="166" t="s">
        <v>3148</v>
      </c>
      <c r="D8" s="184" t="s">
        <v>5020</v>
      </c>
      <c r="E8" s="1097" t="s">
        <v>4867</v>
      </c>
      <c r="F8" s="1140">
        <f>SUM(F9:F13)</f>
        <v>165707909</v>
      </c>
      <c r="G8" s="1140">
        <f>SUM(G9:G13)</f>
        <v>0</v>
      </c>
      <c r="H8" s="1140">
        <f>SUM(H9:H13)</f>
        <v>165707909</v>
      </c>
      <c r="I8" s="1140">
        <f>SUM(I9:I13)</f>
        <v>0</v>
      </c>
      <c r="J8" s="1140">
        <f>SUM(J9:J13)</f>
        <v>165707909</v>
      </c>
    </row>
    <row r="9" spans="2:13">
      <c r="B9" s="168">
        <v>1</v>
      </c>
      <c r="C9" s="1062" t="s">
        <v>3149</v>
      </c>
      <c r="D9" s="168" t="s">
        <v>3302</v>
      </c>
      <c r="E9" s="168" t="s">
        <v>6106</v>
      </c>
      <c r="F9" s="1141">
        <f>ROUND('II.2.5.nc+mtcHA'!L38,0)</f>
        <v>4535134</v>
      </c>
      <c r="G9" s="1141">
        <v>0</v>
      </c>
      <c r="H9" s="1141">
        <f t="shared" ref="H9:H19" si="0">SUM(F9:G9)</f>
        <v>4535134</v>
      </c>
      <c r="I9" s="1141">
        <v>0</v>
      </c>
      <c r="J9" s="1141">
        <f t="shared" ref="J9:J19" si="1">SUM(H9:I9)</f>
        <v>4535134</v>
      </c>
    </row>
    <row r="10" spans="2:13">
      <c r="B10" s="169">
        <v>2</v>
      </c>
      <c r="C10" s="1099" t="s">
        <v>3150</v>
      </c>
      <c r="D10" s="169" t="s">
        <v>3303</v>
      </c>
      <c r="E10" s="169" t="s">
        <v>95</v>
      </c>
      <c r="F10" s="1308">
        <f>ROUND(90%*'II.2.5.nc+mtcHA'!M38,0)</f>
        <v>160952090</v>
      </c>
      <c r="G10" s="1142"/>
      <c r="H10" s="1142">
        <f t="shared" si="0"/>
        <v>160952090</v>
      </c>
      <c r="I10" s="1142"/>
      <c r="J10" s="1142">
        <f t="shared" si="1"/>
        <v>160952090</v>
      </c>
    </row>
    <row r="11" spans="2:13">
      <c r="B11" s="169"/>
      <c r="C11" s="1099"/>
      <c r="D11" s="169"/>
      <c r="E11" s="547" t="s">
        <v>2570</v>
      </c>
      <c r="F11" s="1143"/>
      <c r="G11" s="1143"/>
      <c r="H11" s="1143">
        <f t="shared" si="0"/>
        <v>0</v>
      </c>
      <c r="I11" s="1143"/>
      <c r="J11" s="1143">
        <f t="shared" si="1"/>
        <v>0</v>
      </c>
    </row>
    <row r="12" spans="2:13">
      <c r="B12" s="169">
        <v>3</v>
      </c>
      <c r="C12" s="1099" t="s">
        <v>5251</v>
      </c>
      <c r="D12" s="169" t="s">
        <v>5022</v>
      </c>
      <c r="E12" s="169" t="s">
        <v>6106</v>
      </c>
      <c r="F12" s="1142">
        <f>ROUND('II.2.5.nc+mtcHA'!N38,0)</f>
        <v>220685</v>
      </c>
      <c r="G12" s="1142"/>
      <c r="H12" s="1142">
        <f t="shared" si="0"/>
        <v>220685</v>
      </c>
      <c r="I12" s="1142"/>
      <c r="J12" s="1142">
        <f t="shared" si="1"/>
        <v>220685</v>
      </c>
    </row>
    <row r="13" spans="2:13">
      <c r="B13" s="169"/>
      <c r="C13" s="1099"/>
      <c r="D13" s="169"/>
      <c r="E13" s="547" t="s">
        <v>2570</v>
      </c>
      <c r="F13" s="1143"/>
      <c r="G13" s="1143"/>
      <c r="H13" s="1143">
        <f t="shared" si="0"/>
        <v>0</v>
      </c>
      <c r="I13" s="1143"/>
      <c r="J13" s="1143">
        <f t="shared" si="1"/>
        <v>0</v>
      </c>
    </row>
    <row r="14" spans="2:13">
      <c r="B14" s="170" t="s">
        <v>1233</v>
      </c>
      <c r="C14" s="171" t="s">
        <v>5252</v>
      </c>
      <c r="D14" s="170" t="s">
        <v>5023</v>
      </c>
      <c r="E14" s="170" t="s">
        <v>5869</v>
      </c>
      <c r="F14" s="1144">
        <f>ROUND(65%*F10,0)</f>
        <v>104618859</v>
      </c>
      <c r="G14" s="1144">
        <f>ROUND(65%*G10,0)</f>
        <v>0</v>
      </c>
      <c r="H14" s="1144">
        <f t="shared" si="0"/>
        <v>104618859</v>
      </c>
      <c r="I14" s="1144">
        <f>ROUND(65%*I10,0)</f>
        <v>0</v>
      </c>
      <c r="J14" s="1144">
        <f t="shared" si="1"/>
        <v>104618859</v>
      </c>
    </row>
    <row r="15" spans="2:13">
      <c r="B15" s="167"/>
      <c r="C15" s="171" t="s">
        <v>5254</v>
      </c>
      <c r="D15" s="170" t="s">
        <v>5019</v>
      </c>
      <c r="E15" s="172" t="s">
        <v>5255</v>
      </c>
      <c r="F15" s="1145">
        <f>ROUND(F8+F14,0)</f>
        <v>270326768</v>
      </c>
      <c r="G15" s="1145">
        <f>ROUND(G8+G14,0)</f>
        <v>0</v>
      </c>
      <c r="H15" s="1145">
        <f t="shared" si="0"/>
        <v>270326768</v>
      </c>
      <c r="I15" s="1144">
        <f>ROUND(I8+I14,0)</f>
        <v>0</v>
      </c>
      <c r="J15" s="1144">
        <f t="shared" si="1"/>
        <v>270326768</v>
      </c>
    </row>
    <row r="16" spans="2:13">
      <c r="B16" s="170" t="s">
        <v>4085</v>
      </c>
      <c r="C16" s="171" t="s">
        <v>4060</v>
      </c>
      <c r="D16" s="170" t="s">
        <v>4061</v>
      </c>
      <c r="E16" s="170" t="s">
        <v>4062</v>
      </c>
      <c r="F16" s="1144">
        <f>ROUND(6%*(F8+F14),0)</f>
        <v>16219606</v>
      </c>
      <c r="G16" s="1144">
        <f>ROUND(6%*(G8+G14),0)</f>
        <v>0</v>
      </c>
      <c r="H16" s="1144">
        <f t="shared" si="0"/>
        <v>16219606</v>
      </c>
      <c r="I16" s="1144">
        <f>ROUND(6%*(I8+I14),0)</f>
        <v>0</v>
      </c>
      <c r="J16" s="1144">
        <f t="shared" si="1"/>
        <v>16219606</v>
      </c>
    </row>
    <row r="17" spans="2:10">
      <c r="B17" s="173"/>
      <c r="C17" s="174" t="s">
        <v>4063</v>
      </c>
      <c r="D17" s="175" t="s">
        <v>5866</v>
      </c>
      <c r="E17" s="170" t="s">
        <v>4064</v>
      </c>
      <c r="F17" s="1144">
        <f>ROUND(F8+F14+F16,0)</f>
        <v>286546374</v>
      </c>
      <c r="G17" s="1144">
        <f>ROUND(G8+G14+G16,0)</f>
        <v>0</v>
      </c>
      <c r="H17" s="1144">
        <f t="shared" si="0"/>
        <v>286546374</v>
      </c>
      <c r="I17" s="1144">
        <f>ROUND(I8+I14+I16,0)</f>
        <v>0</v>
      </c>
      <c r="J17" s="1144">
        <f t="shared" si="1"/>
        <v>286546374</v>
      </c>
    </row>
    <row r="18" spans="2:10">
      <c r="B18" s="170" t="s">
        <v>4065</v>
      </c>
      <c r="C18" s="171" t="s">
        <v>4066</v>
      </c>
      <c r="D18" s="176" t="s">
        <v>4098</v>
      </c>
      <c r="E18" s="170" t="s">
        <v>5867</v>
      </c>
      <c r="F18" s="1144">
        <f>ROUND(F17*10%,0)</f>
        <v>28654637</v>
      </c>
      <c r="G18" s="1144">
        <f>ROUND(G17*10%,0)</f>
        <v>0</v>
      </c>
      <c r="H18" s="1144">
        <f t="shared" si="0"/>
        <v>28654637</v>
      </c>
      <c r="I18" s="1144">
        <f>ROUND(I17*10%,0)</f>
        <v>0</v>
      </c>
      <c r="J18" s="1144">
        <f t="shared" si="1"/>
        <v>28654637</v>
      </c>
    </row>
    <row r="19" spans="2:10">
      <c r="B19" s="167"/>
      <c r="C19" s="171" t="s">
        <v>5148</v>
      </c>
      <c r="D19" s="175" t="s">
        <v>4099</v>
      </c>
      <c r="E19" s="177" t="s">
        <v>5868</v>
      </c>
      <c r="F19" s="1146">
        <f>ROUND(F17+F18,0)</f>
        <v>315201011</v>
      </c>
      <c r="G19" s="1146">
        <f>ROUND(G17+G18,0)</f>
        <v>0</v>
      </c>
      <c r="H19" s="1146">
        <f t="shared" si="0"/>
        <v>315201011</v>
      </c>
      <c r="I19" s="1147">
        <f>ROUND(I17+I18,0)</f>
        <v>0</v>
      </c>
      <c r="J19" s="1147">
        <f t="shared" si="1"/>
        <v>315201011</v>
      </c>
    </row>
    <row r="20" spans="2:10">
      <c r="B20" s="178"/>
      <c r="C20" s="179"/>
      <c r="D20" s="180"/>
      <c r="E20" s="181"/>
      <c r="F20" s="181"/>
      <c r="G20" s="181"/>
      <c r="H20" s="181"/>
      <c r="I20" s="181"/>
      <c r="J20" s="182"/>
    </row>
    <row r="21" spans="2:10">
      <c r="B21" s="1250"/>
      <c r="C21" s="183"/>
      <c r="D21" s="183"/>
      <c r="E21" s="183"/>
      <c r="F21" s="183"/>
      <c r="G21" s="183"/>
      <c r="H21" s="183"/>
      <c r="I21" s="183"/>
      <c r="J21" s="183"/>
    </row>
    <row r="22" spans="2:10" hidden="1">
      <c r="B22" s="87" t="s">
        <v>993</v>
      </c>
    </row>
    <row r="23" spans="2:10" hidden="1">
      <c r="B23" s="87" t="s">
        <v>3797</v>
      </c>
    </row>
    <row r="24" spans="2:10" hidden="1">
      <c r="B24" s="87" t="s">
        <v>1251</v>
      </c>
      <c r="C24" s="772">
        <f>'II.1.1.vlTA'!C28</f>
        <v>0</v>
      </c>
    </row>
    <row r="25" spans="2:10" hidden="1">
      <c r="B25" s="87" t="s">
        <v>1251</v>
      </c>
      <c r="C25" s="773">
        <f>'II.1.1.vlTA'!C29</f>
        <v>0</v>
      </c>
    </row>
    <row r="27" spans="2:10"/>
    <row r="28" spans="2:10"/>
    <row r="29" spans="2:10"/>
    <row r="30" spans="2:10"/>
    <row r="31" spans="2:10"/>
    <row r="32" spans="2:10" ht="15" customHeight="1"/>
    <row r="33" ht="15" customHeight="1"/>
    <row r="34" ht="15" customHeight="1"/>
    <row r="35" ht="15" customHeight="1"/>
  </sheetData>
  <mergeCells count="9">
    <mergeCell ref="B2:J2"/>
    <mergeCell ref="B3:J3"/>
    <mergeCell ref="B5:B6"/>
    <mergeCell ref="C5:C6"/>
    <mergeCell ref="D5:D6"/>
    <mergeCell ref="E5:E6"/>
    <mergeCell ref="F5:H5"/>
    <mergeCell ref="I5:I6"/>
    <mergeCell ref="J5:J6"/>
  </mergeCells>
  <phoneticPr fontId="152" type="noConversion"/>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9">
    <tabColor indexed="22"/>
  </sheetPr>
  <dimension ref="B1:M35"/>
  <sheetViews>
    <sheetView showZeros="0" workbookViewId="0">
      <selection activeCell="C10" sqref="C10:D10"/>
    </sheetView>
  </sheetViews>
  <sheetFormatPr defaultColWidth="0" defaultRowHeight="15" customHeight="1" zeroHeight="1"/>
  <cols>
    <col min="1" max="1" width="1.83203125" style="85" customWidth="1"/>
    <col min="2" max="2" width="4.83203125" style="85" customWidth="1"/>
    <col min="3" max="3" width="37" style="85" customWidth="1"/>
    <col min="4" max="4" width="10.5" style="85" customWidth="1"/>
    <col min="5" max="5" width="32.83203125" style="85" customWidth="1"/>
    <col min="6" max="6" width="14" style="85" customWidth="1"/>
    <col min="7" max="7" width="11.5" style="85" customWidth="1"/>
    <col min="8" max="8" width="10.5" style="85" bestFit="1" customWidth="1"/>
    <col min="9" max="9" width="14" style="85" customWidth="1"/>
    <col min="10" max="10" width="15.83203125" style="85" customWidth="1"/>
    <col min="11" max="11" width="3.1640625" style="85" customWidth="1"/>
    <col min="12" max="16384" width="0" style="85" hidden="1"/>
  </cols>
  <sheetData>
    <row r="1" spans="2:13"/>
    <row r="2" spans="2:13" ht="18.75">
      <c r="B2" s="2009" t="s">
        <v>6109</v>
      </c>
      <c r="C2" s="2009"/>
      <c r="D2" s="2009"/>
      <c r="E2" s="2009"/>
      <c r="F2" s="2009"/>
      <c r="G2" s="2009"/>
      <c r="H2" s="2009"/>
      <c r="I2" s="2009"/>
      <c r="J2" s="2009"/>
    </row>
    <row r="3" spans="2:13" ht="15.75">
      <c r="B3" s="2030" t="s">
        <v>489</v>
      </c>
      <c r="C3" s="2030"/>
      <c r="D3" s="2030"/>
      <c r="E3" s="2030"/>
      <c r="F3" s="2030"/>
      <c r="G3" s="2030"/>
      <c r="H3" s="2030"/>
      <c r="I3" s="2030"/>
      <c r="J3" s="2030"/>
      <c r="K3" s="106"/>
      <c r="L3" s="106"/>
      <c r="M3" s="106"/>
    </row>
    <row r="4" spans="2:13" ht="15.75">
      <c r="B4" s="159"/>
      <c r="C4" s="160"/>
      <c r="D4" s="160"/>
      <c r="E4" s="161"/>
      <c r="F4" s="161"/>
      <c r="G4" s="161"/>
      <c r="H4" s="161"/>
      <c r="I4" s="161"/>
      <c r="J4" s="162"/>
    </row>
    <row r="5" spans="2:13" s="900" customFormat="1" ht="15" customHeight="1">
      <c r="B5" s="2041" t="s">
        <v>6345</v>
      </c>
      <c r="C5" s="2041" t="s">
        <v>1097</v>
      </c>
      <c r="D5" s="2041" t="s">
        <v>1098</v>
      </c>
      <c r="E5" s="2041" t="s">
        <v>5017</v>
      </c>
      <c r="F5" s="2038" t="s">
        <v>3455</v>
      </c>
      <c r="G5" s="2039"/>
      <c r="H5" s="2040"/>
      <c r="I5" s="2041" t="s">
        <v>2560</v>
      </c>
      <c r="J5" s="2041" t="s">
        <v>6346</v>
      </c>
    </row>
    <row r="6" spans="2:13" s="900" customFormat="1" ht="27" customHeight="1">
      <c r="B6" s="2042"/>
      <c r="C6" s="2042"/>
      <c r="D6" s="2042"/>
      <c r="E6" s="2042"/>
      <c r="F6" s="163" t="s">
        <v>3456</v>
      </c>
      <c r="G6" s="163" t="s">
        <v>2559</v>
      </c>
      <c r="H6" s="209" t="s">
        <v>271</v>
      </c>
      <c r="I6" s="2043"/>
      <c r="J6" s="2042"/>
    </row>
    <row r="7" spans="2:13">
      <c r="B7" s="164" t="s">
        <v>176</v>
      </c>
      <c r="C7" s="164" t="s">
        <v>4275</v>
      </c>
      <c r="D7" s="164" t="s">
        <v>4276</v>
      </c>
      <c r="E7" s="164" t="s">
        <v>5860</v>
      </c>
      <c r="F7" s="164" t="s">
        <v>5861</v>
      </c>
      <c r="G7" s="164" t="s">
        <v>5862</v>
      </c>
      <c r="H7" s="164" t="s">
        <v>1525</v>
      </c>
      <c r="I7" s="164" t="s">
        <v>5864</v>
      </c>
      <c r="J7" s="164" t="s">
        <v>3453</v>
      </c>
    </row>
    <row r="8" spans="2:13">
      <c r="B8" s="165" t="s">
        <v>5284</v>
      </c>
      <c r="C8" s="166" t="s">
        <v>3148</v>
      </c>
      <c r="D8" s="546" t="s">
        <v>5020</v>
      </c>
      <c r="E8" s="1097" t="s">
        <v>4867</v>
      </c>
      <c r="F8" s="1140">
        <f>SUM(F9:F13)</f>
        <v>0</v>
      </c>
      <c r="G8" s="1140">
        <f>SUM(G9:G13)</f>
        <v>0</v>
      </c>
      <c r="H8" s="1140">
        <f>SUM(H9:H13)</f>
        <v>0</v>
      </c>
      <c r="I8" s="1140">
        <f>SUM(I9:I13)</f>
        <v>0</v>
      </c>
      <c r="J8" s="1140">
        <f>SUM(J9:J13)</f>
        <v>0</v>
      </c>
    </row>
    <row r="9" spans="2:13">
      <c r="B9" s="168">
        <v>1</v>
      </c>
      <c r="C9" s="1062" t="s">
        <v>3149</v>
      </c>
      <c r="D9" s="168" t="s">
        <v>3302</v>
      </c>
      <c r="E9" s="168" t="s">
        <v>6106</v>
      </c>
      <c r="F9" s="1148">
        <f>ROUND('II.2.5.nc+mtcHA'!L39,0)</f>
        <v>0</v>
      </c>
      <c r="G9" s="1148">
        <v>0</v>
      </c>
      <c r="H9" s="1148">
        <f t="shared" ref="H9:H19" si="0">SUM(F9:G9)</f>
        <v>0</v>
      </c>
      <c r="I9" s="1148">
        <v>0</v>
      </c>
      <c r="J9" s="1148">
        <f t="shared" ref="J9:J19" si="1">SUM(H9:I9)</f>
        <v>0</v>
      </c>
    </row>
    <row r="10" spans="2:13">
      <c r="B10" s="169">
        <v>2</v>
      </c>
      <c r="C10" s="1099" t="s">
        <v>3150</v>
      </c>
      <c r="D10" s="169" t="s">
        <v>3303</v>
      </c>
      <c r="E10" s="169" t="s">
        <v>95</v>
      </c>
      <c r="F10" s="1309">
        <f>ROUND(90%*'II.2.5.nc+mtcHA'!M39,0)</f>
        <v>0</v>
      </c>
      <c r="G10" s="1149"/>
      <c r="H10" s="1149">
        <f t="shared" si="0"/>
        <v>0</v>
      </c>
      <c r="I10" s="1149"/>
      <c r="J10" s="1149">
        <f t="shared" si="1"/>
        <v>0</v>
      </c>
    </row>
    <row r="11" spans="2:13">
      <c r="B11" s="169"/>
      <c r="C11" s="1099"/>
      <c r="D11" s="169"/>
      <c r="E11" s="547" t="s">
        <v>2570</v>
      </c>
      <c r="F11" s="1143"/>
      <c r="G11" s="1143"/>
      <c r="H11" s="1143">
        <f t="shared" si="0"/>
        <v>0</v>
      </c>
      <c r="I11" s="1143"/>
      <c r="J11" s="1143">
        <f t="shared" si="1"/>
        <v>0</v>
      </c>
    </row>
    <row r="12" spans="2:13">
      <c r="B12" s="1098">
        <v>3</v>
      </c>
      <c r="C12" s="1100" t="s">
        <v>5251</v>
      </c>
      <c r="D12" s="1098" t="s">
        <v>5022</v>
      </c>
      <c r="E12" s="1098" t="s">
        <v>6106</v>
      </c>
      <c r="F12" s="1149">
        <f>ROUND('II.2.5.nc+mtcHA'!N39,0)</f>
        <v>0</v>
      </c>
      <c r="G12" s="1149"/>
      <c r="H12" s="1149">
        <f t="shared" si="0"/>
        <v>0</v>
      </c>
      <c r="I12" s="1149"/>
      <c r="J12" s="1149">
        <f t="shared" si="1"/>
        <v>0</v>
      </c>
    </row>
    <row r="13" spans="2:13">
      <c r="B13" s="1098"/>
      <c r="C13" s="1100"/>
      <c r="D13" s="1098"/>
      <c r="E13" s="547" t="s">
        <v>2570</v>
      </c>
      <c r="F13" s="1143"/>
      <c r="G13" s="1143"/>
      <c r="H13" s="1143">
        <f t="shared" si="0"/>
        <v>0</v>
      </c>
      <c r="I13" s="1143"/>
      <c r="J13" s="1143">
        <f t="shared" si="1"/>
        <v>0</v>
      </c>
    </row>
    <row r="14" spans="2:13">
      <c r="B14" s="170" t="s">
        <v>1233</v>
      </c>
      <c r="C14" s="171" t="s">
        <v>5252</v>
      </c>
      <c r="D14" s="170" t="s">
        <v>5023</v>
      </c>
      <c r="E14" s="170" t="s">
        <v>5869</v>
      </c>
      <c r="F14" s="1144">
        <f>ROUND(65%*F10,0)</f>
        <v>0</v>
      </c>
      <c r="G14" s="1144">
        <f>ROUND(65%*G10,0)</f>
        <v>0</v>
      </c>
      <c r="H14" s="1144">
        <f t="shared" si="0"/>
        <v>0</v>
      </c>
      <c r="I14" s="1144">
        <f>ROUND(65%*I10,0)</f>
        <v>0</v>
      </c>
      <c r="J14" s="1144">
        <f t="shared" si="1"/>
        <v>0</v>
      </c>
    </row>
    <row r="15" spans="2:13">
      <c r="B15" s="167"/>
      <c r="C15" s="171" t="s">
        <v>5254</v>
      </c>
      <c r="D15" s="169" t="s">
        <v>5019</v>
      </c>
      <c r="E15" s="172" t="s">
        <v>5255</v>
      </c>
      <c r="F15" s="1150">
        <f>F8+F14</f>
        <v>0</v>
      </c>
      <c r="G15" s="1150">
        <f>ROUND(G8+G14,0)</f>
        <v>0</v>
      </c>
      <c r="H15" s="1150">
        <f t="shared" si="0"/>
        <v>0</v>
      </c>
      <c r="I15" s="1150">
        <f>ROUND(I8+I14,0)</f>
        <v>0</v>
      </c>
      <c r="J15" s="1149">
        <f t="shared" si="1"/>
        <v>0</v>
      </c>
    </row>
    <row r="16" spans="2:13">
      <c r="B16" s="170" t="s">
        <v>4085</v>
      </c>
      <c r="C16" s="171" t="s">
        <v>4060</v>
      </c>
      <c r="D16" s="170" t="s">
        <v>4061</v>
      </c>
      <c r="E16" s="170" t="s">
        <v>4062</v>
      </c>
      <c r="F16" s="1144">
        <f>ROUND(6%*(F8+F14),0)</f>
        <v>0</v>
      </c>
      <c r="G16" s="1144">
        <f>ROUND(6%*(G8+G14),0)</f>
        <v>0</v>
      </c>
      <c r="H16" s="1144">
        <f t="shared" si="0"/>
        <v>0</v>
      </c>
      <c r="I16" s="1144">
        <f>ROUND(6%*(I8+I14),0)</f>
        <v>0</v>
      </c>
      <c r="J16" s="1144">
        <f t="shared" si="1"/>
        <v>0</v>
      </c>
    </row>
    <row r="17" spans="2:10">
      <c r="B17" s="173"/>
      <c r="C17" s="174" t="s">
        <v>4063</v>
      </c>
      <c r="D17" s="175" t="s">
        <v>5866</v>
      </c>
      <c r="E17" s="170" t="s">
        <v>4064</v>
      </c>
      <c r="F17" s="1144">
        <f>ROUND(F8+F14+F16,0)</f>
        <v>0</v>
      </c>
      <c r="G17" s="1144">
        <f>ROUND(G8+G14+G16,0)</f>
        <v>0</v>
      </c>
      <c r="H17" s="1144">
        <f t="shared" si="0"/>
        <v>0</v>
      </c>
      <c r="I17" s="1144">
        <f>ROUND(I8+I14+I16,0)</f>
        <v>0</v>
      </c>
      <c r="J17" s="1144">
        <f t="shared" si="1"/>
        <v>0</v>
      </c>
    </row>
    <row r="18" spans="2:10">
      <c r="B18" s="170" t="s">
        <v>4065</v>
      </c>
      <c r="C18" s="171" t="s">
        <v>4066</v>
      </c>
      <c r="D18" s="176" t="s">
        <v>4098</v>
      </c>
      <c r="E18" s="170" t="s">
        <v>5867</v>
      </c>
      <c r="F18" s="1144">
        <f>ROUND(F17*10%,0)</f>
        <v>0</v>
      </c>
      <c r="G18" s="1144">
        <f>ROUND(G17*10%,0)</f>
        <v>0</v>
      </c>
      <c r="H18" s="1144">
        <f t="shared" si="0"/>
        <v>0</v>
      </c>
      <c r="I18" s="1144">
        <f>ROUND(I17*10%,0)</f>
        <v>0</v>
      </c>
      <c r="J18" s="1144">
        <f t="shared" si="1"/>
        <v>0</v>
      </c>
    </row>
    <row r="19" spans="2:10">
      <c r="B19" s="167"/>
      <c r="C19" s="171" t="s">
        <v>5148</v>
      </c>
      <c r="D19" s="175" t="s">
        <v>4099</v>
      </c>
      <c r="E19" s="177" t="s">
        <v>5868</v>
      </c>
      <c r="F19" s="1146">
        <f>ROUND(F17+F18,0)</f>
        <v>0</v>
      </c>
      <c r="G19" s="1146">
        <f>ROUND(G17+G18,0)</f>
        <v>0</v>
      </c>
      <c r="H19" s="1146">
        <f t="shared" si="0"/>
        <v>0</v>
      </c>
      <c r="I19" s="1146">
        <f>ROUND(I17+I18,0)</f>
        <v>0</v>
      </c>
      <c r="J19" s="1147">
        <f t="shared" si="1"/>
        <v>0</v>
      </c>
    </row>
    <row r="20" spans="2:10">
      <c r="B20" s="178"/>
      <c r="C20" s="179"/>
      <c r="D20" s="180"/>
      <c r="E20" s="181"/>
      <c r="F20" s="181"/>
      <c r="G20" s="181"/>
      <c r="H20" s="181"/>
      <c r="I20" s="181"/>
      <c r="J20" s="182"/>
    </row>
    <row r="21" spans="2:10">
      <c r="B21" s="183"/>
      <c r="C21" s="183"/>
      <c r="D21" s="183"/>
      <c r="E21" s="183"/>
      <c r="F21" s="183"/>
      <c r="G21" s="183"/>
      <c r="H21" s="183"/>
      <c r="I21" s="183"/>
      <c r="J21" s="183"/>
    </row>
    <row r="22" spans="2:10" hidden="1">
      <c r="B22" s="85" t="s">
        <v>993</v>
      </c>
    </row>
    <row r="23" spans="2:10" hidden="1">
      <c r="B23" s="85" t="s">
        <v>3797</v>
      </c>
    </row>
    <row r="24" spans="2:10" hidden="1">
      <c r="B24" s="146" t="s">
        <v>1251</v>
      </c>
      <c r="C24" s="772">
        <f>'II.1.1.vlTA'!C28</f>
        <v>0</v>
      </c>
    </row>
    <row r="25" spans="2:10" hidden="1">
      <c r="B25" s="146" t="s">
        <v>1251</v>
      </c>
      <c r="C25" s="773">
        <f>'II.1.1.vlTA'!C29</f>
        <v>0</v>
      </c>
    </row>
    <row r="27" spans="2:10"/>
    <row r="28" spans="2:10"/>
    <row r="29" spans="2:10"/>
    <row r="30" spans="2:10"/>
    <row r="31" spans="2:10"/>
    <row r="32" spans="2:10" ht="15" customHeight="1"/>
    <row r="33" ht="15" customHeight="1"/>
    <row r="34" ht="15" customHeight="1"/>
    <row r="35" ht="15" customHeight="1"/>
  </sheetData>
  <sheetProtection password="E3F0" sheet="1" objects="1" scenarios="1"/>
  <mergeCells count="9">
    <mergeCell ref="B2:J2"/>
    <mergeCell ref="B3:J3"/>
    <mergeCell ref="B5:B6"/>
    <mergeCell ref="C5:C6"/>
    <mergeCell ref="D5:D6"/>
    <mergeCell ref="E5:E6"/>
    <mergeCell ref="F5:H5"/>
    <mergeCell ref="I5:I6"/>
    <mergeCell ref="J5:J6"/>
  </mergeCells>
  <phoneticPr fontId="152" type="noConversion"/>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indexed="22"/>
  </sheetPr>
  <dimension ref="A1:N79"/>
  <sheetViews>
    <sheetView showGridLines="0" showZeros="0" showRuler="0" view="pageLayout" zoomScaleNormal="100" workbookViewId="0">
      <selection activeCell="C10" sqref="C10:D10"/>
    </sheetView>
  </sheetViews>
  <sheetFormatPr defaultColWidth="0" defaultRowHeight="15" zeroHeight="1"/>
  <cols>
    <col min="1" max="1" width="5.83203125" style="1255" customWidth="1"/>
    <col min="2" max="2" width="46.5" style="85" customWidth="1"/>
    <col min="3" max="3" width="8.83203125" style="85" customWidth="1"/>
    <col min="4" max="4" width="8.5" style="85" customWidth="1"/>
    <col min="5" max="5" width="12.83203125" style="85" customWidth="1"/>
    <col min="6" max="6" width="10.33203125" style="85" hidden="1" customWidth="1"/>
    <col min="7" max="7" width="11.83203125" style="85" customWidth="1"/>
    <col min="8" max="9" width="10.83203125" style="85" customWidth="1"/>
    <col min="10" max="10" width="13.83203125" style="85" customWidth="1"/>
    <col min="11" max="11" width="10.1640625" style="85" hidden="1" customWidth="1"/>
    <col min="12" max="12" width="12.83203125" style="85" customWidth="1"/>
    <col min="13" max="13" width="11.83203125" style="85" customWidth="1"/>
    <col min="14" max="14" width="11.5" style="85" bestFit="1" customWidth="1"/>
    <col min="15" max="15" width="9.33203125" style="85" customWidth="1"/>
    <col min="16" max="16384" width="0" style="85" hidden="1"/>
  </cols>
  <sheetData>
    <row r="1" spans="1:14">
      <c r="A1" s="150"/>
    </row>
    <row r="2" spans="1:14" ht="18.75">
      <c r="A2" s="2009" t="s">
        <v>263</v>
      </c>
      <c r="B2" s="2009"/>
      <c r="C2" s="2009"/>
      <c r="D2" s="2009"/>
      <c r="E2" s="2009"/>
      <c r="F2" s="2009"/>
      <c r="G2" s="2009"/>
      <c r="H2" s="2009"/>
      <c r="I2" s="2009"/>
      <c r="J2" s="2009"/>
      <c r="K2" s="2009"/>
      <c r="L2" s="2009"/>
      <c r="M2" s="2009"/>
      <c r="N2" s="2009"/>
    </row>
    <row r="3" spans="1:14" ht="15.75">
      <c r="A3" s="2030" t="s">
        <v>489</v>
      </c>
      <c r="B3" s="2030"/>
      <c r="C3" s="2030"/>
      <c r="D3" s="2030"/>
      <c r="E3" s="2030"/>
      <c r="F3" s="2030"/>
      <c r="G3" s="2030"/>
      <c r="H3" s="2030"/>
      <c r="I3" s="2030"/>
      <c r="J3" s="2030"/>
      <c r="K3" s="2030"/>
      <c r="L3" s="2030"/>
      <c r="M3" s="2030"/>
      <c r="N3" s="2030"/>
    </row>
    <row r="4" spans="1:14">
      <c r="A4" s="150"/>
    </row>
    <row r="5" spans="1:14" ht="15.75">
      <c r="A5" s="2053" t="s">
        <v>6345</v>
      </c>
      <c r="B5" s="2053" t="s">
        <v>175</v>
      </c>
      <c r="C5" s="2053" t="s">
        <v>86</v>
      </c>
      <c r="D5" s="2053" t="s">
        <v>174</v>
      </c>
      <c r="E5" s="210" t="s">
        <v>87</v>
      </c>
      <c r="F5" s="211"/>
      <c r="G5" s="211"/>
      <c r="H5" s="212"/>
      <c r="I5" s="213"/>
      <c r="J5" s="210" t="s">
        <v>88</v>
      </c>
      <c r="K5" s="211"/>
      <c r="L5" s="211"/>
      <c r="M5" s="212"/>
      <c r="N5" s="213"/>
    </row>
    <row r="6" spans="1:14" ht="25.5">
      <c r="A6" s="2054"/>
      <c r="B6" s="2055"/>
      <c r="C6" s="2105"/>
      <c r="D6" s="2106"/>
      <c r="E6" s="240" t="s">
        <v>5443</v>
      </c>
      <c r="F6" s="240" t="s">
        <v>2080</v>
      </c>
      <c r="G6" s="240" t="s">
        <v>5444</v>
      </c>
      <c r="H6" s="215" t="s">
        <v>89</v>
      </c>
      <c r="I6" s="214" t="s">
        <v>3308</v>
      </c>
      <c r="J6" s="240" t="s">
        <v>5443</v>
      </c>
      <c r="K6" s="240" t="s">
        <v>2080</v>
      </c>
      <c r="L6" s="240" t="s">
        <v>5444</v>
      </c>
      <c r="M6" s="215" t="s">
        <v>89</v>
      </c>
      <c r="N6" s="214" t="s">
        <v>3308</v>
      </c>
    </row>
    <row r="7" spans="1:14">
      <c r="A7" s="1232" t="s">
        <v>176</v>
      </c>
      <c r="B7" s="164" t="s">
        <v>4275</v>
      </c>
      <c r="C7" s="164" t="s">
        <v>4276</v>
      </c>
      <c r="D7" s="164" t="s">
        <v>5860</v>
      </c>
      <c r="E7" s="164" t="s">
        <v>5861</v>
      </c>
      <c r="F7" s="164" t="s">
        <v>5862</v>
      </c>
      <c r="G7" s="164" t="s">
        <v>5863</v>
      </c>
      <c r="H7" s="164" t="s">
        <v>5864</v>
      </c>
      <c r="I7" s="164" t="s">
        <v>1250</v>
      </c>
      <c r="J7" s="164" t="s">
        <v>5445</v>
      </c>
      <c r="K7" s="164" t="s">
        <v>5446</v>
      </c>
      <c r="L7" s="164" t="s">
        <v>5447</v>
      </c>
      <c r="M7" s="164" t="s">
        <v>5448</v>
      </c>
      <c r="N7" s="164" t="s">
        <v>149</v>
      </c>
    </row>
    <row r="8" spans="1:14">
      <c r="A8" s="244" t="s">
        <v>5284</v>
      </c>
      <c r="B8" s="245" t="str">
        <f>VLOOKUP($A8,'II.2.6.chitietHA'!$B$8:$R$2144,4,FALSE)</f>
        <v>PHẦN XÂY DỰNG</v>
      </c>
      <c r="C8" s="1083">
        <f>VLOOKUP($A8,'II.2.6.chitietHA'!$B$8:$R$2144,5,FALSE)</f>
        <v>0</v>
      </c>
      <c r="D8" s="1083">
        <f>VLOOKUP($A8,'II.2.6.chitietHA'!$B$8:$R$2144,6,FALSE)</f>
        <v>0</v>
      </c>
      <c r="E8" s="254">
        <f>VLOOKUP($A8,'II.2.6.chitietHA'!$B$8:$R$2144,12,FALSE)</f>
        <v>0</v>
      </c>
      <c r="F8" s="254">
        <f>VLOOKUP($A8,'II.2.6.chitietHA'!$B$8:$R$2144,13,FALSE)</f>
        <v>0</v>
      </c>
      <c r="G8" s="254"/>
      <c r="H8" s="254">
        <f>VLOOKUP($A8,'II.2.6.chitietHA'!$B$8:$R$2144,14,FALSE)</f>
        <v>0</v>
      </c>
      <c r="I8" s="254">
        <f>VLOOKUP($A8,'II.2.6.chitietHA'!$B$8:$R$2144,15,FALSE)</f>
        <v>0</v>
      </c>
      <c r="J8" s="254"/>
      <c r="K8" s="254"/>
      <c r="L8" s="254"/>
      <c r="M8" s="254"/>
      <c r="N8" s="254"/>
    </row>
    <row r="9" spans="1:14">
      <c r="A9" s="1254" t="s">
        <v>1909</v>
      </c>
      <c r="B9" s="1081" t="str">
        <f>VLOOKUP($A9,'II.2.6.chitietHA'!$B$8:$R$2144,4,FALSE)</f>
        <v>Trụ 12-Ghép Móng BT M200 (1,4x1,2x1)m3</v>
      </c>
      <c r="C9" s="207" t="str">
        <f>VLOOKUP($A9,'II.2.6.chitietHA'!$B$8:$R$2144,5,FALSE)</f>
        <v>móng</v>
      </c>
      <c r="D9" s="207">
        <f>VLOOKUP($A9,'II.2.6.chitietHA'!$B$8:$R$2144,6,FALSE)</f>
        <v>2</v>
      </c>
      <c r="E9" s="1082">
        <f>VLOOKUP($A9,'II.2.6.chitietHA'!$B$8:$R$2144,13,FALSE)</f>
        <v>1821282</v>
      </c>
      <c r="F9" s="1082">
        <f>VLOOKUP($A9,'II.2.6.chitietHA'!$B$8:$R$2144,14,FALSE)</f>
        <v>0</v>
      </c>
      <c r="G9" s="1082">
        <f>VLOOKUP($A9,'II.2.6.chitietHA'!$B$8:$R$2144,15,FALSE)</f>
        <v>0</v>
      </c>
      <c r="H9" s="1082">
        <f>VLOOKUP($A9,'II.2.6.chitietHA'!$B$8:$R$2144,16,FALSE)</f>
        <v>1724870</v>
      </c>
      <c r="I9" s="1082">
        <f>VLOOKUP($A9,'II.2.6.chitietHA'!$B$8:$R$2144,17,FALSE)</f>
        <v>64167</v>
      </c>
      <c r="J9" s="227">
        <f t="shared" ref="J9:N10" si="0">ROUND($D9*E9,0)</f>
        <v>3642564</v>
      </c>
      <c r="K9" s="227">
        <f t="shared" si="0"/>
        <v>0</v>
      </c>
      <c r="L9" s="227">
        <f t="shared" si="0"/>
        <v>0</v>
      </c>
      <c r="M9" s="227">
        <f t="shared" si="0"/>
        <v>3449740</v>
      </c>
      <c r="N9" s="227">
        <f t="shared" si="0"/>
        <v>128334</v>
      </c>
    </row>
    <row r="10" spans="1:14" ht="15" customHeight="1">
      <c r="A10" s="1254" t="s">
        <v>1910</v>
      </c>
      <c r="B10" s="1081" t="str">
        <f>VLOOKUP($A10,'II.2.6.chitietHA'!$B$8:$R$2144,4,FALSE)</f>
        <v>Trụ 10m ghép - Móng BT M200 (1,2x1x0,8)m3</v>
      </c>
      <c r="C10" s="207" t="str">
        <f>VLOOKUP($A10,'II.2.6.chitietHA'!$B$8:$R$2144,5,FALSE)</f>
        <v>móng</v>
      </c>
      <c r="D10" s="207">
        <f>VLOOKUP($A10,'II.2.6.chitietHA'!$B$8:$R$2144,6,FALSE)</f>
        <v>1</v>
      </c>
      <c r="E10" s="1082">
        <f>VLOOKUP($A10,'II.2.6.chitietHA'!$B$8:$R$2144,13,FALSE)</f>
        <v>1147003</v>
      </c>
      <c r="F10" s="1082">
        <f>VLOOKUP($A10,'II.2.6.chitietHA'!$B$8:$R$2144,14,FALSE)</f>
        <v>0</v>
      </c>
      <c r="G10" s="1082">
        <f>VLOOKUP($A10,'II.2.6.chitietHA'!$B$8:$R$2144,15,FALSE)</f>
        <v>0</v>
      </c>
      <c r="H10" s="1082">
        <f>VLOOKUP($A10,'II.2.6.chitietHA'!$B$8:$R$2144,16,FALSE)</f>
        <v>1736244</v>
      </c>
      <c r="I10" s="1082">
        <f>VLOOKUP($A10,'II.2.6.chitietHA'!$B$8:$R$2144,17,FALSE)</f>
        <v>35634</v>
      </c>
      <c r="J10" s="227">
        <f t="shared" si="0"/>
        <v>1147003</v>
      </c>
      <c r="K10" s="227">
        <f t="shared" si="0"/>
        <v>0</v>
      </c>
      <c r="L10" s="227">
        <f t="shared" si="0"/>
        <v>0</v>
      </c>
      <c r="M10" s="227">
        <f t="shared" si="0"/>
        <v>1736244</v>
      </c>
      <c r="N10" s="227">
        <f t="shared" si="0"/>
        <v>35634</v>
      </c>
    </row>
    <row r="11" spans="1:14" ht="15" customHeight="1">
      <c r="A11" s="1254" t="s">
        <v>3921</v>
      </c>
      <c r="B11" s="1081" t="str">
        <f>VLOOKUP($A11,'II.2.6.chitietHA'!$B$8:$R$2144,4,FALSE)</f>
        <v>Móng 10ba</v>
      </c>
      <c r="C11" s="207" t="str">
        <f>VLOOKUP($A11,'II.2.6.chitietHA'!$B$8:$R$2144,5,FALSE)</f>
        <v>móng</v>
      </c>
      <c r="D11" s="207">
        <f>VLOOKUP($A11,'II.2.6.chitietHA'!$B$8:$R$2144,6,FALSE)</f>
        <v>1</v>
      </c>
      <c r="E11" s="1082">
        <f>VLOOKUP($A11,'II.2.6.chitietHA'!$B$8:$R$2144,13,FALSE)</f>
        <v>1262000</v>
      </c>
      <c r="F11" s="1082">
        <f>VLOOKUP($A11,'II.2.6.chitietHA'!$B$8:$R$2144,14,FALSE)</f>
        <v>0</v>
      </c>
      <c r="G11" s="1082">
        <f>VLOOKUP($A11,'II.2.6.chitietHA'!$B$8:$R$2144,15,FALSE)</f>
        <v>0</v>
      </c>
      <c r="H11" s="1082">
        <f>VLOOKUP($A11,'II.2.6.chitietHA'!$B$8:$R$2144,16,FALSE)</f>
        <v>1527333</v>
      </c>
      <c r="I11" s="1082">
        <f>VLOOKUP($A11,'II.2.6.chitietHA'!$B$8:$R$2144,17,FALSE)</f>
        <v>0</v>
      </c>
      <c r="J11" s="227">
        <f t="shared" ref="J11:N17" si="1">ROUND($D11*E11,0)</f>
        <v>1262000</v>
      </c>
      <c r="K11" s="227">
        <f t="shared" si="1"/>
        <v>0</v>
      </c>
      <c r="L11" s="227">
        <f t="shared" si="1"/>
        <v>0</v>
      </c>
      <c r="M11" s="227">
        <f t="shared" si="1"/>
        <v>1527333</v>
      </c>
      <c r="N11" s="227">
        <f t="shared" si="1"/>
        <v>0</v>
      </c>
    </row>
    <row r="12" spans="1:14" ht="15" customHeight="1">
      <c r="A12" s="1254" t="s">
        <v>4619</v>
      </c>
      <c r="B12" s="1081" t="str">
        <f>VLOOKUP($A12,'II.2.6.chitietHA'!$B$8:$R$2144,4,FALSE)</f>
        <v>Trụ 8,5m ghép - Móng BT M200 (1x0,8x0,8)m3</v>
      </c>
      <c r="C12" s="207" t="str">
        <f>VLOOKUP($A12,'II.2.6.chitietHA'!$B$8:$R$2144,5,FALSE)</f>
        <v>móng</v>
      </c>
      <c r="D12" s="207">
        <f>VLOOKUP($A12,'II.2.6.chitietHA'!$B$8:$R$2144,6,FALSE)</f>
        <v>11</v>
      </c>
      <c r="E12" s="1082">
        <f>VLOOKUP($A12,'II.2.6.chitietHA'!$B$8:$R$2144,13,FALSE)</f>
        <v>837112</v>
      </c>
      <c r="F12" s="1082">
        <f>VLOOKUP($A12,'II.2.6.chitietHA'!$B$8:$R$2144,14,FALSE)</f>
        <v>0</v>
      </c>
      <c r="G12" s="1082">
        <f>VLOOKUP($A12,'II.2.6.chitietHA'!$B$8:$R$2144,15,FALSE)</f>
        <v>0</v>
      </c>
      <c r="H12" s="1082">
        <f>VLOOKUP($A12,'II.2.6.chitietHA'!$B$8:$R$2144,16,FALSE)</f>
        <v>394024</v>
      </c>
      <c r="I12" s="1082">
        <f>VLOOKUP($A12,'II.2.6.chitietHA'!$B$8:$R$2144,17,FALSE)</f>
        <v>24068</v>
      </c>
      <c r="J12" s="227">
        <f t="shared" si="1"/>
        <v>9208232</v>
      </c>
      <c r="K12" s="227">
        <f t="shared" si="1"/>
        <v>0</v>
      </c>
      <c r="L12" s="227">
        <f t="shared" si="1"/>
        <v>0</v>
      </c>
      <c r="M12" s="227">
        <f t="shared" si="1"/>
        <v>4334264</v>
      </c>
      <c r="N12" s="227">
        <f t="shared" si="1"/>
        <v>264748</v>
      </c>
    </row>
    <row r="13" spans="1:14" ht="15" customHeight="1">
      <c r="A13" s="1254" t="s">
        <v>4584</v>
      </c>
      <c r="B13" s="1081" t="str">
        <f>VLOOKUP($A13,'II.2.6.chitietHA'!$B$8:$R$2144,4,FALSE)</f>
        <v>Trụ 8,5m - Móng BT M200 (0,8x0,8x0,8)m3</v>
      </c>
      <c r="C13" s="207" t="str">
        <f>VLOOKUP($A13,'II.2.6.chitietHA'!$B$8:$R$2144,5,FALSE)</f>
        <v>móng</v>
      </c>
      <c r="D13" s="207">
        <f>VLOOKUP($A13,'II.2.6.chitietHA'!$B$8:$R$2144,6,FALSE)</f>
        <v>3</v>
      </c>
      <c r="E13" s="1082">
        <f>VLOOKUP($A13,'II.2.6.chitietHA'!$B$8:$R$2144,13,FALSE)</f>
        <v>637532</v>
      </c>
      <c r="F13" s="1082">
        <f>VLOOKUP($A13,'II.2.6.chitietHA'!$B$8:$R$2144,14,FALSE)</f>
        <v>0</v>
      </c>
      <c r="G13" s="1082">
        <f>VLOOKUP($A13,'II.2.6.chitietHA'!$B$8:$R$2144,15,FALSE)</f>
        <v>0</v>
      </c>
      <c r="H13" s="1082">
        <f>VLOOKUP($A13,'II.2.6.chitietHA'!$B$8:$R$2144,16,FALSE)</f>
        <v>321268</v>
      </c>
      <c r="I13" s="1082">
        <f>VLOOKUP($A13,'II.2.6.chitietHA'!$B$8:$R$2144,17,FALSE)</f>
        <v>20198</v>
      </c>
      <c r="J13" s="227">
        <f t="shared" si="1"/>
        <v>1912596</v>
      </c>
      <c r="K13" s="227">
        <f t="shared" si="1"/>
        <v>0</v>
      </c>
      <c r="L13" s="227">
        <f t="shared" si="1"/>
        <v>0</v>
      </c>
      <c r="M13" s="227">
        <f t="shared" si="1"/>
        <v>963804</v>
      </c>
      <c r="N13" s="227">
        <f t="shared" si="1"/>
        <v>60594</v>
      </c>
    </row>
    <row r="14" spans="1:14" ht="15" customHeight="1">
      <c r="A14" s="1254" t="s">
        <v>5929</v>
      </c>
      <c r="B14" s="1081" t="str">
        <f>VLOOKUP($A14,'II.2.6.chitietHA'!$B$8:$R$2144,4,FALSE)</f>
        <v>Móng 8a</v>
      </c>
      <c r="C14" s="207" t="str">
        <f>VLOOKUP($A14,'II.2.6.chitietHA'!$B$8:$R$2144,5,FALSE)</f>
        <v>móng</v>
      </c>
      <c r="D14" s="207">
        <f>VLOOKUP($A14,'II.2.6.chitietHA'!$B$8:$R$2144,6,FALSE)</f>
        <v>98</v>
      </c>
      <c r="E14" s="1082">
        <f>VLOOKUP($A14,'II.2.6.chitietHA'!$B$8:$R$2144,13,FALSE)</f>
        <v>408000</v>
      </c>
      <c r="F14" s="1082">
        <f>VLOOKUP($A14,'II.2.6.chitietHA'!$B$8:$R$2144,14,FALSE)</f>
        <v>0</v>
      </c>
      <c r="G14" s="1082">
        <f>VLOOKUP($A14,'II.2.6.chitietHA'!$B$8:$R$2144,15,FALSE)</f>
        <v>0</v>
      </c>
      <c r="H14" s="1082">
        <f>VLOOKUP($A14,'II.2.6.chitietHA'!$B$8:$R$2144,16,FALSE)</f>
        <v>394175</v>
      </c>
      <c r="I14" s="1082">
        <f>VLOOKUP($A14,'II.2.6.chitietHA'!$B$8:$R$2144,17,FALSE)</f>
        <v>0</v>
      </c>
      <c r="J14" s="227">
        <f t="shared" si="1"/>
        <v>39984000</v>
      </c>
      <c r="K14" s="227">
        <f t="shared" si="1"/>
        <v>0</v>
      </c>
      <c r="L14" s="227">
        <f t="shared" si="1"/>
        <v>0</v>
      </c>
      <c r="M14" s="227">
        <f t="shared" si="1"/>
        <v>38629150</v>
      </c>
      <c r="N14" s="227">
        <f t="shared" si="1"/>
        <v>0</v>
      </c>
    </row>
    <row r="15" spans="1:14" ht="15" customHeight="1">
      <c r="A15" s="1254" t="s">
        <v>5791</v>
      </c>
      <c r="B15" s="1081" t="str">
        <f>VLOOKUP($A15,'II.2.6.chitietHA'!$B$8:$R$2144,4,FALSE)</f>
        <v>Móng neo chằng trụ 8,5m</v>
      </c>
      <c r="C15" s="207" t="str">
        <f>VLOOKUP($A15,'II.2.6.chitietHA'!$B$8:$R$2144,5,FALSE)</f>
        <v>bộ</v>
      </c>
      <c r="D15" s="207">
        <f>VLOOKUP($A15,'II.2.6.chitietHA'!$B$8:$R$2144,6,FALSE)</f>
        <v>10</v>
      </c>
      <c r="E15" s="1082">
        <f>VLOOKUP($A15,'II.2.6.chitietHA'!$B$8:$R$2144,13,FALSE)</f>
        <v>451000</v>
      </c>
      <c r="F15" s="1082">
        <f>VLOOKUP($A15,'II.2.6.chitietHA'!$B$8:$R$2144,14,FALSE)</f>
        <v>0</v>
      </c>
      <c r="G15" s="1082">
        <f>VLOOKUP($A15,'II.2.6.chitietHA'!$B$8:$R$2144,15,FALSE)</f>
        <v>0</v>
      </c>
      <c r="H15" s="1082">
        <f>VLOOKUP($A15,'II.2.6.chitietHA'!$B$8:$R$2144,16,FALSE)</f>
        <v>397814</v>
      </c>
      <c r="I15" s="1082">
        <f>VLOOKUP($A15,'II.2.6.chitietHA'!$B$8:$R$2144,17,FALSE)</f>
        <v>0</v>
      </c>
      <c r="J15" s="227">
        <f t="shared" si="1"/>
        <v>4510000</v>
      </c>
      <c r="K15" s="227">
        <f t="shared" si="1"/>
        <v>0</v>
      </c>
      <c r="L15" s="227">
        <f t="shared" si="1"/>
        <v>0</v>
      </c>
      <c r="M15" s="227">
        <f t="shared" si="1"/>
        <v>3978140</v>
      </c>
      <c r="N15" s="227">
        <f t="shared" si="1"/>
        <v>0</v>
      </c>
    </row>
    <row r="16" spans="1:14" ht="15" customHeight="1">
      <c r="A16" s="1254" t="s">
        <v>1831</v>
      </c>
      <c r="B16" s="1081" t="str">
        <f>VLOOKUP($A16,'II.2.6.chitietHA'!$B$8:$R$2144,4,FALSE)</f>
        <v>Đào, đắp rãnh tiếp địa</v>
      </c>
      <c r="C16" s="207" t="str">
        <f>VLOOKUP($A16,'II.2.6.chitietHA'!$B$8:$R$2144,5,FALSE)</f>
        <v>bộ</v>
      </c>
      <c r="D16" s="207">
        <f>VLOOKUP($A16,'II.2.6.chitietHA'!$B$8:$R$2144,6,FALSE)</f>
        <v>19</v>
      </c>
      <c r="E16" s="1082">
        <f>VLOOKUP($A16,'II.2.6.chitietHA'!$B$8:$R$2144,13,FALSE)</f>
        <v>0</v>
      </c>
      <c r="F16" s="1082">
        <f>VLOOKUP($A16,'II.2.6.chitietHA'!$B$8:$R$2144,14,FALSE)</f>
        <v>0</v>
      </c>
      <c r="G16" s="1082">
        <f>VLOOKUP($A16,'II.2.6.chitietHA'!$B$8:$R$2144,15,FALSE)</f>
        <v>0</v>
      </c>
      <c r="H16" s="1082">
        <f>VLOOKUP($A16,'II.2.6.chitietHA'!$B$8:$R$2144,16,FALSE)</f>
        <v>66462</v>
      </c>
      <c r="I16" s="1082">
        <f>VLOOKUP($A16,'II.2.6.chitietHA'!$B$8:$R$2144,17,FALSE)</f>
        <v>0</v>
      </c>
      <c r="J16" s="227">
        <f t="shared" si="1"/>
        <v>0</v>
      </c>
      <c r="K16" s="227">
        <f t="shared" si="1"/>
        <v>0</v>
      </c>
      <c r="L16" s="227">
        <f t="shared" si="1"/>
        <v>0</v>
      </c>
      <c r="M16" s="227">
        <f t="shared" si="1"/>
        <v>1262778</v>
      </c>
      <c r="N16" s="227">
        <f t="shared" si="1"/>
        <v>0</v>
      </c>
    </row>
    <row r="17" spans="1:14" ht="15" customHeight="1">
      <c r="A17" s="1230" t="s">
        <v>1233</v>
      </c>
      <c r="B17" s="255" t="str">
        <f>VLOOKUP($A17,'II.2.6.chitietHA'!$B$8:$R$2144,4,FALSE)</f>
        <v>PHẦN VẬT LIỆU</v>
      </c>
      <c r="C17" s="207">
        <f>VLOOKUP($A17,'II.2.6.chitietHA'!$B$8:$R$2144,5,FALSE)</f>
        <v>0</v>
      </c>
      <c r="D17" s="207">
        <f>VLOOKUP($A17,'II.2.6.chitietHA'!$B$8:$R$2144,6,FALSE)</f>
        <v>0</v>
      </c>
      <c r="E17" s="1082">
        <f>VLOOKUP($A17,'II.2.6.chitietHA'!$B$8:$R$2144,13,FALSE)</f>
        <v>0</v>
      </c>
      <c r="F17" s="1082">
        <f>VLOOKUP($A17,'II.2.6.chitietHA'!$B$8:$R$2144,14,FALSE)</f>
        <v>0</v>
      </c>
      <c r="G17" s="1082">
        <f>VLOOKUP($A17,'II.2.6.chitietHA'!$B$8:$R$2144,15,FALSE)</f>
        <v>0</v>
      </c>
      <c r="H17" s="1082">
        <f>VLOOKUP($A17,'II.2.6.chitietHA'!$B$8:$R$2144,16,FALSE)</f>
        <v>0</v>
      </c>
      <c r="I17" s="1082">
        <f>VLOOKUP($A17,'II.2.6.chitietHA'!$B$8:$R$2144,17,FALSE)</f>
        <v>0</v>
      </c>
      <c r="J17" s="227">
        <f t="shared" si="1"/>
        <v>0</v>
      </c>
      <c r="K17" s="227">
        <f t="shared" si="1"/>
        <v>0</v>
      </c>
      <c r="L17" s="227">
        <f t="shared" si="1"/>
        <v>0</v>
      </c>
      <c r="M17" s="227">
        <f t="shared" si="1"/>
        <v>0</v>
      </c>
      <c r="N17" s="227">
        <f t="shared" si="1"/>
        <v>0</v>
      </c>
    </row>
    <row r="18" spans="1:14" ht="15" customHeight="1">
      <c r="A18" s="1254" t="s">
        <v>1911</v>
      </c>
      <c r="B18" s="1081" t="str">
        <f>VLOOKUP($A18,'II.2.6.chitietHA'!$B$8:$R$2144,4,FALSE)</f>
        <v>Trụ BTLT 12m</v>
      </c>
      <c r="C18" s="207" t="str">
        <f>VLOOKUP($A18,'II.2.6.chitietHA'!$B$8:$R$2144,5,FALSE)</f>
        <v>trụ</v>
      </c>
      <c r="D18" s="207">
        <f>VLOOKUP($A18,'II.2.6.chitietHA'!$B$8:$R$2144,6,FALSE)</f>
        <v>4</v>
      </c>
      <c r="E18" s="1082">
        <f>VLOOKUP($A18,'II.2.6.chitietHA'!$B$8:$R$2144,13,FALSE)</f>
        <v>3588000</v>
      </c>
      <c r="F18" s="1082"/>
      <c r="G18" s="1082">
        <f>VLOOKUP($A18,'II.2.6.chitietHA'!$B$8:$R$2144,15,FALSE)</f>
        <v>26000</v>
      </c>
      <c r="H18" s="1082">
        <f>VLOOKUP($A18,'II.2.6.chitietHA'!$B$8:$R$2144,16,FALSE)</f>
        <v>1168200</v>
      </c>
      <c r="I18" s="1082">
        <f>VLOOKUP($A18,'II.2.6.chitietHA'!$B$8:$R$2144,17,FALSE)</f>
        <v>0</v>
      </c>
      <c r="J18" s="227">
        <f>ROUND($D18*E18,0)</f>
        <v>14352000</v>
      </c>
      <c r="K18" s="227">
        <f t="shared" ref="K18:L21" si="2">ROUND($D18*F18,0)</f>
        <v>0</v>
      </c>
      <c r="L18" s="227">
        <f t="shared" si="2"/>
        <v>104000</v>
      </c>
      <c r="M18" s="227">
        <f t="shared" ref="M18:N21" si="3">ROUND($D18*H18,0)</f>
        <v>4672800</v>
      </c>
      <c r="N18" s="227">
        <f t="shared" si="3"/>
        <v>0</v>
      </c>
    </row>
    <row r="19" spans="1:14" ht="15" customHeight="1">
      <c r="A19" s="1254" t="s">
        <v>3851</v>
      </c>
      <c r="B19" s="1081" t="str">
        <f>VLOOKUP($A19,'II.2.6.chitietHA'!$B$8:$R$2144,4,FALSE)</f>
        <v>Trụ BTLT 10,5m</v>
      </c>
      <c r="C19" s="207" t="str">
        <f>VLOOKUP($A19,'II.2.6.chitietHA'!$B$8:$R$2144,5,FALSE)</f>
        <v>trụ</v>
      </c>
      <c r="D19" s="207">
        <f>VLOOKUP($A19,'II.2.6.chitietHA'!$B$8:$R$2144,6,FALSE)</f>
        <v>3</v>
      </c>
      <c r="E19" s="1082">
        <f>VLOOKUP($A19,'II.2.6.chitietHA'!$B$8:$R$2144,13,FALSE)</f>
        <v>3117000</v>
      </c>
      <c r="F19" s="1082">
        <f>VLOOKUP($A19,'II.2.6.chitietHA'!$B$8:$R$2144,14,FALSE)</f>
        <v>0</v>
      </c>
      <c r="G19" s="1082">
        <f>VLOOKUP($A19,'II.2.6.chitietHA'!$B$8:$R$2144,15,FALSE)</f>
        <v>26000</v>
      </c>
      <c r="H19" s="1082">
        <f>VLOOKUP($A19,'II.2.6.chitietHA'!$B$8:$R$2144,16,FALSE)</f>
        <v>1168200</v>
      </c>
      <c r="I19" s="1082">
        <f>VLOOKUP($A19,'II.2.6.chitietHA'!$B$8:$R$2144,17,FALSE)</f>
        <v>0</v>
      </c>
      <c r="J19" s="227">
        <f>ROUND($D19*E19,0)</f>
        <v>9351000</v>
      </c>
      <c r="K19" s="227">
        <f t="shared" si="2"/>
        <v>0</v>
      </c>
      <c r="L19" s="227">
        <f t="shared" si="2"/>
        <v>78000</v>
      </c>
      <c r="M19" s="227">
        <f t="shared" si="3"/>
        <v>3504600</v>
      </c>
      <c r="N19" s="227">
        <f t="shared" si="3"/>
        <v>0</v>
      </c>
    </row>
    <row r="20" spans="1:14" ht="15" customHeight="1">
      <c r="A20" s="1254" t="s">
        <v>3619</v>
      </c>
      <c r="B20" s="1081" t="str">
        <f>VLOOKUP($A20,'II.2.6.chitietHA'!$B$8:$R$2144,4,FALSE)</f>
        <v>Trụ BTLT 8,5m</v>
      </c>
      <c r="C20" s="207" t="str">
        <f>VLOOKUP($A20,'II.2.6.chitietHA'!$B$8:$R$2144,5,FALSE)</f>
        <v>trụ</v>
      </c>
      <c r="D20" s="207">
        <f>VLOOKUP($A20,'II.2.6.chitietHA'!$B$8:$R$2144,6,FALSE)</f>
        <v>104</v>
      </c>
      <c r="E20" s="1082">
        <f>VLOOKUP($A20,'II.2.6.chitietHA'!$B$8:$R$2144,13,FALSE)</f>
        <v>1806000</v>
      </c>
      <c r="F20" s="1082">
        <f>VLOOKUP($A20,'II.2.6.chitietHA'!$B$8:$R$2144,14,FALSE)</f>
        <v>0</v>
      </c>
      <c r="G20" s="1082">
        <f>VLOOKUP($A20,'II.2.6.chitietHA'!$B$8:$R$2144,15,FALSE)</f>
        <v>26000</v>
      </c>
      <c r="H20" s="1082">
        <f>VLOOKUP($A20,'II.2.6.chitietHA'!$B$8:$R$2144,16,FALSE)</f>
        <v>1014200</v>
      </c>
      <c r="I20" s="1082">
        <f>VLOOKUP($A20,'II.2.6.chitietHA'!$B$8:$R$2144,17,FALSE)</f>
        <v>0</v>
      </c>
      <c r="J20" s="227">
        <f>ROUND($D20*E20,0)</f>
        <v>187824000</v>
      </c>
      <c r="K20" s="227">
        <f t="shared" si="2"/>
        <v>0</v>
      </c>
      <c r="L20" s="227">
        <f t="shared" si="2"/>
        <v>2704000</v>
      </c>
      <c r="M20" s="227">
        <f t="shared" si="3"/>
        <v>105476800</v>
      </c>
      <c r="N20" s="227">
        <f t="shared" si="3"/>
        <v>0</v>
      </c>
    </row>
    <row r="21" spans="1:14" ht="15" customHeight="1">
      <c r="A21" s="1254" t="s">
        <v>3620</v>
      </c>
      <c r="B21" s="1081" t="str">
        <f>VLOOKUP($A21,'II.2.6.chitietHA'!$B$8:$R$2144,4,FALSE)</f>
        <v>Trụ BTLT 8,5m (có tiếp địa thân trụ)</v>
      </c>
      <c r="C21" s="207" t="str">
        <f>VLOOKUP($A21,'II.2.6.chitietHA'!$B$8:$R$2144,5,FALSE)</f>
        <v>trụ</v>
      </c>
      <c r="D21" s="207">
        <f>VLOOKUP($A21,'II.2.6.chitietHA'!$B$8:$R$2144,6,FALSE)</f>
        <v>19</v>
      </c>
      <c r="E21" s="1082">
        <f>VLOOKUP($A21,'II.2.6.chitietHA'!$B$8:$R$2144,13,FALSE)</f>
        <v>1896000</v>
      </c>
      <c r="F21" s="1082">
        <f>VLOOKUP($A21,'II.2.6.chitietHA'!$B$8:$R$2144,14,FALSE)</f>
        <v>0</v>
      </c>
      <c r="G21" s="1082">
        <f>VLOOKUP($A21,'II.2.6.chitietHA'!$B$8:$R$2144,15,FALSE)</f>
        <v>26000</v>
      </c>
      <c r="H21" s="1082">
        <f>VLOOKUP($A21,'II.2.6.chitietHA'!$B$8:$R$2144,16,FALSE)</f>
        <v>1014200</v>
      </c>
      <c r="I21" s="1082">
        <f>VLOOKUP($A21,'II.2.6.chitietHA'!$B$8:$R$2144,17,FALSE)</f>
        <v>0</v>
      </c>
      <c r="J21" s="227">
        <f>ROUND($D21*E21,0)</f>
        <v>36024000</v>
      </c>
      <c r="K21" s="227">
        <f t="shared" si="2"/>
        <v>0</v>
      </c>
      <c r="L21" s="227">
        <f t="shared" si="2"/>
        <v>494000</v>
      </c>
      <c r="M21" s="227">
        <f t="shared" si="3"/>
        <v>19269800</v>
      </c>
      <c r="N21" s="227">
        <f t="shared" si="3"/>
        <v>0</v>
      </c>
    </row>
    <row r="22" spans="1:14" ht="15" customHeight="1">
      <c r="A22" s="1254" t="s">
        <v>2573</v>
      </c>
      <c r="B22" s="1081" t="str">
        <f>VLOOKUP($A22,'II.2.6.chitietHA'!$B$8:$R$2144,4,FALSE)</f>
        <v>Bộ dây chằng xuống trụ 8,5m</v>
      </c>
      <c r="C22" s="207" t="str">
        <f>VLOOKUP($A22,'II.2.6.chitietHA'!$B$8:$R$2144,5,FALSE)</f>
        <v>bộ</v>
      </c>
      <c r="D22" s="207">
        <f>VLOOKUP($A22,'II.2.6.chitietHA'!$B$8:$R$2144,6,FALSE)</f>
        <v>6</v>
      </c>
      <c r="E22" s="1082">
        <f>VLOOKUP($A22,'II.2.6.chitietHA'!$B$8:$R$2144,13,FALSE)</f>
        <v>578734</v>
      </c>
      <c r="F22" s="1082">
        <f>VLOOKUP($A22,'II.2.6.chitietHA'!$B$8:$R$2144,14,FALSE)</f>
        <v>0</v>
      </c>
      <c r="G22" s="1082">
        <f>VLOOKUP($A22,'II.2.6.chitietHA'!$B$8:$R$2144,15,FALSE)</f>
        <v>0</v>
      </c>
      <c r="H22" s="1082">
        <f>VLOOKUP($A22,'II.2.6.chitietHA'!$B$8:$R$2144,16,FALSE)</f>
        <v>99000</v>
      </c>
      <c r="I22" s="1082">
        <f>VLOOKUP($A22,'II.2.6.chitietHA'!$B$8:$R$2144,17,FALSE)</f>
        <v>0</v>
      </c>
      <c r="J22" s="227">
        <f t="shared" ref="J22:J27" si="4">ROUND($D22*E22,0)</f>
        <v>3472404</v>
      </c>
      <c r="K22" s="227">
        <f t="shared" ref="K22:K27" si="5">ROUND($D22*F22,0)</f>
        <v>0</v>
      </c>
      <c r="L22" s="227">
        <f t="shared" ref="L22:L27" si="6">ROUND($D22*G22,0)</f>
        <v>0</v>
      </c>
      <c r="M22" s="227">
        <f t="shared" ref="M22:M27" si="7">ROUND($D22*H22,0)</f>
        <v>594000</v>
      </c>
      <c r="N22" s="227">
        <f t="shared" ref="N22:N27" si="8">ROUND($D22*I22,0)</f>
        <v>0</v>
      </c>
    </row>
    <row r="23" spans="1:14" ht="15" customHeight="1">
      <c r="A23" s="1254" t="s">
        <v>2576</v>
      </c>
      <c r="B23" s="1081" t="str">
        <f>VLOOKUP($A23,'II.2.6.chitietHA'!$B$8:$R$2144,4,FALSE)</f>
        <v>Bộ dây chằng hẹp trụ 8,5m</v>
      </c>
      <c r="C23" s="207" t="str">
        <f>VLOOKUP($A23,'II.2.6.chitietHA'!$B$8:$R$2144,5,FALSE)</f>
        <v>bộ</v>
      </c>
      <c r="D23" s="207">
        <f>VLOOKUP($A23,'II.2.6.chitietHA'!$B$8:$R$2144,6,FALSE)</f>
        <v>4</v>
      </c>
      <c r="E23" s="1082">
        <f>VLOOKUP($A23,'II.2.6.chitietHA'!$B$8:$R$2144,13,FALSE)</f>
        <v>965050</v>
      </c>
      <c r="F23" s="1082">
        <f>VLOOKUP($A23,'II.2.6.chitietHA'!$B$8:$R$2144,14,FALSE)</f>
        <v>0</v>
      </c>
      <c r="G23" s="1082">
        <f>VLOOKUP($A23,'II.2.6.chitietHA'!$B$8:$R$2144,15,FALSE)</f>
        <v>0</v>
      </c>
      <c r="H23" s="1082">
        <f>VLOOKUP($A23,'II.2.6.chitietHA'!$B$8:$R$2144,16,FALSE)</f>
        <v>99000</v>
      </c>
      <c r="I23" s="1082">
        <f>VLOOKUP($A23,'II.2.6.chitietHA'!$B$8:$R$2144,17,FALSE)</f>
        <v>0</v>
      </c>
      <c r="J23" s="227">
        <f t="shared" si="4"/>
        <v>3860200</v>
      </c>
      <c r="K23" s="227">
        <f t="shared" si="5"/>
        <v>0</v>
      </c>
      <c r="L23" s="227">
        <f t="shared" si="6"/>
        <v>0</v>
      </c>
      <c r="M23" s="227">
        <f t="shared" si="7"/>
        <v>396000</v>
      </c>
      <c r="N23" s="227">
        <f t="shared" si="8"/>
        <v>0</v>
      </c>
    </row>
    <row r="24" spans="1:14" ht="15" customHeight="1">
      <c r="A24" s="1254" t="s">
        <v>2577</v>
      </c>
      <c r="B24" s="1081" t="str">
        <f>VLOOKUP($A24,'II.2.6.chitietHA'!$B$8:$R$2144,4,FALSE)</f>
        <v>Bộ tiếp địa trụ 8,5m (có dãy tiếp địa thân trụ)</v>
      </c>
      <c r="C24" s="207" t="str">
        <f>VLOOKUP($A24,'II.2.6.chitietHA'!$B$8:$R$2144,5,FALSE)</f>
        <v>bộ</v>
      </c>
      <c r="D24" s="207">
        <f>VLOOKUP($A24,'II.2.6.chitietHA'!$B$8:$R$2144,6,FALSE)</f>
        <v>19</v>
      </c>
      <c r="E24" s="1082">
        <f>VLOOKUP($A24,'II.2.6.chitietHA'!$B$8:$R$2144,13,FALSE)</f>
        <v>376268</v>
      </c>
      <c r="F24" s="1082">
        <f>VLOOKUP($A24,'II.2.6.chitietHA'!$B$8:$R$2144,14,FALSE)</f>
        <v>0</v>
      </c>
      <c r="G24" s="1082">
        <f>VLOOKUP($A24,'II.2.6.chitietHA'!$B$8:$R$2144,15,FALSE)</f>
        <v>6131</v>
      </c>
      <c r="H24" s="1082">
        <f>VLOOKUP($A24,'II.2.6.chitietHA'!$B$8:$R$2144,16,FALSE)</f>
        <v>166787</v>
      </c>
      <c r="I24" s="1082">
        <f>VLOOKUP($A24,'II.2.6.chitietHA'!$B$8:$R$2144,17,FALSE)</f>
        <v>11615</v>
      </c>
      <c r="J24" s="227">
        <f t="shared" si="4"/>
        <v>7149092</v>
      </c>
      <c r="K24" s="227">
        <f t="shared" si="5"/>
        <v>0</v>
      </c>
      <c r="L24" s="227">
        <f t="shared" si="6"/>
        <v>116489</v>
      </c>
      <c r="M24" s="227">
        <f t="shared" si="7"/>
        <v>3168953</v>
      </c>
      <c r="N24" s="227">
        <f t="shared" si="8"/>
        <v>220685</v>
      </c>
    </row>
    <row r="25" spans="1:14" ht="15" customHeight="1">
      <c r="A25" s="1254" t="s">
        <v>2742</v>
      </c>
      <c r="B25" s="1081" t="str">
        <f>VLOOKUP($A25,'II.2.6.chitietHA'!$B$8:$R$2144,4,FALSE)</f>
        <v>Tiếp địa hạ áp (đấu lèo trung tính hiện hữu)</v>
      </c>
      <c r="C25" s="207" t="str">
        <f>VLOOKUP($A25,'II.2.6.chitietHA'!$B$8:$R$2144,5,FALSE)</f>
        <v>bộ</v>
      </c>
      <c r="D25" s="207">
        <f>VLOOKUP($A25,'II.2.6.chitietHA'!$B$8:$R$2144,6,FALSE)</f>
        <v>10</v>
      </c>
      <c r="E25" s="1082">
        <f>VLOOKUP($A25,'II.2.6.chitietHA'!$B$8:$R$2144,13,FALSE)</f>
        <v>154490</v>
      </c>
      <c r="F25" s="1082">
        <f>VLOOKUP($A25,'II.2.6.chitietHA'!$B$8:$R$2144,14,FALSE)</f>
        <v>0</v>
      </c>
      <c r="G25" s="1082">
        <f>VLOOKUP($A25,'II.2.6.chitietHA'!$B$8:$R$2144,15,FALSE)</f>
        <v>2511</v>
      </c>
      <c r="H25" s="1082">
        <f>VLOOKUP($A25,'II.2.6.chitietHA'!$B$8:$R$2144,16,FALSE)</f>
        <v>92400</v>
      </c>
      <c r="I25" s="1082">
        <f>VLOOKUP($A25,'II.2.6.chitietHA'!$B$8:$R$2144,17,FALSE)</f>
        <v>0</v>
      </c>
      <c r="J25" s="227">
        <f t="shared" si="4"/>
        <v>1544900</v>
      </c>
      <c r="K25" s="227">
        <f t="shared" si="5"/>
        <v>0</v>
      </c>
      <c r="L25" s="227">
        <f t="shared" si="6"/>
        <v>25110</v>
      </c>
      <c r="M25" s="227">
        <f t="shared" si="7"/>
        <v>924000</v>
      </c>
      <c r="N25" s="227">
        <f t="shared" si="8"/>
        <v>0</v>
      </c>
    </row>
    <row r="26" spans="1:14" ht="15" customHeight="1">
      <c r="A26" s="1254" t="s">
        <v>4620</v>
      </c>
      <c r="B26" s="1081" t="str">
        <f>VLOOKUP($A26,'II.2.6.chitietHA'!$B$8:$R$2144,4,FALSE)</f>
        <v>Hộp phân phối hạ áp 6 cực &amp; Phụ kiện</v>
      </c>
      <c r="C26" s="207" t="str">
        <f>VLOOKUP($A26,'II.2.6.chitietHA'!$B$8:$R$2144,5,FALSE)</f>
        <v>Trọn bộ</v>
      </c>
      <c r="D26" s="207">
        <f>VLOOKUP($A26,'II.2.6.chitietHA'!$B$8:$R$2144,6,FALSE)</f>
        <v>0</v>
      </c>
      <c r="E26" s="1082">
        <f>VLOOKUP($A26,'II.2.6.chitietHA'!$B$8:$R$2144,13,FALSE)</f>
        <v>1666400</v>
      </c>
      <c r="F26" s="1082">
        <f>VLOOKUP($A26,'II.2.6.chitietHA'!$B$8:$R$2144,14,FALSE)</f>
        <v>0</v>
      </c>
      <c r="G26" s="1082">
        <f>VLOOKUP($A26,'II.2.6.chitietHA'!$B$8:$R$2144,15,FALSE)</f>
        <v>2856</v>
      </c>
      <c r="H26" s="1082">
        <f>VLOOKUP($A26,'II.2.6.chitietHA'!$B$8:$R$2144,16,FALSE)</f>
        <v>91054</v>
      </c>
      <c r="I26" s="1082">
        <f>VLOOKUP($A26,'II.2.6.chitietHA'!$B$8:$R$2144,17,FALSE)</f>
        <v>0</v>
      </c>
      <c r="J26" s="227">
        <f t="shared" si="4"/>
        <v>0</v>
      </c>
      <c r="K26" s="227">
        <f t="shared" si="5"/>
        <v>0</v>
      </c>
      <c r="L26" s="227">
        <f t="shared" si="6"/>
        <v>0</v>
      </c>
      <c r="M26" s="227">
        <f t="shared" si="7"/>
        <v>0</v>
      </c>
      <c r="N26" s="227">
        <f t="shared" si="8"/>
        <v>0</v>
      </c>
    </row>
    <row r="27" spans="1:14" ht="15" customHeight="1">
      <c r="A27" s="1254" t="s">
        <v>5932</v>
      </c>
      <c r="B27" s="1081" t="str">
        <f>VLOOKUP($A27,'II.2.6.chitietHA'!$B$8:$R$2144,4,FALSE)</f>
        <v xml:space="preserve">Cụm đấu rẽ khách hàng hạ áp </v>
      </c>
      <c r="C27" s="207" t="str">
        <f>VLOOKUP($A27,'II.2.6.chitietHA'!$B$8:$R$2144,5,FALSE)</f>
        <v>bộ</v>
      </c>
      <c r="D27" s="207">
        <f>VLOOKUP($A27,'II.2.6.chitietHA'!$B$8:$R$2144,6,FALSE)</f>
        <v>138</v>
      </c>
      <c r="E27" s="1082">
        <f>VLOOKUP($A27,'II.2.6.chitietHA'!$B$8:$R$2144,13,FALSE)</f>
        <v>292400</v>
      </c>
      <c r="F27" s="1082">
        <f>VLOOKUP($A27,'II.2.6.chitietHA'!$B$8:$R$2144,14,FALSE)</f>
        <v>0</v>
      </c>
      <c r="G27" s="1082">
        <f>VLOOKUP($A27,'II.2.6.chitietHA'!$B$8:$R$2144,15,FALSE)</f>
        <v>2511</v>
      </c>
      <c r="H27" s="1082">
        <f>VLOOKUP($A27,'II.2.6.chitietHA'!$B$8:$R$2144,16,FALSE)</f>
        <v>92400</v>
      </c>
      <c r="I27" s="1082">
        <f>VLOOKUP($A27,'II.2.6.chitietHA'!$B$8:$R$2144,17,FALSE)</f>
        <v>0</v>
      </c>
      <c r="J27" s="227">
        <f t="shared" si="4"/>
        <v>40351200</v>
      </c>
      <c r="K27" s="227">
        <f t="shared" si="5"/>
        <v>0</v>
      </c>
      <c r="L27" s="227">
        <f t="shared" si="6"/>
        <v>346518</v>
      </c>
      <c r="M27" s="227">
        <f t="shared" si="7"/>
        <v>12751200</v>
      </c>
      <c r="N27" s="227">
        <f t="shared" si="8"/>
        <v>0</v>
      </c>
    </row>
    <row r="28" spans="1:14" ht="15" customHeight="1">
      <c r="A28" s="1254" t="s">
        <v>5933</v>
      </c>
      <c r="B28" s="1081" t="str">
        <f>VLOOKUP($A28,'II.2.6.chitietHA'!$B$8:$R$2144,4,FALSE)</f>
        <v>Phần nhánh rẽ khách hàng hạ áp</v>
      </c>
      <c r="C28" s="207" t="str">
        <f>VLOOKUP($A28,'II.2.6.chitietHA'!$B$8:$R$2144,5,FALSE)</f>
        <v>Trọn bộ</v>
      </c>
      <c r="D28" s="207">
        <f>VLOOKUP($A28,'II.2.6.chitietHA'!$B$8:$R$2144,6,FALSE)</f>
        <v>1</v>
      </c>
      <c r="E28" s="1082">
        <f>VLOOKUP($A28,'II.2.6.chitietHA'!$B$8:$R$2144,13,FALSE)</f>
        <v>785250</v>
      </c>
      <c r="F28" s="1082">
        <f>VLOOKUP($A28,'II.2.6.chitietHA'!$B$8:$R$2144,14,FALSE)</f>
        <v>0</v>
      </c>
      <c r="G28" s="1082">
        <f>VLOOKUP($A28,'II.2.6.chitietHA'!$B$8:$R$2144,15,FALSE)</f>
        <v>203536</v>
      </c>
      <c r="H28" s="1082">
        <f>VLOOKUP($A28,'II.2.6.chitietHA'!$B$8:$R$2144,16,FALSE)</f>
        <v>1357422</v>
      </c>
      <c r="I28" s="1082">
        <f>VLOOKUP($A28,'II.2.6.chitietHA'!$B$8:$R$2144,17,FALSE)</f>
        <v>0</v>
      </c>
      <c r="J28" s="227">
        <f t="shared" ref="J28:N29" si="9">ROUND($D28*E28,0)</f>
        <v>785250</v>
      </c>
      <c r="K28" s="227">
        <f t="shared" si="9"/>
        <v>0</v>
      </c>
      <c r="L28" s="227">
        <f t="shared" si="9"/>
        <v>203536</v>
      </c>
      <c r="M28" s="227">
        <f t="shared" si="9"/>
        <v>1357422</v>
      </c>
      <c r="N28" s="227">
        <f t="shared" si="9"/>
        <v>0</v>
      </c>
    </row>
    <row r="29" spans="1:14" ht="15" customHeight="1">
      <c r="A29" s="1254" t="s">
        <v>712</v>
      </c>
      <c r="B29" s="1081" t="str">
        <f>VLOOKUP($A29,'II.2.6.chitietHA'!$B$8:$R$2144,4,FALSE)</f>
        <v>Phần dây, sứ và phụ kiện</v>
      </c>
      <c r="C29" s="207" t="str">
        <f>VLOOKUP($A29,'II.2.6.chitietHA'!$B$8:$R$2144,5,FALSE)</f>
        <v>Trọn bộ</v>
      </c>
      <c r="D29" s="207">
        <f>VLOOKUP($A29,'II.2.6.chitietHA'!$B$8:$R$2144,6,FALSE)</f>
        <v>1</v>
      </c>
      <c r="E29" s="1082">
        <f>VLOOKUP($A29,'II.2.6.chitietHA'!$B$8:$R$2144,13,FALSE)</f>
        <v>240330400</v>
      </c>
      <c r="F29" s="1082">
        <f>VLOOKUP($A29,'II.2.6.chitietHA'!$B$8:$R$2144,14,FALSE)</f>
        <v>0</v>
      </c>
      <c r="G29" s="1082">
        <f>VLOOKUP($A29,'II.2.6.chitietHA'!$B$8:$R$2144,15,FALSE)</f>
        <v>47554</v>
      </c>
      <c r="H29" s="1082">
        <f>VLOOKUP($A29,'II.2.6.chitietHA'!$B$8:$R$2144,16,FALSE)</f>
        <v>14526503</v>
      </c>
      <c r="I29" s="1082">
        <f>VLOOKUP($A29,'II.2.6.chitietHA'!$B$8:$R$2144,17,FALSE)</f>
        <v>0</v>
      </c>
      <c r="J29" s="227">
        <f t="shared" si="9"/>
        <v>240330400</v>
      </c>
      <c r="K29" s="227">
        <f t="shared" si="9"/>
        <v>0</v>
      </c>
      <c r="L29" s="227">
        <f t="shared" si="9"/>
        <v>47554</v>
      </c>
      <c r="M29" s="227">
        <f t="shared" si="9"/>
        <v>14526503</v>
      </c>
      <c r="N29" s="227">
        <f t="shared" si="9"/>
        <v>0</v>
      </c>
    </row>
    <row r="30" spans="1:14" ht="15" customHeight="1">
      <c r="A30" s="1230" t="s">
        <v>4085</v>
      </c>
      <c r="B30" s="255" t="str">
        <f>VLOOKUP($A30,'II.2.6.chitietHA'!$B$8:$R$2144,4,FALSE)</f>
        <v>PHẦN NHÂN CÔNG THÁO DỠ VẬT LIỆU</v>
      </c>
      <c r="C30" s="207">
        <f>VLOOKUP($A30,'II.2.6.chitietHA'!$B$8:$R$2144,5,FALSE)</f>
        <v>0</v>
      </c>
      <c r="D30" s="207">
        <f>VLOOKUP($A30,'II.2.6.chitietHA'!$B$8:$R$2144,6,FALSE)</f>
        <v>0</v>
      </c>
      <c r="E30" s="1082">
        <f>VLOOKUP($A30,'II.2.6.chitietHA'!$B$8:$R$2144,13,FALSE)</f>
        <v>0</v>
      </c>
      <c r="F30" s="1082">
        <f>VLOOKUP($A30,'II.2.6.chitietHA'!$B$8:$R$2144,14,FALSE)</f>
        <v>0</v>
      </c>
      <c r="G30" s="1082">
        <f>VLOOKUP($A30,'II.2.6.chitietHA'!$B$8:$R$2144,15,FALSE)</f>
        <v>0</v>
      </c>
      <c r="H30" s="1082">
        <f>VLOOKUP($A30,'II.2.6.chitietHA'!$B$8:$R$2144,16,FALSE)</f>
        <v>0</v>
      </c>
      <c r="I30" s="1082">
        <f>VLOOKUP($A30,'II.2.6.chitietHA'!$B$8:$R$2144,17,FALSE)</f>
        <v>0</v>
      </c>
      <c r="J30" s="227">
        <f t="shared" ref="J30:N34" si="10">ROUND($D30*E30,0)</f>
        <v>0</v>
      </c>
      <c r="K30" s="227">
        <f t="shared" si="10"/>
        <v>0</v>
      </c>
      <c r="L30" s="227">
        <f t="shared" si="10"/>
        <v>0</v>
      </c>
      <c r="M30" s="227">
        <f t="shared" si="10"/>
        <v>0</v>
      </c>
      <c r="N30" s="227">
        <f t="shared" si="10"/>
        <v>0</v>
      </c>
    </row>
    <row r="31" spans="1:14" ht="15" customHeight="1">
      <c r="A31" s="1254" t="s">
        <v>1912</v>
      </c>
      <c r="B31" s="1081" t="str">
        <f>VLOOKUP($A31,'II.2.6.chitietHA'!$B$8:$R$2144,4,FALSE)</f>
        <v>Trụ BTLT 10,5m</v>
      </c>
      <c r="C31" s="207" t="str">
        <f>VLOOKUP($A31,'II.2.6.chitietHA'!$B$8:$R$2144,5,FALSE)</f>
        <v>trụ</v>
      </c>
      <c r="D31" s="207">
        <f>VLOOKUP($A31,'II.2.6.chitietHA'!$B$8:$R$2144,6,FALSE)</f>
        <v>0</v>
      </c>
      <c r="E31" s="1082">
        <f>VLOOKUP($A31,'II.2.6.chitietHA'!$B$8:$R$2144,13,FALSE)</f>
        <v>0</v>
      </c>
      <c r="F31" s="1082"/>
      <c r="G31" s="1082">
        <f>VLOOKUP($A31,'II.2.6.chitietHA'!$B$8:$R$2144,15,FALSE)</f>
        <v>11875</v>
      </c>
      <c r="H31" s="1082">
        <f>VLOOKUP($A31,'II.2.6.chitietHA'!$B$8:$R$2144,16,FALSE)</f>
        <v>913454</v>
      </c>
      <c r="I31" s="1082">
        <f>VLOOKUP($A31,'II.2.6.chitietHA'!$B$8:$R$2144,17,FALSE)</f>
        <v>0</v>
      </c>
      <c r="J31" s="227">
        <f t="shared" si="10"/>
        <v>0</v>
      </c>
      <c r="K31" s="227">
        <f t="shared" si="10"/>
        <v>0</v>
      </c>
      <c r="L31" s="227">
        <f t="shared" si="10"/>
        <v>0</v>
      </c>
      <c r="M31" s="227">
        <f t="shared" si="10"/>
        <v>0</v>
      </c>
      <c r="N31" s="227">
        <f t="shared" si="10"/>
        <v>0</v>
      </c>
    </row>
    <row r="32" spans="1:14" ht="15" customHeight="1">
      <c r="A32" s="1254" t="s">
        <v>1913</v>
      </c>
      <c r="B32" s="1081" t="str">
        <f>VLOOKUP($A32,'II.2.6.chitietHA'!$B$8:$R$2144,4,FALSE)</f>
        <v>Trụ BTLT 7,5m</v>
      </c>
      <c r="C32" s="207" t="str">
        <f>VLOOKUP($A32,'II.2.6.chitietHA'!$B$8:$R$2144,5,FALSE)</f>
        <v>trụ</v>
      </c>
      <c r="D32" s="207">
        <f>VLOOKUP($A32,'II.2.6.chitietHA'!$B$8:$R$2144,6,FALSE)</f>
        <v>11</v>
      </c>
      <c r="E32" s="1082">
        <f>VLOOKUP($A32,'II.2.6.chitietHA'!$B$8:$R$2144,13,FALSE)</f>
        <v>0</v>
      </c>
      <c r="F32" s="1082">
        <f>VLOOKUP($A32,'II.2.6.chitietHA'!$B$8:$R$2144,14,FALSE)</f>
        <v>0</v>
      </c>
      <c r="G32" s="1082">
        <f>VLOOKUP($A32,'II.2.6.chitietHA'!$B$8:$R$2144,15,FALSE)</f>
        <v>11875</v>
      </c>
      <c r="H32" s="1082">
        <f>VLOOKUP($A32,'II.2.6.chitietHA'!$B$8:$R$2144,16,FALSE)</f>
        <v>761181</v>
      </c>
      <c r="I32" s="1082">
        <f>VLOOKUP($A32,'II.2.6.chitietHA'!$B$8:$R$2144,17,FALSE)</f>
        <v>0</v>
      </c>
      <c r="J32" s="227">
        <f t="shared" si="10"/>
        <v>0</v>
      </c>
      <c r="K32" s="227">
        <f t="shared" si="10"/>
        <v>0</v>
      </c>
      <c r="L32" s="227">
        <f t="shared" si="10"/>
        <v>130625</v>
      </c>
      <c r="M32" s="227">
        <f t="shared" si="10"/>
        <v>8372991</v>
      </c>
      <c r="N32" s="227">
        <f t="shared" si="10"/>
        <v>0</v>
      </c>
    </row>
    <row r="33" spans="1:14" ht="15" customHeight="1">
      <c r="A33" s="1254" t="s">
        <v>3850</v>
      </c>
      <c r="B33" s="1081" t="str">
        <f>VLOOKUP($A33,'II.2.6.chitietHA'!$B$8:$R$2144,4,FALSE)</f>
        <v>Bộ chằng xuống trụ hạ áp</v>
      </c>
      <c r="C33" s="207" t="str">
        <f>VLOOKUP($A33,'II.2.6.chitietHA'!$B$8:$R$2144,5,FALSE)</f>
        <v>bộ</v>
      </c>
      <c r="D33" s="207">
        <f>VLOOKUP($A33,'II.2.6.chitietHA'!$B$8:$R$2144,6,FALSE)</f>
        <v>3</v>
      </c>
      <c r="E33" s="1082">
        <f>VLOOKUP($A33,'II.2.6.chitietHA'!$B$8:$R$2144,13,FALSE)</f>
        <v>0</v>
      </c>
      <c r="F33" s="1082">
        <f>VLOOKUP($A33,'II.2.6.chitietHA'!$B$8:$R$2144,14,FALSE)</f>
        <v>0</v>
      </c>
      <c r="G33" s="1082">
        <f>VLOOKUP($A33,'II.2.6.chitietHA'!$B$8:$R$2144,15,FALSE)</f>
        <v>0</v>
      </c>
      <c r="H33" s="1082">
        <f>VLOOKUP($A33,'II.2.6.chitietHA'!$B$8:$R$2144,16,FALSE)</f>
        <v>80190</v>
      </c>
      <c r="I33" s="1082">
        <f>VLOOKUP($A33,'II.2.6.chitietHA'!$B$8:$R$2144,17,FALSE)</f>
        <v>0</v>
      </c>
      <c r="J33" s="227">
        <f t="shared" si="10"/>
        <v>0</v>
      </c>
      <c r="K33" s="227">
        <f t="shared" si="10"/>
        <v>0</v>
      </c>
      <c r="L33" s="227">
        <f t="shared" si="10"/>
        <v>0</v>
      </c>
      <c r="M33" s="227">
        <f t="shared" si="10"/>
        <v>240570</v>
      </c>
      <c r="N33" s="227">
        <f t="shared" si="10"/>
        <v>0</v>
      </c>
    </row>
    <row r="34" spans="1:14" ht="15" customHeight="1">
      <c r="A34" s="1254" t="s">
        <v>3852</v>
      </c>
      <c r="B34" s="1081" t="str">
        <f>VLOOKUP($A34,'II.2.6.chitietHA'!$B$8:$R$2144,4,FALSE)</f>
        <v>Bộ chằng hẹp trụ hạ áp</v>
      </c>
      <c r="C34" s="207" t="str">
        <f>VLOOKUP($A34,'II.2.6.chitietHA'!$B$8:$R$2144,5,FALSE)</f>
        <v>bộ</v>
      </c>
      <c r="D34" s="207">
        <f>VLOOKUP($A34,'II.2.6.chitietHA'!$B$8:$R$2144,6,FALSE)</f>
        <v>0</v>
      </c>
      <c r="E34" s="1082">
        <f>VLOOKUP($A34,'II.2.6.chitietHA'!$B$8:$R$2144,13,FALSE)</f>
        <v>0</v>
      </c>
      <c r="F34" s="1082">
        <f>VLOOKUP($A34,'II.2.6.chitietHA'!$B$8:$R$2144,14,FALSE)</f>
        <v>0</v>
      </c>
      <c r="G34" s="1082">
        <f>VLOOKUP($A34,'II.2.6.chitietHA'!$B$8:$R$2144,15,FALSE)</f>
        <v>0</v>
      </c>
      <c r="H34" s="1082">
        <f>VLOOKUP($A34,'II.2.6.chitietHA'!$B$8:$R$2144,16,FALSE)</f>
        <v>80190</v>
      </c>
      <c r="I34" s="1082">
        <f>VLOOKUP($A34,'II.2.6.chitietHA'!$B$8:$R$2144,17,FALSE)</f>
        <v>0</v>
      </c>
      <c r="J34" s="227">
        <f t="shared" si="10"/>
        <v>0</v>
      </c>
      <c r="K34" s="227">
        <f t="shared" si="10"/>
        <v>0</v>
      </c>
      <c r="L34" s="227">
        <f t="shared" si="10"/>
        <v>0</v>
      </c>
      <c r="M34" s="227">
        <f t="shared" si="10"/>
        <v>0</v>
      </c>
      <c r="N34" s="227">
        <f t="shared" si="10"/>
        <v>0</v>
      </c>
    </row>
    <row r="35" spans="1:14" ht="15" customHeight="1">
      <c r="A35" s="1254" t="s">
        <v>2574</v>
      </c>
      <c r="B35" s="1081" t="str">
        <f>VLOOKUP($A35,'II.2.6.chitietHA'!$B$8:$R$2144,4,FALSE)</f>
        <v>Phần dây, sứ và phụ kiện</v>
      </c>
      <c r="C35" s="207" t="str">
        <f>VLOOKUP($A35,'II.2.6.chitietHA'!$B$8:$R$2144,5,FALSE)</f>
        <v>Trọn bộ</v>
      </c>
      <c r="D35" s="207">
        <f>VLOOKUP($A35,'II.2.6.chitietHA'!$B$8:$R$2144,6,FALSE)</f>
        <v>1</v>
      </c>
      <c r="E35" s="1082">
        <f>VLOOKUP($A35,'II.2.6.chitietHA'!$B$8:$R$2144,13,FALSE)</f>
        <v>0</v>
      </c>
      <c r="F35" s="1082">
        <f>VLOOKUP($A35,'II.2.6.chitietHA'!$B$8:$R$2144,14,FALSE)</f>
        <v>285302</v>
      </c>
      <c r="G35" s="1082">
        <f>VLOOKUP($A35,'II.2.6.chitietHA'!$B$8:$R$2144,15,FALSE)</f>
        <v>285302</v>
      </c>
      <c r="H35" s="1082">
        <f>VLOOKUP($A35,'II.2.6.chitietHA'!$B$8:$R$2144,16,FALSE)</f>
        <v>3580017</v>
      </c>
      <c r="I35" s="1082">
        <f>VLOOKUP($A35,'II.2.6.chitietHA'!$B$8:$R$2144,17,FALSE)</f>
        <v>0</v>
      </c>
      <c r="J35" s="227">
        <f t="shared" ref="J35:N36" si="11">ROUND($D35*E35,0)</f>
        <v>0</v>
      </c>
      <c r="K35" s="227">
        <f t="shared" si="11"/>
        <v>285302</v>
      </c>
      <c r="L35" s="227">
        <f t="shared" si="11"/>
        <v>285302</v>
      </c>
      <c r="M35" s="227">
        <f t="shared" si="11"/>
        <v>3580017</v>
      </c>
      <c r="N35" s="227">
        <f t="shared" si="11"/>
        <v>0</v>
      </c>
    </row>
    <row r="36" spans="1:14">
      <c r="A36" s="1231" t="s">
        <v>4065</v>
      </c>
      <c r="B36" s="1089" t="str">
        <f>VLOOKUP($A36,'II.2.6.chitietHA'!$B$8:$R$2144,4,FALSE)</f>
        <v>PHẦN THIẾT BỊ</v>
      </c>
      <c r="C36" s="1084">
        <f>VLOOKUP($A36,'II.2.6.chitietHA'!$B$8:$R$2144,5,FALSE)</f>
        <v>0</v>
      </c>
      <c r="D36" s="1084">
        <f>VLOOKUP($A36,'II.2.6.chitietHA'!$B$8:$R$2144,6,FALSE)</f>
        <v>0</v>
      </c>
      <c r="E36" s="1082">
        <f>VLOOKUP($A36,'II.2.6.chitietHA'!$B$8:$R$2144,13,FALSE)</f>
        <v>0</v>
      </c>
      <c r="F36" s="1082">
        <f>VLOOKUP($A36,'II.2.6.chitietHA'!$B$8:$R$2144,14,FALSE)</f>
        <v>0</v>
      </c>
      <c r="G36" s="1082">
        <f>VLOOKUP($A36,'II.2.6.chitietHA'!$B$8:$R$2144,15,FALSE)</f>
        <v>0</v>
      </c>
      <c r="H36" s="1082">
        <f>VLOOKUP($A36,'II.2.6.chitietHA'!$B$8:$R$2144,16,FALSE)</f>
        <v>0</v>
      </c>
      <c r="I36" s="1082">
        <f>VLOOKUP($A36,'II.2.6.chitietHA'!$B$8:$R$2144,17,FALSE)</f>
        <v>0</v>
      </c>
      <c r="J36" s="256">
        <f t="shared" si="11"/>
        <v>0</v>
      </c>
      <c r="K36" s="256">
        <f t="shared" si="11"/>
        <v>0</v>
      </c>
      <c r="L36" s="256">
        <f t="shared" si="11"/>
        <v>0</v>
      </c>
      <c r="M36" s="256">
        <f t="shared" si="11"/>
        <v>0</v>
      </c>
      <c r="N36" s="256">
        <f t="shared" si="11"/>
        <v>0</v>
      </c>
    </row>
    <row r="37" spans="1:14" ht="15" customHeight="1">
      <c r="A37" s="2044" t="s">
        <v>6346</v>
      </c>
      <c r="B37" s="2045"/>
      <c r="C37" s="2048" t="s">
        <v>151</v>
      </c>
      <c r="D37" s="2049"/>
      <c r="E37" s="2049"/>
      <c r="F37" s="2049"/>
      <c r="G37" s="2049"/>
      <c r="H37" s="2049"/>
      <c r="I37" s="2050"/>
      <c r="J37" s="1170">
        <f>SUM(J9:J16)</f>
        <v>61666395</v>
      </c>
      <c r="K37" s="1170">
        <f>SUM(K9:K16)</f>
        <v>0</v>
      </c>
      <c r="L37" s="1170">
        <f>SUM(L9:L16)</f>
        <v>0</v>
      </c>
      <c r="M37" s="1170">
        <f>SUM(M9:M16)</f>
        <v>55881453</v>
      </c>
      <c r="N37" s="1170">
        <f>SUM(N9:N16)</f>
        <v>489310</v>
      </c>
    </row>
    <row r="38" spans="1:14" ht="15" customHeight="1">
      <c r="A38" s="2044"/>
      <c r="B38" s="2045"/>
      <c r="C38" s="2048" t="s">
        <v>2611</v>
      </c>
      <c r="D38" s="2049"/>
      <c r="E38" s="2049"/>
      <c r="F38" s="2049"/>
      <c r="G38" s="2049"/>
      <c r="H38" s="2049"/>
      <c r="I38" s="2050"/>
      <c r="J38" s="1170">
        <f>SUM(J18:J35)</f>
        <v>545044446</v>
      </c>
      <c r="K38" s="1170">
        <f>SUM(K18:K35)</f>
        <v>285302</v>
      </c>
      <c r="L38" s="1170">
        <f>SUM(L18:L35)</f>
        <v>4535134</v>
      </c>
      <c r="M38" s="1170">
        <f>SUM(M18:M35)</f>
        <v>178835656</v>
      </c>
      <c r="N38" s="1170">
        <f>SUM(N18:N35)</f>
        <v>220685</v>
      </c>
    </row>
    <row r="39" spans="1:14" ht="15" customHeight="1">
      <c r="A39" s="2046"/>
      <c r="B39" s="2047"/>
      <c r="C39" s="2102" t="s">
        <v>2612</v>
      </c>
      <c r="D39" s="2103"/>
      <c r="E39" s="2103"/>
      <c r="F39" s="2103"/>
      <c r="G39" s="2103"/>
      <c r="H39" s="2103"/>
      <c r="I39" s="2104"/>
      <c r="J39" s="1155">
        <f>SUM(J36)</f>
        <v>0</v>
      </c>
      <c r="K39" s="1155">
        <f>SUM(K36)</f>
        <v>0</v>
      </c>
      <c r="L39" s="1155">
        <f>SUM(L36)</f>
        <v>0</v>
      </c>
      <c r="M39" s="1155">
        <f>SUM(M36)</f>
        <v>0</v>
      </c>
      <c r="N39" s="1155">
        <f>SUM(N36)</f>
        <v>0</v>
      </c>
    </row>
    <row r="40" spans="1:14"/>
    <row r="41" spans="1:14">
      <c r="A41" s="153" t="s">
        <v>2572</v>
      </c>
    </row>
    <row r="42" spans="1:14">
      <c r="A42" s="1256" t="str">
        <f>"*Đơn giá nhân công, máy thi công được cập nhập theo quy định tại Thông tư 05/2016/BXD ngày 10/03/2016 "&amp;IF(NL!AJ2=3,"(Vùng III, Lttv = 2,000,000 vnđ)","(Vùng IV, Lttv = 1,9000,000đ)")</f>
        <v>*Đơn giá nhân công, máy thi công được cập nhập theo quy định tại Thông tư 05/2016/BXD ngày 10/03/2016 (Vùng III, Lttv = 2,000,000 vnđ)</v>
      </c>
    </row>
    <row r="43" spans="1:14"/>
    <row r="44" spans="1:14"/>
    <row r="45" spans="1:14"/>
    <row r="46" spans="1:14"/>
    <row r="47" spans="1:14"/>
    <row r="48" spans="1:14"/>
    <row r="49"/>
    <row r="50"/>
    <row r="51"/>
    <row r="52"/>
    <row r="53"/>
    <row r="54"/>
    <row r="55"/>
    <row r="56"/>
    <row r="57"/>
    <row r="58"/>
    <row r="59"/>
    <row r="60"/>
    <row r="61"/>
    <row r="62"/>
    <row r="63"/>
    <row r="64"/>
    <row r="65"/>
    <row r="66"/>
    <row r="67"/>
    <row r="68"/>
    <row r="69"/>
    <row r="70"/>
    <row r="71"/>
    <row r="72"/>
    <row r="73"/>
    <row r="74"/>
    <row r="75"/>
    <row r="76"/>
    <row r="77"/>
    <row r="78"/>
    <row r="79"/>
  </sheetData>
  <mergeCells count="10">
    <mergeCell ref="C39:I39"/>
    <mergeCell ref="A2:N2"/>
    <mergeCell ref="A3:N3"/>
    <mergeCell ref="A5:A6"/>
    <mergeCell ref="B5:B6"/>
    <mergeCell ref="C5:C6"/>
    <mergeCell ref="D5:D6"/>
    <mergeCell ref="A37:B39"/>
    <mergeCell ref="C37:I37"/>
    <mergeCell ref="C38:I38"/>
  </mergeCells>
  <phoneticPr fontId="0" type="noConversion"/>
  <printOptions horizontalCentered="1"/>
  <pageMargins left="0.19685039370078741" right="0.19685039370078741" top="0.39370078740157483" bottom="0.39370078740157483" header="0.31496062992125984" footer="0.19685039370078741"/>
  <pageSetup paperSize="9" scale="95" firstPageNumber="32" orientation="landscape" blackAndWhite="1" useFirstPageNumber="1"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indexed="22"/>
  </sheetPr>
  <dimension ref="A2:U211"/>
  <sheetViews>
    <sheetView showZeros="0" topLeftCell="A196" workbookViewId="0">
      <selection activeCell="C10" sqref="C10:D10"/>
    </sheetView>
  </sheetViews>
  <sheetFormatPr defaultColWidth="9.33203125" defaultRowHeight="15" outlineLevelCol="1"/>
  <cols>
    <col min="1" max="1" width="13.83203125" style="1206" customWidth="1"/>
    <col min="2" max="2" width="5.83203125" style="1240" customWidth="1"/>
    <col min="3" max="3" width="9.83203125" style="1116" customWidth="1"/>
    <col min="4" max="4" width="10.83203125" style="185" hidden="1" customWidth="1" outlineLevel="1"/>
    <col min="5" max="5" width="44.83203125" style="185" customWidth="1" collapsed="1"/>
    <col min="6" max="6" width="8.83203125" style="185" customWidth="1"/>
    <col min="7" max="7" width="6.83203125" style="1218" customWidth="1"/>
    <col min="8" max="8" width="6.83203125" style="197" hidden="1" customWidth="1" outlineLevel="1"/>
    <col min="9" max="9" width="11.83203125" style="197" customWidth="1" collapsed="1"/>
    <col min="10" max="10" width="10.83203125" style="197" hidden="1" customWidth="1"/>
    <col min="11" max="11" width="10.83203125" style="197" customWidth="1"/>
    <col min="12" max="12" width="11.83203125" style="197" customWidth="1"/>
    <col min="13" max="13" width="9.83203125" style="197" customWidth="1"/>
    <col min="14" max="14" width="12.6640625" style="197" bestFit="1" customWidth="1"/>
    <col min="15" max="15" width="11.33203125" style="197" hidden="1" customWidth="1"/>
    <col min="16" max="16" width="11.5" style="197" bestFit="1" customWidth="1"/>
    <col min="17" max="17" width="13.83203125" style="197" customWidth="1"/>
    <col min="18" max="18" width="10.83203125" style="197" customWidth="1"/>
    <col min="19" max="16384" width="9.33203125" style="185"/>
  </cols>
  <sheetData>
    <row r="2" spans="1:18" ht="18.75">
      <c r="A2" s="198"/>
      <c r="B2" s="2051" t="s">
        <v>264</v>
      </c>
      <c r="C2" s="2051"/>
      <c r="D2" s="2051"/>
      <c r="E2" s="2051"/>
      <c r="F2" s="2051"/>
      <c r="G2" s="2051"/>
      <c r="H2" s="2051"/>
      <c r="I2" s="2051"/>
      <c r="J2" s="2051"/>
      <c r="K2" s="2051"/>
      <c r="L2" s="2051"/>
      <c r="M2" s="2051"/>
      <c r="N2" s="2051"/>
      <c r="O2" s="2051"/>
      <c r="P2" s="2051"/>
      <c r="Q2" s="2051"/>
      <c r="R2" s="2051"/>
    </row>
    <row r="3" spans="1:18" ht="15.75">
      <c r="A3" s="198"/>
      <c r="B3" s="2052" t="s">
        <v>489</v>
      </c>
      <c r="C3" s="2052"/>
      <c r="D3" s="2052"/>
      <c r="E3" s="2052"/>
      <c r="F3" s="2052"/>
      <c r="G3" s="2052"/>
      <c r="H3" s="2052"/>
      <c r="I3" s="2052"/>
      <c r="J3" s="2052"/>
      <c r="K3" s="2052"/>
      <c r="L3" s="2052"/>
      <c r="M3" s="2052"/>
      <c r="N3" s="2052"/>
      <c r="O3" s="2052"/>
      <c r="P3" s="2052"/>
      <c r="Q3" s="2052"/>
      <c r="R3" s="2052"/>
    </row>
    <row r="4" spans="1:18">
      <c r="A4" s="198"/>
      <c r="B4" s="1251"/>
      <c r="C4" s="1208"/>
      <c r="D4" s="186"/>
      <c r="E4" s="186"/>
      <c r="F4" s="186"/>
      <c r="G4" s="1213"/>
      <c r="H4" s="187"/>
      <c r="I4" s="187"/>
      <c r="J4" s="187"/>
      <c r="K4" s="187"/>
      <c r="L4" s="187"/>
      <c r="M4" s="187"/>
      <c r="N4" s="187"/>
      <c r="O4" s="187"/>
      <c r="P4" s="187"/>
      <c r="Q4" s="187"/>
      <c r="R4" s="187"/>
    </row>
    <row r="5" spans="1:18">
      <c r="A5" s="198"/>
      <c r="B5" s="2053" t="s">
        <v>375</v>
      </c>
      <c r="C5" s="2053" t="s">
        <v>418</v>
      </c>
      <c r="D5" s="2061" t="s">
        <v>376</v>
      </c>
      <c r="E5" s="2053" t="s">
        <v>175</v>
      </c>
      <c r="F5" s="2053" t="s">
        <v>86</v>
      </c>
      <c r="G5" s="2056" t="s">
        <v>174</v>
      </c>
      <c r="H5" s="2059" t="s">
        <v>3890</v>
      </c>
      <c r="I5" s="188" t="s">
        <v>87</v>
      </c>
      <c r="J5" s="189"/>
      <c r="K5" s="189"/>
      <c r="L5" s="1064"/>
      <c r="M5" s="1065"/>
      <c r="N5" s="188" t="s">
        <v>88</v>
      </c>
      <c r="O5" s="189"/>
      <c r="P5" s="189"/>
      <c r="Q5" s="1064"/>
      <c r="R5" s="1065"/>
    </row>
    <row r="6" spans="1:18" ht="28.5" customHeight="1">
      <c r="A6" s="198"/>
      <c r="B6" s="2054"/>
      <c r="C6" s="2054"/>
      <c r="D6" s="2062"/>
      <c r="E6" s="2055"/>
      <c r="F6" s="2054"/>
      <c r="G6" s="2057"/>
      <c r="H6" s="2060"/>
      <c r="I6" s="192" t="s">
        <v>5443</v>
      </c>
      <c r="J6" s="192" t="s">
        <v>2080</v>
      </c>
      <c r="K6" s="192" t="s">
        <v>5444</v>
      </c>
      <c r="L6" s="192" t="s">
        <v>89</v>
      </c>
      <c r="M6" s="193" t="s">
        <v>3308</v>
      </c>
      <c r="N6" s="192" t="s">
        <v>5443</v>
      </c>
      <c r="O6" s="192" t="s">
        <v>2080</v>
      </c>
      <c r="P6" s="192" t="s">
        <v>5444</v>
      </c>
      <c r="Q6" s="192" t="s">
        <v>89</v>
      </c>
      <c r="R6" s="193" t="s">
        <v>3308</v>
      </c>
    </row>
    <row r="7" spans="1:18" ht="16.5" customHeight="1">
      <c r="A7" s="198"/>
      <c r="B7" s="194" t="s">
        <v>176</v>
      </c>
      <c r="C7" s="1209" t="s">
        <v>4275</v>
      </c>
      <c r="D7" s="194"/>
      <c r="E7" s="194" t="s">
        <v>4276</v>
      </c>
      <c r="F7" s="194" t="s">
        <v>5860</v>
      </c>
      <c r="G7" s="1209" t="s">
        <v>5861</v>
      </c>
      <c r="H7" s="194"/>
      <c r="I7" s="194" t="s">
        <v>5862</v>
      </c>
      <c r="J7" s="194" t="s">
        <v>5863</v>
      </c>
      <c r="K7" s="194" t="s">
        <v>5864</v>
      </c>
      <c r="L7" s="194" t="s">
        <v>1250</v>
      </c>
      <c r="M7" s="194" t="s">
        <v>5626</v>
      </c>
      <c r="N7" s="195" t="s">
        <v>6241</v>
      </c>
      <c r="O7" s="195" t="s">
        <v>6242</v>
      </c>
      <c r="P7" s="195" t="s">
        <v>6243</v>
      </c>
      <c r="Q7" s="195" t="s">
        <v>6244</v>
      </c>
      <c r="R7" s="195" t="s">
        <v>6245</v>
      </c>
    </row>
    <row r="8" spans="1:18">
      <c r="A8" s="198"/>
      <c r="B8" s="1086" t="s">
        <v>5284</v>
      </c>
      <c r="C8" s="1087"/>
      <c r="D8" s="1087"/>
      <c r="E8" s="200" t="s">
        <v>3920</v>
      </c>
      <c r="F8" s="1066"/>
      <c r="G8" s="202"/>
      <c r="H8" s="202"/>
      <c r="I8" s="1067"/>
      <c r="J8" s="1067"/>
      <c r="K8" s="1067"/>
      <c r="L8" s="1068"/>
      <c r="M8" s="1067"/>
      <c r="N8" s="1069"/>
      <c r="O8" s="1069"/>
      <c r="P8" s="1069"/>
      <c r="Q8" s="1069"/>
      <c r="R8" s="1069"/>
    </row>
    <row r="9" spans="1:18" s="15" customFormat="1">
      <c r="A9" s="1048">
        <v>1</v>
      </c>
      <c r="B9" s="571" t="str">
        <f>"I."&amp;+A9</f>
        <v>I.1</v>
      </c>
      <c r="C9" s="571"/>
      <c r="D9" s="639"/>
      <c r="E9" s="1049" t="s">
        <v>5346</v>
      </c>
      <c r="F9" s="24" t="s">
        <v>5140</v>
      </c>
      <c r="G9" s="26">
        <f>tkeHA!R245</f>
        <v>2</v>
      </c>
      <c r="H9" s="1054"/>
      <c r="I9" s="1053"/>
      <c r="J9" s="1053"/>
      <c r="K9" s="1053"/>
      <c r="L9" s="1053"/>
      <c r="M9" s="1053"/>
      <c r="N9" s="1055">
        <f>SUM(N10:N20)</f>
        <v>1821282</v>
      </c>
      <c r="O9" s="1055">
        <f>SUM(O10:O20)</f>
        <v>0</v>
      </c>
      <c r="P9" s="1055">
        <f>SUM(P10:P20)</f>
        <v>0</v>
      </c>
      <c r="Q9" s="1055">
        <f>SUM(Q10:Q20)</f>
        <v>1724870</v>
      </c>
      <c r="R9" s="1055">
        <f>SUM(R10:R20)</f>
        <v>64167</v>
      </c>
    </row>
    <row r="10" spans="1:18" s="15" customFormat="1" ht="15" customHeight="1">
      <c r="A10" s="329" t="s">
        <v>5453</v>
      </c>
      <c r="B10" s="571"/>
      <c r="C10" s="571"/>
      <c r="D10" s="639">
        <v>0</v>
      </c>
      <c r="E10" s="14" t="s">
        <v>803</v>
      </c>
      <c r="F10" s="18" t="s">
        <v>1783</v>
      </c>
      <c r="G10" s="1056">
        <f>ROUND(296*1.025*G20,1)</f>
        <v>457.8</v>
      </c>
      <c r="H10" s="1057"/>
      <c r="I10" s="25">
        <v>1420</v>
      </c>
      <c r="J10" s="25"/>
      <c r="K10" s="23"/>
      <c r="L10" s="23"/>
      <c r="M10" s="23"/>
      <c r="N10" s="807">
        <f t="shared" ref="N10:O17" si="0">ROUND($G10*I10,0)</f>
        <v>650076</v>
      </c>
      <c r="O10" s="807">
        <f t="shared" si="0"/>
        <v>0</v>
      </c>
      <c r="P10" s="1061"/>
      <c r="Q10" s="1061"/>
      <c r="R10" s="1061"/>
    </row>
    <row r="11" spans="1:18" s="15" customFormat="1" ht="15" customHeight="1">
      <c r="A11" s="329" t="s">
        <v>966</v>
      </c>
      <c r="B11" s="571"/>
      <c r="C11" s="571"/>
      <c r="D11" s="639">
        <v>41506010</v>
      </c>
      <c r="E11" s="14" t="s">
        <v>967</v>
      </c>
      <c r="F11" s="18" t="s">
        <v>968</v>
      </c>
      <c r="G11" s="1057">
        <f>ROUND(1.025*0.475*G20,2)</f>
        <v>0.73</v>
      </c>
      <c r="H11" s="1057"/>
      <c r="I11" s="25">
        <v>277273</v>
      </c>
      <c r="J11" s="25"/>
      <c r="K11" s="23"/>
      <c r="L11" s="23"/>
      <c r="M11" s="23"/>
      <c r="N11" s="807">
        <f t="shared" si="0"/>
        <v>202409</v>
      </c>
      <c r="O11" s="807">
        <f t="shared" si="0"/>
        <v>0</v>
      </c>
      <c r="P11" s="1061"/>
      <c r="Q11" s="1061"/>
      <c r="R11" s="1061"/>
    </row>
    <row r="12" spans="1:18" s="15" customFormat="1" ht="15" customHeight="1">
      <c r="A12" s="329" t="s">
        <v>973</v>
      </c>
      <c r="B12" s="571"/>
      <c r="C12" s="571"/>
      <c r="D12" s="639">
        <v>41506089</v>
      </c>
      <c r="E12" s="14" t="s">
        <v>974</v>
      </c>
      <c r="F12" s="18" t="s">
        <v>968</v>
      </c>
      <c r="G12" s="1057">
        <f>ROUND(G20*0.881*1.025,2)</f>
        <v>1.36</v>
      </c>
      <c r="H12" s="1057"/>
      <c r="I12" s="25">
        <v>491818</v>
      </c>
      <c r="J12" s="25"/>
      <c r="K12" s="23"/>
      <c r="L12" s="23"/>
      <c r="M12" s="23"/>
      <c r="N12" s="807">
        <f t="shared" si="0"/>
        <v>668872</v>
      </c>
      <c r="O12" s="807">
        <f t="shared" si="0"/>
        <v>0</v>
      </c>
      <c r="P12" s="1061"/>
      <c r="Q12" s="1061"/>
      <c r="R12" s="1061"/>
    </row>
    <row r="13" spans="1:18" s="15" customFormat="1" ht="15" customHeight="1">
      <c r="A13" s="329" t="s">
        <v>4989</v>
      </c>
      <c r="B13" s="571"/>
      <c r="C13" s="571"/>
      <c r="D13" s="639">
        <v>0</v>
      </c>
      <c r="E13" s="14" t="s">
        <v>4990</v>
      </c>
      <c r="F13" s="18" t="s">
        <v>2679</v>
      </c>
      <c r="G13" s="27">
        <f>ROUND(G20*195*1.025,0)</f>
        <v>302</v>
      </c>
      <c r="H13" s="1057"/>
      <c r="I13" s="25">
        <v>10</v>
      </c>
      <c r="J13" s="25"/>
      <c r="K13" s="23"/>
      <c r="L13" s="23"/>
      <c r="M13" s="23"/>
      <c r="N13" s="807">
        <f t="shared" si="0"/>
        <v>3020</v>
      </c>
      <c r="O13" s="807">
        <f t="shared" si="0"/>
        <v>0</v>
      </c>
      <c r="P13" s="1061"/>
      <c r="Q13" s="1061"/>
      <c r="R13" s="1061"/>
    </row>
    <row r="14" spans="1:18" s="15" customFormat="1" ht="15" customHeight="1">
      <c r="A14" s="329" t="s">
        <v>2507</v>
      </c>
      <c r="B14" s="571"/>
      <c r="C14" s="571"/>
      <c r="D14" s="639">
        <v>1</v>
      </c>
      <c r="E14" s="14" t="s">
        <v>6519</v>
      </c>
      <c r="F14" s="18" t="s">
        <v>6520</v>
      </c>
      <c r="G14" s="27">
        <v>1</v>
      </c>
      <c r="H14" s="1057"/>
      <c r="I14" s="25">
        <f>ROUND(SUM(I10:I13)/100,0)</f>
        <v>7705</v>
      </c>
      <c r="J14" s="25">
        <f>ROUND(SUM(J10:J13)/100,0)</f>
        <v>0</v>
      </c>
      <c r="K14" s="23"/>
      <c r="L14" s="23"/>
      <c r="M14" s="23"/>
      <c r="N14" s="807">
        <f t="shared" si="0"/>
        <v>7705</v>
      </c>
      <c r="O14" s="807">
        <f t="shared" si="0"/>
        <v>0</v>
      </c>
      <c r="P14" s="1061"/>
      <c r="Q14" s="1061"/>
      <c r="R14" s="1061"/>
    </row>
    <row r="15" spans="1:18" s="15" customFormat="1">
      <c r="A15" s="329" t="s">
        <v>5987</v>
      </c>
      <c r="B15" s="571"/>
      <c r="C15" s="571"/>
      <c r="D15" s="639">
        <v>44322500</v>
      </c>
      <c r="E15" s="14" t="s">
        <v>5988</v>
      </c>
      <c r="F15" s="18" t="s">
        <v>1307</v>
      </c>
      <c r="G15" s="27">
        <v>2</v>
      </c>
      <c r="H15" s="27">
        <f>G15*G9</f>
        <v>4</v>
      </c>
      <c r="I15" s="25">
        <v>58800</v>
      </c>
      <c r="J15" s="25"/>
      <c r="K15" s="23"/>
      <c r="L15" s="23"/>
      <c r="M15" s="23"/>
      <c r="N15" s="807">
        <f>ROUND($G15*I15,0)</f>
        <v>117600</v>
      </c>
      <c r="O15" s="807">
        <f t="shared" si="0"/>
        <v>0</v>
      </c>
      <c r="P15" s="1061"/>
      <c r="Q15" s="1061"/>
      <c r="R15" s="1061"/>
    </row>
    <row r="16" spans="1:18" s="15" customFormat="1">
      <c r="A16" s="329" t="s">
        <v>4177</v>
      </c>
      <c r="B16" s="571"/>
      <c r="C16" s="571"/>
      <c r="D16" s="639">
        <v>44322000</v>
      </c>
      <c r="E16" s="14" t="s">
        <v>4178</v>
      </c>
      <c r="F16" s="18" t="s">
        <v>1307</v>
      </c>
      <c r="G16" s="27">
        <v>1</v>
      </c>
      <c r="H16" s="27">
        <f>G16*G9</f>
        <v>2</v>
      </c>
      <c r="I16" s="25">
        <v>100800</v>
      </c>
      <c r="J16" s="25"/>
      <c r="K16" s="1053"/>
      <c r="L16" s="23"/>
      <c r="M16" s="23"/>
      <c r="N16" s="807">
        <f t="shared" si="0"/>
        <v>100800</v>
      </c>
      <c r="O16" s="807">
        <f t="shared" si="0"/>
        <v>0</v>
      </c>
      <c r="P16" s="1061"/>
      <c r="Q16" s="1061"/>
      <c r="R16" s="1061"/>
    </row>
    <row r="17" spans="1:18" s="15" customFormat="1">
      <c r="A17" s="329" t="s">
        <v>4039</v>
      </c>
      <c r="B17" s="571"/>
      <c r="C17" s="571"/>
      <c r="D17" s="639">
        <v>47087092</v>
      </c>
      <c r="E17" s="14" t="s">
        <v>4040</v>
      </c>
      <c r="F17" s="18" t="s">
        <v>1307</v>
      </c>
      <c r="G17" s="27">
        <v>6</v>
      </c>
      <c r="H17" s="27">
        <f>G17*G9</f>
        <v>12</v>
      </c>
      <c r="I17" s="25">
        <v>11800</v>
      </c>
      <c r="J17" s="25"/>
      <c r="K17" s="1053"/>
      <c r="L17" s="23"/>
      <c r="M17" s="23"/>
      <c r="N17" s="807">
        <f t="shared" si="0"/>
        <v>70800</v>
      </c>
      <c r="O17" s="807">
        <f t="shared" si="0"/>
        <v>0</v>
      </c>
      <c r="P17" s="1061"/>
      <c r="Q17" s="1061"/>
      <c r="R17" s="1061"/>
    </row>
    <row r="18" spans="1:18" s="15" customFormat="1" ht="15" customHeight="1">
      <c r="A18" s="1186" t="s">
        <v>5347</v>
      </c>
      <c r="B18" s="571"/>
      <c r="C18" s="571" t="s">
        <v>5347</v>
      </c>
      <c r="D18" s="639"/>
      <c r="E18" s="14" t="s">
        <v>6585</v>
      </c>
      <c r="F18" s="18" t="s">
        <v>6522</v>
      </c>
      <c r="G18" s="562">
        <v>5.18</v>
      </c>
      <c r="H18" s="1375"/>
      <c r="I18" s="23"/>
      <c r="J18" s="25"/>
      <c r="K18" s="25">
        <v>0</v>
      </c>
      <c r="L18" s="25">
        <v>172800</v>
      </c>
      <c r="M18" s="25">
        <v>0</v>
      </c>
      <c r="N18" s="1061"/>
      <c r="O18" s="807">
        <f t="shared" ref="O18:R20" si="1">ROUND($G18*J18,0)</f>
        <v>0</v>
      </c>
      <c r="P18" s="807">
        <f t="shared" si="1"/>
        <v>0</v>
      </c>
      <c r="Q18" s="807">
        <f t="shared" si="1"/>
        <v>895104</v>
      </c>
      <c r="R18" s="807">
        <f t="shared" si="1"/>
        <v>0</v>
      </c>
    </row>
    <row r="19" spans="1:18" s="15" customFormat="1" ht="15" customHeight="1">
      <c r="A19" s="1186" t="s">
        <v>2508</v>
      </c>
      <c r="B19" s="571"/>
      <c r="C19" s="571" t="s">
        <v>2508</v>
      </c>
      <c r="D19" s="639"/>
      <c r="E19" s="14" t="s">
        <v>6523</v>
      </c>
      <c r="F19" s="18" t="s">
        <v>6522</v>
      </c>
      <c r="G19" s="562">
        <v>3.76</v>
      </c>
      <c r="H19" s="1375"/>
      <c r="I19" s="23"/>
      <c r="J19" s="25"/>
      <c r="K19" s="25">
        <v>0</v>
      </c>
      <c r="L19" s="25">
        <v>111323</v>
      </c>
      <c r="M19" s="25">
        <v>0</v>
      </c>
      <c r="N19" s="1061"/>
      <c r="O19" s="807">
        <f t="shared" si="1"/>
        <v>0</v>
      </c>
      <c r="P19" s="807">
        <f t="shared" si="1"/>
        <v>0</v>
      </c>
      <c r="Q19" s="807">
        <f t="shared" si="1"/>
        <v>418574</v>
      </c>
      <c r="R19" s="807">
        <f t="shared" si="1"/>
        <v>0</v>
      </c>
    </row>
    <row r="20" spans="1:18" s="15" customFormat="1" ht="30" customHeight="1">
      <c r="A20" s="1187" t="s">
        <v>2509</v>
      </c>
      <c r="B20" s="571"/>
      <c r="C20" s="571" t="s">
        <v>2509</v>
      </c>
      <c r="D20" s="639"/>
      <c r="E20" s="14" t="s">
        <v>6524</v>
      </c>
      <c r="F20" s="18" t="s">
        <v>6522</v>
      </c>
      <c r="G20" s="571">
        <v>1.5089999999999999</v>
      </c>
      <c r="H20" s="1375"/>
      <c r="I20" s="23"/>
      <c r="J20" s="25"/>
      <c r="K20" s="25">
        <v>0</v>
      </c>
      <c r="L20" s="25">
        <v>272493</v>
      </c>
      <c r="M20" s="25">
        <v>42523</v>
      </c>
      <c r="N20" s="1061"/>
      <c r="O20" s="807">
        <f t="shared" si="1"/>
        <v>0</v>
      </c>
      <c r="P20" s="807">
        <f t="shared" si="1"/>
        <v>0</v>
      </c>
      <c r="Q20" s="807">
        <f t="shared" si="1"/>
        <v>411192</v>
      </c>
      <c r="R20" s="807">
        <f t="shared" si="1"/>
        <v>64167</v>
      </c>
    </row>
    <row r="21" spans="1:18" s="15" customFormat="1">
      <c r="A21" s="252">
        <f>A9</f>
        <v>1</v>
      </c>
      <c r="B21" s="571"/>
      <c r="C21" s="571"/>
      <c r="D21" s="639"/>
      <c r="E21" s="14"/>
      <c r="F21" s="18"/>
      <c r="G21" s="1057"/>
      <c r="H21" s="1057"/>
      <c r="I21" s="23"/>
      <c r="J21" s="23"/>
      <c r="K21" s="23"/>
      <c r="L21" s="23"/>
      <c r="M21" s="23"/>
      <c r="N21" s="1061"/>
      <c r="O21" s="1061"/>
      <c r="P21" s="1061"/>
      <c r="Q21" s="1061"/>
      <c r="R21" s="1061"/>
    </row>
    <row r="22" spans="1:18" s="15" customFormat="1" ht="15.75">
      <c r="A22" s="1048">
        <f>A21+1</f>
        <v>2</v>
      </c>
      <c r="B22" s="571" t="str">
        <f>"I."&amp;+A22</f>
        <v>I.2</v>
      </c>
      <c r="C22" s="571"/>
      <c r="D22" s="639"/>
      <c r="E22" s="1049" t="s">
        <v>1962</v>
      </c>
      <c r="F22" s="24" t="s">
        <v>5140</v>
      </c>
      <c r="G22" s="26">
        <f>tkeHA!Q245</f>
        <v>1</v>
      </c>
      <c r="H22" s="1054"/>
      <c r="I22" s="1053"/>
      <c r="J22" s="1053"/>
      <c r="K22" s="1053"/>
      <c r="L22" s="1053"/>
      <c r="M22" s="1053"/>
      <c r="N22" s="1055">
        <f>SUM(N23:N33)</f>
        <v>1147003</v>
      </c>
      <c r="O22" s="1055">
        <f>SUM(O23:O33)</f>
        <v>0</v>
      </c>
      <c r="P22" s="1055">
        <f>SUM(P23:P33)</f>
        <v>0</v>
      </c>
      <c r="Q22" s="1055">
        <f>SUM(Q23:Q33)</f>
        <v>1736244</v>
      </c>
      <c r="R22" s="1055">
        <f>SUM(R23:R33)</f>
        <v>35634</v>
      </c>
    </row>
    <row r="23" spans="1:18" s="15" customFormat="1" ht="15" customHeight="1">
      <c r="A23" s="38" t="s">
        <v>5453</v>
      </c>
      <c r="B23" s="571"/>
      <c r="C23" s="571"/>
      <c r="D23" s="639">
        <v>0</v>
      </c>
      <c r="E23" s="14" t="s">
        <v>803</v>
      </c>
      <c r="F23" s="18" t="s">
        <v>1783</v>
      </c>
      <c r="G23" s="1056">
        <f>ROUND(296*1.025*G33,1)</f>
        <v>254.2</v>
      </c>
      <c r="H23" s="1057"/>
      <c r="I23" s="25">
        <v>1420</v>
      </c>
      <c r="J23" s="25"/>
      <c r="K23" s="23"/>
      <c r="L23" s="23"/>
      <c r="M23" s="23"/>
      <c r="N23" s="807">
        <f t="shared" ref="N23:O30" si="2">ROUND($G23*I23,0)</f>
        <v>360964</v>
      </c>
      <c r="O23" s="807">
        <f t="shared" si="2"/>
        <v>0</v>
      </c>
      <c r="P23" s="1061"/>
      <c r="Q23" s="1061"/>
      <c r="R23" s="1061"/>
    </row>
    <row r="24" spans="1:18" s="15" customFormat="1" ht="15" customHeight="1">
      <c r="A24" s="38" t="s">
        <v>966</v>
      </c>
      <c r="B24" s="571"/>
      <c r="C24" s="571"/>
      <c r="D24" s="639">
        <v>41506010</v>
      </c>
      <c r="E24" s="14" t="s">
        <v>967</v>
      </c>
      <c r="F24" s="18" t="s">
        <v>968</v>
      </c>
      <c r="G24" s="1057">
        <f>ROUND(1.025*0.475*G33,2)</f>
        <v>0.41</v>
      </c>
      <c r="H24" s="1057"/>
      <c r="I24" s="25">
        <v>277273</v>
      </c>
      <c r="J24" s="25"/>
      <c r="K24" s="23"/>
      <c r="L24" s="23"/>
      <c r="M24" s="23"/>
      <c r="N24" s="807">
        <f t="shared" si="2"/>
        <v>113682</v>
      </c>
      <c r="O24" s="807">
        <f t="shared" si="2"/>
        <v>0</v>
      </c>
      <c r="P24" s="1061"/>
      <c r="Q24" s="1061"/>
      <c r="R24" s="1061"/>
    </row>
    <row r="25" spans="1:18" s="15" customFormat="1" ht="15" customHeight="1">
      <c r="A25" s="38" t="s">
        <v>973</v>
      </c>
      <c r="B25" s="571"/>
      <c r="C25" s="571"/>
      <c r="D25" s="639">
        <v>41506089</v>
      </c>
      <c r="E25" s="14" t="s">
        <v>974</v>
      </c>
      <c r="F25" s="18" t="s">
        <v>968</v>
      </c>
      <c r="G25" s="1057">
        <f>ROUND(G33*0.881*1.025,2)</f>
        <v>0.76</v>
      </c>
      <c r="H25" s="1057"/>
      <c r="I25" s="25">
        <v>491818</v>
      </c>
      <c r="J25" s="25"/>
      <c r="K25" s="23"/>
      <c r="L25" s="23"/>
      <c r="M25" s="23"/>
      <c r="N25" s="807">
        <f t="shared" si="2"/>
        <v>373782</v>
      </c>
      <c r="O25" s="807">
        <f t="shared" si="2"/>
        <v>0</v>
      </c>
      <c r="P25" s="1061"/>
      <c r="Q25" s="1061"/>
      <c r="R25" s="1061"/>
    </row>
    <row r="26" spans="1:18" s="15" customFormat="1" ht="15" customHeight="1">
      <c r="A26" s="329" t="s">
        <v>4989</v>
      </c>
      <c r="B26" s="571"/>
      <c r="C26" s="571"/>
      <c r="D26" s="639">
        <v>0</v>
      </c>
      <c r="E26" s="14" t="s">
        <v>4990</v>
      </c>
      <c r="F26" s="18" t="s">
        <v>2679</v>
      </c>
      <c r="G26" s="27">
        <f>ROUND(G33*195*1.025,0)</f>
        <v>167</v>
      </c>
      <c r="H26" s="1057"/>
      <c r="I26" s="25">
        <v>10</v>
      </c>
      <c r="J26" s="25"/>
      <c r="K26" s="23"/>
      <c r="L26" s="23"/>
      <c r="M26" s="23"/>
      <c r="N26" s="807">
        <f t="shared" si="2"/>
        <v>1670</v>
      </c>
      <c r="O26" s="807">
        <f t="shared" si="2"/>
        <v>0</v>
      </c>
      <c r="P26" s="1061"/>
      <c r="Q26" s="1061"/>
      <c r="R26" s="1061"/>
    </row>
    <row r="27" spans="1:18" s="15" customFormat="1" ht="15" customHeight="1">
      <c r="A27" s="329" t="s">
        <v>2507</v>
      </c>
      <c r="B27" s="571"/>
      <c r="C27" s="571"/>
      <c r="D27" s="639">
        <v>1</v>
      </c>
      <c r="E27" s="14" t="s">
        <v>6519</v>
      </c>
      <c r="F27" s="18" t="s">
        <v>6520</v>
      </c>
      <c r="G27" s="27">
        <v>1</v>
      </c>
      <c r="H27" s="1057"/>
      <c r="I27" s="25">
        <f>ROUND(SUM(I23:I26)/100,0)</f>
        <v>7705</v>
      </c>
      <c r="J27" s="25">
        <f>ROUND(SUM(J23:J26)/100,0)</f>
        <v>0</v>
      </c>
      <c r="K27" s="23"/>
      <c r="L27" s="23"/>
      <c r="M27" s="23"/>
      <c r="N27" s="807">
        <f t="shared" si="2"/>
        <v>7705</v>
      </c>
      <c r="O27" s="807">
        <f t="shared" si="2"/>
        <v>0</v>
      </c>
      <c r="P27" s="1061"/>
      <c r="Q27" s="1061"/>
      <c r="R27" s="1061"/>
    </row>
    <row r="28" spans="1:18" s="15" customFormat="1">
      <c r="A28" s="38" t="s">
        <v>5987</v>
      </c>
      <c r="B28" s="571"/>
      <c r="C28" s="571"/>
      <c r="D28" s="639">
        <v>44322500</v>
      </c>
      <c r="E28" s="14" t="s">
        <v>5988</v>
      </c>
      <c r="F28" s="18" t="s">
        <v>1307</v>
      </c>
      <c r="G28" s="27">
        <v>2</v>
      </c>
      <c r="H28" s="27">
        <f>G28*G22</f>
        <v>2</v>
      </c>
      <c r="I28" s="25">
        <v>58800</v>
      </c>
      <c r="J28" s="25"/>
      <c r="K28" s="23"/>
      <c r="L28" s="23"/>
      <c r="M28" s="23"/>
      <c r="N28" s="807">
        <f t="shared" si="2"/>
        <v>117600</v>
      </c>
      <c r="O28" s="807">
        <f t="shared" si="2"/>
        <v>0</v>
      </c>
      <c r="P28" s="1061"/>
      <c r="Q28" s="1061"/>
      <c r="R28" s="1061"/>
    </row>
    <row r="29" spans="1:18" s="15" customFormat="1">
      <c r="A29" s="38" t="s">
        <v>4177</v>
      </c>
      <c r="B29" s="571"/>
      <c r="C29" s="571"/>
      <c r="D29" s="639">
        <v>44322000</v>
      </c>
      <c r="E29" s="14" t="s">
        <v>4178</v>
      </c>
      <c r="F29" s="18" t="s">
        <v>1307</v>
      </c>
      <c r="G29" s="27">
        <v>1</v>
      </c>
      <c r="H29" s="27">
        <f>G29*G22</f>
        <v>1</v>
      </c>
      <c r="I29" s="25">
        <v>100800</v>
      </c>
      <c r="J29" s="25"/>
      <c r="K29" s="23"/>
      <c r="L29" s="23"/>
      <c r="M29" s="23"/>
      <c r="N29" s="807">
        <f t="shared" si="2"/>
        <v>100800</v>
      </c>
      <c r="O29" s="807">
        <f t="shared" si="2"/>
        <v>0</v>
      </c>
      <c r="P29" s="1061"/>
      <c r="Q29" s="1061"/>
      <c r="R29" s="1061"/>
    </row>
    <row r="30" spans="1:18" s="15" customFormat="1">
      <c r="A30" s="38" t="s">
        <v>4039</v>
      </c>
      <c r="B30" s="571"/>
      <c r="C30" s="571"/>
      <c r="D30" s="639">
        <v>47087092</v>
      </c>
      <c r="E30" s="14" t="s">
        <v>4040</v>
      </c>
      <c r="F30" s="18" t="s">
        <v>1307</v>
      </c>
      <c r="G30" s="27">
        <v>6</v>
      </c>
      <c r="H30" s="27">
        <f>G30*G22</f>
        <v>6</v>
      </c>
      <c r="I30" s="25">
        <v>11800</v>
      </c>
      <c r="J30" s="25"/>
      <c r="K30" s="23"/>
      <c r="L30" s="23"/>
      <c r="M30" s="23"/>
      <c r="N30" s="807">
        <f t="shared" si="2"/>
        <v>70800</v>
      </c>
      <c r="O30" s="807">
        <f t="shared" si="2"/>
        <v>0</v>
      </c>
      <c r="P30" s="1061"/>
      <c r="Q30" s="1061"/>
      <c r="R30" s="1061"/>
    </row>
    <row r="31" spans="1:18" s="15" customFormat="1" ht="15" customHeight="1">
      <c r="A31" s="1186" t="s">
        <v>5821</v>
      </c>
      <c r="B31" s="571"/>
      <c r="C31" s="571" t="s">
        <v>5821</v>
      </c>
      <c r="D31" s="639"/>
      <c r="E31" s="14" t="s">
        <v>6521</v>
      </c>
      <c r="F31" s="18" t="s">
        <v>6522</v>
      </c>
      <c r="G31" s="562">
        <v>4.2300000000000004</v>
      </c>
      <c r="H31" s="1058"/>
      <c r="I31" s="23"/>
      <c r="J31" s="25"/>
      <c r="K31" s="25">
        <v>0</v>
      </c>
      <c r="L31" s="25">
        <v>262523</v>
      </c>
      <c r="M31" s="25">
        <v>0</v>
      </c>
      <c r="N31" s="1061"/>
      <c r="O31" s="807">
        <f t="shared" ref="O31:R33" si="3">ROUND($G31*J31,0)</f>
        <v>0</v>
      </c>
      <c r="P31" s="807">
        <f t="shared" si="3"/>
        <v>0</v>
      </c>
      <c r="Q31" s="807">
        <f t="shared" si="3"/>
        <v>1110472</v>
      </c>
      <c r="R31" s="807">
        <f t="shared" si="3"/>
        <v>0</v>
      </c>
    </row>
    <row r="32" spans="1:18" s="15" customFormat="1" ht="15" customHeight="1">
      <c r="A32" s="1186" t="s">
        <v>2508</v>
      </c>
      <c r="B32" s="571"/>
      <c r="C32" s="571" t="s">
        <v>2508</v>
      </c>
      <c r="D32" s="639"/>
      <c r="E32" s="14" t="s">
        <v>6523</v>
      </c>
      <c r="F32" s="18" t="s">
        <v>6522</v>
      </c>
      <c r="G32" s="562">
        <v>3.57</v>
      </c>
      <c r="H32" s="1058"/>
      <c r="I32" s="23"/>
      <c r="J32" s="25"/>
      <c r="K32" s="25">
        <v>0</v>
      </c>
      <c r="L32" s="25">
        <v>111323</v>
      </c>
      <c r="M32" s="25">
        <v>0</v>
      </c>
      <c r="N32" s="1061"/>
      <c r="O32" s="807">
        <f t="shared" si="3"/>
        <v>0</v>
      </c>
      <c r="P32" s="807">
        <f t="shared" si="3"/>
        <v>0</v>
      </c>
      <c r="Q32" s="807">
        <f t="shared" si="3"/>
        <v>397423</v>
      </c>
      <c r="R32" s="807">
        <f t="shared" si="3"/>
        <v>0</v>
      </c>
    </row>
    <row r="33" spans="1:18" s="15" customFormat="1" ht="30" customHeight="1">
      <c r="A33" s="1187" t="s">
        <v>2509</v>
      </c>
      <c r="B33" s="571"/>
      <c r="C33" s="571" t="s">
        <v>2509</v>
      </c>
      <c r="D33" s="639"/>
      <c r="E33" s="14" t="s">
        <v>6524</v>
      </c>
      <c r="F33" s="18" t="s">
        <v>6522</v>
      </c>
      <c r="G33" s="1495">
        <v>0.83799999999999997</v>
      </c>
      <c r="H33" s="1058"/>
      <c r="I33" s="23"/>
      <c r="J33" s="25"/>
      <c r="K33" s="25">
        <v>0</v>
      </c>
      <c r="L33" s="25">
        <v>272493</v>
      </c>
      <c r="M33" s="25">
        <v>42523</v>
      </c>
      <c r="N33" s="1061"/>
      <c r="O33" s="807">
        <f t="shared" si="3"/>
        <v>0</v>
      </c>
      <c r="P33" s="807">
        <f t="shared" si="3"/>
        <v>0</v>
      </c>
      <c r="Q33" s="807">
        <f t="shared" si="3"/>
        <v>228349</v>
      </c>
      <c r="R33" s="807">
        <f t="shared" si="3"/>
        <v>35634</v>
      </c>
    </row>
    <row r="34" spans="1:18" s="15" customFormat="1">
      <c r="A34" s="252">
        <f>A22</f>
        <v>2</v>
      </c>
      <c r="B34" s="571"/>
      <c r="C34" s="571"/>
      <c r="D34" s="639"/>
      <c r="E34" s="14"/>
      <c r="F34" s="18"/>
      <c r="G34" s="1057"/>
      <c r="H34" s="1057"/>
      <c r="I34" s="23"/>
      <c r="J34" s="23"/>
      <c r="K34" s="23"/>
      <c r="L34" s="23"/>
      <c r="M34" s="23"/>
      <c r="N34" s="1061"/>
      <c r="O34" s="1061"/>
      <c r="P34" s="1061"/>
      <c r="Q34" s="1061"/>
      <c r="R34" s="1061"/>
    </row>
    <row r="35" spans="1:18" s="15" customFormat="1">
      <c r="A35" s="1048">
        <f>A34+1</f>
        <v>3</v>
      </c>
      <c r="B35" s="571" t="str">
        <f>"I."&amp;+A35</f>
        <v>I.3</v>
      </c>
      <c r="C35" s="571"/>
      <c r="D35" s="639"/>
      <c r="E35" s="1049" t="s">
        <v>735</v>
      </c>
      <c r="F35" s="24" t="s">
        <v>5140</v>
      </c>
      <c r="G35" s="26">
        <f>tkeHA!N245</f>
        <v>1</v>
      </c>
      <c r="H35" s="26"/>
      <c r="I35" s="1053"/>
      <c r="J35" s="1053"/>
      <c r="K35" s="1053"/>
      <c r="L35" s="1053"/>
      <c r="M35" s="1053"/>
      <c r="N35" s="1055">
        <f>SUM(N36:N42)</f>
        <v>1262000</v>
      </c>
      <c r="O35" s="1055">
        <f>SUM(O36:O42)</f>
        <v>0</v>
      </c>
      <c r="P35" s="1055">
        <f>SUM(P36:P42)</f>
        <v>0</v>
      </c>
      <c r="Q35" s="1055">
        <f>SUM(Q36:Q42)</f>
        <v>1527333</v>
      </c>
      <c r="R35" s="1055">
        <f>SUM(R36:R42)</f>
        <v>0</v>
      </c>
    </row>
    <row r="36" spans="1:18" s="15" customFormat="1">
      <c r="A36" s="38" t="s">
        <v>6207</v>
      </c>
      <c r="B36" s="571"/>
      <c r="C36" s="571"/>
      <c r="D36" s="639">
        <v>30600298</v>
      </c>
      <c r="E36" s="14" t="s">
        <v>1800</v>
      </c>
      <c r="F36" s="18" t="s">
        <v>1307</v>
      </c>
      <c r="G36" s="27">
        <v>1</v>
      </c>
      <c r="H36" s="27">
        <f>G36*G35</f>
        <v>1</v>
      </c>
      <c r="I36" s="25">
        <v>759000</v>
      </c>
      <c r="J36" s="25"/>
      <c r="K36" s="23"/>
      <c r="L36" s="23"/>
      <c r="M36" s="23"/>
      <c r="N36" s="807">
        <f>ROUND($G36*I36,0)</f>
        <v>759000</v>
      </c>
      <c r="O36" s="807">
        <f>ROUND($G36*J36,0)</f>
        <v>0</v>
      </c>
      <c r="P36" s="1061"/>
      <c r="Q36" s="1061"/>
      <c r="R36" s="1061"/>
    </row>
    <row r="37" spans="1:18" s="15" customFormat="1">
      <c r="A37" s="38" t="s">
        <v>6205</v>
      </c>
      <c r="B37" s="571"/>
      <c r="C37" s="571"/>
      <c r="D37" s="639">
        <v>30600299</v>
      </c>
      <c r="E37" s="14" t="s">
        <v>6206</v>
      </c>
      <c r="F37" s="18" t="s">
        <v>1307</v>
      </c>
      <c r="G37" s="27">
        <v>1</v>
      </c>
      <c r="H37" s="27">
        <f>G37*G35</f>
        <v>1</v>
      </c>
      <c r="I37" s="25">
        <v>322000</v>
      </c>
      <c r="J37" s="25"/>
      <c r="K37" s="23"/>
      <c r="L37" s="23"/>
      <c r="M37" s="23"/>
      <c r="N37" s="807">
        <f>ROUND($G37*I37,0)</f>
        <v>322000</v>
      </c>
      <c r="O37" s="807">
        <f t="shared" ref="O37:R42" si="4">ROUND($G37*J37,0)</f>
        <v>0</v>
      </c>
      <c r="P37" s="1061"/>
      <c r="Q37" s="1061"/>
      <c r="R37" s="1061"/>
    </row>
    <row r="38" spans="1:18" s="15" customFormat="1">
      <c r="A38" s="38" t="s">
        <v>2530</v>
      </c>
      <c r="B38" s="571"/>
      <c r="C38" s="571"/>
      <c r="D38" s="639">
        <v>44322600</v>
      </c>
      <c r="E38" s="14" t="s">
        <v>2531</v>
      </c>
      <c r="F38" s="18" t="s">
        <v>1307</v>
      </c>
      <c r="G38" s="27">
        <v>2</v>
      </c>
      <c r="H38" s="27">
        <f>G38*G35</f>
        <v>2</v>
      </c>
      <c r="I38" s="25">
        <v>66900</v>
      </c>
      <c r="J38" s="25"/>
      <c r="K38" s="23"/>
      <c r="L38" s="23"/>
      <c r="M38" s="23"/>
      <c r="N38" s="807">
        <f>ROUND($G38*I38,0)</f>
        <v>133800</v>
      </c>
      <c r="O38" s="807">
        <f t="shared" si="4"/>
        <v>0</v>
      </c>
      <c r="P38" s="1061"/>
      <c r="Q38" s="1061"/>
      <c r="R38" s="1061"/>
    </row>
    <row r="39" spans="1:18" s="15" customFormat="1">
      <c r="A39" s="38" t="s">
        <v>4039</v>
      </c>
      <c r="B39" s="571"/>
      <c r="C39" s="571"/>
      <c r="D39" s="639">
        <v>47087092</v>
      </c>
      <c r="E39" s="14" t="s">
        <v>4040</v>
      </c>
      <c r="F39" s="18" t="s">
        <v>1307</v>
      </c>
      <c r="G39" s="27">
        <v>4</v>
      </c>
      <c r="H39" s="27">
        <f>G39*G35</f>
        <v>4</v>
      </c>
      <c r="I39" s="25">
        <v>11800</v>
      </c>
      <c r="J39" s="25"/>
      <c r="K39" s="23"/>
      <c r="L39" s="23"/>
      <c r="M39" s="23"/>
      <c r="N39" s="807">
        <f>ROUND($G39*I39,0)</f>
        <v>47200</v>
      </c>
      <c r="O39" s="807">
        <f t="shared" si="4"/>
        <v>0</v>
      </c>
      <c r="P39" s="1061"/>
      <c r="Q39" s="1061"/>
      <c r="R39" s="1061"/>
    </row>
    <row r="40" spans="1:18" s="15" customFormat="1">
      <c r="A40" s="1186" t="s">
        <v>5924</v>
      </c>
      <c r="B40" s="571"/>
      <c r="C40" s="571" t="s">
        <v>5924</v>
      </c>
      <c r="D40" s="639"/>
      <c r="E40" s="14" t="s">
        <v>6525</v>
      </c>
      <c r="F40" s="18" t="s">
        <v>6522</v>
      </c>
      <c r="G40" s="1057">
        <v>5.74</v>
      </c>
      <c r="H40" s="1056"/>
      <c r="I40" s="23"/>
      <c r="J40" s="25"/>
      <c r="K40" s="25">
        <v>0</v>
      </c>
      <c r="L40" s="25">
        <v>121292</v>
      </c>
      <c r="M40" s="25">
        <v>0</v>
      </c>
      <c r="N40" s="1061"/>
      <c r="O40" s="807">
        <f t="shared" si="4"/>
        <v>0</v>
      </c>
      <c r="P40" s="807">
        <f t="shared" si="4"/>
        <v>0</v>
      </c>
      <c r="Q40" s="807">
        <f t="shared" si="4"/>
        <v>696216</v>
      </c>
      <c r="R40" s="807">
        <f t="shared" si="4"/>
        <v>0</v>
      </c>
    </row>
    <row r="41" spans="1:18" s="15" customFormat="1">
      <c r="A41" s="1186" t="s">
        <v>2508</v>
      </c>
      <c r="B41" s="571"/>
      <c r="C41" s="571" t="s">
        <v>2508</v>
      </c>
      <c r="D41" s="639"/>
      <c r="E41" s="14" t="s">
        <v>6523</v>
      </c>
      <c r="F41" s="18" t="s">
        <v>6522</v>
      </c>
      <c r="G41" s="1057">
        <v>5.88</v>
      </c>
      <c r="H41" s="27"/>
      <c r="I41" s="23"/>
      <c r="J41" s="25"/>
      <c r="K41" s="25">
        <v>0</v>
      </c>
      <c r="L41" s="25">
        <v>111323</v>
      </c>
      <c r="M41" s="25">
        <v>0</v>
      </c>
      <c r="N41" s="1061"/>
      <c r="O41" s="807">
        <f t="shared" si="4"/>
        <v>0</v>
      </c>
      <c r="P41" s="807">
        <f t="shared" si="4"/>
        <v>0</v>
      </c>
      <c r="Q41" s="807">
        <f t="shared" si="4"/>
        <v>654579</v>
      </c>
      <c r="R41" s="807">
        <f t="shared" si="4"/>
        <v>0</v>
      </c>
    </row>
    <row r="42" spans="1:18" s="15" customFormat="1">
      <c r="A42" s="1186" t="s">
        <v>5925</v>
      </c>
      <c r="B42" s="571"/>
      <c r="C42" s="571" t="s">
        <v>5925</v>
      </c>
      <c r="D42" s="639"/>
      <c r="E42" s="14" t="s">
        <v>6526</v>
      </c>
      <c r="F42" s="18" t="s">
        <v>1307</v>
      </c>
      <c r="G42" s="1056">
        <v>2</v>
      </c>
      <c r="H42" s="1056"/>
      <c r="I42" s="23"/>
      <c r="J42" s="25"/>
      <c r="K42" s="25">
        <v>0</v>
      </c>
      <c r="L42" s="25">
        <v>88269</v>
      </c>
      <c r="M42" s="25">
        <v>0</v>
      </c>
      <c r="N42" s="1061"/>
      <c r="O42" s="807">
        <f t="shared" si="4"/>
        <v>0</v>
      </c>
      <c r="P42" s="807">
        <f t="shared" si="4"/>
        <v>0</v>
      </c>
      <c r="Q42" s="807">
        <f t="shared" si="4"/>
        <v>176538</v>
      </c>
      <c r="R42" s="807">
        <f t="shared" si="4"/>
        <v>0</v>
      </c>
    </row>
    <row r="43" spans="1:18" s="15" customFormat="1">
      <c r="A43" s="252">
        <f>A35</f>
        <v>3</v>
      </c>
      <c r="B43" s="571"/>
      <c r="C43" s="571"/>
      <c r="D43" s="639"/>
      <c r="E43" s="14"/>
      <c r="F43" s="18"/>
      <c r="G43" s="1057"/>
      <c r="H43" s="1057"/>
      <c r="I43" s="23"/>
      <c r="J43" s="23"/>
      <c r="K43" s="23"/>
      <c r="L43" s="23"/>
      <c r="M43" s="23"/>
      <c r="N43" s="1061"/>
      <c r="O43" s="1061"/>
      <c r="P43" s="1061"/>
      <c r="Q43" s="1061"/>
      <c r="R43" s="1061"/>
    </row>
    <row r="44" spans="1:18" s="15" customFormat="1" ht="15" customHeight="1">
      <c r="A44" s="1048">
        <f>A43+1</f>
        <v>4</v>
      </c>
      <c r="B44" s="571" t="str">
        <f>"I."&amp;+A44</f>
        <v>I.4</v>
      </c>
      <c r="C44" s="571"/>
      <c r="D44" s="639"/>
      <c r="E44" s="1049" t="s">
        <v>592</v>
      </c>
      <c r="F44" s="24" t="s">
        <v>5140</v>
      </c>
      <c r="G44" s="26">
        <f>tkeHA!S245</f>
        <v>11</v>
      </c>
      <c r="H44" s="1054"/>
      <c r="I44" s="1053"/>
      <c r="J44" s="1053"/>
      <c r="K44" s="1053"/>
      <c r="L44" s="1053"/>
      <c r="M44" s="1053"/>
      <c r="N44" s="1055">
        <f>SUM(N45:N55)</f>
        <v>837112</v>
      </c>
      <c r="O44" s="1055">
        <f>SUM(O45:O55)</f>
        <v>0</v>
      </c>
      <c r="P44" s="1055">
        <f>SUM(P45:P55)</f>
        <v>0</v>
      </c>
      <c r="Q44" s="1055">
        <f>SUM(Q45:Q55)</f>
        <v>394024</v>
      </c>
      <c r="R44" s="1055">
        <f>SUM(R45:R55)</f>
        <v>24068</v>
      </c>
    </row>
    <row r="45" spans="1:18" s="15" customFormat="1" ht="15" customHeight="1">
      <c r="A45" s="38" t="s">
        <v>5453</v>
      </c>
      <c r="B45" s="571"/>
      <c r="C45" s="571"/>
      <c r="D45" s="639">
        <v>0</v>
      </c>
      <c r="E45" s="14" t="s">
        <v>803</v>
      </c>
      <c r="F45" s="18" t="s">
        <v>1783</v>
      </c>
      <c r="G45" s="1056">
        <v>171.7</v>
      </c>
      <c r="H45" s="1056"/>
      <c r="I45" s="25">
        <v>1420</v>
      </c>
      <c r="J45" s="25"/>
      <c r="K45" s="1053"/>
      <c r="L45" s="23"/>
      <c r="M45" s="23"/>
      <c r="N45" s="807">
        <f t="shared" ref="N45:O52" si="5">ROUND($G45*I45,0)</f>
        <v>243814</v>
      </c>
      <c r="O45" s="807">
        <f>ROUND($G45*J45,0)</f>
        <v>0</v>
      </c>
      <c r="P45" s="1061"/>
      <c r="Q45" s="1061"/>
      <c r="R45" s="1061"/>
    </row>
    <row r="46" spans="1:18" s="15" customFormat="1" ht="15" customHeight="1">
      <c r="A46" s="38" t="s">
        <v>966</v>
      </c>
      <c r="B46" s="571"/>
      <c r="C46" s="571"/>
      <c r="D46" s="639">
        <v>41506010</v>
      </c>
      <c r="E46" s="14" t="s">
        <v>967</v>
      </c>
      <c r="F46" s="18" t="s">
        <v>968</v>
      </c>
      <c r="G46" s="1057">
        <v>0.28000000000000003</v>
      </c>
      <c r="H46" s="1057"/>
      <c r="I46" s="25">
        <v>277273</v>
      </c>
      <c r="J46" s="25"/>
      <c r="K46" s="1053"/>
      <c r="L46" s="23"/>
      <c r="M46" s="23"/>
      <c r="N46" s="807">
        <f t="shared" si="5"/>
        <v>77636</v>
      </c>
      <c r="O46" s="807">
        <f>ROUND($G46*J46,0)</f>
        <v>0</v>
      </c>
      <c r="P46" s="1061"/>
      <c r="Q46" s="1061"/>
      <c r="R46" s="1061"/>
    </row>
    <row r="47" spans="1:18" s="15" customFormat="1" ht="15" customHeight="1">
      <c r="A47" s="38" t="s">
        <v>973</v>
      </c>
      <c r="B47" s="571"/>
      <c r="C47" s="571"/>
      <c r="D47" s="639">
        <v>41506089</v>
      </c>
      <c r="E47" s="14" t="s">
        <v>974</v>
      </c>
      <c r="F47" s="18" t="s">
        <v>968</v>
      </c>
      <c r="G47" s="1057">
        <v>0.51</v>
      </c>
      <c r="H47" s="1057"/>
      <c r="I47" s="25">
        <v>491818</v>
      </c>
      <c r="J47" s="25"/>
      <c r="K47" s="1053"/>
      <c r="L47" s="23"/>
      <c r="M47" s="23"/>
      <c r="N47" s="807">
        <f t="shared" si="5"/>
        <v>250827</v>
      </c>
      <c r="O47" s="807">
        <f>ROUND($G47*J47,0)</f>
        <v>0</v>
      </c>
      <c r="P47" s="1061"/>
      <c r="Q47" s="1061"/>
      <c r="R47" s="1061"/>
    </row>
    <row r="48" spans="1:18" s="15" customFormat="1" ht="15" customHeight="1">
      <c r="A48" s="329" t="s">
        <v>4989</v>
      </c>
      <c r="B48" s="571"/>
      <c r="C48" s="571"/>
      <c r="D48" s="639">
        <v>0</v>
      </c>
      <c r="E48" s="14" t="s">
        <v>4990</v>
      </c>
      <c r="F48" s="18" t="s">
        <v>2679</v>
      </c>
      <c r="G48" s="27">
        <v>113</v>
      </c>
      <c r="H48" s="1056"/>
      <c r="I48" s="25">
        <v>10</v>
      </c>
      <c r="J48" s="25"/>
      <c r="K48" s="1053"/>
      <c r="L48" s="23"/>
      <c r="M48" s="23"/>
      <c r="N48" s="807">
        <f t="shared" si="5"/>
        <v>1130</v>
      </c>
      <c r="O48" s="807">
        <f>ROUND($G48*J48,0)</f>
        <v>0</v>
      </c>
      <c r="P48" s="1061"/>
      <c r="Q48" s="1061"/>
      <c r="R48" s="1061"/>
    </row>
    <row r="49" spans="1:18" s="15" customFormat="1" ht="15" customHeight="1">
      <c r="A49" s="329" t="s">
        <v>2507</v>
      </c>
      <c r="B49" s="571"/>
      <c r="C49" s="571"/>
      <c r="D49" s="639">
        <v>1</v>
      </c>
      <c r="E49" s="14" t="s">
        <v>6519</v>
      </c>
      <c r="F49" s="18" t="s">
        <v>6520</v>
      </c>
      <c r="G49" s="27">
        <v>1</v>
      </c>
      <c r="H49" s="1056"/>
      <c r="I49" s="25">
        <f>ROUND(SUM(I45:I48)/100,0)</f>
        <v>7705</v>
      </c>
      <c r="J49" s="25"/>
      <c r="K49" s="1053"/>
      <c r="L49" s="23"/>
      <c r="M49" s="23"/>
      <c r="N49" s="807">
        <f t="shared" si="5"/>
        <v>7705</v>
      </c>
      <c r="O49" s="807">
        <f>ROUND($G49*J49,0)</f>
        <v>0</v>
      </c>
      <c r="P49" s="1061"/>
      <c r="Q49" s="1061"/>
      <c r="R49" s="1061"/>
    </row>
    <row r="50" spans="1:18" s="15" customFormat="1">
      <c r="A50" s="38" t="s">
        <v>4809</v>
      </c>
      <c r="B50" s="571"/>
      <c r="C50" s="571"/>
      <c r="D50" s="639">
        <v>44322400</v>
      </c>
      <c r="E50" s="14" t="s">
        <v>4810</v>
      </c>
      <c r="F50" s="18" t="s">
        <v>1307</v>
      </c>
      <c r="G50" s="27">
        <v>2</v>
      </c>
      <c r="H50" s="27">
        <f>G50*G44</f>
        <v>22</v>
      </c>
      <c r="I50" s="25">
        <v>50900</v>
      </c>
      <c r="J50" s="25"/>
      <c r="K50" s="23"/>
      <c r="L50" s="23"/>
      <c r="M50" s="23"/>
      <c r="N50" s="807">
        <f t="shared" si="5"/>
        <v>101800</v>
      </c>
      <c r="O50" s="807">
        <f t="shared" si="5"/>
        <v>0</v>
      </c>
      <c r="P50" s="1061"/>
      <c r="Q50" s="1061"/>
      <c r="R50" s="1061"/>
    </row>
    <row r="51" spans="1:18" s="15" customFormat="1">
      <c r="A51" s="38" t="s">
        <v>31</v>
      </c>
      <c r="B51" s="571"/>
      <c r="C51" s="571"/>
      <c r="D51" s="639">
        <v>44322800</v>
      </c>
      <c r="E51" s="14" t="s">
        <v>32</v>
      </c>
      <c r="F51" s="18" t="s">
        <v>1307</v>
      </c>
      <c r="G51" s="27">
        <v>1</v>
      </c>
      <c r="H51" s="27">
        <f>G51*G44</f>
        <v>11</v>
      </c>
      <c r="I51" s="25">
        <v>83400</v>
      </c>
      <c r="J51" s="25"/>
      <c r="K51" s="23"/>
      <c r="L51" s="23"/>
      <c r="M51" s="23"/>
      <c r="N51" s="807">
        <f t="shared" si="5"/>
        <v>83400</v>
      </c>
      <c r="O51" s="807">
        <f t="shared" si="5"/>
        <v>0</v>
      </c>
      <c r="P51" s="1061"/>
      <c r="Q51" s="1061"/>
      <c r="R51" s="1061"/>
    </row>
    <row r="52" spans="1:18" s="15" customFormat="1">
      <c r="A52" s="38" t="s">
        <v>4039</v>
      </c>
      <c r="B52" s="571"/>
      <c r="C52" s="571"/>
      <c r="D52" s="639">
        <v>47087092</v>
      </c>
      <c r="E52" s="14" t="s">
        <v>4040</v>
      </c>
      <c r="F52" s="18" t="s">
        <v>1307</v>
      </c>
      <c r="G52" s="27">
        <v>6</v>
      </c>
      <c r="H52" s="27">
        <f>G52*G44</f>
        <v>66</v>
      </c>
      <c r="I52" s="25">
        <v>11800</v>
      </c>
      <c r="J52" s="25"/>
      <c r="K52" s="23"/>
      <c r="L52" s="23"/>
      <c r="M52" s="23"/>
      <c r="N52" s="807">
        <f t="shared" si="5"/>
        <v>70800</v>
      </c>
      <c r="O52" s="807">
        <f t="shared" si="5"/>
        <v>0</v>
      </c>
      <c r="P52" s="1061"/>
      <c r="Q52" s="1061"/>
      <c r="R52" s="1061"/>
    </row>
    <row r="53" spans="1:18" s="15" customFormat="1" ht="15" customHeight="1">
      <c r="A53" s="1186" t="s">
        <v>5821</v>
      </c>
      <c r="B53" s="571"/>
      <c r="C53" s="571" t="s">
        <v>5821</v>
      </c>
      <c r="D53" s="639"/>
      <c r="E53" s="14" t="s">
        <v>6521</v>
      </c>
      <c r="F53" s="18" t="s">
        <v>6522</v>
      </c>
      <c r="G53" s="1343">
        <v>0.83200000000000018</v>
      </c>
      <c r="H53" s="1058"/>
      <c r="I53" s="23"/>
      <c r="J53" s="25"/>
      <c r="K53" s="25">
        <v>0</v>
      </c>
      <c r="L53" s="25">
        <v>262523</v>
      </c>
      <c r="M53" s="25">
        <v>0</v>
      </c>
      <c r="N53" s="1061"/>
      <c r="O53" s="807">
        <f t="shared" ref="O53:R55" si="6">ROUND($G53*J53,0)</f>
        <v>0</v>
      </c>
      <c r="P53" s="807">
        <f t="shared" si="6"/>
        <v>0</v>
      </c>
      <c r="Q53" s="807">
        <f t="shared" si="6"/>
        <v>218419</v>
      </c>
      <c r="R53" s="807">
        <f t="shared" si="6"/>
        <v>0</v>
      </c>
    </row>
    <row r="54" spans="1:18" s="15" customFormat="1" ht="15" customHeight="1">
      <c r="A54" s="1186" t="s">
        <v>2508</v>
      </c>
      <c r="B54" s="571"/>
      <c r="C54" s="571" t="s">
        <v>2508</v>
      </c>
      <c r="D54" s="639"/>
      <c r="E54" s="14" t="s">
        <v>6523</v>
      </c>
      <c r="F54" s="18" t="s">
        <v>6522</v>
      </c>
      <c r="G54" s="1343">
        <v>0.192</v>
      </c>
      <c r="H54" s="1058"/>
      <c r="I54" s="23"/>
      <c r="J54" s="25"/>
      <c r="K54" s="25">
        <v>0</v>
      </c>
      <c r="L54" s="25">
        <v>111323</v>
      </c>
      <c r="M54" s="25">
        <v>0</v>
      </c>
      <c r="N54" s="1061"/>
      <c r="O54" s="807">
        <f t="shared" si="6"/>
        <v>0</v>
      </c>
      <c r="P54" s="807">
        <f t="shared" si="6"/>
        <v>0</v>
      </c>
      <c r="Q54" s="807">
        <f t="shared" si="6"/>
        <v>21374</v>
      </c>
      <c r="R54" s="807">
        <f t="shared" si="6"/>
        <v>0</v>
      </c>
    </row>
    <row r="55" spans="1:18" s="15" customFormat="1" ht="30" customHeight="1">
      <c r="A55" s="1187" t="s">
        <v>2509</v>
      </c>
      <c r="B55" s="571"/>
      <c r="C55" s="571" t="s">
        <v>2509</v>
      </c>
      <c r="D55" s="639"/>
      <c r="E55" s="14" t="s">
        <v>6524</v>
      </c>
      <c r="F55" s="18" t="s">
        <v>6522</v>
      </c>
      <c r="G55" s="1343">
        <v>0.56599999999999995</v>
      </c>
      <c r="H55" s="1058"/>
      <c r="I55" s="23"/>
      <c r="J55" s="25"/>
      <c r="K55" s="25">
        <v>0</v>
      </c>
      <c r="L55" s="25">
        <v>272493</v>
      </c>
      <c r="M55" s="25">
        <v>42523</v>
      </c>
      <c r="N55" s="1061"/>
      <c r="O55" s="807">
        <f t="shared" si="6"/>
        <v>0</v>
      </c>
      <c r="P55" s="807">
        <f t="shared" si="6"/>
        <v>0</v>
      </c>
      <c r="Q55" s="807">
        <f t="shared" si="6"/>
        <v>154231</v>
      </c>
      <c r="R55" s="807">
        <f t="shared" si="6"/>
        <v>24068</v>
      </c>
    </row>
    <row r="56" spans="1:18" s="15" customFormat="1" ht="15" customHeight="1">
      <c r="A56" s="252">
        <f>A44</f>
        <v>4</v>
      </c>
      <c r="B56" s="657"/>
      <c r="C56" s="571"/>
      <c r="D56" s="639"/>
      <c r="E56" s="14"/>
      <c r="F56" s="18"/>
      <c r="G56" s="28"/>
      <c r="H56" s="1058"/>
      <c r="I56" s="23"/>
      <c r="J56" s="23"/>
      <c r="K56" s="23"/>
      <c r="L56" s="1085"/>
      <c r="M56" s="1085"/>
      <c r="N56" s="808"/>
      <c r="O56" s="808"/>
      <c r="P56" s="808"/>
      <c r="Q56" s="808"/>
      <c r="R56" s="808"/>
    </row>
    <row r="57" spans="1:18" s="15" customFormat="1" ht="15.75">
      <c r="A57" s="1048">
        <f>A56+1</f>
        <v>5</v>
      </c>
      <c r="B57" s="571" t="str">
        <f>"I."&amp;+A57</f>
        <v>I.5</v>
      </c>
      <c r="C57" s="571"/>
      <c r="D57" s="639"/>
      <c r="E57" s="1049" t="s">
        <v>593</v>
      </c>
      <c r="F57" s="24" t="s">
        <v>5140</v>
      </c>
      <c r="G57" s="26">
        <f>tkeHA!T245</f>
        <v>3</v>
      </c>
      <c r="H57" s="1054"/>
      <c r="I57" s="1053"/>
      <c r="J57" s="1053"/>
      <c r="K57" s="1053"/>
      <c r="L57" s="1053"/>
      <c r="M57" s="1053"/>
      <c r="N57" s="1055">
        <f>SUM(N58:N67)</f>
        <v>637532</v>
      </c>
      <c r="O57" s="1055">
        <f>SUM(O58:O67)</f>
        <v>0</v>
      </c>
      <c r="P57" s="1055">
        <f>SUM(P58:P67)</f>
        <v>0</v>
      </c>
      <c r="Q57" s="1055">
        <f>SUM(Q58:Q67)</f>
        <v>321268</v>
      </c>
      <c r="R57" s="1055">
        <f>SUM(R58:R67)</f>
        <v>20198</v>
      </c>
    </row>
    <row r="58" spans="1:18" s="15" customFormat="1" ht="15" customHeight="1">
      <c r="A58" s="38" t="s">
        <v>5453</v>
      </c>
      <c r="B58" s="571"/>
      <c r="C58" s="571"/>
      <c r="D58" s="639">
        <v>0</v>
      </c>
      <c r="E58" s="14" t="s">
        <v>803</v>
      </c>
      <c r="F58" s="18" t="s">
        <v>1783</v>
      </c>
      <c r="G58" s="1056">
        <v>144.1</v>
      </c>
      <c r="H58" s="1056"/>
      <c r="I58" s="25">
        <v>1420</v>
      </c>
      <c r="J58" s="25"/>
      <c r="K58" s="1053"/>
      <c r="L58" s="23"/>
      <c r="M58" s="23"/>
      <c r="N58" s="807">
        <f t="shared" ref="N58:O64" si="7">ROUND($G58*I58,0)</f>
        <v>204622</v>
      </c>
      <c r="O58" s="807">
        <f t="shared" si="7"/>
        <v>0</v>
      </c>
      <c r="P58" s="1061"/>
      <c r="Q58" s="1061"/>
      <c r="R58" s="1061"/>
    </row>
    <row r="59" spans="1:18" s="15" customFormat="1" ht="15" customHeight="1">
      <c r="A59" s="38" t="s">
        <v>966</v>
      </c>
      <c r="B59" s="571"/>
      <c r="C59" s="571"/>
      <c r="D59" s="639">
        <v>41506010</v>
      </c>
      <c r="E59" s="14" t="s">
        <v>967</v>
      </c>
      <c r="F59" s="18" t="s">
        <v>968</v>
      </c>
      <c r="G59" s="1057">
        <v>0.23</v>
      </c>
      <c r="H59" s="1057"/>
      <c r="I59" s="25">
        <v>277273</v>
      </c>
      <c r="J59" s="25"/>
      <c r="K59" s="1053"/>
      <c r="L59" s="23"/>
      <c r="M59" s="23"/>
      <c r="N59" s="807">
        <f t="shared" si="7"/>
        <v>63773</v>
      </c>
      <c r="O59" s="807">
        <f t="shared" si="7"/>
        <v>0</v>
      </c>
      <c r="P59" s="1061"/>
      <c r="Q59" s="1061"/>
      <c r="R59" s="1061"/>
    </row>
    <row r="60" spans="1:18" s="15" customFormat="1" ht="15" customHeight="1">
      <c r="A60" s="38" t="s">
        <v>973</v>
      </c>
      <c r="B60" s="571"/>
      <c r="C60" s="571"/>
      <c r="D60" s="639">
        <v>41506089</v>
      </c>
      <c r="E60" s="14" t="s">
        <v>974</v>
      </c>
      <c r="F60" s="18" t="s">
        <v>968</v>
      </c>
      <c r="G60" s="1057">
        <v>0.43</v>
      </c>
      <c r="H60" s="1057"/>
      <c r="I60" s="25">
        <v>491818</v>
      </c>
      <c r="J60" s="25"/>
      <c r="K60" s="1053"/>
      <c r="L60" s="23"/>
      <c r="M60" s="23"/>
      <c r="N60" s="807">
        <f t="shared" si="7"/>
        <v>211482</v>
      </c>
      <c r="O60" s="807">
        <f t="shared" si="7"/>
        <v>0</v>
      </c>
      <c r="P60" s="1061"/>
      <c r="Q60" s="1061"/>
      <c r="R60" s="1061"/>
    </row>
    <row r="61" spans="1:18" s="15" customFormat="1" ht="15" customHeight="1">
      <c r="A61" s="329" t="s">
        <v>4989</v>
      </c>
      <c r="B61" s="571"/>
      <c r="C61" s="571"/>
      <c r="D61" s="639">
        <v>0</v>
      </c>
      <c r="E61" s="14" t="s">
        <v>4990</v>
      </c>
      <c r="F61" s="18" t="s">
        <v>2679</v>
      </c>
      <c r="G61" s="27">
        <v>95</v>
      </c>
      <c r="H61" s="1056"/>
      <c r="I61" s="25">
        <v>10</v>
      </c>
      <c r="J61" s="25"/>
      <c r="K61" s="1053"/>
      <c r="L61" s="23"/>
      <c r="M61" s="23"/>
      <c r="N61" s="807">
        <f t="shared" si="7"/>
        <v>950</v>
      </c>
      <c r="O61" s="807">
        <f t="shared" si="7"/>
        <v>0</v>
      </c>
      <c r="P61" s="1061"/>
      <c r="Q61" s="1061"/>
      <c r="R61" s="1061"/>
    </row>
    <row r="62" spans="1:18" s="15" customFormat="1" ht="15" customHeight="1">
      <c r="A62" s="329" t="s">
        <v>2507</v>
      </c>
      <c r="B62" s="571"/>
      <c r="C62" s="571"/>
      <c r="D62" s="639">
        <v>1</v>
      </c>
      <c r="E62" s="14" t="s">
        <v>6519</v>
      </c>
      <c r="F62" s="18" t="s">
        <v>6520</v>
      </c>
      <c r="G62" s="27">
        <v>1</v>
      </c>
      <c r="H62" s="1056"/>
      <c r="I62" s="25">
        <f>ROUND(SUM(I58:I61)/100,0)</f>
        <v>7705</v>
      </c>
      <c r="J62" s="25"/>
      <c r="K62" s="1053"/>
      <c r="L62" s="23"/>
      <c r="M62" s="23"/>
      <c r="N62" s="807">
        <f t="shared" si="7"/>
        <v>7705</v>
      </c>
      <c r="O62" s="807">
        <f t="shared" si="7"/>
        <v>0</v>
      </c>
      <c r="P62" s="1061"/>
      <c r="Q62" s="1061"/>
      <c r="R62" s="1061"/>
    </row>
    <row r="63" spans="1:18" s="15" customFormat="1">
      <c r="A63" s="38" t="s">
        <v>4809</v>
      </c>
      <c r="B63" s="571"/>
      <c r="C63" s="571"/>
      <c r="D63" s="639">
        <v>44322400</v>
      </c>
      <c r="E63" s="14" t="s">
        <v>4810</v>
      </c>
      <c r="F63" s="18" t="s">
        <v>1307</v>
      </c>
      <c r="G63" s="27">
        <v>2</v>
      </c>
      <c r="H63" s="27">
        <f>G63*G57</f>
        <v>6</v>
      </c>
      <c r="I63" s="25">
        <v>50900</v>
      </c>
      <c r="J63" s="25"/>
      <c r="K63" s="23"/>
      <c r="L63" s="23"/>
      <c r="M63" s="23"/>
      <c r="N63" s="807">
        <f t="shared" si="7"/>
        <v>101800</v>
      </c>
      <c r="O63" s="807">
        <f t="shared" si="7"/>
        <v>0</v>
      </c>
      <c r="P63" s="1061"/>
      <c r="Q63" s="1061"/>
      <c r="R63" s="1061"/>
    </row>
    <row r="64" spans="1:18" s="15" customFormat="1">
      <c r="A64" s="38" t="s">
        <v>4039</v>
      </c>
      <c r="B64" s="571"/>
      <c r="C64" s="571"/>
      <c r="D64" s="639">
        <v>47087092</v>
      </c>
      <c r="E64" s="14" t="s">
        <v>4040</v>
      </c>
      <c r="F64" s="18" t="s">
        <v>1307</v>
      </c>
      <c r="G64" s="27">
        <v>4</v>
      </c>
      <c r="H64" s="27">
        <f>G64*G57</f>
        <v>12</v>
      </c>
      <c r="I64" s="25">
        <v>11800</v>
      </c>
      <c r="J64" s="25"/>
      <c r="K64" s="23"/>
      <c r="L64" s="23"/>
      <c r="M64" s="23"/>
      <c r="N64" s="807">
        <f t="shared" si="7"/>
        <v>47200</v>
      </c>
      <c r="O64" s="807">
        <f t="shared" si="7"/>
        <v>0</v>
      </c>
      <c r="P64" s="1061"/>
      <c r="Q64" s="1061"/>
      <c r="R64" s="1061"/>
    </row>
    <row r="65" spans="1:18" s="15" customFormat="1" ht="15" customHeight="1">
      <c r="A65" s="1186" t="s">
        <v>5821</v>
      </c>
      <c r="B65" s="571"/>
      <c r="C65" s="571" t="s">
        <v>5821</v>
      </c>
      <c r="D65" s="639"/>
      <c r="E65" s="1315" t="s">
        <v>6521</v>
      </c>
      <c r="F65" s="18" t="s">
        <v>6522</v>
      </c>
      <c r="G65" s="1343">
        <v>0.66560000000000019</v>
      </c>
      <c r="H65" s="1058"/>
      <c r="I65" s="23"/>
      <c r="J65" s="25"/>
      <c r="K65" s="25">
        <v>0</v>
      </c>
      <c r="L65" s="25">
        <v>262523</v>
      </c>
      <c r="M65" s="25">
        <v>0</v>
      </c>
      <c r="N65" s="1061"/>
      <c r="O65" s="807">
        <f t="shared" ref="O65:R66" si="8">ROUND($G65*J65,0)</f>
        <v>0</v>
      </c>
      <c r="P65" s="807">
        <f t="shared" si="8"/>
        <v>0</v>
      </c>
      <c r="Q65" s="807">
        <f t="shared" si="8"/>
        <v>174735</v>
      </c>
      <c r="R65" s="807">
        <f>ROUND($G65*M65,0)</f>
        <v>0</v>
      </c>
    </row>
    <row r="66" spans="1:18" s="15" customFormat="1" ht="15" customHeight="1">
      <c r="A66" s="1186" t="s">
        <v>2508</v>
      </c>
      <c r="B66" s="571"/>
      <c r="C66" s="571" t="s">
        <v>2508</v>
      </c>
      <c r="D66" s="639"/>
      <c r="E66" s="1315" t="s">
        <v>6523</v>
      </c>
      <c r="F66" s="18" t="s">
        <v>6522</v>
      </c>
      <c r="G66" s="1343">
        <v>0.15360000000000007</v>
      </c>
      <c r="H66" s="1058"/>
      <c r="I66" s="23"/>
      <c r="J66" s="25"/>
      <c r="K66" s="25">
        <v>0</v>
      </c>
      <c r="L66" s="25">
        <v>111323</v>
      </c>
      <c r="M66" s="25">
        <v>0</v>
      </c>
      <c r="N66" s="1061"/>
      <c r="O66" s="807">
        <f t="shared" si="8"/>
        <v>0</v>
      </c>
      <c r="P66" s="807">
        <f t="shared" si="8"/>
        <v>0</v>
      </c>
      <c r="Q66" s="807">
        <f t="shared" si="8"/>
        <v>17099</v>
      </c>
      <c r="R66" s="807">
        <f t="shared" si="8"/>
        <v>0</v>
      </c>
    </row>
    <row r="67" spans="1:18" s="15" customFormat="1" ht="30" customHeight="1">
      <c r="A67" s="1187" t="s">
        <v>2509</v>
      </c>
      <c r="B67" s="571"/>
      <c r="C67" s="571" t="s">
        <v>2509</v>
      </c>
      <c r="D67" s="639"/>
      <c r="E67" s="1315" t="s">
        <v>6524</v>
      </c>
      <c r="F67" s="18" t="s">
        <v>6522</v>
      </c>
      <c r="G67" s="1343">
        <v>0.47499999999999998</v>
      </c>
      <c r="H67" s="1058"/>
      <c r="I67" s="23"/>
      <c r="J67" s="25"/>
      <c r="K67" s="25"/>
      <c r="L67" s="25">
        <v>272493</v>
      </c>
      <c r="M67" s="25">
        <v>42523</v>
      </c>
      <c r="N67" s="1061"/>
      <c r="O67" s="807">
        <f>ROUND($G67*J67,0)</f>
        <v>0</v>
      </c>
      <c r="P67" s="807">
        <f>SUM(P58:P62)</f>
        <v>0</v>
      </c>
      <c r="Q67" s="807">
        <f>ROUND($G67*L67,0)</f>
        <v>129434</v>
      </c>
      <c r="R67" s="807">
        <f>ROUND($G67*M67,0)</f>
        <v>20198</v>
      </c>
    </row>
    <row r="68" spans="1:18" s="15" customFormat="1" ht="15" customHeight="1">
      <c r="A68" s="252">
        <f>A57</f>
        <v>5</v>
      </c>
      <c r="B68" s="571"/>
      <c r="C68" s="571"/>
      <c r="D68" s="639"/>
      <c r="E68" s="14"/>
      <c r="F68" s="18"/>
      <c r="G68" s="28"/>
      <c r="H68" s="1058"/>
      <c r="I68" s="23"/>
      <c r="J68" s="23"/>
      <c r="K68" s="23"/>
      <c r="L68" s="1085"/>
      <c r="M68" s="1085"/>
      <c r="N68" s="808"/>
      <c r="O68" s="808"/>
      <c r="P68" s="808"/>
      <c r="Q68" s="808"/>
      <c r="R68" s="808"/>
    </row>
    <row r="69" spans="1:18" s="15" customFormat="1">
      <c r="A69" s="1048">
        <f>A68+1</f>
        <v>6</v>
      </c>
      <c r="B69" s="571" t="str">
        <f>"I."&amp;+A69</f>
        <v>I.6</v>
      </c>
      <c r="C69" s="571"/>
      <c r="D69" s="639"/>
      <c r="E69" s="1049" t="s">
        <v>736</v>
      </c>
      <c r="F69" s="24" t="s">
        <v>5140</v>
      </c>
      <c r="G69" s="26">
        <f>tkeHA!P245</f>
        <v>98</v>
      </c>
      <c r="H69" s="26"/>
      <c r="I69" s="1053"/>
      <c r="J69" s="1053"/>
      <c r="K69" s="1053"/>
      <c r="L69" s="1053"/>
      <c r="M69" s="1053"/>
      <c r="N69" s="1055">
        <f>SUM(N70:N75)</f>
        <v>408000</v>
      </c>
      <c r="O69" s="1055">
        <f>SUM(O70:O75)</f>
        <v>0</v>
      </c>
      <c r="P69" s="1055">
        <f>SUM(P70:P75)</f>
        <v>0</v>
      </c>
      <c r="Q69" s="1055">
        <f>SUM(Q70:Q75)</f>
        <v>394175</v>
      </c>
      <c r="R69" s="1055">
        <f>SUM(R70:R75)</f>
        <v>0</v>
      </c>
    </row>
    <row r="70" spans="1:18" s="15" customFormat="1">
      <c r="A70" s="38" t="s">
        <v>6205</v>
      </c>
      <c r="B70" s="571"/>
      <c r="C70" s="571"/>
      <c r="D70" s="639">
        <v>30600299</v>
      </c>
      <c r="E70" s="14" t="s">
        <v>6206</v>
      </c>
      <c r="F70" s="18" t="s">
        <v>1307</v>
      </c>
      <c r="G70" s="27">
        <v>1</v>
      </c>
      <c r="H70" s="27">
        <f>G70*G69</f>
        <v>98</v>
      </c>
      <c r="I70" s="25">
        <v>322000</v>
      </c>
      <c r="J70" s="25"/>
      <c r="K70" s="23"/>
      <c r="L70" s="23"/>
      <c r="M70" s="23"/>
      <c r="N70" s="807">
        <f>ROUND($G70*I70,0)</f>
        <v>322000</v>
      </c>
      <c r="O70" s="807">
        <f>ROUND($G70*J70,0)</f>
        <v>0</v>
      </c>
      <c r="P70" s="1061"/>
      <c r="Q70" s="1061"/>
      <c r="R70" s="1061"/>
    </row>
    <row r="71" spans="1:18" s="15" customFormat="1">
      <c r="A71" s="38" t="s">
        <v>5989</v>
      </c>
      <c r="B71" s="571"/>
      <c r="C71" s="571"/>
      <c r="D71" s="639">
        <v>44322550</v>
      </c>
      <c r="E71" s="14" t="s">
        <v>2529</v>
      </c>
      <c r="F71" s="18" t="s">
        <v>1307</v>
      </c>
      <c r="G71" s="27">
        <v>1</v>
      </c>
      <c r="H71" s="27">
        <f>G71*G69</f>
        <v>98</v>
      </c>
      <c r="I71" s="25">
        <v>62400</v>
      </c>
      <c r="J71" s="25"/>
      <c r="K71" s="23"/>
      <c r="L71" s="23"/>
      <c r="M71" s="23"/>
      <c r="N71" s="807">
        <f>ROUND($G71*I71,0)</f>
        <v>62400</v>
      </c>
      <c r="O71" s="807">
        <f t="shared" ref="O71:R75" si="9">ROUND($G71*J71,0)</f>
        <v>0</v>
      </c>
      <c r="P71" s="1061"/>
      <c r="Q71" s="1061"/>
      <c r="R71" s="1061"/>
    </row>
    <row r="72" spans="1:18" s="15" customFormat="1">
      <c r="A72" s="38" t="s">
        <v>4039</v>
      </c>
      <c r="B72" s="571"/>
      <c r="C72" s="571"/>
      <c r="D72" s="639">
        <v>47087092</v>
      </c>
      <c r="E72" s="14" t="s">
        <v>4040</v>
      </c>
      <c r="F72" s="18" t="s">
        <v>1307</v>
      </c>
      <c r="G72" s="27">
        <v>2</v>
      </c>
      <c r="H72" s="27">
        <f>G72*G69</f>
        <v>196</v>
      </c>
      <c r="I72" s="25">
        <v>11800</v>
      </c>
      <c r="J72" s="25"/>
      <c r="K72" s="23"/>
      <c r="L72" s="23"/>
      <c r="M72" s="23"/>
      <c r="N72" s="807">
        <f>ROUND($G72*I72,0)</f>
        <v>23600</v>
      </c>
      <c r="O72" s="807">
        <f t="shared" si="9"/>
        <v>0</v>
      </c>
      <c r="P72" s="1061"/>
      <c r="Q72" s="1061"/>
      <c r="R72" s="1061"/>
    </row>
    <row r="73" spans="1:18" s="15" customFormat="1">
      <c r="A73" s="1186" t="s">
        <v>737</v>
      </c>
      <c r="B73" s="571"/>
      <c r="C73" s="571" t="s">
        <v>737</v>
      </c>
      <c r="D73" s="639"/>
      <c r="E73" s="1315" t="s">
        <v>6586</v>
      </c>
      <c r="F73" s="18" t="s">
        <v>6522</v>
      </c>
      <c r="G73" s="1057">
        <v>1.2</v>
      </c>
      <c r="H73" s="1056"/>
      <c r="I73" s="23"/>
      <c r="J73" s="25"/>
      <c r="K73" s="25">
        <v>0</v>
      </c>
      <c r="L73" s="25">
        <v>112985</v>
      </c>
      <c r="M73" s="25">
        <v>0</v>
      </c>
      <c r="N73" s="1061"/>
      <c r="O73" s="807">
        <f t="shared" si="9"/>
        <v>0</v>
      </c>
      <c r="P73" s="807">
        <f t="shared" si="9"/>
        <v>0</v>
      </c>
      <c r="Q73" s="807">
        <f t="shared" si="9"/>
        <v>135582</v>
      </c>
      <c r="R73" s="807">
        <f t="shared" si="9"/>
        <v>0</v>
      </c>
    </row>
    <row r="74" spans="1:18" s="15" customFormat="1" ht="15" customHeight="1">
      <c r="A74" s="1186" t="s">
        <v>2508</v>
      </c>
      <c r="B74" s="571"/>
      <c r="C74" s="571" t="s">
        <v>2508</v>
      </c>
      <c r="D74" s="639"/>
      <c r="E74" s="1315" t="s">
        <v>6523</v>
      </c>
      <c r="F74" s="18" t="s">
        <v>6522</v>
      </c>
      <c r="G74" s="1057">
        <v>1.53</v>
      </c>
      <c r="H74" s="1056"/>
      <c r="I74" s="23"/>
      <c r="J74" s="25"/>
      <c r="K74" s="25">
        <v>0</v>
      </c>
      <c r="L74" s="25">
        <v>111323</v>
      </c>
      <c r="M74" s="25">
        <v>0</v>
      </c>
      <c r="N74" s="1061"/>
      <c r="O74" s="807">
        <f t="shared" si="9"/>
        <v>0</v>
      </c>
      <c r="P74" s="807">
        <f t="shared" si="9"/>
        <v>0</v>
      </c>
      <c r="Q74" s="807">
        <f t="shared" si="9"/>
        <v>170324</v>
      </c>
      <c r="R74" s="807">
        <f t="shared" si="9"/>
        <v>0</v>
      </c>
    </row>
    <row r="75" spans="1:18" s="15" customFormat="1">
      <c r="A75" s="1186" t="s">
        <v>5925</v>
      </c>
      <c r="B75" s="571"/>
      <c r="C75" s="571" t="s">
        <v>5925</v>
      </c>
      <c r="D75" s="639"/>
      <c r="E75" s="1315" t="s">
        <v>6526</v>
      </c>
      <c r="F75" s="18" t="s">
        <v>1307</v>
      </c>
      <c r="G75" s="1056">
        <v>1</v>
      </c>
      <c r="H75" s="27"/>
      <c r="I75" s="23"/>
      <c r="J75" s="25"/>
      <c r="K75" s="25">
        <v>0</v>
      </c>
      <c r="L75" s="25">
        <v>88269</v>
      </c>
      <c r="M75" s="25">
        <v>0</v>
      </c>
      <c r="N75" s="1061"/>
      <c r="O75" s="807">
        <f t="shared" si="9"/>
        <v>0</v>
      </c>
      <c r="P75" s="807">
        <f t="shared" si="9"/>
        <v>0</v>
      </c>
      <c r="Q75" s="807">
        <f t="shared" si="9"/>
        <v>88269</v>
      </c>
      <c r="R75" s="807">
        <f t="shared" si="9"/>
        <v>0</v>
      </c>
    </row>
    <row r="76" spans="1:18" s="15" customFormat="1">
      <c r="A76" s="252">
        <f>A69</f>
        <v>6</v>
      </c>
      <c r="B76" s="571"/>
      <c r="C76" s="571"/>
      <c r="D76" s="639"/>
      <c r="E76" s="14"/>
      <c r="F76" s="18"/>
      <c r="G76" s="1057"/>
      <c r="H76" s="1057"/>
      <c r="I76" s="1488"/>
      <c r="J76" s="23"/>
      <c r="K76" s="23"/>
      <c r="L76" s="23"/>
      <c r="M76" s="23"/>
      <c r="N76" s="1061"/>
      <c r="O76" s="1061"/>
      <c r="P76" s="1061"/>
      <c r="Q76" s="1061"/>
      <c r="R76" s="1061"/>
    </row>
    <row r="77" spans="1:18" s="15" customFormat="1">
      <c r="A77" s="1048">
        <f>A76+1</f>
        <v>7</v>
      </c>
      <c r="B77" s="571" t="str">
        <f>"I."&amp;+A77</f>
        <v>I.7</v>
      </c>
      <c r="C77" s="571"/>
      <c r="D77" s="639"/>
      <c r="E77" s="1049" t="s">
        <v>744</v>
      </c>
      <c r="F77" s="24" t="s">
        <v>1297</v>
      </c>
      <c r="G77" s="26">
        <f>tkeHA!W245+tkeHA!X245</f>
        <v>10</v>
      </c>
      <c r="H77" s="26"/>
      <c r="I77" s="1070"/>
      <c r="J77" s="1070"/>
      <c r="K77" s="1070"/>
      <c r="L77" s="1071"/>
      <c r="M77" s="1070"/>
      <c r="N77" s="1055">
        <f>SUM(N78:N82)</f>
        <v>451000</v>
      </c>
      <c r="O77" s="1055">
        <f>SUM(O80:O82)</f>
        <v>0</v>
      </c>
      <c r="P77" s="1055">
        <f>SUM(P80:P82)</f>
        <v>0</v>
      </c>
      <c r="Q77" s="1055">
        <f>SUM(Q80:Q82)</f>
        <v>397814</v>
      </c>
      <c r="R77" s="1055">
        <f>SUM(R80:R82)</f>
        <v>0</v>
      </c>
    </row>
    <row r="78" spans="1:18" s="15" customFormat="1" ht="15" customHeight="1">
      <c r="A78" s="1183" t="s">
        <v>6205</v>
      </c>
      <c r="B78" s="571"/>
      <c r="C78" s="571"/>
      <c r="D78" s="639">
        <v>30600299</v>
      </c>
      <c r="E78" s="14" t="s">
        <v>6206</v>
      </c>
      <c r="F78" s="18" t="s">
        <v>1307</v>
      </c>
      <c r="G78" s="28">
        <v>1</v>
      </c>
      <c r="H78" s="27" t="e">
        <f>G78*#REF!</f>
        <v>#REF!</v>
      </c>
      <c r="I78" s="25">
        <v>322000</v>
      </c>
      <c r="J78" s="25"/>
      <c r="K78" s="23"/>
      <c r="L78" s="23"/>
      <c r="M78" s="23"/>
      <c r="N78" s="807">
        <f>ROUND($G78*I78,0)</f>
        <v>322000</v>
      </c>
      <c r="O78" s="807"/>
      <c r="P78" s="1061"/>
      <c r="Q78" s="1061"/>
      <c r="R78" s="1061"/>
    </row>
    <row r="79" spans="1:18" s="15" customFormat="1" ht="15" customHeight="1">
      <c r="A79" s="1183" t="s">
        <v>3449</v>
      </c>
      <c r="B79" s="571"/>
      <c r="C79" s="571"/>
      <c r="D79" s="639">
        <v>32043755</v>
      </c>
      <c r="E79" s="14" t="s">
        <v>3450</v>
      </c>
      <c r="F79" s="18" t="s">
        <v>1307</v>
      </c>
      <c r="G79" s="28">
        <v>1</v>
      </c>
      <c r="H79" s="27" t="e">
        <f>G79*#REF!</f>
        <v>#REF!</v>
      </c>
      <c r="I79" s="25">
        <v>129000</v>
      </c>
      <c r="J79" s="25"/>
      <c r="K79" s="23"/>
      <c r="L79" s="23"/>
      <c r="M79" s="23"/>
      <c r="N79" s="807">
        <f>ROUND($G79*I79,0)</f>
        <v>129000</v>
      </c>
      <c r="O79" s="807"/>
      <c r="P79" s="1061"/>
      <c r="Q79" s="1061"/>
      <c r="R79" s="1061"/>
    </row>
    <row r="80" spans="1:18" s="15" customFormat="1">
      <c r="A80" s="1120" t="s">
        <v>737</v>
      </c>
      <c r="B80" s="571"/>
      <c r="C80" s="571" t="s">
        <v>737</v>
      </c>
      <c r="D80" s="639"/>
      <c r="E80" s="14" t="s">
        <v>6586</v>
      </c>
      <c r="F80" s="18" t="s">
        <v>6522</v>
      </c>
      <c r="G80" s="1343">
        <v>1.38</v>
      </c>
      <c r="H80" s="28"/>
      <c r="I80" s="1489"/>
      <c r="J80" s="1489"/>
      <c r="K80" s="25">
        <v>0</v>
      </c>
      <c r="L80" s="25">
        <v>112985</v>
      </c>
      <c r="M80" s="25">
        <v>0</v>
      </c>
      <c r="N80" s="1490"/>
      <c r="O80" s="1490"/>
      <c r="P80" s="807">
        <f t="shared" ref="P80:R82" si="10">ROUND($G80*K80,0)</f>
        <v>0</v>
      </c>
      <c r="Q80" s="807">
        <f t="shared" si="10"/>
        <v>155919</v>
      </c>
      <c r="R80" s="807">
        <f t="shared" si="10"/>
        <v>0</v>
      </c>
    </row>
    <row r="81" spans="1:18" s="15" customFormat="1" ht="15" customHeight="1">
      <c r="A81" s="1120" t="s">
        <v>2508</v>
      </c>
      <c r="B81" s="571"/>
      <c r="C81" s="571" t="s">
        <v>2508</v>
      </c>
      <c r="D81" s="639"/>
      <c r="E81" s="14" t="s">
        <v>6523</v>
      </c>
      <c r="F81" s="18" t="s">
        <v>6522</v>
      </c>
      <c r="G81" s="1343">
        <v>1.38</v>
      </c>
      <c r="H81" s="28"/>
      <c r="I81" s="1489"/>
      <c r="J81" s="1489"/>
      <c r="K81" s="25">
        <v>0</v>
      </c>
      <c r="L81" s="25">
        <v>111323</v>
      </c>
      <c r="M81" s="25">
        <v>0</v>
      </c>
      <c r="N81" s="1490"/>
      <c r="O81" s="1490"/>
      <c r="P81" s="807">
        <f t="shared" si="10"/>
        <v>0</v>
      </c>
      <c r="Q81" s="807">
        <f t="shared" si="10"/>
        <v>153626</v>
      </c>
      <c r="R81" s="807">
        <f t="shared" si="10"/>
        <v>0</v>
      </c>
    </row>
    <row r="82" spans="1:18" s="15" customFormat="1">
      <c r="A82" s="1120" t="s">
        <v>5925</v>
      </c>
      <c r="B82" s="571"/>
      <c r="C82" s="571" t="s">
        <v>5925</v>
      </c>
      <c r="D82" s="639"/>
      <c r="E82" s="14" t="s">
        <v>6526</v>
      </c>
      <c r="F82" s="18" t="s">
        <v>1307</v>
      </c>
      <c r="G82" s="28">
        <v>1</v>
      </c>
      <c r="H82" s="28"/>
      <c r="I82" s="1489"/>
      <c r="J82" s="1489"/>
      <c r="K82" s="25">
        <v>0</v>
      </c>
      <c r="L82" s="25">
        <v>88269</v>
      </c>
      <c r="M82" s="25">
        <v>0</v>
      </c>
      <c r="N82" s="1490"/>
      <c r="O82" s="1490"/>
      <c r="P82" s="807">
        <f t="shared" si="10"/>
        <v>0</v>
      </c>
      <c r="Q82" s="807">
        <f t="shared" si="10"/>
        <v>88269</v>
      </c>
      <c r="R82" s="807">
        <f t="shared" si="10"/>
        <v>0</v>
      </c>
    </row>
    <row r="83" spans="1:18" s="15" customFormat="1">
      <c r="A83" s="1075">
        <f>A77</f>
        <v>7</v>
      </c>
      <c r="B83" s="571"/>
      <c r="C83" s="571"/>
      <c r="D83" s="639"/>
      <c r="E83" s="14"/>
      <c r="F83" s="18"/>
      <c r="G83" s="28"/>
      <c r="H83" s="28"/>
      <c r="I83" s="23"/>
      <c r="J83" s="23"/>
      <c r="K83" s="23"/>
      <c r="L83" s="1085"/>
      <c r="M83" s="1085"/>
      <c r="N83" s="808"/>
      <c r="O83" s="808"/>
      <c r="P83" s="808"/>
      <c r="Q83" s="808"/>
      <c r="R83" s="808"/>
    </row>
    <row r="84" spans="1:18" s="15" customFormat="1" ht="15" customHeight="1">
      <c r="A84" s="1048">
        <f>A83+1</f>
        <v>8</v>
      </c>
      <c r="B84" s="657" t="str">
        <f>"I."&amp;+A84</f>
        <v>I.8</v>
      </c>
      <c r="C84" s="571"/>
      <c r="D84" s="639"/>
      <c r="E84" s="1049" t="s">
        <v>1901</v>
      </c>
      <c r="F84" s="24" t="s">
        <v>1297</v>
      </c>
      <c r="G84" s="26">
        <f>tkeHA!BK245</f>
        <v>19</v>
      </c>
      <c r="H84" s="26"/>
      <c r="I84" s="1053"/>
      <c r="J84" s="1053"/>
      <c r="K84" s="1053"/>
      <c r="L84" s="1053"/>
      <c r="M84" s="1053"/>
      <c r="N84" s="1061"/>
      <c r="O84" s="1055">
        <f>SUM(O85:O86)</f>
        <v>0</v>
      </c>
      <c r="P84" s="1055">
        <f>SUM(P85:P86)</f>
        <v>0</v>
      </c>
      <c r="Q84" s="1055">
        <f>SUM(Q85:Q86)</f>
        <v>66462</v>
      </c>
      <c r="R84" s="1055">
        <f>SUM(R85:R86)</f>
        <v>0</v>
      </c>
    </row>
    <row r="85" spans="1:18" s="15" customFormat="1" ht="15" customHeight="1">
      <c r="A85" s="1120" t="s">
        <v>1902</v>
      </c>
      <c r="B85" s="571"/>
      <c r="C85" s="571" t="s">
        <v>1902</v>
      </c>
      <c r="D85" s="639"/>
      <c r="E85" s="14" t="s">
        <v>6527</v>
      </c>
      <c r="F85" s="18" t="s">
        <v>6522</v>
      </c>
      <c r="G85" s="1314">
        <v>0.25</v>
      </c>
      <c r="H85" s="1059"/>
      <c r="I85" s="1202"/>
      <c r="J85" s="25"/>
      <c r="K85" s="25">
        <v>0</v>
      </c>
      <c r="L85" s="25">
        <v>151200</v>
      </c>
      <c r="M85" s="25">
        <v>0</v>
      </c>
      <c r="N85" s="1061"/>
      <c r="O85" s="807">
        <f t="shared" ref="O85:R86" si="11">ROUND($G85*J85,0)</f>
        <v>0</v>
      </c>
      <c r="P85" s="807">
        <f t="shared" si="11"/>
        <v>0</v>
      </c>
      <c r="Q85" s="807">
        <f t="shared" si="11"/>
        <v>37800</v>
      </c>
      <c r="R85" s="807">
        <f t="shared" si="11"/>
        <v>0</v>
      </c>
    </row>
    <row r="86" spans="1:18" s="15" customFormat="1">
      <c r="A86" s="1120" t="s">
        <v>5822</v>
      </c>
      <c r="B86" s="571"/>
      <c r="C86" s="571" t="s">
        <v>5822</v>
      </c>
      <c r="D86" s="639"/>
      <c r="E86" s="14" t="s">
        <v>6528</v>
      </c>
      <c r="F86" s="18" t="s">
        <v>6522</v>
      </c>
      <c r="G86" s="1314">
        <v>0.25</v>
      </c>
      <c r="H86" s="1059"/>
      <c r="I86" s="1202"/>
      <c r="J86" s="25"/>
      <c r="K86" s="25">
        <v>0</v>
      </c>
      <c r="L86" s="25">
        <v>114646</v>
      </c>
      <c r="M86" s="25">
        <v>0</v>
      </c>
      <c r="N86" s="1061"/>
      <c r="O86" s="807">
        <f t="shared" si="11"/>
        <v>0</v>
      </c>
      <c r="P86" s="807">
        <f t="shared" si="11"/>
        <v>0</v>
      </c>
      <c r="Q86" s="807">
        <f t="shared" si="11"/>
        <v>28662</v>
      </c>
      <c r="R86" s="807">
        <f t="shared" si="11"/>
        <v>0</v>
      </c>
    </row>
    <row r="87" spans="1:18" s="15" customFormat="1">
      <c r="A87" s="252">
        <f>A84</f>
        <v>8</v>
      </c>
      <c r="B87" s="571"/>
      <c r="C87" s="571"/>
      <c r="D87" s="639"/>
      <c r="E87" s="14"/>
      <c r="F87" s="18"/>
      <c r="G87" s="1057"/>
      <c r="H87" s="1057"/>
      <c r="I87" s="23"/>
      <c r="J87" s="23"/>
      <c r="K87" s="23"/>
      <c r="L87" s="23"/>
      <c r="M87" s="23"/>
      <c r="N87" s="1061"/>
      <c r="O87" s="1061"/>
      <c r="P87" s="1061"/>
      <c r="Q87" s="1061"/>
      <c r="R87" s="1061"/>
    </row>
    <row r="88" spans="1:18" s="15" customFormat="1" ht="15" customHeight="1">
      <c r="A88" s="198"/>
      <c r="B88" s="1086" t="s">
        <v>1233</v>
      </c>
      <c r="C88" s="1212"/>
      <c r="D88" s="1088"/>
      <c r="E88" s="200" t="s">
        <v>1264</v>
      </c>
      <c r="F88" s="1080"/>
      <c r="G88" s="1216"/>
      <c r="H88" s="1080"/>
      <c r="I88" s="1080"/>
      <c r="J88" s="1080"/>
      <c r="K88" s="1080"/>
      <c r="L88" s="1080"/>
      <c r="M88" s="1080"/>
      <c r="N88" s="1061"/>
      <c r="O88" s="1061"/>
      <c r="P88" s="1061"/>
      <c r="Q88" s="1061"/>
      <c r="R88" s="1061"/>
    </row>
    <row r="89" spans="1:18" s="15" customFormat="1" ht="15" customHeight="1">
      <c r="A89" s="1048">
        <v>1</v>
      </c>
      <c r="B89" s="657" t="str">
        <f>"II."&amp;+A89</f>
        <v>II.1</v>
      </c>
      <c r="C89" s="1210"/>
      <c r="D89" s="639"/>
      <c r="E89" s="1049" t="s">
        <v>3891</v>
      </c>
      <c r="F89" s="24" t="s">
        <v>5687</v>
      </c>
      <c r="G89" s="26">
        <f>tkeHA!I245</f>
        <v>4</v>
      </c>
      <c r="H89" s="26"/>
      <c r="I89" s="1053"/>
      <c r="J89" s="1053"/>
      <c r="K89" s="1053"/>
      <c r="L89" s="1053"/>
      <c r="M89" s="1053"/>
      <c r="N89" s="1055">
        <f>SUM(N90:N91)</f>
        <v>3588000</v>
      </c>
      <c r="O89" s="1055">
        <f>SUM(O90:O91)</f>
        <v>0</v>
      </c>
      <c r="P89" s="1055">
        <f>SUM(P90:P91)</f>
        <v>26000</v>
      </c>
      <c r="Q89" s="1055">
        <f>SUM(Q90:Q91)</f>
        <v>1168200</v>
      </c>
      <c r="R89" s="1055">
        <f>SUM(R90:R91)</f>
        <v>0</v>
      </c>
    </row>
    <row r="90" spans="1:18" s="15" customFormat="1">
      <c r="A90" s="38" t="s">
        <v>2179</v>
      </c>
      <c r="B90" s="657"/>
      <c r="C90" s="1210"/>
      <c r="D90" s="639">
        <v>30205121</v>
      </c>
      <c r="E90" s="14" t="s">
        <v>6587</v>
      </c>
      <c r="F90" s="18" t="s">
        <v>5687</v>
      </c>
      <c r="G90" s="27">
        <v>1</v>
      </c>
      <c r="H90" s="27">
        <f>G90*G89</f>
        <v>4</v>
      </c>
      <c r="I90" s="25">
        <v>3588000</v>
      </c>
      <c r="J90" s="1053"/>
      <c r="K90" s="1053"/>
      <c r="L90" s="23"/>
      <c r="M90" s="23"/>
      <c r="N90" s="807">
        <f t="shared" ref="N90:R92" si="12">ROUND($G90*I90,0)</f>
        <v>3588000</v>
      </c>
      <c r="O90" s="807">
        <f t="shared" si="12"/>
        <v>0</v>
      </c>
      <c r="P90" s="1061">
        <f t="shared" si="12"/>
        <v>0</v>
      </c>
      <c r="Q90" s="1061">
        <f t="shared" si="12"/>
        <v>0</v>
      </c>
      <c r="R90" s="1061">
        <f t="shared" si="12"/>
        <v>0</v>
      </c>
    </row>
    <row r="91" spans="1:18" s="15" customFormat="1">
      <c r="A91" s="1207" t="s">
        <v>738</v>
      </c>
      <c r="B91" s="657"/>
      <c r="C91" s="1210" t="s">
        <v>738</v>
      </c>
      <c r="D91" s="639"/>
      <c r="E91" s="14" t="s">
        <v>695</v>
      </c>
      <c r="F91" s="18" t="s">
        <v>5687</v>
      </c>
      <c r="G91" s="27">
        <v>1</v>
      </c>
      <c r="H91" s="1056"/>
      <c r="J91" s="1053"/>
      <c r="K91" s="25">
        <v>26000</v>
      </c>
      <c r="L91" s="25">
        <v>1168200</v>
      </c>
      <c r="M91" s="25">
        <v>0</v>
      </c>
      <c r="N91" s="1061">
        <f t="shared" si="12"/>
        <v>0</v>
      </c>
      <c r="O91" s="807">
        <f t="shared" si="12"/>
        <v>0</v>
      </c>
      <c r="P91" s="807">
        <f t="shared" si="12"/>
        <v>26000</v>
      </c>
      <c r="Q91" s="807">
        <f t="shared" si="12"/>
        <v>1168200</v>
      </c>
      <c r="R91" s="807">
        <f t="shared" si="12"/>
        <v>0</v>
      </c>
    </row>
    <row r="92" spans="1:18" s="15" customFormat="1" ht="15" customHeight="1">
      <c r="A92" s="252">
        <f>A89</f>
        <v>1</v>
      </c>
      <c r="B92" s="657"/>
      <c r="C92" s="1210"/>
      <c r="D92" s="639"/>
      <c r="E92" s="1073"/>
      <c r="F92" s="18"/>
      <c r="G92" s="1074"/>
      <c r="H92" s="1074"/>
      <c r="I92" s="21"/>
      <c r="J92" s="21"/>
      <c r="K92" s="21"/>
      <c r="L92" s="21"/>
      <c r="M92" s="21"/>
      <c r="N92" s="1061">
        <f t="shared" si="12"/>
        <v>0</v>
      </c>
      <c r="O92" s="1061">
        <f t="shared" si="12"/>
        <v>0</v>
      </c>
      <c r="P92" s="1061">
        <f t="shared" si="12"/>
        <v>0</v>
      </c>
      <c r="Q92" s="1061">
        <f t="shared" si="12"/>
        <v>0</v>
      </c>
      <c r="R92" s="1061">
        <f t="shared" si="12"/>
        <v>0</v>
      </c>
    </row>
    <row r="93" spans="1:18" s="15" customFormat="1" ht="15" customHeight="1">
      <c r="A93" s="1048">
        <f>A92+1</f>
        <v>2</v>
      </c>
      <c r="B93" s="657" t="str">
        <f>"II."&amp;+A93</f>
        <v>II.2</v>
      </c>
      <c r="C93" s="1210"/>
      <c r="D93" s="639"/>
      <c r="E93" s="1049" t="s">
        <v>3960</v>
      </c>
      <c r="F93" s="24" t="s">
        <v>5687</v>
      </c>
      <c r="G93" s="26">
        <f>tkeHA!J245</f>
        <v>3</v>
      </c>
      <c r="H93" s="26"/>
      <c r="I93" s="1053"/>
      <c r="J93" s="1053"/>
      <c r="K93" s="1053"/>
      <c r="L93" s="1053"/>
      <c r="M93" s="1053"/>
      <c r="N93" s="1055">
        <f>SUM(N94:N95)</f>
        <v>3117000</v>
      </c>
      <c r="O93" s="1055">
        <f>SUM(O94:O95)</f>
        <v>0</v>
      </c>
      <c r="P93" s="1055">
        <f>SUM(P94:P95)</f>
        <v>26000</v>
      </c>
      <c r="Q93" s="1055">
        <f>SUM(Q94:Q95)</f>
        <v>1168200</v>
      </c>
      <c r="R93" s="1055">
        <f>SUM(R94:R95)</f>
        <v>0</v>
      </c>
    </row>
    <row r="94" spans="1:18" s="15" customFormat="1">
      <c r="A94" s="38" t="s">
        <v>4713</v>
      </c>
      <c r="B94" s="657"/>
      <c r="C94" s="1210"/>
      <c r="D94" s="639">
        <v>30205122</v>
      </c>
      <c r="E94" s="14" t="s">
        <v>6588</v>
      </c>
      <c r="F94" s="18" t="s">
        <v>5687</v>
      </c>
      <c r="G94" s="27">
        <v>1</v>
      </c>
      <c r="H94" s="27">
        <f>G94*G93</f>
        <v>3</v>
      </c>
      <c r="I94" s="25">
        <v>3117000</v>
      </c>
      <c r="J94" s="1053"/>
      <c r="K94" s="1053"/>
      <c r="L94" s="23"/>
      <c r="M94" s="23"/>
      <c r="N94" s="807">
        <f t="shared" ref="N94:R96" si="13">ROUND($G94*I94,0)</f>
        <v>3117000</v>
      </c>
      <c r="O94" s="807">
        <f t="shared" si="13"/>
        <v>0</v>
      </c>
      <c r="P94" s="1061">
        <f t="shared" si="13"/>
        <v>0</v>
      </c>
      <c r="Q94" s="1061">
        <f t="shared" si="13"/>
        <v>0</v>
      </c>
      <c r="R94" s="1061">
        <f t="shared" si="13"/>
        <v>0</v>
      </c>
    </row>
    <row r="95" spans="1:18" s="15" customFormat="1">
      <c r="A95" s="1207" t="s">
        <v>738</v>
      </c>
      <c r="B95" s="657"/>
      <c r="C95" s="1210" t="s">
        <v>738</v>
      </c>
      <c r="D95" s="639"/>
      <c r="E95" s="14" t="s">
        <v>695</v>
      </c>
      <c r="F95" s="18" t="s">
        <v>5687</v>
      </c>
      <c r="G95" s="27">
        <v>1</v>
      </c>
      <c r="H95" s="1056"/>
      <c r="J95" s="1053"/>
      <c r="K95" s="25">
        <v>26000</v>
      </c>
      <c r="L95" s="25">
        <v>1168200</v>
      </c>
      <c r="M95" s="25">
        <v>0</v>
      </c>
      <c r="N95" s="1061">
        <f t="shared" si="13"/>
        <v>0</v>
      </c>
      <c r="O95" s="807">
        <f t="shared" si="13"/>
        <v>0</v>
      </c>
      <c r="P95" s="807">
        <f t="shared" si="13"/>
        <v>26000</v>
      </c>
      <c r="Q95" s="807">
        <f t="shared" si="13"/>
        <v>1168200</v>
      </c>
      <c r="R95" s="807">
        <f t="shared" si="13"/>
        <v>0</v>
      </c>
    </row>
    <row r="96" spans="1:18" s="15" customFormat="1" ht="15" customHeight="1">
      <c r="A96" s="252">
        <f>A93</f>
        <v>2</v>
      </c>
      <c r="B96" s="657"/>
      <c r="C96" s="1210"/>
      <c r="D96" s="639"/>
      <c r="E96" s="1073"/>
      <c r="F96" s="18"/>
      <c r="G96" s="1074"/>
      <c r="H96" s="1074"/>
      <c r="I96" s="21"/>
      <c r="J96" s="21"/>
      <c r="K96" s="21"/>
      <c r="L96" s="21"/>
      <c r="M96" s="21"/>
      <c r="N96" s="1061">
        <f t="shared" si="13"/>
        <v>0</v>
      </c>
      <c r="O96" s="1061">
        <f t="shared" si="13"/>
        <v>0</v>
      </c>
      <c r="P96" s="1061">
        <f t="shared" si="13"/>
        <v>0</v>
      </c>
      <c r="Q96" s="1061">
        <f t="shared" si="13"/>
        <v>0</v>
      </c>
      <c r="R96" s="1061">
        <f t="shared" si="13"/>
        <v>0</v>
      </c>
    </row>
    <row r="97" spans="1:18" s="15" customFormat="1" ht="15" customHeight="1">
      <c r="A97" s="1048">
        <f>A96+1</f>
        <v>3</v>
      </c>
      <c r="B97" s="657" t="str">
        <f>"II."&amp;+A97</f>
        <v>II.3</v>
      </c>
      <c r="C97" s="1210"/>
      <c r="D97" s="639"/>
      <c r="E97" s="1049" t="s">
        <v>856</v>
      </c>
      <c r="F97" s="24" t="s">
        <v>5687</v>
      </c>
      <c r="G97" s="26">
        <f>tkeHA!K245</f>
        <v>104</v>
      </c>
      <c r="H97" s="26"/>
      <c r="I97" s="1053"/>
      <c r="J97" s="1053"/>
      <c r="K97" s="1053"/>
      <c r="L97" s="1053"/>
      <c r="M97" s="1053"/>
      <c r="N97" s="1055">
        <f>SUM(N98:N99)</f>
        <v>1806000</v>
      </c>
      <c r="O97" s="1055">
        <f>SUM(O98:O99)</f>
        <v>0</v>
      </c>
      <c r="P97" s="1055">
        <f>SUM(P98:P99)</f>
        <v>26000</v>
      </c>
      <c r="Q97" s="1055">
        <f>SUM(Q98:Q99)</f>
        <v>1014200</v>
      </c>
      <c r="R97" s="1055">
        <f>SUM(R98:R99)</f>
        <v>0</v>
      </c>
    </row>
    <row r="98" spans="1:18" s="15" customFormat="1">
      <c r="A98" s="38" t="s">
        <v>4725</v>
      </c>
      <c r="B98" s="657"/>
      <c r="C98" s="1210"/>
      <c r="D98" s="639">
        <v>30205070</v>
      </c>
      <c r="E98" s="14" t="s">
        <v>6589</v>
      </c>
      <c r="F98" s="18" t="s">
        <v>5687</v>
      </c>
      <c r="G98" s="27">
        <v>1</v>
      </c>
      <c r="H98" s="27">
        <f>G98*G97</f>
        <v>104</v>
      </c>
      <c r="I98" s="25">
        <v>1806000</v>
      </c>
      <c r="J98" s="1053"/>
      <c r="K98" s="1053"/>
      <c r="L98" s="23"/>
      <c r="M98" s="23"/>
      <c r="N98" s="807">
        <f t="shared" ref="N98:R100" si="14">ROUND($G98*I98,0)</f>
        <v>1806000</v>
      </c>
      <c r="O98" s="807">
        <f t="shared" si="14"/>
        <v>0</v>
      </c>
      <c r="P98" s="1061">
        <f t="shared" si="14"/>
        <v>0</v>
      </c>
      <c r="Q98" s="1061">
        <f t="shared" si="14"/>
        <v>0</v>
      </c>
      <c r="R98" s="1061">
        <f t="shared" si="14"/>
        <v>0</v>
      </c>
    </row>
    <row r="99" spans="1:18" s="15" customFormat="1" ht="15" customHeight="1">
      <c r="A99" s="1207" t="s">
        <v>739</v>
      </c>
      <c r="B99" s="657"/>
      <c r="C99" s="1210" t="s">
        <v>739</v>
      </c>
      <c r="D99" s="639"/>
      <c r="E99" s="14" t="s">
        <v>6590</v>
      </c>
      <c r="F99" s="18" t="s">
        <v>5687</v>
      </c>
      <c r="G99" s="27">
        <v>1</v>
      </c>
      <c r="H99" s="1056"/>
      <c r="J99" s="1053"/>
      <c r="K99" s="25">
        <v>26000</v>
      </c>
      <c r="L99" s="25">
        <v>1014200</v>
      </c>
      <c r="M99" s="25">
        <v>0</v>
      </c>
      <c r="N99" s="1061">
        <f t="shared" si="14"/>
        <v>0</v>
      </c>
      <c r="O99" s="807">
        <f t="shared" si="14"/>
        <v>0</v>
      </c>
      <c r="P99" s="807">
        <f t="shared" si="14"/>
        <v>26000</v>
      </c>
      <c r="Q99" s="807">
        <f t="shared" si="14"/>
        <v>1014200</v>
      </c>
      <c r="R99" s="807">
        <f t="shared" si="14"/>
        <v>0</v>
      </c>
    </row>
    <row r="100" spans="1:18" s="15" customFormat="1" ht="24.95" customHeight="1">
      <c r="A100" s="252">
        <f>A97</f>
        <v>3</v>
      </c>
      <c r="B100" s="657"/>
      <c r="C100" s="1210"/>
      <c r="D100" s="639"/>
      <c r="E100" s="1073"/>
      <c r="F100" s="18"/>
      <c r="G100" s="1074"/>
      <c r="H100" s="1074"/>
      <c r="I100" s="21"/>
      <c r="J100" s="21"/>
      <c r="K100" s="21"/>
      <c r="L100" s="21"/>
      <c r="M100" s="21"/>
      <c r="N100" s="1061">
        <f t="shared" si="14"/>
        <v>0</v>
      </c>
      <c r="O100" s="1061">
        <f t="shared" si="14"/>
        <v>0</v>
      </c>
      <c r="P100" s="1061">
        <f t="shared" si="14"/>
        <v>0</v>
      </c>
      <c r="Q100" s="1061">
        <f t="shared" si="14"/>
        <v>0</v>
      </c>
      <c r="R100" s="1061">
        <f t="shared" si="14"/>
        <v>0</v>
      </c>
    </row>
    <row r="101" spans="1:18" s="15" customFormat="1" ht="15" customHeight="1">
      <c r="A101" s="1048">
        <f>A100+1</f>
        <v>4</v>
      </c>
      <c r="B101" s="657" t="str">
        <f>"II."&amp;+A101</f>
        <v>II.4</v>
      </c>
      <c r="C101" s="1210"/>
      <c r="D101" s="639"/>
      <c r="E101" s="1049" t="s">
        <v>3335</v>
      </c>
      <c r="F101" s="24" t="s">
        <v>5687</v>
      </c>
      <c r="G101" s="26">
        <f>tkeHA!L245</f>
        <v>19</v>
      </c>
      <c r="H101" s="26"/>
      <c r="I101" s="1053"/>
      <c r="J101" s="1053"/>
      <c r="K101" s="1053"/>
      <c r="L101" s="1053"/>
      <c r="M101" s="1053"/>
      <c r="N101" s="1055">
        <f>SUM(N102:N103)</f>
        <v>1896000</v>
      </c>
      <c r="O101" s="1055">
        <f>SUM(O102:O103)</f>
        <v>0</v>
      </c>
      <c r="P101" s="1055">
        <f>SUM(P102:P103)</f>
        <v>26000</v>
      </c>
      <c r="Q101" s="1055">
        <f>SUM(Q102:Q103)</f>
        <v>1014200</v>
      </c>
      <c r="R101" s="1055">
        <f>SUM(R102:R103)</f>
        <v>0</v>
      </c>
    </row>
    <row r="102" spans="1:18" s="15" customFormat="1" ht="15" customHeight="1">
      <c r="A102" s="38" t="s">
        <v>5823</v>
      </c>
      <c r="B102" s="571"/>
      <c r="C102" s="1210"/>
      <c r="D102" s="639" t="s">
        <v>6591</v>
      </c>
      <c r="E102" s="14" t="s">
        <v>6592</v>
      </c>
      <c r="F102" s="18" t="s">
        <v>5687</v>
      </c>
      <c r="G102" s="27">
        <v>1</v>
      </c>
      <c r="H102" s="27">
        <f>G102*G101</f>
        <v>19</v>
      </c>
      <c r="I102" s="25">
        <v>1896000</v>
      </c>
      <c r="J102" s="1053"/>
      <c r="K102" s="1053"/>
      <c r="L102" s="23"/>
      <c r="M102" s="23"/>
      <c r="N102" s="807">
        <f t="shared" ref="N102:R104" si="15">ROUND($G102*I102,0)</f>
        <v>1896000</v>
      </c>
      <c r="O102" s="807">
        <f t="shared" si="15"/>
        <v>0</v>
      </c>
      <c r="P102" s="1061">
        <f t="shared" si="15"/>
        <v>0</v>
      </c>
      <c r="Q102" s="1061">
        <f t="shared" si="15"/>
        <v>0</v>
      </c>
      <c r="R102" s="1061">
        <f t="shared" si="15"/>
        <v>0</v>
      </c>
    </row>
    <row r="103" spans="1:18" s="15" customFormat="1" ht="15" customHeight="1">
      <c r="A103" s="1207" t="s">
        <v>739</v>
      </c>
      <c r="B103" s="571"/>
      <c r="C103" s="1210" t="s">
        <v>739</v>
      </c>
      <c r="D103" s="639"/>
      <c r="E103" s="14" t="s">
        <v>6590</v>
      </c>
      <c r="F103" s="18" t="s">
        <v>5687</v>
      </c>
      <c r="G103" s="27">
        <v>1</v>
      </c>
      <c r="H103" s="1056"/>
      <c r="J103" s="1053"/>
      <c r="K103" s="25">
        <v>26000</v>
      </c>
      <c r="L103" s="25">
        <v>1014200</v>
      </c>
      <c r="M103" s="25">
        <v>0</v>
      </c>
      <c r="N103" s="1061">
        <f t="shared" si="15"/>
        <v>0</v>
      </c>
      <c r="O103" s="807">
        <f t="shared" si="15"/>
        <v>0</v>
      </c>
      <c r="P103" s="807">
        <f t="shared" si="15"/>
        <v>26000</v>
      </c>
      <c r="Q103" s="807">
        <f t="shared" si="15"/>
        <v>1014200</v>
      </c>
      <c r="R103" s="807">
        <f t="shared" si="15"/>
        <v>0</v>
      </c>
    </row>
    <row r="104" spans="1:18" s="15" customFormat="1" ht="15" customHeight="1">
      <c r="A104" s="252">
        <f>A101</f>
        <v>4</v>
      </c>
      <c r="B104" s="571"/>
      <c r="C104" s="1210"/>
      <c r="D104" s="639"/>
      <c r="E104" s="1073"/>
      <c r="F104" s="18"/>
      <c r="G104" s="1074"/>
      <c r="H104" s="1074"/>
      <c r="I104" s="21"/>
      <c r="J104" s="21"/>
      <c r="K104" s="21"/>
      <c r="L104" s="21"/>
      <c r="M104" s="21"/>
      <c r="N104" s="1061">
        <f t="shared" si="15"/>
        <v>0</v>
      </c>
      <c r="O104" s="1061">
        <f t="shared" si="15"/>
        <v>0</v>
      </c>
      <c r="P104" s="1061">
        <f t="shared" si="15"/>
        <v>0</v>
      </c>
      <c r="Q104" s="1061">
        <f t="shared" si="15"/>
        <v>0</v>
      </c>
      <c r="R104" s="1061">
        <f t="shared" si="15"/>
        <v>0</v>
      </c>
    </row>
    <row r="105" spans="1:18" s="15" customFormat="1" ht="15" customHeight="1">
      <c r="A105" s="1048">
        <f>A104+1</f>
        <v>5</v>
      </c>
      <c r="B105" s="657" t="str">
        <f>"II."&amp;+A105</f>
        <v>II.5</v>
      </c>
      <c r="C105" s="571"/>
      <c r="D105" s="639"/>
      <c r="E105" s="1049" t="s">
        <v>741</v>
      </c>
      <c r="F105" s="24" t="s">
        <v>1297</v>
      </c>
      <c r="G105" s="26">
        <f>tkeHA!W245</f>
        <v>6</v>
      </c>
      <c r="H105" s="26"/>
      <c r="I105" s="1070"/>
      <c r="J105" s="1070"/>
      <c r="K105" s="1070"/>
      <c r="L105" s="1071"/>
      <c r="M105" s="1070"/>
      <c r="N105" s="1055">
        <f>SUM(N106:N114)</f>
        <v>578734</v>
      </c>
      <c r="O105" s="1055"/>
      <c r="P105" s="1055">
        <f>SUM(P106:P114)</f>
        <v>0</v>
      </c>
      <c r="Q105" s="1055">
        <f>SUM(Q106:Q114)</f>
        <v>99000</v>
      </c>
      <c r="R105" s="1055">
        <f>SUM(R106:R114)</f>
        <v>0</v>
      </c>
    </row>
    <row r="106" spans="1:18" s="15" customFormat="1" ht="15" customHeight="1">
      <c r="A106" s="1183" t="s">
        <v>2812</v>
      </c>
      <c r="B106" s="571"/>
      <c r="C106" s="571"/>
      <c r="D106" s="639">
        <v>0</v>
      </c>
      <c r="E106" s="14" t="s">
        <v>2813</v>
      </c>
      <c r="F106" s="18" t="s">
        <v>1307</v>
      </c>
      <c r="G106" s="28">
        <v>1</v>
      </c>
      <c r="H106" s="27">
        <f>G106*G105</f>
        <v>6</v>
      </c>
      <c r="I106" s="25">
        <v>28800</v>
      </c>
      <c r="J106" s="25"/>
      <c r="K106" s="1489"/>
      <c r="L106" s="1489"/>
      <c r="M106" s="1489"/>
      <c r="N106" s="807">
        <f t="shared" ref="N106:N113" si="16">ROUND($G106*I106,0)</f>
        <v>28800</v>
      </c>
      <c r="O106" s="807"/>
      <c r="P106" s="1490"/>
      <c r="Q106" s="1490"/>
      <c r="R106" s="1490"/>
    </row>
    <row r="107" spans="1:18" s="15" customFormat="1" ht="15" customHeight="1">
      <c r="A107" s="1183" t="s">
        <v>866</v>
      </c>
      <c r="B107" s="571"/>
      <c r="C107" s="571"/>
      <c r="D107" s="639">
        <v>0</v>
      </c>
      <c r="E107" s="14" t="s">
        <v>4038</v>
      </c>
      <c r="F107" s="18" t="s">
        <v>1307</v>
      </c>
      <c r="G107" s="28">
        <v>1</v>
      </c>
      <c r="H107" s="27">
        <f>G107*G105</f>
        <v>6</v>
      </c>
      <c r="I107" s="25">
        <v>2300</v>
      </c>
      <c r="J107" s="25"/>
      <c r="K107" s="1489"/>
      <c r="L107" s="1489"/>
      <c r="M107" s="1489"/>
      <c r="N107" s="807">
        <f t="shared" si="16"/>
        <v>2300</v>
      </c>
      <c r="O107" s="807"/>
      <c r="P107" s="1490"/>
      <c r="Q107" s="1490"/>
      <c r="R107" s="1490"/>
    </row>
    <row r="108" spans="1:18" s="15" customFormat="1" ht="15" customHeight="1">
      <c r="A108" s="1183" t="s">
        <v>4039</v>
      </c>
      <c r="B108" s="571"/>
      <c r="C108" s="571"/>
      <c r="D108" s="639">
        <v>47087092</v>
      </c>
      <c r="E108" s="14" t="s">
        <v>4040</v>
      </c>
      <c r="F108" s="18" t="s">
        <v>1307</v>
      </c>
      <c r="G108" s="28">
        <v>1</v>
      </c>
      <c r="H108" s="27">
        <f>G108*G105</f>
        <v>6</v>
      </c>
      <c r="I108" s="25">
        <v>11800</v>
      </c>
      <c r="J108" s="25"/>
      <c r="K108" s="1489"/>
      <c r="L108" s="1489"/>
      <c r="M108" s="1489"/>
      <c r="N108" s="807">
        <f t="shared" si="16"/>
        <v>11800</v>
      </c>
      <c r="O108" s="807"/>
      <c r="P108" s="1490"/>
      <c r="Q108" s="1490"/>
      <c r="R108" s="1490"/>
    </row>
    <row r="109" spans="1:18" s="15" customFormat="1" ht="15" customHeight="1">
      <c r="A109" s="1183" t="s">
        <v>2690</v>
      </c>
      <c r="B109" s="571"/>
      <c r="C109" s="571"/>
      <c r="D109" s="639">
        <v>59243210</v>
      </c>
      <c r="E109" s="14" t="s">
        <v>2691</v>
      </c>
      <c r="F109" s="18" t="s">
        <v>1307</v>
      </c>
      <c r="G109" s="28">
        <v>2</v>
      </c>
      <c r="H109" s="27">
        <f>G109*G105</f>
        <v>12</v>
      </c>
      <c r="I109" s="25">
        <v>18000</v>
      </c>
      <c r="J109" s="25"/>
      <c r="K109" s="1489"/>
      <c r="L109" s="1489"/>
      <c r="M109" s="1489"/>
      <c r="N109" s="807">
        <f t="shared" si="16"/>
        <v>36000</v>
      </c>
      <c r="O109" s="807"/>
      <c r="P109" s="1490"/>
      <c r="Q109" s="1490"/>
      <c r="R109" s="1490"/>
    </row>
    <row r="110" spans="1:18" s="15" customFormat="1" ht="15" customHeight="1">
      <c r="A110" s="1183" t="s">
        <v>6335</v>
      </c>
      <c r="B110" s="571"/>
      <c r="C110" s="571"/>
      <c r="D110" s="639">
        <v>32042186</v>
      </c>
      <c r="E110" s="14" t="s">
        <v>6336</v>
      </c>
      <c r="F110" s="18" t="s">
        <v>1307</v>
      </c>
      <c r="G110" s="28">
        <v>4</v>
      </c>
      <c r="H110" s="27">
        <f>G110*G105</f>
        <v>24</v>
      </c>
      <c r="I110" s="25">
        <v>39100</v>
      </c>
      <c r="J110" s="25"/>
      <c r="K110" s="1489"/>
      <c r="L110" s="1489"/>
      <c r="M110" s="1489"/>
      <c r="N110" s="807">
        <f t="shared" si="16"/>
        <v>156400</v>
      </c>
      <c r="O110" s="807"/>
      <c r="P110" s="1490"/>
      <c r="Q110" s="1490"/>
      <c r="R110" s="1490"/>
    </row>
    <row r="111" spans="1:18" s="15" customFormat="1" ht="15" customHeight="1">
      <c r="A111" s="1183" t="s">
        <v>5575</v>
      </c>
      <c r="B111" s="571"/>
      <c r="C111" s="571"/>
      <c r="D111" s="639">
        <v>31002602</v>
      </c>
      <c r="E111" s="14" t="s">
        <v>5576</v>
      </c>
      <c r="F111" s="18" t="s">
        <v>1307</v>
      </c>
      <c r="G111" s="28">
        <v>1</v>
      </c>
      <c r="H111" s="27">
        <f>G111*G105</f>
        <v>6</v>
      </c>
      <c r="I111" s="25">
        <v>38500</v>
      </c>
      <c r="J111" s="25"/>
      <c r="K111" s="1489"/>
      <c r="L111" s="1489"/>
      <c r="M111" s="1489"/>
      <c r="N111" s="807">
        <f t="shared" si="16"/>
        <v>38500</v>
      </c>
      <c r="O111" s="807"/>
      <c r="P111" s="1490"/>
      <c r="Q111" s="1490"/>
      <c r="R111" s="1490"/>
    </row>
    <row r="112" spans="1:18" s="15" customFormat="1" ht="15" customHeight="1">
      <c r="A112" s="1183" t="s">
        <v>4687</v>
      </c>
      <c r="B112" s="571"/>
      <c r="C112" s="571"/>
      <c r="D112" s="639">
        <v>0</v>
      </c>
      <c r="E112" s="14" t="s">
        <v>6593</v>
      </c>
      <c r="F112" s="18" t="s">
        <v>2660</v>
      </c>
      <c r="G112" s="1491">
        <f>16*0.3448</f>
        <v>5.5167999999999999</v>
      </c>
      <c r="H112" s="27">
        <f>G112*G105</f>
        <v>33.1008</v>
      </c>
      <c r="I112" s="25">
        <v>40700</v>
      </c>
      <c r="J112" s="25"/>
      <c r="K112" s="1489"/>
      <c r="L112" s="1489"/>
      <c r="M112" s="1489"/>
      <c r="N112" s="807">
        <f t="shared" si="16"/>
        <v>224534</v>
      </c>
      <c r="O112" s="807"/>
      <c r="P112" s="1490"/>
      <c r="Q112" s="1490"/>
      <c r="R112" s="1490"/>
    </row>
    <row r="113" spans="1:21" s="15" customFormat="1" ht="15" customHeight="1">
      <c r="A113" s="1183" t="s">
        <v>5880</v>
      </c>
      <c r="B113" s="571"/>
      <c r="C113" s="571"/>
      <c r="D113" s="639">
        <v>89020202</v>
      </c>
      <c r="E113" s="14" t="s">
        <v>5881</v>
      </c>
      <c r="F113" s="18" t="s">
        <v>1307</v>
      </c>
      <c r="G113" s="28">
        <v>1</v>
      </c>
      <c r="H113" s="27">
        <f>G113*G105</f>
        <v>6</v>
      </c>
      <c r="I113" s="25">
        <v>80400</v>
      </c>
      <c r="J113" s="25"/>
      <c r="K113" s="1489"/>
      <c r="L113" s="1489"/>
      <c r="M113" s="1489"/>
      <c r="N113" s="807">
        <f t="shared" si="16"/>
        <v>80400</v>
      </c>
      <c r="O113" s="807"/>
      <c r="P113" s="1490"/>
      <c r="Q113" s="1490"/>
      <c r="R113" s="1490"/>
    </row>
    <row r="114" spans="1:21" s="15" customFormat="1" ht="15" customHeight="1">
      <c r="A114" s="1120" t="s">
        <v>742</v>
      </c>
      <c r="B114" s="571"/>
      <c r="C114" s="571" t="s">
        <v>742</v>
      </c>
      <c r="D114" s="639"/>
      <c r="E114" s="14" t="s">
        <v>6540</v>
      </c>
      <c r="F114" s="18" t="s">
        <v>1297</v>
      </c>
      <c r="G114" s="28">
        <v>1</v>
      </c>
      <c r="H114" s="28"/>
      <c r="I114" s="1489"/>
      <c r="J114" s="1489"/>
      <c r="K114" s="25">
        <v>0</v>
      </c>
      <c r="L114" s="25">
        <v>99000</v>
      </c>
      <c r="M114" s="25">
        <v>0</v>
      </c>
      <c r="N114" s="1490"/>
      <c r="O114" s="1490"/>
      <c r="P114" s="807">
        <f>ROUND($G114*K114,0)</f>
        <v>0</v>
      </c>
      <c r="Q114" s="807">
        <f>ROUND($G114*L114,0)</f>
        <v>99000</v>
      </c>
      <c r="R114" s="807">
        <f>ROUND($G114*M114,0)</f>
        <v>0</v>
      </c>
    </row>
    <row r="115" spans="1:21" s="15" customFormat="1" ht="15" customHeight="1">
      <c r="A115" s="1075">
        <f>A105</f>
        <v>5</v>
      </c>
      <c r="B115" s="571"/>
      <c r="C115" s="571"/>
      <c r="D115" s="639"/>
      <c r="E115" s="14"/>
      <c r="F115" s="18"/>
      <c r="G115" s="28"/>
      <c r="H115" s="28"/>
      <c r="I115" s="23"/>
      <c r="J115" s="23"/>
      <c r="K115" s="23"/>
      <c r="L115" s="1085"/>
      <c r="M115" s="1085"/>
      <c r="N115" s="808"/>
      <c r="O115" s="808"/>
      <c r="P115" s="808"/>
      <c r="Q115" s="808"/>
      <c r="R115" s="808"/>
    </row>
    <row r="116" spans="1:21" s="15" customFormat="1" ht="15" customHeight="1">
      <c r="A116" s="1048">
        <f>A115+1</f>
        <v>6</v>
      </c>
      <c r="B116" s="657" t="str">
        <f>"II."&amp;+A116</f>
        <v>II.6</v>
      </c>
      <c r="C116" s="571"/>
      <c r="D116" s="639"/>
      <c r="E116" s="1049" t="s">
        <v>743</v>
      </c>
      <c r="F116" s="24" t="s">
        <v>1297</v>
      </c>
      <c r="G116" s="26">
        <f>tkeHA!X245</f>
        <v>4</v>
      </c>
      <c r="H116" s="26"/>
      <c r="I116" s="1070"/>
      <c r="J116" s="1070"/>
      <c r="K116" s="1070"/>
      <c r="L116" s="1071"/>
      <c r="M116" s="1070"/>
      <c r="N116" s="1055">
        <f>SUM(N117:N127)</f>
        <v>965050</v>
      </c>
      <c r="O116" s="1055"/>
      <c r="P116" s="1055">
        <f>SUM(P117:P127)</f>
        <v>0</v>
      </c>
      <c r="Q116" s="1055">
        <f>SUM(Q117:Q127)</f>
        <v>99000</v>
      </c>
      <c r="R116" s="1055">
        <f>SUM(R117:R127)</f>
        <v>0</v>
      </c>
    </row>
    <row r="117" spans="1:21" s="15" customFormat="1" ht="15" customHeight="1">
      <c r="A117" s="1183" t="s">
        <v>2812</v>
      </c>
      <c r="B117" s="571"/>
      <c r="C117" s="571"/>
      <c r="D117" s="639">
        <v>0</v>
      </c>
      <c r="E117" s="14" t="s">
        <v>2813</v>
      </c>
      <c r="F117" s="18" t="s">
        <v>1307</v>
      </c>
      <c r="G117" s="28">
        <v>1</v>
      </c>
      <c r="H117" s="27">
        <f>G117*G116</f>
        <v>4</v>
      </c>
      <c r="I117" s="25">
        <v>28800</v>
      </c>
      <c r="J117" s="25"/>
      <c r="K117" s="23"/>
      <c r="L117" s="23"/>
      <c r="M117" s="23"/>
      <c r="N117" s="807">
        <f t="shared" ref="N117:N126" si="17">ROUND($G117*I117,0)</f>
        <v>28800</v>
      </c>
      <c r="O117" s="807"/>
      <c r="P117" s="1061"/>
      <c r="Q117" s="1061"/>
      <c r="R117" s="1061"/>
    </row>
    <row r="118" spans="1:21" s="15" customFormat="1" ht="15" customHeight="1">
      <c r="A118" s="1183" t="s">
        <v>3440</v>
      </c>
      <c r="B118" s="571"/>
      <c r="C118" s="571"/>
      <c r="D118" s="639">
        <v>43816350</v>
      </c>
      <c r="E118" s="14" t="s">
        <v>3441</v>
      </c>
      <c r="F118" s="18" t="s">
        <v>1307</v>
      </c>
      <c r="G118" s="28">
        <v>1</v>
      </c>
      <c r="H118" s="27">
        <f>G118*G116</f>
        <v>4</v>
      </c>
      <c r="I118" s="25">
        <v>20400</v>
      </c>
      <c r="J118" s="25"/>
      <c r="K118" s="23"/>
      <c r="L118" s="23"/>
      <c r="M118" s="23"/>
      <c r="N118" s="807">
        <f t="shared" si="17"/>
        <v>20400</v>
      </c>
      <c r="O118" s="807"/>
      <c r="P118" s="1061"/>
      <c r="Q118" s="1061"/>
      <c r="R118" s="1061"/>
    </row>
    <row r="119" spans="1:21" s="15" customFormat="1" ht="15" customHeight="1">
      <c r="A119" s="1183" t="s">
        <v>866</v>
      </c>
      <c r="B119" s="571"/>
      <c r="C119" s="571"/>
      <c r="D119" s="639">
        <v>0</v>
      </c>
      <c r="E119" s="14" t="s">
        <v>4038</v>
      </c>
      <c r="F119" s="18" t="s">
        <v>1307</v>
      </c>
      <c r="G119" s="28">
        <v>2</v>
      </c>
      <c r="H119" s="27">
        <f>G119*G116</f>
        <v>8</v>
      </c>
      <c r="I119" s="25">
        <v>2300</v>
      </c>
      <c r="J119" s="25"/>
      <c r="K119" s="23"/>
      <c r="L119" s="23"/>
      <c r="M119" s="23"/>
      <c r="N119" s="807">
        <f t="shared" si="17"/>
        <v>4600</v>
      </c>
      <c r="O119" s="807"/>
      <c r="P119" s="1061"/>
      <c r="Q119" s="1061"/>
      <c r="R119" s="1061"/>
    </row>
    <row r="120" spans="1:21" s="15" customFormat="1" ht="15" customHeight="1">
      <c r="A120" s="1183" t="s">
        <v>4039</v>
      </c>
      <c r="B120" s="571"/>
      <c r="C120" s="571"/>
      <c r="D120" s="639">
        <v>47087092</v>
      </c>
      <c r="E120" s="14" t="s">
        <v>4040</v>
      </c>
      <c r="F120" s="18" t="s">
        <v>1307</v>
      </c>
      <c r="G120" s="28">
        <v>1</v>
      </c>
      <c r="H120" s="27">
        <f>G120*G116</f>
        <v>4</v>
      </c>
      <c r="I120" s="25">
        <v>11800</v>
      </c>
      <c r="J120" s="25"/>
      <c r="K120" s="23"/>
      <c r="L120" s="23"/>
      <c r="M120" s="23"/>
      <c r="N120" s="807">
        <f t="shared" si="17"/>
        <v>11800</v>
      </c>
      <c r="O120" s="807"/>
      <c r="P120" s="1061"/>
      <c r="Q120" s="1061"/>
      <c r="R120" s="1061"/>
    </row>
    <row r="121" spans="1:21" s="15" customFormat="1" ht="15" customHeight="1">
      <c r="A121" s="1183" t="s">
        <v>2690</v>
      </c>
      <c r="B121" s="571"/>
      <c r="C121" s="571"/>
      <c r="D121" s="639">
        <v>59243210</v>
      </c>
      <c r="E121" s="14" t="s">
        <v>2691</v>
      </c>
      <c r="F121" s="18" t="s">
        <v>1307</v>
      </c>
      <c r="G121" s="28">
        <v>2</v>
      </c>
      <c r="H121" s="27">
        <f>G121*G116</f>
        <v>8</v>
      </c>
      <c r="I121" s="25">
        <v>18000</v>
      </c>
      <c r="J121" s="25"/>
      <c r="K121" s="23"/>
      <c r="L121" s="23"/>
      <c r="M121" s="23"/>
      <c r="N121" s="807">
        <f t="shared" si="17"/>
        <v>36000</v>
      </c>
      <c r="O121" s="807"/>
      <c r="P121" s="1061"/>
      <c r="Q121" s="1061"/>
      <c r="R121" s="1061"/>
    </row>
    <row r="122" spans="1:21" s="15" customFormat="1" ht="15" customHeight="1">
      <c r="A122" s="1183" t="s">
        <v>6335</v>
      </c>
      <c r="B122" s="571"/>
      <c r="C122" s="571"/>
      <c r="D122" s="639">
        <v>32042186</v>
      </c>
      <c r="E122" s="14" t="s">
        <v>6336</v>
      </c>
      <c r="F122" s="18" t="s">
        <v>1307</v>
      </c>
      <c r="G122" s="28">
        <v>4</v>
      </c>
      <c r="H122" s="27">
        <f>G122*G116</f>
        <v>16</v>
      </c>
      <c r="I122" s="25">
        <v>39100</v>
      </c>
      <c r="J122" s="25"/>
      <c r="K122" s="23"/>
      <c r="L122" s="23"/>
      <c r="M122" s="23"/>
      <c r="N122" s="807">
        <f t="shared" si="17"/>
        <v>156400</v>
      </c>
      <c r="O122" s="807"/>
      <c r="P122" s="1061"/>
      <c r="Q122" s="1061"/>
      <c r="R122" s="1061"/>
      <c r="T122" s="1349">
        <v>227096</v>
      </c>
      <c r="U122" s="1350">
        <v>2330350</v>
      </c>
    </row>
    <row r="123" spans="1:21" s="15" customFormat="1" ht="15" customHeight="1">
      <c r="A123" s="1183" t="s">
        <v>5575</v>
      </c>
      <c r="B123" s="571"/>
      <c r="C123" s="571"/>
      <c r="D123" s="639">
        <v>31002602</v>
      </c>
      <c r="E123" s="14" t="s">
        <v>5576</v>
      </c>
      <c r="F123" s="18" t="s">
        <v>1307</v>
      </c>
      <c r="G123" s="28">
        <v>1</v>
      </c>
      <c r="H123" s="27">
        <f>G123*G116</f>
        <v>4</v>
      </c>
      <c r="I123" s="25">
        <v>38500</v>
      </c>
      <c r="J123" s="25"/>
      <c r="K123" s="23"/>
      <c r="L123" s="23"/>
      <c r="M123" s="23"/>
      <c r="N123" s="807">
        <f t="shared" si="17"/>
        <v>38500</v>
      </c>
      <c r="O123" s="807"/>
      <c r="P123" s="1061"/>
      <c r="Q123" s="1061"/>
      <c r="R123" s="1061"/>
    </row>
    <row r="124" spans="1:21" s="15" customFormat="1" ht="15" customHeight="1">
      <c r="A124" s="1183" t="s">
        <v>4687</v>
      </c>
      <c r="B124" s="571"/>
      <c r="C124" s="571"/>
      <c r="D124" s="639">
        <v>0</v>
      </c>
      <c r="E124" s="14" t="s">
        <v>6593</v>
      </c>
      <c r="F124" s="18" t="s">
        <v>2660</v>
      </c>
      <c r="G124" s="28">
        <v>4.5</v>
      </c>
      <c r="H124" s="27">
        <f>G124*G116</f>
        <v>18</v>
      </c>
      <c r="I124" s="25">
        <v>40700</v>
      </c>
      <c r="J124" s="25"/>
      <c r="K124" s="23"/>
      <c r="L124" s="23"/>
      <c r="M124" s="23"/>
      <c r="N124" s="807">
        <f t="shared" si="17"/>
        <v>183150</v>
      </c>
      <c r="O124" s="807"/>
      <c r="P124" s="1061"/>
      <c r="Q124" s="1061"/>
      <c r="R124" s="1061"/>
    </row>
    <row r="125" spans="1:21" s="15" customFormat="1">
      <c r="A125" s="1183" t="s">
        <v>224</v>
      </c>
      <c r="B125" s="571"/>
      <c r="C125" s="571"/>
      <c r="D125" s="639">
        <v>0</v>
      </c>
      <c r="E125" s="14" t="s">
        <v>225</v>
      </c>
      <c r="F125" s="18" t="s">
        <v>1307</v>
      </c>
      <c r="G125" s="28">
        <v>1</v>
      </c>
      <c r="H125" s="27">
        <f>G125*G116</f>
        <v>4</v>
      </c>
      <c r="I125" s="25">
        <v>405000</v>
      </c>
      <c r="J125" s="25"/>
      <c r="K125" s="23"/>
      <c r="L125" s="23"/>
      <c r="M125" s="23"/>
      <c r="N125" s="807">
        <f t="shared" si="17"/>
        <v>405000</v>
      </c>
      <c r="O125" s="807"/>
      <c r="P125" s="1061"/>
      <c r="Q125" s="1061"/>
      <c r="R125" s="1061"/>
    </row>
    <row r="126" spans="1:21" s="15" customFormat="1">
      <c r="A126" s="1183" t="s">
        <v>5880</v>
      </c>
      <c r="B126" s="571"/>
      <c r="C126" s="571"/>
      <c r="D126" s="639">
        <v>89020202</v>
      </c>
      <c r="E126" s="14" t="s">
        <v>5881</v>
      </c>
      <c r="F126" s="18" t="s">
        <v>1307</v>
      </c>
      <c r="G126" s="28">
        <v>1</v>
      </c>
      <c r="H126" s="27">
        <f>G126*G116</f>
        <v>4</v>
      </c>
      <c r="I126" s="25">
        <v>80400</v>
      </c>
      <c r="J126" s="25"/>
      <c r="K126" s="23"/>
      <c r="L126" s="23"/>
      <c r="M126" s="23"/>
      <c r="N126" s="807">
        <f t="shared" si="17"/>
        <v>80400</v>
      </c>
      <c r="O126" s="807"/>
      <c r="P126" s="1061"/>
      <c r="Q126" s="1061"/>
      <c r="R126" s="1061"/>
    </row>
    <row r="127" spans="1:21" s="15" customFormat="1" ht="15" customHeight="1">
      <c r="A127" s="1120" t="s">
        <v>742</v>
      </c>
      <c r="B127" s="571"/>
      <c r="C127" s="571" t="s">
        <v>742</v>
      </c>
      <c r="D127" s="639"/>
      <c r="E127" s="14" t="s">
        <v>6540</v>
      </c>
      <c r="F127" s="18" t="s">
        <v>1297</v>
      </c>
      <c r="G127" s="28">
        <v>1</v>
      </c>
      <c r="H127" s="28"/>
      <c r="I127" s="23"/>
      <c r="J127" s="23"/>
      <c r="K127" s="25">
        <v>0</v>
      </c>
      <c r="L127" s="25">
        <v>99000</v>
      </c>
      <c r="M127" s="25">
        <v>0</v>
      </c>
      <c r="N127" s="1061"/>
      <c r="O127" s="1061"/>
      <c r="P127" s="807">
        <f>ROUND($G127*K127,0)</f>
        <v>0</v>
      </c>
      <c r="Q127" s="807">
        <f>ROUND($G127*L127,0)</f>
        <v>99000</v>
      </c>
      <c r="R127" s="807">
        <f>ROUND($G127*M127,0)</f>
        <v>0</v>
      </c>
    </row>
    <row r="128" spans="1:21" s="15" customFormat="1" ht="15" customHeight="1">
      <c r="A128" s="252">
        <f>A116</f>
        <v>6</v>
      </c>
      <c r="B128" s="571"/>
      <c r="C128" s="571"/>
      <c r="D128" s="639"/>
      <c r="E128" s="14"/>
      <c r="F128" s="18"/>
      <c r="G128" s="28"/>
      <c r="H128" s="28"/>
      <c r="I128" s="23"/>
      <c r="J128" s="23"/>
      <c r="K128" s="23"/>
      <c r="L128" s="23"/>
      <c r="M128" s="23"/>
      <c r="N128" s="23"/>
      <c r="O128" s="23"/>
      <c r="P128" s="23"/>
      <c r="Q128" s="23"/>
      <c r="R128" s="23"/>
    </row>
    <row r="129" spans="1:18" s="15" customFormat="1" ht="15" customHeight="1">
      <c r="A129" s="1048">
        <f>A128+1</f>
        <v>7</v>
      </c>
      <c r="B129" s="571" t="str">
        <f>"II."&amp;+A129</f>
        <v>II.7</v>
      </c>
      <c r="C129" s="571"/>
      <c r="D129" s="639"/>
      <c r="E129" s="1049" t="s">
        <v>2839</v>
      </c>
      <c r="F129" s="24" t="s">
        <v>1297</v>
      </c>
      <c r="G129" s="26">
        <f>tkeHA!BK245</f>
        <v>19</v>
      </c>
      <c r="H129" s="26"/>
      <c r="I129" s="1053"/>
      <c r="J129" s="1053"/>
      <c r="K129" s="1053"/>
      <c r="L129" s="1053"/>
      <c r="M129" s="1053"/>
      <c r="N129" s="1055">
        <f>SUM(N130:N138)</f>
        <v>376268</v>
      </c>
      <c r="O129" s="1055"/>
      <c r="P129" s="1055">
        <f>SUM(P130:P138)</f>
        <v>6131</v>
      </c>
      <c r="Q129" s="1055">
        <f>SUM(Q130:Q138)</f>
        <v>166787</v>
      </c>
      <c r="R129" s="1055">
        <f>SUM(R130:R138)</f>
        <v>11615</v>
      </c>
    </row>
    <row r="130" spans="1:18" s="15" customFormat="1" ht="15" customHeight="1">
      <c r="A130" s="38" t="s">
        <v>2664</v>
      </c>
      <c r="B130" s="571"/>
      <c r="C130" s="571"/>
      <c r="D130" s="639">
        <v>0</v>
      </c>
      <c r="E130" s="14" t="s">
        <v>2665</v>
      </c>
      <c r="F130" s="18" t="s">
        <v>2660</v>
      </c>
      <c r="G130" s="1121">
        <v>0.6</v>
      </c>
      <c r="H130" s="27">
        <f>G130*G129</f>
        <v>11.4</v>
      </c>
      <c r="I130" s="25">
        <v>219780</v>
      </c>
      <c r="J130" s="25"/>
      <c r="K130" s="1053"/>
      <c r="L130" s="23"/>
      <c r="M130" s="23"/>
      <c r="N130" s="807">
        <f>ROUND($G130*I130,0)</f>
        <v>131868</v>
      </c>
      <c r="O130" s="807"/>
      <c r="P130" s="1061"/>
      <c r="Q130" s="1061"/>
      <c r="R130" s="1061"/>
    </row>
    <row r="131" spans="1:18" s="15" customFormat="1" ht="25.5">
      <c r="A131" s="38" t="s">
        <v>5847</v>
      </c>
      <c r="B131" s="571"/>
      <c r="C131" s="571"/>
      <c r="D131" s="639">
        <v>0</v>
      </c>
      <c r="E131" s="1402" t="s">
        <v>6594</v>
      </c>
      <c r="F131" s="18" t="s">
        <v>1297</v>
      </c>
      <c r="G131" s="29">
        <v>1</v>
      </c>
      <c r="H131" s="27">
        <f>G131*G129</f>
        <v>19</v>
      </c>
      <c r="I131" s="25">
        <v>189600</v>
      </c>
      <c r="J131" s="25"/>
      <c r="K131" s="1053"/>
      <c r="L131" s="23"/>
      <c r="M131" s="23"/>
      <c r="N131" s="807">
        <f>ROUND($G131*I131,0)</f>
        <v>189600</v>
      </c>
      <c r="O131" s="807"/>
      <c r="P131" s="1061"/>
      <c r="Q131" s="1061"/>
      <c r="R131" s="1061"/>
    </row>
    <row r="132" spans="1:18" s="15" customFormat="1">
      <c r="A132" s="329" t="s">
        <v>4322</v>
      </c>
      <c r="B132" s="571"/>
      <c r="C132" s="571"/>
      <c r="D132" s="639">
        <v>379</v>
      </c>
      <c r="E132" s="14" t="s">
        <v>357</v>
      </c>
      <c r="F132" s="18" t="s">
        <v>1307</v>
      </c>
      <c r="G132" s="29">
        <v>2</v>
      </c>
      <c r="H132" s="27">
        <f>G132*G129</f>
        <v>38</v>
      </c>
      <c r="I132" s="25">
        <v>12000</v>
      </c>
      <c r="J132" s="25"/>
      <c r="K132" s="1053"/>
      <c r="L132" s="23"/>
      <c r="M132" s="23"/>
      <c r="N132" s="807">
        <f>ROUND($G132*I132,0)</f>
        <v>24000</v>
      </c>
      <c r="O132" s="807"/>
      <c r="P132" s="1061"/>
      <c r="Q132" s="1061"/>
      <c r="R132" s="1061"/>
    </row>
    <row r="133" spans="1:18" s="15" customFormat="1" ht="15" customHeight="1">
      <c r="A133" s="329" t="s">
        <v>5824</v>
      </c>
      <c r="B133" s="571"/>
      <c r="C133" s="571"/>
      <c r="D133" s="639">
        <v>43812040</v>
      </c>
      <c r="E133" s="14" t="s">
        <v>6542</v>
      </c>
      <c r="F133" s="18" t="s">
        <v>1297</v>
      </c>
      <c r="G133" s="29">
        <v>2</v>
      </c>
      <c r="H133" s="27">
        <f>G133*G130</f>
        <v>1.2</v>
      </c>
      <c r="I133" s="25">
        <v>8200</v>
      </c>
      <c r="J133" s="25"/>
      <c r="K133" s="1053"/>
      <c r="L133" s="23"/>
      <c r="M133" s="23"/>
      <c r="N133" s="807">
        <f>ROUND($G133*I133,0)</f>
        <v>16400</v>
      </c>
      <c r="O133" s="807"/>
      <c r="P133" s="1061"/>
      <c r="Q133" s="1061"/>
      <c r="R133" s="1061"/>
    </row>
    <row r="134" spans="1:18" s="15" customFormat="1" ht="15" customHeight="1">
      <c r="A134" s="329" t="s">
        <v>1445</v>
      </c>
      <c r="B134" s="571"/>
      <c r="C134" s="571"/>
      <c r="D134" s="639">
        <v>0</v>
      </c>
      <c r="E134" s="14" t="s">
        <v>1446</v>
      </c>
      <c r="F134" s="18" t="s">
        <v>1307</v>
      </c>
      <c r="G134" s="29">
        <v>2</v>
      </c>
      <c r="H134" s="27">
        <f>G134*G131</f>
        <v>2</v>
      </c>
      <c r="I134" s="25">
        <v>7200</v>
      </c>
      <c r="J134" s="25"/>
      <c r="K134" s="1053"/>
      <c r="L134" s="23"/>
      <c r="M134" s="23"/>
      <c r="N134" s="807">
        <f>ROUND($G134*I134,0)</f>
        <v>14400</v>
      </c>
      <c r="O134" s="807"/>
      <c r="P134" s="1061"/>
      <c r="Q134" s="1061"/>
      <c r="R134" s="1061"/>
    </row>
    <row r="135" spans="1:18" s="15" customFormat="1">
      <c r="A135" s="1120" t="s">
        <v>1903</v>
      </c>
      <c r="B135" s="571"/>
      <c r="C135" s="571" t="s">
        <v>1903</v>
      </c>
      <c r="D135" s="639"/>
      <c r="E135" s="14" t="s">
        <v>6543</v>
      </c>
      <c r="F135" s="18" t="s">
        <v>6249</v>
      </c>
      <c r="G135" s="1121">
        <f>ROUND(G130/0.224,0)/10</f>
        <v>0.3</v>
      </c>
      <c r="H135" s="1060"/>
      <c r="I135" s="1053"/>
      <c r="J135" s="25"/>
      <c r="K135" s="25">
        <v>3315</v>
      </c>
      <c r="L135" s="25">
        <v>63800</v>
      </c>
      <c r="M135" s="25">
        <v>17270</v>
      </c>
      <c r="N135" s="1061"/>
      <c r="O135" s="807"/>
      <c r="P135" s="807">
        <f t="shared" ref="P135:R138" si="18">ROUND($G135*K135,0)</f>
        <v>995</v>
      </c>
      <c r="Q135" s="807">
        <f t="shared" si="18"/>
        <v>19140</v>
      </c>
      <c r="R135" s="807">
        <f t="shared" si="18"/>
        <v>5181</v>
      </c>
    </row>
    <row r="136" spans="1:18" s="15" customFormat="1">
      <c r="A136" s="1120" t="s">
        <v>3840</v>
      </c>
      <c r="B136" s="571"/>
      <c r="C136" s="571" t="s">
        <v>3840</v>
      </c>
      <c r="D136" s="639"/>
      <c r="E136" s="14" t="s">
        <v>6544</v>
      </c>
      <c r="F136" s="18" t="s">
        <v>4475</v>
      </c>
      <c r="G136" s="1121">
        <f>G134/10</f>
        <v>0.2</v>
      </c>
      <c r="H136" s="1060"/>
      <c r="I136" s="23"/>
      <c r="J136" s="25"/>
      <c r="K136" s="25">
        <v>0</v>
      </c>
      <c r="L136" s="25">
        <v>47923</v>
      </c>
      <c r="M136" s="25">
        <v>25526</v>
      </c>
      <c r="N136" s="23"/>
      <c r="O136" s="807"/>
      <c r="P136" s="807">
        <f t="shared" si="18"/>
        <v>0</v>
      </c>
      <c r="Q136" s="807">
        <f t="shared" si="18"/>
        <v>9585</v>
      </c>
      <c r="R136" s="807">
        <f t="shared" si="18"/>
        <v>5105</v>
      </c>
    </row>
    <row r="137" spans="1:18" s="15" customFormat="1">
      <c r="A137" s="1186" t="s">
        <v>2506</v>
      </c>
      <c r="B137" s="571"/>
      <c r="C137" s="571" t="s">
        <v>2506</v>
      </c>
      <c r="D137" s="639"/>
      <c r="E137" s="14" t="s">
        <v>6545</v>
      </c>
      <c r="F137" s="18" t="s">
        <v>1297</v>
      </c>
      <c r="G137" s="29">
        <f>+G132/2</f>
        <v>1</v>
      </c>
      <c r="H137" s="1060"/>
      <c r="I137" s="1053"/>
      <c r="J137" s="25"/>
      <c r="K137" s="25">
        <v>2511</v>
      </c>
      <c r="L137" s="25">
        <v>92400</v>
      </c>
      <c r="M137" s="25">
        <v>0</v>
      </c>
      <c r="N137" s="1061"/>
      <c r="O137" s="807"/>
      <c r="P137" s="807">
        <f t="shared" si="18"/>
        <v>2511</v>
      </c>
      <c r="Q137" s="807">
        <f t="shared" si="18"/>
        <v>92400</v>
      </c>
      <c r="R137" s="807">
        <f t="shared" si="18"/>
        <v>0</v>
      </c>
    </row>
    <row r="138" spans="1:18" s="15" customFormat="1">
      <c r="A138" s="1120" t="s">
        <v>1904</v>
      </c>
      <c r="B138" s="571"/>
      <c r="C138" s="571" t="s">
        <v>1904</v>
      </c>
      <c r="D138" s="639"/>
      <c r="E138" s="1312" t="s">
        <v>957</v>
      </c>
      <c r="F138" s="18" t="s">
        <v>6547</v>
      </c>
      <c r="G138" s="1121">
        <f>G131/10</f>
        <v>0.1</v>
      </c>
      <c r="H138" s="1060"/>
      <c r="I138" s="1053"/>
      <c r="J138" s="25"/>
      <c r="K138" s="25">
        <v>26250</v>
      </c>
      <c r="L138" s="25">
        <v>456615</v>
      </c>
      <c r="M138" s="25">
        <v>13285</v>
      </c>
      <c r="N138" s="1061"/>
      <c r="O138" s="807"/>
      <c r="P138" s="807">
        <f t="shared" si="18"/>
        <v>2625</v>
      </c>
      <c r="Q138" s="807">
        <f t="shared" si="18"/>
        <v>45662</v>
      </c>
      <c r="R138" s="807">
        <f t="shared" si="18"/>
        <v>1329</v>
      </c>
    </row>
    <row r="139" spans="1:18" s="15" customFormat="1" ht="15" customHeight="1">
      <c r="A139" s="252">
        <f>A129</f>
        <v>7</v>
      </c>
      <c r="B139" s="571"/>
      <c r="C139" s="571"/>
      <c r="D139" s="639"/>
      <c r="E139" s="14"/>
      <c r="F139" s="18"/>
      <c r="G139" s="1057"/>
      <c r="H139" s="1057"/>
      <c r="I139" s="1053"/>
      <c r="J139" s="23"/>
      <c r="K139" s="23"/>
      <c r="L139" s="23"/>
      <c r="M139" s="23"/>
      <c r="N139" s="1061"/>
      <c r="O139" s="1061"/>
      <c r="P139" s="1061"/>
      <c r="Q139" s="1061"/>
      <c r="R139" s="1061"/>
    </row>
    <row r="140" spans="1:18" s="15" customFormat="1" ht="15" customHeight="1">
      <c r="A140" s="1048">
        <f>A139+1</f>
        <v>8</v>
      </c>
      <c r="B140" s="571" t="str">
        <f>"II."&amp;+A140</f>
        <v>II.8</v>
      </c>
      <c r="C140" s="1210"/>
      <c r="D140" s="639"/>
      <c r="E140" s="1049" t="s">
        <v>1215</v>
      </c>
      <c r="F140" s="24" t="s">
        <v>1297</v>
      </c>
      <c r="G140" s="26">
        <f>tkeHA!BL245</f>
        <v>10</v>
      </c>
      <c r="H140" s="26"/>
      <c r="I140" s="1053"/>
      <c r="J140" s="1053"/>
      <c r="K140" s="1053"/>
      <c r="L140" s="1053"/>
      <c r="M140" s="1053"/>
      <c r="N140" s="1055">
        <f>SUM(N141:N144)</f>
        <v>154490</v>
      </c>
      <c r="O140" s="1055">
        <f>SUM(O141:O144)</f>
        <v>0</v>
      </c>
      <c r="P140" s="1055">
        <f>SUM(P141:P144)</f>
        <v>2511</v>
      </c>
      <c r="Q140" s="1055">
        <f>SUM(Q141:Q144)</f>
        <v>92400</v>
      </c>
      <c r="R140" s="1055">
        <f>SUM(R141:R144)</f>
        <v>0</v>
      </c>
    </row>
    <row r="141" spans="1:18" s="15" customFormat="1" ht="15" customHeight="1">
      <c r="A141" s="38" t="s">
        <v>2664</v>
      </c>
      <c r="B141" s="571"/>
      <c r="C141" s="571"/>
      <c r="D141" s="639">
        <v>0</v>
      </c>
      <c r="E141" s="14" t="s">
        <v>2665</v>
      </c>
      <c r="F141" s="18" t="s">
        <v>2660</v>
      </c>
      <c r="G141" s="1121">
        <v>0.5</v>
      </c>
      <c r="H141" s="27">
        <f>G141*G140</f>
        <v>5</v>
      </c>
      <c r="I141" s="25">
        <v>219780</v>
      </c>
      <c r="J141" s="25"/>
      <c r="K141" s="1053"/>
      <c r="L141" s="23"/>
      <c r="M141" s="23"/>
      <c r="N141" s="807">
        <f>ROUND($G141*I141,0)</f>
        <v>109890</v>
      </c>
      <c r="O141" s="807"/>
      <c r="P141" s="1061"/>
      <c r="Q141" s="1061"/>
      <c r="R141" s="1061"/>
    </row>
    <row r="142" spans="1:18" s="15" customFormat="1">
      <c r="A142" s="329" t="s">
        <v>5125</v>
      </c>
      <c r="B142" s="571"/>
      <c r="C142" s="1210"/>
      <c r="D142" s="639">
        <v>259</v>
      </c>
      <c r="E142" s="14" t="s">
        <v>5126</v>
      </c>
      <c r="F142" s="18" t="s">
        <v>1307</v>
      </c>
      <c r="G142" s="1072">
        <v>2</v>
      </c>
      <c r="H142" s="27">
        <f>G142*G140</f>
        <v>20</v>
      </c>
      <c r="I142" s="25">
        <v>9800</v>
      </c>
      <c r="J142" s="1053"/>
      <c r="K142" s="1053"/>
      <c r="L142" s="23"/>
      <c r="M142" s="23"/>
      <c r="N142" s="807">
        <f>ROUND($G142*I142,0)</f>
        <v>19600</v>
      </c>
      <c r="O142" s="807">
        <f>ROUND($G142*J142,0)</f>
        <v>0</v>
      </c>
      <c r="P142" s="1061"/>
      <c r="Q142" s="1061"/>
      <c r="R142" s="1061"/>
    </row>
    <row r="143" spans="1:18" s="15" customFormat="1">
      <c r="A143" s="329" t="s">
        <v>4891</v>
      </c>
      <c r="B143" s="571"/>
      <c r="C143" s="1210"/>
      <c r="D143" s="639">
        <v>815</v>
      </c>
      <c r="E143" s="14" t="s">
        <v>4317</v>
      </c>
      <c r="F143" s="18" t="s">
        <v>1307</v>
      </c>
      <c r="G143" s="1072">
        <v>1</v>
      </c>
      <c r="H143" s="27">
        <f>G143*G141</f>
        <v>0.5</v>
      </c>
      <c r="I143" s="25">
        <v>25000</v>
      </c>
      <c r="J143" s="1053"/>
      <c r="K143" s="1053"/>
      <c r="L143" s="23"/>
      <c r="M143" s="23"/>
      <c r="N143" s="807">
        <f>ROUND($G143*I143,0)</f>
        <v>25000</v>
      </c>
      <c r="O143" s="807">
        <f>ROUND($G143*J143,0)</f>
        <v>0</v>
      </c>
      <c r="P143" s="1061"/>
      <c r="Q143" s="1061"/>
      <c r="R143" s="1061"/>
    </row>
    <row r="144" spans="1:18" s="15" customFormat="1">
      <c r="A144" s="1120" t="s">
        <v>2506</v>
      </c>
      <c r="B144" s="571"/>
      <c r="C144" s="1210" t="s">
        <v>2506</v>
      </c>
      <c r="D144" s="639"/>
      <c r="E144" s="14" t="s">
        <v>6545</v>
      </c>
      <c r="F144" s="18" t="s">
        <v>1297</v>
      </c>
      <c r="G144" s="1072">
        <v>1</v>
      </c>
      <c r="H144" s="1060"/>
      <c r="I144" s="21"/>
      <c r="J144" s="1053"/>
      <c r="K144" s="25">
        <v>2511</v>
      </c>
      <c r="L144" s="25">
        <v>92400</v>
      </c>
      <c r="M144" s="25">
        <v>0</v>
      </c>
      <c r="O144" s="807">
        <f>ROUND($G144*J144,0)</f>
        <v>0</v>
      </c>
      <c r="P144" s="807">
        <f>ROUND($G144*K144,0)</f>
        <v>2511</v>
      </c>
      <c r="Q144" s="807">
        <f>ROUND($G144*L144,0)</f>
        <v>92400</v>
      </c>
      <c r="R144" s="807">
        <f>ROUND($G144*M144,0)</f>
        <v>0</v>
      </c>
    </row>
    <row r="145" spans="1:18" s="15" customFormat="1">
      <c r="A145" s="1203">
        <f>A140</f>
        <v>8</v>
      </c>
      <c r="B145" s="571"/>
      <c r="C145" s="1210"/>
      <c r="D145" s="639"/>
      <c r="E145" s="14"/>
      <c r="F145" s="18"/>
      <c r="G145" s="1057"/>
      <c r="H145" s="1057"/>
      <c r="I145" s="23"/>
      <c r="J145" s="23"/>
      <c r="K145" s="23"/>
      <c r="L145" s="23"/>
      <c r="M145" s="23"/>
      <c r="N145" s="1061"/>
      <c r="O145" s="1061"/>
      <c r="P145" s="1061"/>
      <c r="Q145" s="1061"/>
      <c r="R145" s="1061"/>
    </row>
    <row r="146" spans="1:18" s="15" customFormat="1" ht="15" customHeight="1">
      <c r="A146" s="1048">
        <f>A145+1</f>
        <v>9</v>
      </c>
      <c r="B146" s="19" t="str">
        <f>"II."&amp;+A146</f>
        <v>II.9</v>
      </c>
      <c r="C146" s="1226"/>
      <c r="D146" s="1316"/>
      <c r="E146" s="1317" t="s">
        <v>5825</v>
      </c>
      <c r="F146" s="1225" t="s">
        <v>419</v>
      </c>
      <c r="G146" s="233">
        <f>tkeHA!BG245</f>
        <v>0</v>
      </c>
      <c r="H146" s="233"/>
      <c r="I146" s="1318"/>
      <c r="J146" s="1318"/>
      <c r="K146" s="1318"/>
      <c r="L146" s="1319"/>
      <c r="M146" s="1318"/>
      <c r="N146" s="1107">
        <f>SUM(N147:N153)</f>
        <v>1666400</v>
      </c>
      <c r="O146" s="1107">
        <f>SUM(O147:O153)</f>
        <v>0</v>
      </c>
      <c r="P146" s="1107">
        <f>SUM(P147:P153)</f>
        <v>2856</v>
      </c>
      <c r="Q146" s="1107">
        <f>SUM(Q147:Q153)</f>
        <v>91054</v>
      </c>
      <c r="R146" s="1107">
        <f>SUM(R147:R153)</f>
        <v>0</v>
      </c>
    </row>
    <row r="147" spans="1:18" s="15" customFormat="1" ht="15" customHeight="1">
      <c r="A147" s="1183" t="s">
        <v>3667</v>
      </c>
      <c r="B147" s="22"/>
      <c r="C147" s="571"/>
      <c r="D147" s="639">
        <v>32043947</v>
      </c>
      <c r="E147" s="14" t="s">
        <v>6595</v>
      </c>
      <c r="F147" s="18" t="s">
        <v>1307</v>
      </c>
      <c r="G147" s="29">
        <v>1</v>
      </c>
      <c r="H147" s="27">
        <f>G147*G146</f>
        <v>0</v>
      </c>
      <c r="I147" s="25">
        <v>650000</v>
      </c>
      <c r="J147" s="25"/>
      <c r="K147" s="23"/>
      <c r="L147" s="23"/>
      <c r="M147" s="23"/>
      <c r="N147" s="807">
        <f t="shared" ref="N147:N152" si="19">ROUND($G147*I147,0)</f>
        <v>650000</v>
      </c>
      <c r="O147" s="807"/>
      <c r="P147" s="1061"/>
      <c r="Q147" s="1061"/>
      <c r="R147" s="1061"/>
    </row>
    <row r="148" spans="1:18" s="15" customFormat="1" ht="15" customHeight="1">
      <c r="A148" s="1183" t="s">
        <v>5462</v>
      </c>
      <c r="B148" s="22"/>
      <c r="C148" s="571"/>
      <c r="D148" s="639">
        <v>0</v>
      </c>
      <c r="E148" s="14" t="s">
        <v>5463</v>
      </c>
      <c r="F148" s="18" t="s">
        <v>1307</v>
      </c>
      <c r="G148" s="29">
        <v>6</v>
      </c>
      <c r="H148" s="27" t="e">
        <f>G148*#REF!</f>
        <v>#REF!</v>
      </c>
      <c r="I148" s="25">
        <v>45000</v>
      </c>
      <c r="J148" s="25"/>
      <c r="K148" s="23"/>
      <c r="L148" s="23"/>
      <c r="M148" s="23"/>
      <c r="N148" s="807">
        <f t="shared" si="19"/>
        <v>270000</v>
      </c>
      <c r="O148" s="807"/>
      <c r="P148" s="1061"/>
      <c r="Q148" s="1061"/>
      <c r="R148" s="1061"/>
    </row>
    <row r="149" spans="1:18" s="15" customFormat="1" ht="15" customHeight="1">
      <c r="A149" s="1183" t="s">
        <v>1142</v>
      </c>
      <c r="B149" s="22"/>
      <c r="C149" s="571"/>
      <c r="D149" s="639">
        <v>0</v>
      </c>
      <c r="E149" s="14" t="s">
        <v>6596</v>
      </c>
      <c r="F149" s="18" t="s">
        <v>639</v>
      </c>
      <c r="G149" s="29">
        <v>6</v>
      </c>
      <c r="H149" s="27">
        <f>G149*G146</f>
        <v>0</v>
      </c>
      <c r="I149" s="25">
        <v>78600</v>
      </c>
      <c r="J149" s="25"/>
      <c r="K149" s="23"/>
      <c r="L149" s="23"/>
      <c r="M149" s="23"/>
      <c r="N149" s="807">
        <f t="shared" si="19"/>
        <v>471600</v>
      </c>
      <c r="O149" s="807"/>
      <c r="P149" s="1061"/>
      <c r="Q149" s="1061"/>
      <c r="R149" s="1061"/>
    </row>
    <row r="150" spans="1:18" s="15" customFormat="1" ht="15" customHeight="1">
      <c r="A150" s="1183" t="s">
        <v>3192</v>
      </c>
      <c r="B150" s="22"/>
      <c r="C150" s="571"/>
      <c r="D150" s="639">
        <v>0</v>
      </c>
      <c r="E150" s="14" t="s">
        <v>3744</v>
      </c>
      <c r="F150" s="18" t="s">
        <v>1307</v>
      </c>
      <c r="G150" s="1320">
        <v>4</v>
      </c>
      <c r="H150" s="27">
        <f>G150*G147</f>
        <v>4</v>
      </c>
      <c r="I150" s="25">
        <v>55200</v>
      </c>
      <c r="J150" s="25"/>
      <c r="K150" s="23"/>
      <c r="L150" s="23"/>
      <c r="M150" s="23"/>
      <c r="N150" s="807">
        <f t="shared" si="19"/>
        <v>220800</v>
      </c>
      <c r="O150" s="807"/>
      <c r="P150" s="1061"/>
      <c r="Q150" s="1061"/>
      <c r="R150" s="1061"/>
    </row>
    <row r="151" spans="1:18" s="15" customFormat="1" ht="15" customHeight="1">
      <c r="A151" s="1183" t="s">
        <v>5327</v>
      </c>
      <c r="B151" s="22"/>
      <c r="C151" s="571"/>
      <c r="D151" s="639">
        <v>0</v>
      </c>
      <c r="E151" s="14" t="s">
        <v>5332</v>
      </c>
      <c r="F151" s="18" t="s">
        <v>639</v>
      </c>
      <c r="G151" s="1320">
        <v>2</v>
      </c>
      <c r="H151" s="27">
        <f>G151*G147</f>
        <v>2</v>
      </c>
      <c r="I151" s="25">
        <v>18500</v>
      </c>
      <c r="J151" s="25"/>
      <c r="K151" s="23"/>
      <c r="L151" s="23"/>
      <c r="M151" s="23"/>
      <c r="N151" s="807">
        <f t="shared" si="19"/>
        <v>37000</v>
      </c>
      <c r="O151" s="807"/>
      <c r="P151" s="1061"/>
      <c r="Q151" s="1061"/>
      <c r="R151" s="1061"/>
    </row>
    <row r="152" spans="1:18" s="15" customFormat="1" ht="15" customHeight="1">
      <c r="A152" s="1183" t="s">
        <v>5333</v>
      </c>
      <c r="B152" s="22"/>
      <c r="C152" s="571"/>
      <c r="D152" s="639">
        <v>0</v>
      </c>
      <c r="E152" s="14" t="s">
        <v>5334</v>
      </c>
      <c r="F152" s="18" t="s">
        <v>1294</v>
      </c>
      <c r="G152" s="1321">
        <v>2</v>
      </c>
      <c r="H152" s="27">
        <f>G152*G147</f>
        <v>2</v>
      </c>
      <c r="I152" s="25">
        <v>8500</v>
      </c>
      <c r="J152" s="25"/>
      <c r="K152" s="23"/>
      <c r="L152" s="23"/>
      <c r="M152" s="23"/>
      <c r="N152" s="807">
        <f t="shared" si="19"/>
        <v>17000</v>
      </c>
      <c r="O152" s="807"/>
      <c r="P152" s="1061"/>
      <c r="Q152" s="1061"/>
      <c r="R152" s="1061"/>
    </row>
    <row r="153" spans="1:18" s="15" customFormat="1" ht="15" customHeight="1">
      <c r="A153" s="1123" t="s">
        <v>5826</v>
      </c>
      <c r="B153" s="22"/>
      <c r="C153" s="571" t="s">
        <v>5826</v>
      </c>
      <c r="D153" s="639"/>
      <c r="E153" s="14" t="s">
        <v>6597</v>
      </c>
      <c r="F153" s="18" t="s">
        <v>2796</v>
      </c>
      <c r="G153" s="1322">
        <v>1</v>
      </c>
      <c r="H153" s="28"/>
      <c r="I153" s="23"/>
      <c r="J153" s="25"/>
      <c r="K153" s="25">
        <v>2856</v>
      </c>
      <c r="L153" s="25">
        <v>91054</v>
      </c>
      <c r="M153" s="25">
        <v>0</v>
      </c>
      <c r="N153" s="1061"/>
      <c r="O153" s="807"/>
      <c r="P153" s="807">
        <f>ROUND($G153*K153,0)</f>
        <v>2856</v>
      </c>
      <c r="Q153" s="807">
        <f>ROUND($G153*L153,0)</f>
        <v>91054</v>
      </c>
      <c r="R153" s="807">
        <f>ROUND($G153*M153,0)</f>
        <v>0</v>
      </c>
    </row>
    <row r="154" spans="1:18" s="15" customFormat="1" ht="15" customHeight="1">
      <c r="A154" s="252">
        <f>A146</f>
        <v>9</v>
      </c>
      <c r="B154" s="22"/>
      <c r="C154" s="571"/>
      <c r="D154" s="639"/>
      <c r="E154" s="14"/>
      <c r="F154" s="18"/>
      <c r="G154" s="1322"/>
      <c r="H154" s="28"/>
      <c r="I154" s="23"/>
      <c r="J154" s="23"/>
      <c r="K154" s="23"/>
      <c r="L154" s="1085"/>
      <c r="M154" s="1085"/>
      <c r="N154" s="808"/>
      <c r="O154" s="808"/>
      <c r="P154" s="808"/>
      <c r="Q154" s="808"/>
      <c r="R154" s="808"/>
    </row>
    <row r="155" spans="1:18" s="15" customFormat="1" ht="15" customHeight="1">
      <c r="A155" s="1048">
        <f>A154+1</f>
        <v>10</v>
      </c>
      <c r="B155" s="19" t="str">
        <f>"II."&amp;+A155</f>
        <v>II.10</v>
      </c>
      <c r="C155" s="1226"/>
      <c r="D155" s="1316"/>
      <c r="E155" s="1317" t="s">
        <v>2713</v>
      </c>
      <c r="F155" s="1225" t="s">
        <v>1297</v>
      </c>
      <c r="G155" s="233">
        <f>tkeHA!BH245</f>
        <v>138</v>
      </c>
      <c r="H155" s="233"/>
      <c r="I155" s="1318"/>
      <c r="J155" s="1318"/>
      <c r="K155" s="1318"/>
      <c r="L155" s="1319"/>
      <c r="M155" s="1318"/>
      <c r="N155" s="1107">
        <f>SUM(N156:N158)</f>
        <v>292400</v>
      </c>
      <c r="O155" s="1107">
        <f>SUM(O156:O158)</f>
        <v>0</v>
      </c>
      <c r="P155" s="1107">
        <f>SUM(P156:P158)</f>
        <v>2511</v>
      </c>
      <c r="Q155" s="1107">
        <f>SUM(Q156:Q158)</f>
        <v>92400</v>
      </c>
      <c r="R155" s="1107">
        <f>SUM(R156:R158)</f>
        <v>0</v>
      </c>
    </row>
    <row r="156" spans="1:18" s="15" customFormat="1" ht="15" customHeight="1">
      <c r="A156" s="1183" t="s">
        <v>740</v>
      </c>
      <c r="B156" s="22"/>
      <c r="C156" s="571"/>
      <c r="D156" s="639">
        <v>0</v>
      </c>
      <c r="E156" s="14" t="s">
        <v>6598</v>
      </c>
      <c r="F156" s="18" t="s">
        <v>1307</v>
      </c>
      <c r="G156" s="29">
        <v>2</v>
      </c>
      <c r="H156" s="27">
        <f>G156*G155</f>
        <v>276</v>
      </c>
      <c r="I156" s="25">
        <v>125000</v>
      </c>
      <c r="J156" s="25"/>
      <c r="K156" s="23"/>
      <c r="L156" s="23"/>
      <c r="M156" s="23"/>
      <c r="N156" s="807">
        <f>ROUND($G156*I156,0)</f>
        <v>250000</v>
      </c>
      <c r="O156" s="807"/>
      <c r="P156" s="1061"/>
      <c r="Q156" s="1061"/>
      <c r="R156" s="1061"/>
    </row>
    <row r="157" spans="1:18" s="15" customFormat="1" ht="15" customHeight="1">
      <c r="A157" s="1183" t="s">
        <v>3190</v>
      </c>
      <c r="B157" s="22"/>
      <c r="C157" s="571"/>
      <c r="D157" s="639">
        <v>32022624</v>
      </c>
      <c r="E157" s="14" t="s">
        <v>3742</v>
      </c>
      <c r="F157" s="18" t="s">
        <v>1307</v>
      </c>
      <c r="G157" s="1320">
        <v>2</v>
      </c>
      <c r="H157" s="27">
        <f>G157*G156</f>
        <v>4</v>
      </c>
      <c r="I157" s="25">
        <v>21200</v>
      </c>
      <c r="J157" s="25"/>
      <c r="K157" s="23"/>
      <c r="L157" s="23"/>
      <c r="M157" s="23"/>
      <c r="N157" s="807">
        <f>ROUND($G157*I157,0)</f>
        <v>42400</v>
      </c>
      <c r="O157" s="807"/>
      <c r="P157" s="1061"/>
      <c r="Q157" s="1061"/>
      <c r="R157" s="1061"/>
    </row>
    <row r="158" spans="1:18" s="15" customFormat="1" ht="15" customHeight="1">
      <c r="A158" s="1120" t="s">
        <v>2506</v>
      </c>
      <c r="B158" s="22"/>
      <c r="C158" s="571" t="s">
        <v>2506</v>
      </c>
      <c r="D158" s="639"/>
      <c r="E158" s="14" t="s">
        <v>6545</v>
      </c>
      <c r="F158" s="18" t="s">
        <v>1297</v>
      </c>
      <c r="G158" s="1322">
        <v>1</v>
      </c>
      <c r="H158" s="28"/>
      <c r="I158" s="23"/>
      <c r="J158" s="25"/>
      <c r="K158" s="25">
        <v>2511</v>
      </c>
      <c r="L158" s="25">
        <v>92400</v>
      </c>
      <c r="M158" s="25">
        <v>0</v>
      </c>
      <c r="N158" s="1061"/>
      <c r="O158" s="807"/>
      <c r="P158" s="807">
        <f>ROUND($G158*K158,0)</f>
        <v>2511</v>
      </c>
      <c r="Q158" s="807">
        <f>ROUND($G158*L158,0)</f>
        <v>92400</v>
      </c>
      <c r="R158" s="807">
        <f>ROUND($G158*M158,0)</f>
        <v>0</v>
      </c>
    </row>
    <row r="159" spans="1:18" s="15" customFormat="1">
      <c r="A159" s="252">
        <f>A155</f>
        <v>10</v>
      </c>
      <c r="B159" s="22"/>
      <c r="C159" s="571"/>
      <c r="D159" s="639"/>
      <c r="E159" s="14"/>
      <c r="F159" s="18"/>
      <c r="G159" s="1322"/>
      <c r="H159" s="28"/>
      <c r="I159" s="23"/>
      <c r="J159" s="23"/>
      <c r="K159" s="23"/>
      <c r="L159" s="1085"/>
      <c r="M159" s="1085"/>
      <c r="N159" s="808"/>
      <c r="O159" s="808"/>
      <c r="P159" s="808"/>
      <c r="Q159" s="808"/>
      <c r="R159" s="808"/>
    </row>
    <row r="160" spans="1:18">
      <c r="A160" s="1048">
        <f>A159+1</f>
        <v>11</v>
      </c>
      <c r="B160" s="19" t="str">
        <f>"II."&amp;+A160</f>
        <v>II.11</v>
      </c>
      <c r="C160" s="1226"/>
      <c r="D160" s="1316"/>
      <c r="E160" s="1049" t="s">
        <v>1095</v>
      </c>
      <c r="F160" s="1225" t="s">
        <v>419</v>
      </c>
      <c r="G160" s="233">
        <v>1</v>
      </c>
      <c r="H160" s="233"/>
      <c r="I160" s="1318"/>
      <c r="J160" s="1318"/>
      <c r="K160" s="1318"/>
      <c r="L160" s="1319"/>
      <c r="M160" s="1318"/>
      <c r="N160" s="1107">
        <f>SUM(N161:N165)</f>
        <v>785250</v>
      </c>
      <c r="O160" s="1107">
        <f>SUM(O161:O165)</f>
        <v>0</v>
      </c>
      <c r="P160" s="1107">
        <f>SUM(P161:P165)</f>
        <v>203536</v>
      </c>
      <c r="Q160" s="1107">
        <f>SUM(Q161:Q165)</f>
        <v>1357422</v>
      </c>
      <c r="R160" s="1107">
        <f>SUM(R161:R165)</f>
        <v>0</v>
      </c>
    </row>
    <row r="161" spans="1:18">
      <c r="A161" s="1183" t="s">
        <v>5327</v>
      </c>
      <c r="B161" s="22"/>
      <c r="C161" s="571"/>
      <c r="D161" s="639">
        <v>0</v>
      </c>
      <c r="E161" s="14" t="s">
        <v>5328</v>
      </c>
      <c r="F161" s="18" t="s">
        <v>1307</v>
      </c>
      <c r="G161" s="29">
        <f>'tkeHA HH'!AH84</f>
        <v>27</v>
      </c>
      <c r="H161" s="27">
        <f>G161*G160</f>
        <v>27</v>
      </c>
      <c r="I161" s="25">
        <v>18500</v>
      </c>
      <c r="J161" s="23"/>
      <c r="K161" s="23"/>
      <c r="L161" s="23"/>
      <c r="M161" s="23"/>
      <c r="N161" s="807">
        <f>ROUND($G161*I161,0)</f>
        <v>499500</v>
      </c>
      <c r="O161" s="807"/>
      <c r="P161" s="1061"/>
      <c r="Q161" s="1061"/>
      <c r="R161" s="1061"/>
    </row>
    <row r="162" spans="1:18" s="15" customFormat="1" ht="15" customHeight="1">
      <c r="A162" s="1183" t="s">
        <v>2694</v>
      </c>
      <c r="B162" s="22"/>
      <c r="C162" s="571"/>
      <c r="D162" s="639">
        <v>37012756</v>
      </c>
      <c r="E162" s="14" t="s">
        <v>6599</v>
      </c>
      <c r="F162" s="18" t="s">
        <v>1777</v>
      </c>
      <c r="G162" s="29">
        <f>ROUND(G161/5,0)</f>
        <v>5</v>
      </c>
      <c r="H162" s="27">
        <f>G162*G130</f>
        <v>3</v>
      </c>
      <c r="I162" s="25">
        <v>5310</v>
      </c>
      <c r="J162" s="23"/>
      <c r="K162" s="23"/>
      <c r="L162" s="23"/>
      <c r="M162" s="23"/>
      <c r="N162" s="807">
        <f>ROUND($G162*I162,0)</f>
        <v>26550</v>
      </c>
      <c r="O162" s="807"/>
      <c r="P162" s="1061"/>
      <c r="Q162" s="1061"/>
      <c r="R162" s="1061"/>
    </row>
    <row r="163" spans="1:18" s="15" customFormat="1">
      <c r="A163" s="1183" t="s">
        <v>3379</v>
      </c>
      <c r="B163" s="22"/>
      <c r="C163" s="571"/>
      <c r="D163" s="639">
        <v>0</v>
      </c>
      <c r="E163" s="14" t="s">
        <v>3380</v>
      </c>
      <c r="F163" s="18" t="s">
        <v>1307</v>
      </c>
      <c r="G163" s="29">
        <f>ROUND(G161/3,0)</f>
        <v>9</v>
      </c>
      <c r="H163" s="27">
        <f>G163*G160</f>
        <v>9</v>
      </c>
      <c r="I163" s="25">
        <v>28800</v>
      </c>
      <c r="J163" s="23"/>
      <c r="K163" s="23"/>
      <c r="L163" s="23"/>
      <c r="M163" s="23"/>
      <c r="N163" s="807">
        <f>ROUND($G163*I163,0)</f>
        <v>259200</v>
      </c>
      <c r="O163" s="807"/>
      <c r="P163" s="1061"/>
      <c r="Q163" s="1061"/>
      <c r="R163" s="1061"/>
    </row>
    <row r="164" spans="1:18" s="15" customFormat="1" ht="15" customHeight="1">
      <c r="A164" s="1123" t="s">
        <v>5329</v>
      </c>
      <c r="B164" s="22"/>
      <c r="C164" s="571" t="s">
        <v>5329</v>
      </c>
      <c r="D164" s="639"/>
      <c r="E164" s="14" t="s">
        <v>6600</v>
      </c>
      <c r="F164" s="18" t="s">
        <v>5330</v>
      </c>
      <c r="G164" s="1348">
        <f>G165</f>
        <v>21</v>
      </c>
      <c r="H164" s="28"/>
      <c r="I164" s="23"/>
      <c r="J164" s="23"/>
      <c r="K164" s="23">
        <v>4846.08</v>
      </c>
      <c r="L164" s="23">
        <v>34342</v>
      </c>
      <c r="M164" s="23">
        <v>0</v>
      </c>
      <c r="N164" s="1061"/>
      <c r="O164" s="1061"/>
      <c r="P164" s="1061">
        <f t="shared" ref="P164:R165" si="20">ROUND($G164*K164,0)</f>
        <v>101768</v>
      </c>
      <c r="Q164" s="1061">
        <f t="shared" si="20"/>
        <v>721182</v>
      </c>
      <c r="R164" s="1061">
        <f t="shared" si="20"/>
        <v>0</v>
      </c>
    </row>
    <row r="165" spans="1:18" s="15" customFormat="1" ht="15" customHeight="1">
      <c r="A165" s="1123" t="s">
        <v>5331</v>
      </c>
      <c r="B165" s="1091"/>
      <c r="C165" s="639" t="s">
        <v>5331</v>
      </c>
      <c r="D165" s="639"/>
      <c r="E165" s="14" t="s">
        <v>6601</v>
      </c>
      <c r="F165" s="1351" t="s">
        <v>5330</v>
      </c>
      <c r="G165" s="1092">
        <f>tkeHA!BB245</f>
        <v>21</v>
      </c>
      <c r="H165" s="29"/>
      <c r="I165" s="23"/>
      <c r="J165" s="23"/>
      <c r="K165" s="23">
        <v>4846.08</v>
      </c>
      <c r="L165" s="23">
        <v>30297.161999999997</v>
      </c>
      <c r="M165" s="23">
        <v>0</v>
      </c>
      <c r="N165" s="1061"/>
      <c r="O165" s="1061"/>
      <c r="P165" s="1061">
        <f t="shared" si="20"/>
        <v>101768</v>
      </c>
      <c r="Q165" s="1061">
        <f t="shared" si="20"/>
        <v>636240</v>
      </c>
      <c r="R165" s="1061">
        <f t="shared" si="20"/>
        <v>0</v>
      </c>
    </row>
    <row r="166" spans="1:18" s="15" customFormat="1">
      <c r="A166" s="252">
        <f>A160</f>
        <v>11</v>
      </c>
      <c r="B166" s="22"/>
      <c r="C166" s="571"/>
      <c r="D166" s="639"/>
      <c r="E166" s="14"/>
      <c r="F166" s="18"/>
      <c r="G166" s="1322"/>
      <c r="H166" s="28"/>
      <c r="I166" s="23"/>
      <c r="J166" s="23"/>
      <c r="K166" s="23"/>
      <c r="L166" s="1085"/>
      <c r="M166" s="1085"/>
      <c r="N166" s="808"/>
      <c r="O166" s="808"/>
      <c r="P166" s="808"/>
      <c r="Q166" s="808"/>
      <c r="R166" s="808"/>
    </row>
    <row r="167" spans="1:18" s="15" customFormat="1" ht="15" customHeight="1">
      <c r="A167" s="1114">
        <f>A166+1</f>
        <v>12</v>
      </c>
      <c r="B167" s="639" t="str">
        <f>"II."&amp;+A167</f>
        <v>II.12</v>
      </c>
      <c r="C167" s="251"/>
      <c r="D167" s="251"/>
      <c r="E167" s="20" t="s">
        <v>5625</v>
      </c>
      <c r="F167" s="24" t="s">
        <v>419</v>
      </c>
      <c r="G167" s="26">
        <v>1</v>
      </c>
      <c r="H167" s="26"/>
      <c r="I167" s="1070"/>
      <c r="J167" s="1070"/>
      <c r="K167" s="1070"/>
      <c r="L167" s="1071"/>
      <c r="M167" s="1070"/>
      <c r="N167" s="1055">
        <f>SUM(N168:N191)</f>
        <v>240330400</v>
      </c>
      <c r="O167" s="1055">
        <f>SUM(O168:O191)</f>
        <v>0</v>
      </c>
      <c r="P167" s="1055">
        <f>SUM(P168:P191)</f>
        <v>47554</v>
      </c>
      <c r="Q167" s="1055">
        <f>SUM(Q168:Q191)</f>
        <v>14526503</v>
      </c>
      <c r="R167" s="1055">
        <f>SUM(R168:R191)</f>
        <v>0</v>
      </c>
    </row>
    <row r="168" spans="1:18" s="15" customFormat="1" ht="15" customHeight="1">
      <c r="A168" s="1204" t="s">
        <v>5726</v>
      </c>
      <c r="B168" s="22"/>
      <c r="C168" s="1210"/>
      <c r="D168" s="639">
        <v>0</v>
      </c>
      <c r="E168" s="14" t="s">
        <v>6516</v>
      </c>
      <c r="F168" s="18" t="s">
        <v>639</v>
      </c>
      <c r="G168" s="1217">
        <f>tkeHA!G250</f>
        <v>0</v>
      </c>
      <c r="H168" s="27">
        <f>G168*G167</f>
        <v>0</v>
      </c>
      <c r="I168" s="25">
        <v>141000</v>
      </c>
      <c r="J168" s="23"/>
      <c r="K168" s="23"/>
      <c r="L168" s="23"/>
      <c r="M168" s="23"/>
      <c r="N168" s="807">
        <f t="shared" ref="N168:N176" si="21">ROUND($G168*I168,0)</f>
        <v>0</v>
      </c>
      <c r="O168" s="807">
        <f t="shared" ref="O168:O176" si="22">ROUND($G168*J168,0)</f>
        <v>0</v>
      </c>
      <c r="P168" s="1061"/>
      <c r="Q168" s="1061"/>
      <c r="R168" s="1061"/>
    </row>
    <row r="169" spans="1:18" s="15" customFormat="1">
      <c r="A169" s="1204" t="s">
        <v>3913</v>
      </c>
      <c r="B169" s="22"/>
      <c r="C169" s="1210"/>
      <c r="D169" s="639">
        <v>0</v>
      </c>
      <c r="E169" s="14" t="s">
        <v>6413</v>
      </c>
      <c r="F169" s="18" t="s">
        <v>639</v>
      </c>
      <c r="G169" s="1217">
        <f>tkeHA!G251</f>
        <v>4846</v>
      </c>
      <c r="H169" s="27" t="e">
        <f>G169*#REF!</f>
        <v>#REF!</v>
      </c>
      <c r="I169" s="25">
        <v>47000</v>
      </c>
      <c r="J169" s="23"/>
      <c r="K169" s="23"/>
      <c r="L169" s="23"/>
      <c r="M169" s="23"/>
      <c r="N169" s="807">
        <f>ROUND($G169*I169,0)</f>
        <v>227762000</v>
      </c>
      <c r="O169" s="807">
        <f>ROUND($G169*J169,0)</f>
        <v>0</v>
      </c>
      <c r="P169" s="1061"/>
      <c r="Q169" s="1061"/>
      <c r="R169" s="1061"/>
    </row>
    <row r="170" spans="1:18" s="15" customFormat="1" ht="15" customHeight="1">
      <c r="A170" s="1204" t="s">
        <v>3553</v>
      </c>
      <c r="B170" s="22"/>
      <c r="C170" s="1210"/>
      <c r="D170" s="639">
        <v>0</v>
      </c>
      <c r="E170" s="14" t="s">
        <v>5781</v>
      </c>
      <c r="F170" s="18" t="s">
        <v>1307</v>
      </c>
      <c r="G170" s="1217">
        <f>tkeHA!AF245</f>
        <v>0</v>
      </c>
      <c r="H170" s="27">
        <f>G170*G167</f>
        <v>0</v>
      </c>
      <c r="I170" s="25">
        <v>72000</v>
      </c>
      <c r="J170" s="23"/>
      <c r="K170" s="23"/>
      <c r="L170" s="23"/>
      <c r="M170" s="23"/>
      <c r="N170" s="807">
        <f t="shared" si="21"/>
        <v>0</v>
      </c>
      <c r="O170" s="807">
        <f t="shared" si="22"/>
        <v>0</v>
      </c>
      <c r="P170" s="1061"/>
      <c r="Q170" s="1061"/>
      <c r="R170" s="1061"/>
    </row>
    <row r="171" spans="1:18" s="15" customFormat="1" ht="15" customHeight="1">
      <c r="A171" s="1204" t="s">
        <v>2215</v>
      </c>
      <c r="B171" s="22"/>
      <c r="C171" s="1210"/>
      <c r="D171" s="639">
        <v>0</v>
      </c>
      <c r="E171" s="14" t="s">
        <v>4623</v>
      </c>
      <c r="F171" s="18" t="s">
        <v>1307</v>
      </c>
      <c r="G171" s="1217">
        <f>tkeHA!AG245</f>
        <v>54</v>
      </c>
      <c r="H171" s="27">
        <f>G171*G168</f>
        <v>0</v>
      </c>
      <c r="I171" s="25">
        <v>44400</v>
      </c>
      <c r="J171" s="23"/>
      <c r="K171" s="23"/>
      <c r="L171" s="23"/>
      <c r="M171" s="23"/>
      <c r="N171" s="807">
        <f t="shared" si="21"/>
        <v>2397600</v>
      </c>
      <c r="O171" s="807">
        <f t="shared" si="22"/>
        <v>0</v>
      </c>
      <c r="P171" s="1061"/>
      <c r="Q171" s="1061"/>
      <c r="R171" s="1061"/>
    </row>
    <row r="172" spans="1:18" s="15" customFormat="1">
      <c r="A172" s="1204" t="s">
        <v>3234</v>
      </c>
      <c r="B172" s="22"/>
      <c r="C172" s="1210"/>
      <c r="D172" s="639">
        <v>0</v>
      </c>
      <c r="E172" s="14" t="s">
        <v>3739</v>
      </c>
      <c r="F172" s="18" t="s">
        <v>1307</v>
      </c>
      <c r="G172" s="1217">
        <f>tkeHA!AC245</f>
        <v>0</v>
      </c>
      <c r="H172" s="27">
        <f>G172*G167</f>
        <v>0</v>
      </c>
      <c r="I172" s="25">
        <v>30000</v>
      </c>
      <c r="J172" s="23"/>
      <c r="K172" s="23"/>
      <c r="L172" s="23"/>
      <c r="M172" s="23"/>
      <c r="N172" s="807">
        <f t="shared" si="21"/>
        <v>0</v>
      </c>
      <c r="O172" s="807">
        <f t="shared" si="22"/>
        <v>0</v>
      </c>
      <c r="P172" s="1061"/>
      <c r="Q172" s="1061"/>
      <c r="R172" s="1061"/>
    </row>
    <row r="173" spans="1:18" s="15" customFormat="1" ht="15" customHeight="1">
      <c r="A173" s="1204" t="s">
        <v>3231</v>
      </c>
      <c r="B173" s="22"/>
      <c r="C173" s="1210"/>
      <c r="D173" s="639">
        <v>0</v>
      </c>
      <c r="E173" s="14" t="s">
        <v>3736</v>
      </c>
      <c r="F173" s="18" t="s">
        <v>1307</v>
      </c>
      <c r="G173" s="1217">
        <f>tkeHA!AD245</f>
        <v>119</v>
      </c>
      <c r="H173" s="27">
        <f>G173*G168</f>
        <v>0</v>
      </c>
      <c r="I173" s="25">
        <v>26400</v>
      </c>
      <c r="J173" s="23"/>
      <c r="K173" s="23"/>
      <c r="L173" s="23"/>
      <c r="M173" s="23"/>
      <c r="N173" s="807">
        <f t="shared" si="21"/>
        <v>3141600</v>
      </c>
      <c r="O173" s="807">
        <f t="shared" si="22"/>
        <v>0</v>
      </c>
      <c r="P173" s="1061"/>
      <c r="Q173" s="1061"/>
      <c r="R173" s="1061"/>
    </row>
    <row r="174" spans="1:18" s="15" customFormat="1" ht="15" customHeight="1">
      <c r="A174" s="1205" t="s">
        <v>5366</v>
      </c>
      <c r="B174" s="22"/>
      <c r="C174" s="1210"/>
      <c r="D174" s="639">
        <v>0</v>
      </c>
      <c r="E174" s="14" t="s">
        <v>6254</v>
      </c>
      <c r="F174" s="18" t="s">
        <v>1307</v>
      </c>
      <c r="G174" s="1217">
        <f>tkeHA!AH245</f>
        <v>9</v>
      </c>
      <c r="H174" s="27" t="e">
        <f>G174*#REF!</f>
        <v>#REF!</v>
      </c>
      <c r="I174" s="25">
        <v>42500</v>
      </c>
      <c r="J174" s="23"/>
      <c r="K174" s="23"/>
      <c r="L174" s="23"/>
      <c r="M174" s="23"/>
      <c r="N174" s="807">
        <f t="shared" si="21"/>
        <v>382500</v>
      </c>
      <c r="O174" s="807">
        <f t="shared" si="22"/>
        <v>0</v>
      </c>
      <c r="P174" s="1061"/>
      <c r="Q174" s="1061"/>
      <c r="R174" s="1061"/>
    </row>
    <row r="175" spans="1:18" s="15" customFormat="1">
      <c r="A175" s="1205" t="s">
        <v>4889</v>
      </c>
      <c r="B175" s="22"/>
      <c r="C175" s="1210"/>
      <c r="D175" s="639">
        <v>399</v>
      </c>
      <c r="E175" s="14" t="s">
        <v>4315</v>
      </c>
      <c r="F175" s="18" t="s">
        <v>1307</v>
      </c>
      <c r="G175" s="1217">
        <f>tkeHA!AX245</f>
        <v>0</v>
      </c>
      <c r="H175" s="27">
        <f>G175*G170</f>
        <v>0</v>
      </c>
      <c r="I175" s="25">
        <v>13500</v>
      </c>
      <c r="J175" s="23"/>
      <c r="K175" s="23"/>
      <c r="L175" s="23"/>
      <c r="M175" s="23"/>
      <c r="N175" s="807">
        <f>ROUND($G175*I175,0)</f>
        <v>0</v>
      </c>
      <c r="O175" s="807">
        <f>ROUND($G175*J175,0)</f>
        <v>0</v>
      </c>
      <c r="P175" s="1061"/>
      <c r="Q175" s="1061"/>
      <c r="R175" s="1061"/>
    </row>
    <row r="176" spans="1:18">
      <c r="A176" s="1205" t="s">
        <v>4893</v>
      </c>
      <c r="B176" s="22"/>
      <c r="C176" s="1210"/>
      <c r="D176" s="639">
        <v>909</v>
      </c>
      <c r="E176" s="14" t="s">
        <v>4319</v>
      </c>
      <c r="F176" s="18" t="s">
        <v>1307</v>
      </c>
      <c r="G176" s="1217">
        <f>tkeHA!AV245</f>
        <v>0</v>
      </c>
      <c r="H176" s="27" t="e">
        <f>G176*#REF!</f>
        <v>#REF!</v>
      </c>
      <c r="I176" s="25">
        <v>37000</v>
      </c>
      <c r="J176" s="23"/>
      <c r="K176" s="23"/>
      <c r="L176" s="23"/>
      <c r="M176" s="23"/>
      <c r="N176" s="807">
        <f t="shared" si="21"/>
        <v>0</v>
      </c>
      <c r="O176" s="807">
        <f t="shared" si="22"/>
        <v>0</v>
      </c>
      <c r="P176" s="1061"/>
      <c r="Q176" s="1061"/>
      <c r="R176" s="1061"/>
    </row>
    <row r="177" spans="1:18">
      <c r="A177" s="1205" t="s">
        <v>4892</v>
      </c>
      <c r="B177" s="22"/>
      <c r="C177" s="1210"/>
      <c r="D177" s="639">
        <v>835</v>
      </c>
      <c r="E177" s="14" t="s">
        <v>4318</v>
      </c>
      <c r="F177" s="18" t="s">
        <v>1307</v>
      </c>
      <c r="G177" s="1217">
        <f>tkeHA!AW245</f>
        <v>0</v>
      </c>
      <c r="H177" s="27" t="e">
        <f>G177*#REF!</f>
        <v>#REF!</v>
      </c>
      <c r="I177" s="25">
        <v>30000</v>
      </c>
      <c r="J177" s="23"/>
      <c r="K177" s="23"/>
      <c r="L177" s="23"/>
      <c r="M177" s="23"/>
      <c r="N177" s="807">
        <f t="shared" ref="N177:O179" si="23">ROUND($G177*I177,0)</f>
        <v>0</v>
      </c>
      <c r="O177" s="807">
        <f t="shared" si="23"/>
        <v>0</v>
      </c>
      <c r="P177" s="1061"/>
      <c r="Q177" s="1061"/>
      <c r="R177" s="1061"/>
    </row>
    <row r="178" spans="1:18">
      <c r="A178" s="1205" t="s">
        <v>1433</v>
      </c>
      <c r="B178" s="22"/>
      <c r="C178" s="1210"/>
      <c r="D178" s="639">
        <v>0</v>
      </c>
      <c r="E178" s="14" t="s">
        <v>1434</v>
      </c>
      <c r="F178" s="18" t="s">
        <v>1307</v>
      </c>
      <c r="G178" s="1217">
        <f>tkeHA!AZ245</f>
        <v>0</v>
      </c>
      <c r="H178" s="27">
        <f>G178*G171</f>
        <v>0</v>
      </c>
      <c r="I178" s="25">
        <v>31000</v>
      </c>
      <c r="J178" s="23"/>
      <c r="K178" s="23"/>
      <c r="L178" s="23"/>
      <c r="M178" s="23"/>
      <c r="N178" s="807">
        <f t="shared" si="23"/>
        <v>0</v>
      </c>
      <c r="O178" s="807">
        <f t="shared" si="23"/>
        <v>0</v>
      </c>
      <c r="P178" s="1061"/>
      <c r="Q178" s="1061"/>
      <c r="R178" s="1061"/>
    </row>
    <row r="179" spans="1:18">
      <c r="A179" s="1204" t="s">
        <v>3748</v>
      </c>
      <c r="B179" s="22"/>
      <c r="C179" s="1210"/>
      <c r="D179" s="639">
        <v>32043924</v>
      </c>
      <c r="E179" s="14" t="s">
        <v>6602</v>
      </c>
      <c r="F179" s="18" t="s">
        <v>1307</v>
      </c>
      <c r="G179" s="1217">
        <f>tkeHA!AI245</f>
        <v>27</v>
      </c>
      <c r="H179" s="27">
        <f>G179*G166</f>
        <v>0</v>
      </c>
      <c r="I179" s="25">
        <v>3700</v>
      </c>
      <c r="J179" s="23"/>
      <c r="K179" s="23"/>
      <c r="L179" s="23"/>
      <c r="M179" s="23"/>
      <c r="N179" s="807">
        <f t="shared" si="23"/>
        <v>99900</v>
      </c>
      <c r="O179" s="807">
        <f t="shared" si="23"/>
        <v>0</v>
      </c>
      <c r="P179" s="1061"/>
      <c r="Q179" s="1061"/>
      <c r="R179" s="1061"/>
    </row>
    <row r="180" spans="1:18" s="15" customFormat="1" ht="15" customHeight="1">
      <c r="A180" s="1258" t="s">
        <v>4235</v>
      </c>
      <c r="B180" s="22"/>
      <c r="C180" s="1210"/>
      <c r="D180" s="639">
        <v>0</v>
      </c>
      <c r="E180" s="14" t="s">
        <v>1606</v>
      </c>
      <c r="F180" s="18" t="s">
        <v>1307</v>
      </c>
      <c r="G180" s="1217">
        <f>tkeHA!AT245</f>
        <v>0</v>
      </c>
      <c r="H180" s="27">
        <f>G180*G168</f>
        <v>0</v>
      </c>
      <c r="I180" s="25">
        <v>57000</v>
      </c>
      <c r="J180" s="23"/>
      <c r="K180" s="23"/>
      <c r="L180" s="23"/>
      <c r="M180" s="23"/>
      <c r="N180" s="807">
        <f t="shared" ref="N180:N189" si="24">ROUND($G180*I180,0)</f>
        <v>0</v>
      </c>
      <c r="O180" s="807">
        <f>ROUND($G180*J180,0)</f>
        <v>0</v>
      </c>
      <c r="P180" s="1061"/>
      <c r="Q180" s="1061"/>
      <c r="R180" s="1061"/>
    </row>
    <row r="181" spans="1:18">
      <c r="A181" s="1258" t="s">
        <v>4237</v>
      </c>
      <c r="B181" s="22"/>
      <c r="C181" s="1210"/>
      <c r="D181" s="639">
        <v>0</v>
      </c>
      <c r="E181" s="14" t="s">
        <v>1607</v>
      </c>
      <c r="F181" s="18" t="s">
        <v>1307</v>
      </c>
      <c r="G181" s="1217">
        <f>tkeHA!AU245</f>
        <v>0</v>
      </c>
      <c r="H181" s="27">
        <f>G181*G169</f>
        <v>0</v>
      </c>
      <c r="I181" s="25">
        <f>I180*2</f>
        <v>114000</v>
      </c>
      <c r="J181" s="23"/>
      <c r="K181" s="23"/>
      <c r="L181" s="23"/>
      <c r="M181" s="23"/>
      <c r="N181" s="807">
        <f t="shared" si="24"/>
        <v>0</v>
      </c>
      <c r="O181" s="807">
        <f>ROUND($G181*J181,0)</f>
        <v>0</v>
      </c>
      <c r="P181" s="1061"/>
      <c r="Q181" s="1061"/>
      <c r="R181" s="1061"/>
    </row>
    <row r="182" spans="1:18">
      <c r="A182" s="1259" t="s">
        <v>3377</v>
      </c>
      <c r="B182" s="22"/>
      <c r="C182" s="1210"/>
      <c r="D182" s="639">
        <v>0</v>
      </c>
      <c r="E182" s="14" t="s">
        <v>3378</v>
      </c>
      <c r="F182" s="18" t="s">
        <v>1307</v>
      </c>
      <c r="G182" s="1217">
        <f>tkeHA!AJ245</f>
        <v>111</v>
      </c>
      <c r="H182" s="27" t="e">
        <f>G182*#REF!</f>
        <v>#REF!</v>
      </c>
      <c r="I182" s="25">
        <v>26400</v>
      </c>
      <c r="J182" s="23"/>
      <c r="K182" s="23"/>
      <c r="L182" s="23"/>
      <c r="M182" s="23"/>
      <c r="N182" s="807">
        <f t="shared" si="24"/>
        <v>2930400</v>
      </c>
      <c r="O182" s="807">
        <f t="shared" ref="O182:O192" si="25">ROUND($G182*J182,0)</f>
        <v>0</v>
      </c>
      <c r="P182" s="1061"/>
      <c r="Q182" s="1061"/>
      <c r="R182" s="1061"/>
    </row>
    <row r="183" spans="1:18">
      <c r="A183" s="1259" t="s">
        <v>3379</v>
      </c>
      <c r="B183" s="22"/>
      <c r="C183" s="1210"/>
      <c r="D183" s="639">
        <v>0</v>
      </c>
      <c r="E183" s="14" t="s">
        <v>3380</v>
      </c>
      <c r="F183" s="18" t="s">
        <v>1307</v>
      </c>
      <c r="G183" s="1217">
        <f>tkeHA!AK245</f>
        <v>3</v>
      </c>
      <c r="H183" s="27" t="e">
        <f>G183*#REF!</f>
        <v>#REF!</v>
      </c>
      <c r="I183" s="25">
        <v>28800</v>
      </c>
      <c r="J183" s="23"/>
      <c r="K183" s="23"/>
      <c r="L183" s="23"/>
      <c r="M183" s="23"/>
      <c r="N183" s="807">
        <f t="shared" si="24"/>
        <v>86400</v>
      </c>
      <c r="O183" s="807">
        <f t="shared" si="25"/>
        <v>0</v>
      </c>
      <c r="P183" s="1061"/>
      <c r="Q183" s="1061"/>
      <c r="R183" s="1061"/>
    </row>
    <row r="184" spans="1:18">
      <c r="A184" s="1259" t="s">
        <v>2535</v>
      </c>
      <c r="B184" s="22"/>
      <c r="C184" s="1210"/>
      <c r="D184" s="639">
        <v>0</v>
      </c>
      <c r="E184" s="14" t="s">
        <v>2801</v>
      </c>
      <c r="F184" s="18" t="s">
        <v>1307</v>
      </c>
      <c r="G184" s="1217">
        <f>tkeHA!AL245</f>
        <v>30</v>
      </c>
      <c r="H184" s="27">
        <f>G184*G168</f>
        <v>0</v>
      </c>
      <c r="I184" s="25">
        <v>34200</v>
      </c>
      <c r="J184" s="23"/>
      <c r="K184" s="23"/>
      <c r="L184" s="23"/>
      <c r="M184" s="23"/>
      <c r="N184" s="807">
        <f t="shared" si="24"/>
        <v>1026000</v>
      </c>
      <c r="O184" s="807">
        <f>ROUND($G184*J184,0)</f>
        <v>0</v>
      </c>
      <c r="P184" s="1061"/>
      <c r="Q184" s="1061"/>
      <c r="R184" s="1061"/>
    </row>
    <row r="185" spans="1:18">
      <c r="A185" s="1259" t="s">
        <v>2802</v>
      </c>
      <c r="B185" s="22"/>
      <c r="C185" s="1210"/>
      <c r="D185" s="639">
        <v>0</v>
      </c>
      <c r="E185" s="14" t="s">
        <v>2803</v>
      </c>
      <c r="F185" s="18" t="s">
        <v>1307</v>
      </c>
      <c r="G185" s="1217">
        <f>tkeHA!AM245</f>
        <v>13</v>
      </c>
      <c r="H185" s="27">
        <f>G185*G170</f>
        <v>0</v>
      </c>
      <c r="I185" s="25">
        <v>36900</v>
      </c>
      <c r="J185" s="23"/>
      <c r="K185" s="23"/>
      <c r="L185" s="23"/>
      <c r="M185" s="23"/>
      <c r="N185" s="807">
        <f t="shared" si="24"/>
        <v>479700</v>
      </c>
      <c r="O185" s="807">
        <f t="shared" si="25"/>
        <v>0</v>
      </c>
      <c r="P185" s="1061"/>
      <c r="Q185" s="1061"/>
      <c r="R185" s="1061"/>
    </row>
    <row r="186" spans="1:18">
      <c r="A186" s="1259" t="s">
        <v>2806</v>
      </c>
      <c r="B186" s="22"/>
      <c r="C186" s="1210"/>
      <c r="D186" s="639">
        <v>0</v>
      </c>
      <c r="E186" s="14" t="s">
        <v>3624</v>
      </c>
      <c r="F186" s="18" t="s">
        <v>1307</v>
      </c>
      <c r="G186" s="1217">
        <f>tkeHA!AN245</f>
        <v>9</v>
      </c>
      <c r="H186" s="27">
        <f>G186*G171</f>
        <v>486</v>
      </c>
      <c r="I186" s="25">
        <v>41200</v>
      </c>
      <c r="J186" s="23"/>
      <c r="K186" s="23"/>
      <c r="L186" s="23"/>
      <c r="M186" s="23"/>
      <c r="N186" s="807">
        <f>ROUND($G186*I186,0)</f>
        <v>370800</v>
      </c>
      <c r="O186" s="807">
        <f>ROUND($G186*J186,0)</f>
        <v>0</v>
      </c>
      <c r="P186" s="1061"/>
      <c r="Q186" s="1061"/>
      <c r="R186" s="1061"/>
    </row>
    <row r="187" spans="1:18">
      <c r="A187" s="1258" t="s">
        <v>2246</v>
      </c>
      <c r="B187" s="22"/>
      <c r="C187" s="1210"/>
      <c r="D187" s="639">
        <v>44316400</v>
      </c>
      <c r="E187" s="14" t="s">
        <v>2247</v>
      </c>
      <c r="F187" s="18" t="s">
        <v>1307</v>
      </c>
      <c r="G187" s="1217">
        <f>tkeHA!AR245</f>
        <v>24</v>
      </c>
      <c r="H187" s="27">
        <f>G187*G172</f>
        <v>0</v>
      </c>
      <c r="I187" s="25">
        <v>25200</v>
      </c>
      <c r="J187" s="23"/>
      <c r="K187" s="23"/>
      <c r="L187" s="23"/>
      <c r="M187" s="23"/>
      <c r="N187" s="807">
        <f t="shared" si="24"/>
        <v>604800</v>
      </c>
      <c r="O187" s="807">
        <f t="shared" si="25"/>
        <v>0</v>
      </c>
      <c r="P187" s="1061"/>
      <c r="Q187" s="1061"/>
      <c r="R187" s="1061"/>
    </row>
    <row r="188" spans="1:18">
      <c r="A188" s="1258" t="s">
        <v>4799</v>
      </c>
      <c r="B188" s="22"/>
      <c r="C188" s="1210"/>
      <c r="D188" s="639">
        <v>44316600</v>
      </c>
      <c r="E188" s="14" t="s">
        <v>4800</v>
      </c>
      <c r="F188" s="18" t="s">
        <v>1307</v>
      </c>
      <c r="G188" s="1217">
        <f>tkeHA!AS245</f>
        <v>15</v>
      </c>
      <c r="H188" s="27">
        <f>G188*G170</f>
        <v>0</v>
      </c>
      <c r="I188" s="25">
        <v>32500</v>
      </c>
      <c r="J188" s="23"/>
      <c r="K188" s="23"/>
      <c r="L188" s="23"/>
      <c r="M188" s="23"/>
      <c r="N188" s="807">
        <f t="shared" si="24"/>
        <v>487500</v>
      </c>
      <c r="O188" s="807">
        <f>ROUND($G188*J188,0)</f>
        <v>0</v>
      </c>
      <c r="P188" s="1061"/>
      <c r="Q188" s="1061"/>
      <c r="R188" s="1061"/>
    </row>
    <row r="189" spans="1:18">
      <c r="A189" s="1258" t="s">
        <v>866</v>
      </c>
      <c r="B189" s="22"/>
      <c r="C189" s="1210"/>
      <c r="D189" s="639">
        <v>0</v>
      </c>
      <c r="E189" s="14" t="s">
        <v>4038</v>
      </c>
      <c r="F189" s="18" t="s">
        <v>1307</v>
      </c>
      <c r="G189" s="1217">
        <f>SUM(G182:G186)+SUM(G187:G188)*2</f>
        <v>244</v>
      </c>
      <c r="H189" s="27" t="e">
        <f>G189*#REF!</f>
        <v>#REF!</v>
      </c>
      <c r="I189" s="25">
        <v>2300</v>
      </c>
      <c r="J189" s="23"/>
      <c r="K189" s="23"/>
      <c r="L189" s="23"/>
      <c r="M189" s="23"/>
      <c r="N189" s="807">
        <f t="shared" si="24"/>
        <v>561200</v>
      </c>
      <c r="O189" s="807">
        <f t="shared" si="25"/>
        <v>0</v>
      </c>
      <c r="P189" s="1061"/>
      <c r="Q189" s="1061"/>
      <c r="R189" s="1061"/>
    </row>
    <row r="190" spans="1:18">
      <c r="A190" s="1120" t="s">
        <v>2731</v>
      </c>
      <c r="B190" s="22"/>
      <c r="C190" s="1210" t="s">
        <v>2731</v>
      </c>
      <c r="D190" s="639"/>
      <c r="E190" s="14" t="s">
        <v>6603</v>
      </c>
      <c r="F190" s="18" t="s">
        <v>6555</v>
      </c>
      <c r="G190" s="1234">
        <f>tkeHA!C245/1000</f>
        <v>4.6529999999999996</v>
      </c>
      <c r="H190" s="29"/>
      <c r="I190" s="23"/>
      <c r="J190" s="23"/>
      <c r="K190" s="25">
        <v>10220</v>
      </c>
      <c r="L190" s="1352">
        <v>3121965</v>
      </c>
      <c r="M190" s="25">
        <v>0</v>
      </c>
      <c r="N190" s="23"/>
      <c r="O190" s="807">
        <f t="shared" si="25"/>
        <v>0</v>
      </c>
      <c r="P190" s="807">
        <f t="shared" ref="P190:R192" si="26">ROUND($G190*K190,0)</f>
        <v>47554</v>
      </c>
      <c r="Q190" s="807">
        <f t="shared" si="26"/>
        <v>14526503</v>
      </c>
      <c r="R190" s="807">
        <f t="shared" si="26"/>
        <v>0</v>
      </c>
    </row>
    <row r="191" spans="1:18">
      <c r="A191" s="1120" t="s">
        <v>2505</v>
      </c>
      <c r="B191" s="22"/>
      <c r="C191" s="1210" t="s">
        <v>2505</v>
      </c>
      <c r="D191" s="639"/>
      <c r="E191" s="14" t="s">
        <v>6562</v>
      </c>
      <c r="F191" s="18" t="s">
        <v>4091</v>
      </c>
      <c r="G191" s="1217">
        <f>G175/2+G176/2</f>
        <v>0</v>
      </c>
      <c r="H191" s="29"/>
      <c r="I191" s="23"/>
      <c r="J191" s="23"/>
      <c r="K191" s="25"/>
      <c r="L191" s="25"/>
      <c r="M191" s="25"/>
      <c r="N191" s="23"/>
      <c r="O191" s="807">
        <f t="shared" si="25"/>
        <v>0</v>
      </c>
      <c r="P191" s="807">
        <f t="shared" si="26"/>
        <v>0</v>
      </c>
      <c r="Q191" s="807">
        <f t="shared" si="26"/>
        <v>0</v>
      </c>
      <c r="R191" s="807">
        <f t="shared" si="26"/>
        <v>0</v>
      </c>
    </row>
    <row r="192" spans="1:18">
      <c r="A192" s="1120"/>
      <c r="B192" s="22"/>
      <c r="C192" s="1210"/>
      <c r="D192" s="639"/>
      <c r="E192" s="14"/>
      <c r="F192" s="18"/>
      <c r="G192" s="1217"/>
      <c r="H192" s="29"/>
      <c r="I192" s="23"/>
      <c r="J192" s="23"/>
      <c r="K192" s="25"/>
      <c r="L192" s="25"/>
      <c r="M192" s="25"/>
      <c r="N192" s="1383">
        <f>ROUND($G192*I192,0)</f>
        <v>0</v>
      </c>
      <c r="O192" s="1381">
        <f t="shared" si="25"/>
        <v>0</v>
      </c>
      <c r="P192" s="1359">
        <f t="shared" si="26"/>
        <v>0</v>
      </c>
      <c r="Q192" s="1359">
        <f t="shared" si="26"/>
        <v>0</v>
      </c>
      <c r="R192" s="1359">
        <f t="shared" si="26"/>
        <v>0</v>
      </c>
    </row>
    <row r="193" spans="1:18">
      <c r="A193" s="1458"/>
      <c r="B193" s="1457" t="s">
        <v>4085</v>
      </c>
      <c r="C193" s="1212"/>
      <c r="D193" s="1088"/>
      <c r="E193" s="200" t="s">
        <v>2608</v>
      </c>
      <c r="F193" s="1080"/>
      <c r="G193" s="1216"/>
      <c r="H193" s="1080"/>
      <c r="I193" s="1080"/>
      <c r="J193" s="1080"/>
      <c r="K193" s="1080"/>
      <c r="L193" s="1080"/>
      <c r="M193" s="1080"/>
      <c r="N193" s="1382"/>
      <c r="O193" s="1061"/>
      <c r="P193" s="1061"/>
      <c r="Q193" s="1061"/>
      <c r="R193" s="1061"/>
    </row>
    <row r="194" spans="1:18">
      <c r="A194" s="1048">
        <v>1</v>
      </c>
      <c r="B194" s="571" t="str">
        <f>"III."&amp;+A194</f>
        <v>III.1</v>
      </c>
      <c r="C194" s="1210"/>
      <c r="D194" s="639"/>
      <c r="E194" s="1049" t="s">
        <v>3960</v>
      </c>
      <c r="F194" s="24" t="s">
        <v>5687</v>
      </c>
      <c r="G194" s="26">
        <f>'tkeHA HH'!J84</f>
        <v>0</v>
      </c>
      <c r="H194" s="26"/>
      <c r="I194" s="1053"/>
      <c r="J194" s="1053"/>
      <c r="K194" s="1053"/>
      <c r="L194" s="1053"/>
      <c r="M194" s="1053"/>
      <c r="N194" s="1055">
        <f>SUM(N195:N195)</f>
        <v>0</v>
      </c>
      <c r="O194" s="1055">
        <f>SUM(O195:O195)</f>
        <v>0</v>
      </c>
      <c r="P194" s="1055">
        <f>SUM(P195:P195)</f>
        <v>11875</v>
      </c>
      <c r="Q194" s="1055">
        <f>SUM(Q195:Q195)</f>
        <v>913454</v>
      </c>
      <c r="R194" s="1055">
        <f>SUM(R195:R195)</f>
        <v>0</v>
      </c>
    </row>
    <row r="195" spans="1:18">
      <c r="A195" s="1207" t="s">
        <v>2733</v>
      </c>
      <c r="B195" s="571"/>
      <c r="C195" s="1210" t="s">
        <v>2733</v>
      </c>
      <c r="D195" s="639"/>
      <c r="E195" s="14" t="s">
        <v>6604</v>
      </c>
      <c r="F195" s="18" t="s">
        <v>5687</v>
      </c>
      <c r="G195" s="27">
        <v>1</v>
      </c>
      <c r="H195" s="1056"/>
      <c r="I195" s="15"/>
      <c r="J195" s="1053"/>
      <c r="K195" s="25">
        <v>11875</v>
      </c>
      <c r="L195" s="25">
        <v>913454</v>
      </c>
      <c r="M195" s="25">
        <v>0</v>
      </c>
      <c r="N195" s="1061">
        <f t="shared" ref="N195:R196" si="27">ROUND($G195*I195,0)</f>
        <v>0</v>
      </c>
      <c r="O195" s="807">
        <f t="shared" si="27"/>
        <v>0</v>
      </c>
      <c r="P195" s="807">
        <f t="shared" si="27"/>
        <v>11875</v>
      </c>
      <c r="Q195" s="807">
        <f t="shared" si="27"/>
        <v>913454</v>
      </c>
      <c r="R195" s="807">
        <f t="shared" si="27"/>
        <v>0</v>
      </c>
    </row>
    <row r="196" spans="1:18">
      <c r="A196" s="252">
        <f>A194</f>
        <v>1</v>
      </c>
      <c r="B196" s="571"/>
      <c r="C196" s="1210"/>
      <c r="D196" s="639"/>
      <c r="E196" s="1073"/>
      <c r="F196" s="18"/>
      <c r="G196" s="1074"/>
      <c r="H196" s="1074"/>
      <c r="I196" s="21"/>
      <c r="J196" s="21"/>
      <c r="K196" s="21"/>
      <c r="L196" s="21"/>
      <c r="M196" s="21"/>
      <c r="N196" s="1061">
        <f t="shared" si="27"/>
        <v>0</v>
      </c>
      <c r="O196" s="1061">
        <f t="shared" si="27"/>
        <v>0</v>
      </c>
      <c r="P196" s="1061">
        <f t="shared" si="27"/>
        <v>0</v>
      </c>
      <c r="Q196" s="1061">
        <f t="shared" si="27"/>
        <v>0</v>
      </c>
      <c r="R196" s="1061">
        <f t="shared" si="27"/>
        <v>0</v>
      </c>
    </row>
    <row r="197" spans="1:18">
      <c r="A197" s="1048">
        <f>A196+1</f>
        <v>2</v>
      </c>
      <c r="B197" s="571" t="str">
        <f>"III."&amp;+A197</f>
        <v>III.2</v>
      </c>
      <c r="C197" s="1210"/>
      <c r="D197" s="639"/>
      <c r="E197" s="1049" t="s">
        <v>5691</v>
      </c>
      <c r="F197" s="24" t="s">
        <v>5687</v>
      </c>
      <c r="G197" s="26">
        <f>'tkeHA HH'!K84</f>
        <v>11</v>
      </c>
      <c r="H197" s="26"/>
      <c r="I197" s="1053"/>
      <c r="J197" s="1053"/>
      <c r="K197" s="1053"/>
      <c r="L197" s="1053"/>
      <c r="M197" s="1053"/>
      <c r="N197" s="1055">
        <f>SUM(N198:N198)</f>
        <v>0</v>
      </c>
      <c r="O197" s="1055">
        <f>SUM(O198:O198)</f>
        <v>0</v>
      </c>
      <c r="P197" s="1055">
        <f>SUM(P198:P198)</f>
        <v>11875</v>
      </c>
      <c r="Q197" s="1055">
        <f>SUM(Q198:Q198)</f>
        <v>761181</v>
      </c>
      <c r="R197" s="1055">
        <f>SUM(R198:R198)</f>
        <v>0</v>
      </c>
    </row>
    <row r="198" spans="1:18">
      <c r="A198" s="1207" t="s">
        <v>2734</v>
      </c>
      <c r="B198" s="571"/>
      <c r="C198" s="1210" t="s">
        <v>2734</v>
      </c>
      <c r="D198" s="639"/>
      <c r="E198" s="14" t="s">
        <v>6605</v>
      </c>
      <c r="F198" s="18" t="s">
        <v>5687</v>
      </c>
      <c r="G198" s="27">
        <v>1</v>
      </c>
      <c r="H198" s="1056"/>
      <c r="I198" s="15"/>
      <c r="J198" s="1053"/>
      <c r="K198" s="25">
        <v>11875</v>
      </c>
      <c r="L198" s="25">
        <v>761181</v>
      </c>
      <c r="M198" s="25">
        <v>0</v>
      </c>
      <c r="N198" s="1061">
        <f t="shared" ref="N198:R199" si="28">ROUND($G198*I198,0)</f>
        <v>0</v>
      </c>
      <c r="O198" s="807">
        <f t="shared" si="28"/>
        <v>0</v>
      </c>
      <c r="P198" s="807">
        <f t="shared" si="28"/>
        <v>11875</v>
      </c>
      <c r="Q198" s="807">
        <f t="shared" si="28"/>
        <v>761181</v>
      </c>
      <c r="R198" s="807">
        <f t="shared" si="28"/>
        <v>0</v>
      </c>
    </row>
    <row r="199" spans="1:18">
      <c r="A199" s="252">
        <f>A197</f>
        <v>2</v>
      </c>
      <c r="B199" s="571"/>
      <c r="C199" s="1210"/>
      <c r="D199" s="639"/>
      <c r="E199" s="1073"/>
      <c r="F199" s="18"/>
      <c r="G199" s="1074"/>
      <c r="H199" s="1074"/>
      <c r="I199" s="21"/>
      <c r="J199" s="21"/>
      <c r="K199" s="21"/>
      <c r="L199" s="21"/>
      <c r="M199" s="21"/>
      <c r="N199" s="1061">
        <f t="shared" si="28"/>
        <v>0</v>
      </c>
      <c r="O199" s="1061">
        <f t="shared" si="28"/>
        <v>0</v>
      </c>
      <c r="P199" s="1061">
        <f t="shared" si="28"/>
        <v>0</v>
      </c>
      <c r="Q199" s="1061">
        <f t="shared" si="28"/>
        <v>0</v>
      </c>
      <c r="R199" s="1061">
        <f t="shared" si="28"/>
        <v>0</v>
      </c>
    </row>
    <row r="200" spans="1:18">
      <c r="A200" s="1048">
        <f>A199+1</f>
        <v>3</v>
      </c>
      <c r="B200" s="571" t="str">
        <f>"III."&amp;+A200</f>
        <v>III.3</v>
      </c>
      <c r="C200" s="1210"/>
      <c r="D200" s="639"/>
      <c r="E200" s="1049" t="s">
        <v>995</v>
      </c>
      <c r="F200" s="24" t="s">
        <v>1297</v>
      </c>
      <c r="G200" s="26">
        <f>'tkeHA HH'!U84</f>
        <v>3</v>
      </c>
      <c r="H200" s="26"/>
      <c r="I200" s="1053"/>
      <c r="J200" s="1053"/>
      <c r="K200" s="1053"/>
      <c r="L200" s="1053"/>
      <c r="M200" s="1053"/>
      <c r="N200" s="1055">
        <f>SUM(N201:N201)</f>
        <v>0</v>
      </c>
      <c r="O200" s="1055">
        <f>SUM(O201:O201)</f>
        <v>0</v>
      </c>
      <c r="P200" s="1055">
        <f>SUM(P201:P201)</f>
        <v>0</v>
      </c>
      <c r="Q200" s="1055">
        <f>SUM(Q201:Q201)</f>
        <v>80190</v>
      </c>
      <c r="R200" s="1055">
        <f>SUM(R201:R201)</f>
        <v>0</v>
      </c>
    </row>
    <row r="201" spans="1:18">
      <c r="A201" s="1207" t="s">
        <v>2610</v>
      </c>
      <c r="B201" s="571"/>
      <c r="C201" s="1210" t="s">
        <v>2610</v>
      </c>
      <c r="D201" s="639"/>
      <c r="E201" s="14" t="s">
        <v>6606</v>
      </c>
      <c r="F201" s="18" t="s">
        <v>1297</v>
      </c>
      <c r="G201" s="27">
        <v>1</v>
      </c>
      <c r="H201" s="1056"/>
      <c r="I201" s="15"/>
      <c r="J201" s="1053"/>
      <c r="K201" s="25">
        <v>0</v>
      </c>
      <c r="L201" s="25">
        <v>80190</v>
      </c>
      <c r="M201" s="25">
        <v>0</v>
      </c>
      <c r="N201" s="1061">
        <f t="shared" ref="N201:R202" si="29">ROUND($G201*I201,0)</f>
        <v>0</v>
      </c>
      <c r="O201" s="807">
        <f t="shared" si="29"/>
        <v>0</v>
      </c>
      <c r="P201" s="807">
        <f t="shared" si="29"/>
        <v>0</v>
      </c>
      <c r="Q201" s="807">
        <f t="shared" si="29"/>
        <v>80190</v>
      </c>
      <c r="R201" s="807">
        <f t="shared" si="29"/>
        <v>0</v>
      </c>
    </row>
    <row r="202" spans="1:18">
      <c r="A202" s="252">
        <f>A200</f>
        <v>3</v>
      </c>
      <c r="B202" s="571"/>
      <c r="C202" s="1210"/>
      <c r="D202" s="639"/>
      <c r="E202" s="1073"/>
      <c r="F202" s="18"/>
      <c r="G202" s="1074"/>
      <c r="H202" s="1074"/>
      <c r="I202" s="21"/>
      <c r="J202" s="21"/>
      <c r="K202" s="21"/>
      <c r="L202" s="21"/>
      <c r="M202" s="21"/>
      <c r="N202" s="1061">
        <f t="shared" si="29"/>
        <v>0</v>
      </c>
      <c r="O202" s="1061">
        <f t="shared" si="29"/>
        <v>0</v>
      </c>
      <c r="P202" s="1061">
        <f t="shared" si="29"/>
        <v>0</v>
      </c>
      <c r="Q202" s="1061">
        <f t="shared" si="29"/>
        <v>0</v>
      </c>
      <c r="R202" s="1061">
        <f t="shared" si="29"/>
        <v>0</v>
      </c>
    </row>
    <row r="203" spans="1:18">
      <c r="A203" s="1048">
        <f>A202+1</f>
        <v>4</v>
      </c>
      <c r="B203" s="571" t="str">
        <f>"III."&amp;+A203</f>
        <v>III.4</v>
      </c>
      <c r="C203" s="1210"/>
      <c r="D203" s="639"/>
      <c r="E203" s="1049" t="s">
        <v>2609</v>
      </c>
      <c r="F203" s="24" t="s">
        <v>1297</v>
      </c>
      <c r="G203" s="26">
        <f>'tkeHA HH'!V84</f>
        <v>0</v>
      </c>
      <c r="H203" s="26"/>
      <c r="I203" s="1053"/>
      <c r="J203" s="1053"/>
      <c r="K203" s="1053"/>
      <c r="L203" s="1053"/>
      <c r="M203" s="1053"/>
      <c r="N203" s="1055">
        <f>SUM(N204:N204)</f>
        <v>0</v>
      </c>
      <c r="O203" s="1055">
        <f>SUM(O204:O204)</f>
        <v>0</v>
      </c>
      <c r="P203" s="1055">
        <f>SUM(P204:P204)</f>
        <v>0</v>
      </c>
      <c r="Q203" s="1055">
        <f>SUM(Q204:Q204)</f>
        <v>80190</v>
      </c>
      <c r="R203" s="1055">
        <f>SUM(R204:R204)</f>
        <v>0</v>
      </c>
    </row>
    <row r="204" spans="1:18">
      <c r="A204" s="1207" t="s">
        <v>2610</v>
      </c>
      <c r="B204" s="571"/>
      <c r="C204" s="1210" t="s">
        <v>2610</v>
      </c>
      <c r="D204" s="639"/>
      <c r="E204" s="14" t="s">
        <v>6606</v>
      </c>
      <c r="F204" s="18" t="s">
        <v>1297</v>
      </c>
      <c r="G204" s="27">
        <v>1</v>
      </c>
      <c r="H204" s="1056"/>
      <c r="I204" s="15"/>
      <c r="J204" s="1053"/>
      <c r="K204" s="25">
        <v>0</v>
      </c>
      <c r="L204" s="25">
        <v>80190</v>
      </c>
      <c r="M204" s="25">
        <v>0</v>
      </c>
      <c r="N204" s="1061">
        <f t="shared" ref="N204:R205" si="30">ROUND($G204*I204,0)</f>
        <v>0</v>
      </c>
      <c r="O204" s="807">
        <f t="shared" si="30"/>
        <v>0</v>
      </c>
      <c r="P204" s="807">
        <f t="shared" si="30"/>
        <v>0</v>
      </c>
      <c r="Q204" s="807">
        <f t="shared" si="30"/>
        <v>80190</v>
      </c>
      <c r="R204" s="807">
        <f t="shared" si="30"/>
        <v>0</v>
      </c>
    </row>
    <row r="205" spans="1:18">
      <c r="A205" s="252">
        <f>A203</f>
        <v>4</v>
      </c>
      <c r="B205" s="571"/>
      <c r="C205" s="1210"/>
      <c r="D205" s="639"/>
      <c r="E205" s="1073"/>
      <c r="F205" s="18"/>
      <c r="G205" s="1074"/>
      <c r="H205" s="1074"/>
      <c r="I205" s="21"/>
      <c r="J205" s="21"/>
      <c r="K205" s="21"/>
      <c r="L205" s="21"/>
      <c r="M205" s="21"/>
      <c r="N205" s="1061">
        <f t="shared" si="30"/>
        <v>0</v>
      </c>
      <c r="O205" s="1061">
        <f t="shared" si="30"/>
        <v>0</v>
      </c>
      <c r="P205" s="1061">
        <f t="shared" si="30"/>
        <v>0</v>
      </c>
      <c r="Q205" s="1061">
        <f t="shared" si="30"/>
        <v>0</v>
      </c>
      <c r="R205" s="1061">
        <f t="shared" si="30"/>
        <v>0</v>
      </c>
    </row>
    <row r="206" spans="1:18">
      <c r="A206" s="1114">
        <f>A205+1</f>
        <v>5</v>
      </c>
      <c r="B206" s="571" t="str">
        <f>"III."&amp;+A206</f>
        <v>III.5</v>
      </c>
      <c r="C206" s="251"/>
      <c r="D206" s="251"/>
      <c r="E206" s="20" t="s">
        <v>5625</v>
      </c>
      <c r="F206" s="24" t="s">
        <v>419</v>
      </c>
      <c r="G206" s="26">
        <v>1</v>
      </c>
      <c r="H206" s="26"/>
      <c r="I206" s="1070"/>
      <c r="J206" s="1070"/>
      <c r="K206" s="1070"/>
      <c r="L206" s="1071"/>
      <c r="M206" s="1070"/>
      <c r="N206" s="1055">
        <f>SUM(N207:O209)</f>
        <v>0</v>
      </c>
      <c r="O206" s="1055">
        <f>SUM(O207:P209)</f>
        <v>285302</v>
      </c>
      <c r="P206" s="1055">
        <f>SUM(P207:P209)</f>
        <v>285302</v>
      </c>
      <c r="Q206" s="1055">
        <f>SUM(Q207:Q209)</f>
        <v>3580017</v>
      </c>
      <c r="R206" s="1055">
        <f>SUM(R207:R209)</f>
        <v>0</v>
      </c>
    </row>
    <row r="207" spans="1:18">
      <c r="A207" s="1120" t="s">
        <v>1096</v>
      </c>
      <c r="B207" s="1257"/>
      <c r="C207" s="1210" t="s">
        <v>1096</v>
      </c>
      <c r="D207" s="639"/>
      <c r="E207" s="14" t="s">
        <v>494</v>
      </c>
      <c r="F207" s="18" t="s">
        <v>6555</v>
      </c>
      <c r="G207" s="1234">
        <f>'tkeHA HH'!E84/1000</f>
        <v>0.78400000000000003</v>
      </c>
      <c r="H207" s="29"/>
      <c r="I207" s="23"/>
      <c r="J207" s="23"/>
      <c r="K207" s="25">
        <v>242754</v>
      </c>
      <c r="L207" s="1352">
        <v>1739029.5999999999</v>
      </c>
      <c r="M207" s="25">
        <v>0</v>
      </c>
      <c r="N207" s="23"/>
      <c r="O207" s="807">
        <f t="shared" ref="O207:R210" si="31">ROUND($G207*J207,0)</f>
        <v>0</v>
      </c>
      <c r="P207" s="807">
        <f t="shared" si="31"/>
        <v>190319</v>
      </c>
      <c r="Q207" s="807">
        <f t="shared" si="31"/>
        <v>1363399</v>
      </c>
      <c r="R207" s="807">
        <f t="shared" si="31"/>
        <v>0</v>
      </c>
    </row>
    <row r="208" spans="1:18">
      <c r="A208" s="1120" t="s">
        <v>2606</v>
      </c>
      <c r="B208" s="1257"/>
      <c r="C208" s="1210" t="s">
        <v>2606</v>
      </c>
      <c r="D208" s="639"/>
      <c r="E208" s="14" t="s">
        <v>6607</v>
      </c>
      <c r="F208" s="18" t="s">
        <v>6555</v>
      </c>
      <c r="G208" s="1234">
        <f>'tkeHA HH'!G84/1000</f>
        <v>0.39200000000000002</v>
      </c>
      <c r="H208" s="29"/>
      <c r="I208" s="23"/>
      <c r="J208" s="23"/>
      <c r="K208" s="25">
        <v>242304</v>
      </c>
      <c r="L208" s="1352">
        <v>3683361.4999999995</v>
      </c>
      <c r="M208" s="25">
        <v>0</v>
      </c>
      <c r="N208" s="23"/>
      <c r="O208" s="807">
        <f t="shared" si="31"/>
        <v>0</v>
      </c>
      <c r="P208" s="807">
        <f t="shared" si="31"/>
        <v>94983</v>
      </c>
      <c r="Q208" s="807">
        <f t="shared" si="31"/>
        <v>1443878</v>
      </c>
      <c r="R208" s="807">
        <f t="shared" si="31"/>
        <v>0</v>
      </c>
    </row>
    <row r="209" spans="1:18">
      <c r="A209" s="1120" t="s">
        <v>2607</v>
      </c>
      <c r="B209" s="1257"/>
      <c r="C209" s="1210" t="s">
        <v>2607</v>
      </c>
      <c r="D209" s="639"/>
      <c r="E209" s="14" t="s">
        <v>6608</v>
      </c>
      <c r="F209" s="18" t="s">
        <v>1000</v>
      </c>
      <c r="G209" s="1217">
        <f>'tkeHA HH'!Y84</f>
        <v>12</v>
      </c>
      <c r="H209" s="29"/>
      <c r="I209" s="23"/>
      <c r="J209" s="23"/>
      <c r="K209" s="25">
        <v>0</v>
      </c>
      <c r="L209" s="25">
        <v>64395</v>
      </c>
      <c r="M209" s="25">
        <v>0</v>
      </c>
      <c r="N209" s="23"/>
      <c r="O209" s="807">
        <f t="shared" si="31"/>
        <v>0</v>
      </c>
      <c r="P209" s="807">
        <f t="shared" si="31"/>
        <v>0</v>
      </c>
      <c r="Q209" s="807">
        <f t="shared" si="31"/>
        <v>772740</v>
      </c>
      <c r="R209" s="807">
        <f t="shared" si="31"/>
        <v>0</v>
      </c>
    </row>
    <row r="210" spans="1:18">
      <c r="A210" s="1120"/>
      <c r="B210" s="1257"/>
      <c r="C210" s="1353"/>
      <c r="D210" s="1354"/>
      <c r="E210" s="1228"/>
      <c r="F210" s="1355"/>
      <c r="G210" s="1356"/>
      <c r="H210" s="1357"/>
      <c r="I210" s="1229"/>
      <c r="J210" s="1229"/>
      <c r="K210" s="1358"/>
      <c r="L210" s="1358"/>
      <c r="M210" s="1358"/>
      <c r="N210" s="1229">
        <f>ROUND($G210*I210,0)</f>
        <v>0</v>
      </c>
      <c r="O210" s="1359">
        <f t="shared" si="31"/>
        <v>0</v>
      </c>
      <c r="P210" s="1359">
        <f t="shared" si="31"/>
        <v>0</v>
      </c>
      <c r="Q210" s="1359">
        <f t="shared" si="31"/>
        <v>0</v>
      </c>
      <c r="R210" s="1359">
        <f t="shared" si="31"/>
        <v>0</v>
      </c>
    </row>
    <row r="211" spans="1:18">
      <c r="A211" s="198"/>
      <c r="B211" s="1360" t="s">
        <v>4065</v>
      </c>
      <c r="C211" s="1361"/>
      <c r="D211" s="1362"/>
      <c r="E211" s="1363" t="s">
        <v>3452</v>
      </c>
      <c r="F211" s="242"/>
      <c r="G211" s="1364"/>
      <c r="H211" s="242"/>
      <c r="I211" s="242"/>
      <c r="J211" s="242"/>
      <c r="K211" s="242"/>
      <c r="L211" s="242"/>
      <c r="M211" s="242"/>
      <c r="N211" s="1365"/>
      <c r="O211" s="1365"/>
      <c r="P211" s="1365"/>
      <c r="Q211" s="1365"/>
      <c r="R211" s="1365"/>
    </row>
  </sheetData>
  <mergeCells count="9">
    <mergeCell ref="B2:R2"/>
    <mergeCell ref="B3:R3"/>
    <mergeCell ref="G5:G6"/>
    <mergeCell ref="H5:H6"/>
    <mergeCell ref="B5:B6"/>
    <mergeCell ref="C5:C6"/>
    <mergeCell ref="D5:D6"/>
    <mergeCell ref="E5:E6"/>
    <mergeCell ref="F5:F6"/>
  </mergeCells>
  <phoneticPr fontId="75" type="noConversion"/>
  <printOptions horizontalCentered="1"/>
  <pageMargins left="0.19685039370078741" right="0.19685039370078741" top="0.39370078740157483" bottom="0.39370078740157483" header="0.19685039370078741" footer="0.27559055118110237"/>
  <pageSetup paperSize="9" scale="92" firstPageNumber="32" orientation="landscape" blackAndWhite="1" useFirstPageNumber="1" r:id="rId1"/>
  <headerFooter alignWithMargins="0"/>
  <ignoredErrors>
    <ignoredError sqref="N97" formula="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indexed="22"/>
  </sheetPr>
  <dimension ref="A1:AK93"/>
  <sheetViews>
    <sheetView showZeros="0" workbookViewId="0">
      <pane xSplit="4" ySplit="4" topLeftCell="E49" activePane="bottomRight" state="frozen"/>
      <selection activeCell="C10" sqref="C10:D10"/>
      <selection pane="topRight" activeCell="C10" sqref="C10:D10"/>
      <selection pane="bottomLeft" activeCell="C10" sqref="C10:D10"/>
      <selection pane="bottomRight" activeCell="C10" sqref="C10:D10"/>
    </sheetView>
  </sheetViews>
  <sheetFormatPr defaultColWidth="9.33203125" defaultRowHeight="12.75"/>
  <cols>
    <col min="1" max="1" width="15.83203125" style="53" customWidth="1"/>
    <col min="2" max="2" width="10.1640625" style="53" customWidth="1"/>
    <col min="3" max="3" width="5.33203125" style="38" customWidth="1"/>
    <col min="4" max="4" width="4.83203125" style="38" customWidth="1"/>
    <col min="5" max="5" width="5.83203125" style="38" customWidth="1"/>
    <col min="6" max="6" width="4" style="38" customWidth="1"/>
    <col min="7" max="8" width="6.83203125" style="38" customWidth="1"/>
    <col min="9" max="29" width="4" style="38" customWidth="1"/>
    <col min="30" max="31" width="4" style="953" customWidth="1"/>
    <col min="32" max="35" width="4" style="38" customWidth="1"/>
    <col min="36" max="36" width="15.83203125" style="38" customWidth="1"/>
    <col min="37" max="16384" width="9.33203125" style="38"/>
  </cols>
  <sheetData>
    <row r="1" spans="1:36" ht="18.75">
      <c r="A1" s="2111" t="s">
        <v>3627</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row>
    <row r="2" spans="1:36" ht="8.25" customHeight="1"/>
    <row r="3" spans="1:36" ht="14.25" customHeight="1">
      <c r="A3" s="2071" t="s">
        <v>2541</v>
      </c>
      <c r="B3" s="2071" t="s">
        <v>2542</v>
      </c>
      <c r="C3" s="2071" t="s">
        <v>2543</v>
      </c>
      <c r="D3" s="56" t="s">
        <v>2544</v>
      </c>
      <c r="E3" s="56"/>
      <c r="F3" s="56"/>
      <c r="G3" s="56"/>
      <c r="H3" s="56"/>
      <c r="I3" s="2078" t="s">
        <v>5201</v>
      </c>
      <c r="J3" s="2079"/>
      <c r="K3" s="2080"/>
      <c r="L3" s="2079" t="s">
        <v>2596</v>
      </c>
      <c r="M3" s="2079"/>
      <c r="N3" s="2079"/>
      <c r="O3" s="2079"/>
      <c r="P3" s="2079"/>
      <c r="Q3" s="2080"/>
      <c r="R3" s="1379"/>
      <c r="S3" s="56" t="s">
        <v>2547</v>
      </c>
      <c r="T3" s="56"/>
      <c r="U3" s="56"/>
      <c r="V3" s="56"/>
      <c r="W3" s="2068" t="s">
        <v>4348</v>
      </c>
      <c r="X3" s="2068" t="s">
        <v>956</v>
      </c>
      <c r="Y3" s="2076" t="s">
        <v>2597</v>
      </c>
      <c r="Z3" s="2068" t="s">
        <v>2598</v>
      </c>
      <c r="AA3" s="2068" t="s">
        <v>2599</v>
      </c>
      <c r="AB3" s="2068" t="s">
        <v>3334</v>
      </c>
      <c r="AC3" s="2068" t="s">
        <v>3333</v>
      </c>
      <c r="AD3" s="2069" t="s">
        <v>5846</v>
      </c>
      <c r="AE3" s="2069" t="s">
        <v>5519</v>
      </c>
      <c r="AF3" s="2068" t="s">
        <v>5827</v>
      </c>
      <c r="AG3" s="2068" t="s">
        <v>2600</v>
      </c>
      <c r="AH3" s="2109" t="s">
        <v>2381</v>
      </c>
      <c r="AI3" s="2107" t="s">
        <v>2601</v>
      </c>
      <c r="AJ3" s="2063" t="s">
        <v>6403</v>
      </c>
    </row>
    <row r="4" spans="1:36" ht="163.5" customHeight="1">
      <c r="A4" s="2074"/>
      <c r="B4" s="2071"/>
      <c r="C4" s="2071"/>
      <c r="D4" s="51" t="s">
        <v>1892</v>
      </c>
      <c r="E4" s="51" t="s">
        <v>3494</v>
      </c>
      <c r="F4" s="51" t="s">
        <v>3495</v>
      </c>
      <c r="G4" s="51" t="s">
        <v>3496</v>
      </c>
      <c r="H4" s="51" t="s">
        <v>5199</v>
      </c>
      <c r="I4" s="51" t="s">
        <v>3891</v>
      </c>
      <c r="J4" s="51" t="s">
        <v>3960</v>
      </c>
      <c r="K4" s="51" t="s">
        <v>5691</v>
      </c>
      <c r="L4" s="51" t="s">
        <v>3961</v>
      </c>
      <c r="M4" s="51" t="s">
        <v>405</v>
      </c>
      <c r="N4" s="51" t="s">
        <v>406</v>
      </c>
      <c r="O4" s="75" t="s">
        <v>2593</v>
      </c>
      <c r="P4" s="75" t="s">
        <v>2594</v>
      </c>
      <c r="Q4" s="75" t="s">
        <v>2595</v>
      </c>
      <c r="R4" s="75" t="s">
        <v>2613</v>
      </c>
      <c r="S4" s="51" t="s">
        <v>2193</v>
      </c>
      <c r="T4" s="51" t="s">
        <v>2376</v>
      </c>
      <c r="U4" s="75" t="s">
        <v>407</v>
      </c>
      <c r="V4" s="75" t="s">
        <v>408</v>
      </c>
      <c r="W4" s="2068"/>
      <c r="X4" s="2068"/>
      <c r="Y4" s="2077"/>
      <c r="Z4" s="2068"/>
      <c r="AA4" s="2068"/>
      <c r="AB4" s="2068"/>
      <c r="AC4" s="2068"/>
      <c r="AD4" s="2069"/>
      <c r="AE4" s="2069"/>
      <c r="AF4" s="2068"/>
      <c r="AG4" s="2068"/>
      <c r="AH4" s="2110"/>
      <c r="AI4" s="2108"/>
      <c r="AJ4" s="2063"/>
    </row>
    <row r="5" spans="1:36">
      <c r="A5" s="60"/>
      <c r="B5" s="61"/>
      <c r="C5" s="62"/>
      <c r="D5" s="63"/>
      <c r="E5" s="63"/>
      <c r="F5" s="63"/>
      <c r="G5" s="63"/>
      <c r="H5" s="63"/>
      <c r="I5" s="64"/>
      <c r="J5" s="65"/>
      <c r="K5" s="65"/>
      <c r="L5" s="65"/>
      <c r="M5" s="65"/>
      <c r="N5" s="66"/>
      <c r="O5" s="66"/>
      <c r="P5" s="66"/>
      <c r="Q5" s="66"/>
      <c r="R5" s="66"/>
      <c r="S5" s="67"/>
      <c r="T5" s="67"/>
      <c r="U5" s="67"/>
      <c r="V5" s="67"/>
      <c r="W5" s="67"/>
      <c r="X5" s="67"/>
      <c r="Y5" s="67"/>
      <c r="Z5" s="67"/>
      <c r="AA5" s="67"/>
      <c r="AB5" s="67"/>
      <c r="AC5" s="67"/>
      <c r="AD5" s="952"/>
      <c r="AE5" s="952"/>
      <c r="AF5" s="67"/>
      <c r="AG5" s="67"/>
      <c r="AH5" s="67"/>
      <c r="AI5" s="67"/>
      <c r="AJ5" s="67"/>
    </row>
    <row r="6" spans="1:36" hidden="1">
      <c r="A6" s="931">
        <v>1</v>
      </c>
      <c r="B6" s="71" t="s">
        <v>3120</v>
      </c>
      <c r="C6" s="70"/>
      <c r="D6" s="73">
        <v>0.6</v>
      </c>
      <c r="E6" s="71"/>
      <c r="F6" s="71"/>
      <c r="G6" s="71"/>
      <c r="H6" s="71"/>
      <c r="I6" s="72"/>
      <c r="J6" s="72"/>
      <c r="K6" s="72">
        <v>1</v>
      </c>
      <c r="L6" s="72"/>
      <c r="M6" s="72"/>
      <c r="N6" s="71"/>
      <c r="O6" s="71">
        <v>1</v>
      </c>
      <c r="P6" s="71"/>
      <c r="Q6" s="71"/>
      <c r="R6" s="71"/>
      <c r="S6" s="72"/>
      <c r="T6" s="72"/>
      <c r="U6" s="72"/>
      <c r="V6" s="72"/>
      <c r="W6" s="72"/>
      <c r="X6" s="72"/>
      <c r="Y6" s="72"/>
      <c r="Z6" s="72"/>
      <c r="AA6" s="72"/>
      <c r="AB6" s="72"/>
      <c r="AC6" s="72"/>
      <c r="AD6" s="954"/>
      <c r="AE6" s="954"/>
      <c r="AF6" s="72"/>
      <c r="AG6" s="72"/>
      <c r="AH6" s="72"/>
      <c r="AI6" s="72"/>
      <c r="AJ6" s="72"/>
    </row>
    <row r="7" spans="1:36" hidden="1">
      <c r="A7" s="931"/>
      <c r="B7" s="71" t="s">
        <v>3121</v>
      </c>
      <c r="C7" s="70"/>
      <c r="D7" s="73">
        <v>0.6</v>
      </c>
      <c r="E7" s="73"/>
      <c r="F7" s="73"/>
      <c r="G7" s="73"/>
      <c r="H7" s="73"/>
      <c r="I7" s="72"/>
      <c r="J7" s="72"/>
      <c r="K7" s="72">
        <v>1</v>
      </c>
      <c r="L7" s="72"/>
      <c r="M7" s="72"/>
      <c r="N7" s="71"/>
      <c r="O7" s="71">
        <v>1</v>
      </c>
      <c r="P7" s="71"/>
      <c r="Q7" s="71"/>
      <c r="R7" s="71"/>
      <c r="S7" s="72"/>
      <c r="T7" s="72"/>
      <c r="U7" s="72">
        <v>1</v>
      </c>
      <c r="V7" s="72"/>
      <c r="W7" s="72"/>
      <c r="X7" s="72"/>
      <c r="Y7" s="72"/>
      <c r="Z7" s="72"/>
      <c r="AA7" s="72"/>
      <c r="AB7" s="72"/>
      <c r="AC7" s="72"/>
      <c r="AD7" s="954"/>
      <c r="AE7" s="954"/>
      <c r="AF7" s="72"/>
      <c r="AG7" s="72"/>
      <c r="AH7" s="72"/>
      <c r="AI7" s="72"/>
      <c r="AJ7" s="72"/>
    </row>
    <row r="8" spans="1:36" hidden="1">
      <c r="A8" s="931"/>
      <c r="B8" s="71" t="s">
        <v>3122</v>
      </c>
      <c r="C8" s="70"/>
      <c r="D8" s="73">
        <v>0.6</v>
      </c>
      <c r="E8" s="73"/>
      <c r="F8" s="73"/>
      <c r="G8" s="73"/>
      <c r="H8" s="73"/>
      <c r="I8" s="72"/>
      <c r="J8" s="72"/>
      <c r="K8" s="72">
        <v>1</v>
      </c>
      <c r="L8" s="72"/>
      <c r="M8" s="72"/>
      <c r="N8" s="71"/>
      <c r="O8" s="71">
        <v>1</v>
      </c>
      <c r="P8" s="71"/>
      <c r="Q8" s="71"/>
      <c r="R8" s="71"/>
      <c r="S8" s="72"/>
      <c r="T8" s="72"/>
      <c r="U8" s="72">
        <v>2</v>
      </c>
      <c r="V8" s="72"/>
      <c r="W8" s="72"/>
      <c r="X8" s="72"/>
      <c r="Y8" s="72"/>
      <c r="Z8" s="72"/>
      <c r="AA8" s="72"/>
      <c r="AB8" s="72"/>
      <c r="AC8" s="72"/>
      <c r="AD8" s="954"/>
      <c r="AE8" s="954"/>
      <c r="AF8" s="72"/>
      <c r="AG8" s="72"/>
      <c r="AH8" s="72"/>
      <c r="AI8" s="72"/>
      <c r="AJ8" s="72"/>
    </row>
    <row r="9" spans="1:36" hidden="1">
      <c r="A9" s="931"/>
      <c r="B9" s="71" t="s">
        <v>3123</v>
      </c>
      <c r="C9" s="70"/>
      <c r="D9" s="73">
        <v>0.6</v>
      </c>
      <c r="E9" s="73"/>
      <c r="F9" s="73"/>
      <c r="G9" s="73"/>
      <c r="H9" s="73"/>
      <c r="I9" s="72"/>
      <c r="J9" s="72"/>
      <c r="K9" s="72">
        <v>1</v>
      </c>
      <c r="L9" s="72"/>
      <c r="M9" s="72"/>
      <c r="N9" s="71"/>
      <c r="O9" s="71">
        <v>1</v>
      </c>
      <c r="P9" s="71"/>
      <c r="Q9" s="71"/>
      <c r="R9" s="71"/>
      <c r="S9" s="72"/>
      <c r="T9" s="72"/>
      <c r="U9" s="72">
        <v>2</v>
      </c>
      <c r="V9" s="72"/>
      <c r="W9" s="72"/>
      <c r="X9" s="72"/>
      <c r="Y9" s="72"/>
      <c r="Z9" s="72"/>
      <c r="AA9" s="72"/>
      <c r="AB9" s="72"/>
      <c r="AC9" s="72"/>
      <c r="AD9" s="954"/>
      <c r="AE9" s="954"/>
      <c r="AF9" s="72"/>
      <c r="AG9" s="72"/>
      <c r="AH9" s="72"/>
      <c r="AI9" s="72"/>
      <c r="AJ9" s="72"/>
    </row>
    <row r="10" spans="1:36" hidden="1">
      <c r="A10" s="931"/>
      <c r="B10" s="71" t="s">
        <v>3124</v>
      </c>
      <c r="C10" s="70"/>
      <c r="D10" s="73">
        <v>0.6</v>
      </c>
      <c r="E10" s="73"/>
      <c r="F10" s="73"/>
      <c r="G10" s="73"/>
      <c r="H10" s="73"/>
      <c r="I10" s="72"/>
      <c r="J10" s="72"/>
      <c r="K10" s="72">
        <v>1</v>
      </c>
      <c r="L10" s="72"/>
      <c r="M10" s="72"/>
      <c r="N10" s="71"/>
      <c r="O10" s="71">
        <v>1</v>
      </c>
      <c r="P10" s="71"/>
      <c r="Q10" s="71"/>
      <c r="R10" s="71"/>
      <c r="S10" s="72"/>
      <c r="T10" s="72"/>
      <c r="U10" s="72">
        <v>1</v>
      </c>
      <c r="V10" s="72"/>
      <c r="W10" s="72"/>
      <c r="X10" s="72"/>
      <c r="Y10" s="72"/>
      <c r="Z10" s="72"/>
      <c r="AA10" s="72"/>
      <c r="AB10" s="72"/>
      <c r="AC10" s="72"/>
      <c r="AD10" s="954"/>
      <c r="AE10" s="954"/>
      <c r="AF10" s="72"/>
      <c r="AG10" s="72"/>
      <c r="AH10" s="72"/>
      <c r="AI10" s="72"/>
      <c r="AJ10" s="72"/>
    </row>
    <row r="11" spans="1:36" hidden="1">
      <c r="A11" s="931"/>
      <c r="B11" s="954"/>
      <c r="C11" s="70"/>
      <c r="D11" s="73"/>
      <c r="E11" s="73"/>
      <c r="F11" s="73"/>
      <c r="G11" s="73"/>
      <c r="H11" s="73"/>
      <c r="I11" s="72"/>
      <c r="J11" s="72"/>
      <c r="K11" s="72"/>
      <c r="L11" s="72"/>
      <c r="M11" s="72"/>
      <c r="N11" s="71"/>
      <c r="O11" s="71"/>
      <c r="P11" s="71"/>
      <c r="Q11" s="71"/>
      <c r="R11" s="71"/>
      <c r="S11" s="72"/>
      <c r="T11" s="72"/>
      <c r="U11" s="72"/>
      <c r="V11" s="72"/>
      <c r="W11" s="72"/>
      <c r="X11" s="72"/>
      <c r="Y11" s="72"/>
      <c r="Z11" s="72"/>
      <c r="AA11" s="72"/>
      <c r="AB11" s="72"/>
      <c r="AC11" s="72"/>
      <c r="AD11" s="954"/>
      <c r="AE11" s="954"/>
      <c r="AF11" s="72"/>
      <c r="AG11" s="72"/>
      <c r="AH11" s="72"/>
      <c r="AI11" s="72"/>
      <c r="AJ11" s="72"/>
    </row>
    <row r="12" spans="1:36" hidden="1">
      <c r="A12" s="931">
        <v>2</v>
      </c>
      <c r="B12" s="71" t="s">
        <v>3125</v>
      </c>
      <c r="C12" s="70"/>
      <c r="D12" s="73">
        <v>0.6</v>
      </c>
      <c r="E12" s="71"/>
      <c r="F12" s="71"/>
      <c r="G12" s="71"/>
      <c r="H12" s="71"/>
      <c r="I12" s="72"/>
      <c r="J12" s="72"/>
      <c r="K12" s="72">
        <v>1</v>
      </c>
      <c r="L12" s="72"/>
      <c r="M12" s="72"/>
      <c r="N12" s="71"/>
      <c r="O12" s="71">
        <v>1</v>
      </c>
      <c r="P12" s="71"/>
      <c r="Q12" s="71"/>
      <c r="R12" s="71"/>
      <c r="S12" s="72"/>
      <c r="T12" s="72"/>
      <c r="U12" s="72">
        <v>1</v>
      </c>
      <c r="V12" s="72"/>
      <c r="W12" s="72"/>
      <c r="X12" s="72"/>
      <c r="Y12" s="72"/>
      <c r="Z12" s="72"/>
      <c r="AA12" s="72"/>
      <c r="AB12" s="72"/>
      <c r="AC12" s="72"/>
      <c r="AD12" s="954"/>
      <c r="AE12" s="954">
        <v>6</v>
      </c>
      <c r="AF12" s="72"/>
      <c r="AG12" s="72"/>
      <c r="AH12" s="72"/>
      <c r="AI12" s="72"/>
      <c r="AJ12" s="72"/>
    </row>
    <row r="13" spans="1:36" hidden="1">
      <c r="A13" s="931"/>
      <c r="B13" s="71" t="s">
        <v>3126</v>
      </c>
      <c r="C13" s="70"/>
      <c r="D13" s="73">
        <v>0.6</v>
      </c>
      <c r="E13" s="73"/>
      <c r="F13" s="73"/>
      <c r="G13" s="73"/>
      <c r="H13" s="73"/>
      <c r="I13" s="72"/>
      <c r="J13" s="72"/>
      <c r="K13" s="72">
        <v>1</v>
      </c>
      <c r="L13" s="72"/>
      <c r="M13" s="72"/>
      <c r="N13" s="71"/>
      <c r="O13" s="71">
        <v>1</v>
      </c>
      <c r="P13" s="71"/>
      <c r="Q13" s="71"/>
      <c r="R13" s="71"/>
      <c r="S13" s="72"/>
      <c r="T13" s="72"/>
      <c r="U13" s="72">
        <v>1</v>
      </c>
      <c r="V13" s="72"/>
      <c r="W13" s="72"/>
      <c r="X13" s="72"/>
      <c r="Y13" s="72"/>
      <c r="Z13" s="72"/>
      <c r="AA13" s="72"/>
      <c r="AB13" s="72"/>
      <c r="AC13" s="72"/>
      <c r="AD13" s="954"/>
      <c r="AE13" s="954">
        <v>6</v>
      </c>
      <c r="AF13" s="72"/>
      <c r="AG13" s="72"/>
      <c r="AH13" s="72"/>
      <c r="AI13" s="72"/>
      <c r="AJ13" s="72"/>
    </row>
    <row r="14" spans="1:36" hidden="1">
      <c r="A14" s="931"/>
      <c r="B14" s="71" t="s">
        <v>3127</v>
      </c>
      <c r="C14" s="70"/>
      <c r="D14" s="73">
        <v>0.6</v>
      </c>
      <c r="E14" s="73"/>
      <c r="F14" s="73"/>
      <c r="G14" s="73"/>
      <c r="H14" s="73"/>
      <c r="I14" s="72"/>
      <c r="J14" s="72"/>
      <c r="K14" s="72">
        <v>1</v>
      </c>
      <c r="L14" s="72"/>
      <c r="M14" s="72"/>
      <c r="N14" s="71"/>
      <c r="O14" s="71">
        <v>1</v>
      </c>
      <c r="P14" s="71"/>
      <c r="Q14" s="71"/>
      <c r="R14" s="71"/>
      <c r="S14" s="72"/>
      <c r="T14" s="72"/>
      <c r="U14" s="72">
        <v>3</v>
      </c>
      <c r="V14" s="72"/>
      <c r="W14" s="72"/>
      <c r="X14" s="72"/>
      <c r="Y14" s="72"/>
      <c r="Z14" s="72"/>
      <c r="AA14" s="72"/>
      <c r="AB14" s="72"/>
      <c r="AC14" s="72"/>
      <c r="AD14" s="954"/>
      <c r="AE14" s="954">
        <v>6</v>
      </c>
      <c r="AF14" s="72"/>
      <c r="AG14" s="72"/>
      <c r="AH14" s="72"/>
      <c r="AI14" s="72"/>
      <c r="AJ14" s="72"/>
    </row>
    <row r="15" spans="1:36" hidden="1">
      <c r="A15" s="931"/>
      <c r="B15" s="71" t="s">
        <v>3128</v>
      </c>
      <c r="C15" s="70"/>
      <c r="D15" s="73">
        <v>0.6</v>
      </c>
      <c r="E15" s="73"/>
      <c r="F15" s="73"/>
      <c r="G15" s="73"/>
      <c r="H15" s="73"/>
      <c r="I15" s="72"/>
      <c r="J15" s="72"/>
      <c r="K15" s="72">
        <v>1</v>
      </c>
      <c r="L15" s="72"/>
      <c r="M15" s="72"/>
      <c r="N15" s="71"/>
      <c r="O15" s="71">
        <v>1</v>
      </c>
      <c r="P15" s="71"/>
      <c r="Q15" s="71"/>
      <c r="R15" s="71"/>
      <c r="S15" s="72"/>
      <c r="T15" s="72"/>
      <c r="U15" s="72">
        <v>3</v>
      </c>
      <c r="V15" s="72"/>
      <c r="W15" s="72"/>
      <c r="X15" s="72"/>
      <c r="Y15" s="72"/>
      <c r="Z15" s="72"/>
      <c r="AA15" s="72"/>
      <c r="AB15" s="72"/>
      <c r="AC15" s="72"/>
      <c r="AD15" s="954"/>
      <c r="AE15" s="954">
        <v>6</v>
      </c>
      <c r="AF15" s="72"/>
      <c r="AG15" s="72"/>
      <c r="AH15" s="72"/>
      <c r="AI15" s="72"/>
      <c r="AJ15" s="72"/>
    </row>
    <row r="16" spans="1:36" hidden="1">
      <c r="A16" s="931"/>
      <c r="B16" s="71" t="s">
        <v>3129</v>
      </c>
      <c r="C16" s="70"/>
      <c r="D16" s="73">
        <v>0.6</v>
      </c>
      <c r="E16" s="73"/>
      <c r="F16" s="73"/>
      <c r="G16" s="73"/>
      <c r="H16" s="73"/>
      <c r="I16" s="72"/>
      <c r="J16" s="72"/>
      <c r="K16" s="72">
        <v>1</v>
      </c>
      <c r="L16" s="72"/>
      <c r="M16" s="72"/>
      <c r="N16" s="71"/>
      <c r="O16" s="71">
        <v>1</v>
      </c>
      <c r="P16" s="71"/>
      <c r="Q16" s="71"/>
      <c r="R16" s="71"/>
      <c r="S16" s="72"/>
      <c r="T16" s="72"/>
      <c r="U16" s="72">
        <v>2</v>
      </c>
      <c r="V16" s="72"/>
      <c r="W16" s="72"/>
      <c r="X16" s="72"/>
      <c r="Y16" s="72"/>
      <c r="Z16" s="72"/>
      <c r="AA16" s="72"/>
      <c r="AB16" s="72"/>
      <c r="AC16" s="72"/>
      <c r="AD16" s="954"/>
      <c r="AE16" s="954">
        <v>6</v>
      </c>
      <c r="AF16" s="72"/>
      <c r="AG16" s="72"/>
      <c r="AH16" s="72"/>
      <c r="AI16" s="72"/>
      <c r="AJ16" s="72"/>
    </row>
    <row r="17" spans="1:36" hidden="1">
      <c r="A17" s="931"/>
      <c r="B17" s="72"/>
      <c r="C17" s="70"/>
      <c r="D17" s="73"/>
      <c r="E17" s="73"/>
      <c r="F17" s="73"/>
      <c r="G17" s="73"/>
      <c r="H17" s="73"/>
      <c r="I17" s="72"/>
      <c r="J17" s="72"/>
      <c r="K17" s="72"/>
      <c r="L17" s="72"/>
      <c r="M17" s="72"/>
      <c r="N17" s="71"/>
      <c r="O17" s="71"/>
      <c r="P17" s="71"/>
      <c r="Q17" s="71"/>
      <c r="R17" s="71"/>
      <c r="S17" s="72"/>
      <c r="T17" s="72"/>
      <c r="U17" s="72"/>
      <c r="V17" s="72"/>
      <c r="W17" s="72"/>
      <c r="X17" s="72"/>
      <c r="Y17" s="72"/>
      <c r="Z17" s="72"/>
      <c r="AA17" s="72"/>
      <c r="AB17" s="72"/>
      <c r="AC17" s="72"/>
      <c r="AD17" s="954"/>
      <c r="AE17" s="954"/>
      <c r="AF17" s="72"/>
      <c r="AG17" s="72"/>
      <c r="AH17" s="72"/>
      <c r="AI17" s="72"/>
      <c r="AJ17" s="72"/>
    </row>
    <row r="18" spans="1:36" hidden="1">
      <c r="A18" s="931">
        <v>3</v>
      </c>
      <c r="B18" s="943" t="s">
        <v>3130</v>
      </c>
      <c r="C18" s="70"/>
      <c r="D18" s="73">
        <v>0.8</v>
      </c>
      <c r="E18" s="71"/>
      <c r="F18" s="71"/>
      <c r="G18" s="71"/>
      <c r="H18" s="71"/>
      <c r="I18" s="72"/>
      <c r="J18" s="72"/>
      <c r="K18" s="72">
        <v>1</v>
      </c>
      <c r="L18" s="72"/>
      <c r="M18" s="72"/>
      <c r="N18" s="71"/>
      <c r="O18" s="71">
        <v>1</v>
      </c>
      <c r="P18" s="71"/>
      <c r="Q18" s="71"/>
      <c r="R18" s="71"/>
      <c r="S18" s="72"/>
      <c r="T18" s="72"/>
      <c r="U18" s="72"/>
      <c r="V18" s="72"/>
      <c r="W18" s="72"/>
      <c r="X18" s="72"/>
      <c r="Y18" s="72"/>
      <c r="Z18" s="72"/>
      <c r="AA18" s="72"/>
      <c r="AB18" s="72"/>
      <c r="AC18" s="72"/>
      <c r="AD18" s="954"/>
      <c r="AE18" s="954"/>
      <c r="AF18" s="72"/>
      <c r="AG18" s="72"/>
      <c r="AH18" s="72"/>
      <c r="AI18" s="72"/>
      <c r="AJ18" s="72"/>
    </row>
    <row r="19" spans="1:36" hidden="1">
      <c r="A19" s="931"/>
      <c r="B19" s="943" t="s">
        <v>3131</v>
      </c>
      <c r="C19" s="70"/>
      <c r="D19" s="73">
        <v>0.8</v>
      </c>
      <c r="E19" s="73"/>
      <c r="F19" s="73"/>
      <c r="G19" s="73"/>
      <c r="H19" s="73"/>
      <c r="I19" s="72"/>
      <c r="J19" s="72"/>
      <c r="K19" s="72">
        <v>1</v>
      </c>
      <c r="L19" s="72"/>
      <c r="M19" s="72"/>
      <c r="N19" s="71"/>
      <c r="O19" s="71">
        <v>1</v>
      </c>
      <c r="P19" s="71"/>
      <c r="Q19" s="71"/>
      <c r="R19" s="71"/>
      <c r="S19" s="72"/>
      <c r="T19" s="72"/>
      <c r="U19" s="72">
        <v>1</v>
      </c>
      <c r="V19" s="72"/>
      <c r="W19" s="72"/>
      <c r="X19" s="72"/>
      <c r="Y19" s="72"/>
      <c r="Z19" s="72"/>
      <c r="AA19" s="72"/>
      <c r="AB19" s="72"/>
      <c r="AC19" s="72"/>
      <c r="AD19" s="954"/>
      <c r="AE19" s="954"/>
      <c r="AF19" s="72"/>
      <c r="AG19" s="72"/>
      <c r="AH19" s="72"/>
      <c r="AI19" s="72"/>
      <c r="AJ19" s="72"/>
    </row>
    <row r="20" spans="1:36" hidden="1">
      <c r="A20" s="931"/>
      <c r="B20" s="943" t="s">
        <v>3132</v>
      </c>
      <c r="C20" s="70"/>
      <c r="D20" s="73">
        <v>0.8</v>
      </c>
      <c r="E20" s="73"/>
      <c r="F20" s="73"/>
      <c r="G20" s="73"/>
      <c r="H20" s="73"/>
      <c r="I20" s="72"/>
      <c r="J20" s="72"/>
      <c r="K20" s="72">
        <v>1</v>
      </c>
      <c r="L20" s="72"/>
      <c r="M20" s="72"/>
      <c r="N20" s="71"/>
      <c r="O20" s="71">
        <v>1</v>
      </c>
      <c r="P20" s="71"/>
      <c r="Q20" s="71"/>
      <c r="R20" s="71"/>
      <c r="S20" s="72"/>
      <c r="T20" s="72"/>
      <c r="U20" s="72">
        <v>2</v>
      </c>
      <c r="V20" s="72"/>
      <c r="W20" s="72"/>
      <c r="X20" s="72"/>
      <c r="Y20" s="72"/>
      <c r="Z20" s="72"/>
      <c r="AA20" s="72"/>
      <c r="AB20" s="72"/>
      <c r="AC20" s="72"/>
      <c r="AD20" s="954"/>
      <c r="AE20" s="954"/>
      <c r="AF20" s="72"/>
      <c r="AG20" s="72"/>
      <c r="AH20" s="72"/>
      <c r="AI20" s="72"/>
      <c r="AJ20" s="72"/>
    </row>
    <row r="21" spans="1:36" hidden="1">
      <c r="A21" s="931"/>
      <c r="B21" s="943" t="s">
        <v>3133</v>
      </c>
      <c r="C21" s="70"/>
      <c r="D21" s="73">
        <v>0.8</v>
      </c>
      <c r="E21" s="73"/>
      <c r="F21" s="73"/>
      <c r="G21" s="73"/>
      <c r="H21" s="73"/>
      <c r="I21" s="72"/>
      <c r="J21" s="72"/>
      <c r="K21" s="72">
        <v>1</v>
      </c>
      <c r="L21" s="72"/>
      <c r="M21" s="72"/>
      <c r="N21" s="71"/>
      <c r="O21" s="71">
        <v>1</v>
      </c>
      <c r="P21" s="71"/>
      <c r="Q21" s="71"/>
      <c r="R21" s="71"/>
      <c r="S21" s="72"/>
      <c r="T21" s="72"/>
      <c r="U21" s="72">
        <v>2</v>
      </c>
      <c r="V21" s="72"/>
      <c r="W21" s="72"/>
      <c r="X21" s="72"/>
      <c r="Y21" s="72"/>
      <c r="Z21" s="72"/>
      <c r="AA21" s="72"/>
      <c r="AB21" s="72"/>
      <c r="AC21" s="72"/>
      <c r="AD21" s="954"/>
      <c r="AE21" s="954"/>
      <c r="AF21" s="72"/>
      <c r="AG21" s="72"/>
      <c r="AH21" s="72"/>
      <c r="AI21" s="72"/>
      <c r="AJ21" s="72"/>
    </row>
    <row r="22" spans="1:36" hidden="1">
      <c r="A22" s="931"/>
      <c r="B22" s="943" t="s">
        <v>3134</v>
      </c>
      <c r="C22" s="70"/>
      <c r="D22" s="73">
        <v>0.8</v>
      </c>
      <c r="E22" s="73"/>
      <c r="F22" s="73"/>
      <c r="G22" s="73"/>
      <c r="H22" s="73"/>
      <c r="I22" s="72"/>
      <c r="J22" s="72"/>
      <c r="K22" s="72">
        <v>1</v>
      </c>
      <c r="L22" s="72"/>
      <c r="M22" s="72"/>
      <c r="N22" s="71"/>
      <c r="O22" s="71">
        <v>1</v>
      </c>
      <c r="P22" s="71"/>
      <c r="Q22" s="71"/>
      <c r="R22" s="71"/>
      <c r="S22" s="72"/>
      <c r="T22" s="72"/>
      <c r="U22" s="72">
        <v>1</v>
      </c>
      <c r="V22" s="72"/>
      <c r="W22" s="72"/>
      <c r="X22" s="72"/>
      <c r="Y22" s="72"/>
      <c r="Z22" s="72"/>
      <c r="AA22" s="72"/>
      <c r="AB22" s="72"/>
      <c r="AC22" s="72"/>
      <c r="AD22" s="954"/>
      <c r="AE22" s="954"/>
      <c r="AF22" s="72"/>
      <c r="AG22" s="72"/>
      <c r="AH22" s="72"/>
      <c r="AI22" s="72"/>
      <c r="AJ22" s="72"/>
    </row>
    <row r="23" spans="1:36" hidden="1">
      <c r="A23" s="931"/>
      <c r="B23" s="72"/>
      <c r="C23" s="70"/>
      <c r="D23" s="73"/>
      <c r="E23" s="73"/>
      <c r="F23" s="73"/>
      <c r="G23" s="73"/>
      <c r="H23" s="73"/>
      <c r="I23" s="72"/>
      <c r="J23" s="72"/>
      <c r="K23" s="72"/>
      <c r="L23" s="72"/>
      <c r="M23" s="72"/>
      <c r="N23" s="71"/>
      <c r="O23" s="71"/>
      <c r="P23" s="71"/>
      <c r="Q23" s="71"/>
      <c r="R23" s="71"/>
      <c r="S23" s="72"/>
      <c r="T23" s="72"/>
      <c r="U23" s="72"/>
      <c r="V23" s="72"/>
      <c r="W23" s="72"/>
      <c r="X23" s="72"/>
      <c r="Y23" s="72"/>
      <c r="Z23" s="72"/>
      <c r="AA23" s="72"/>
      <c r="AB23" s="72"/>
      <c r="AC23" s="72"/>
      <c r="AD23" s="954"/>
      <c r="AE23" s="954"/>
      <c r="AF23" s="72"/>
      <c r="AG23" s="72"/>
      <c r="AH23" s="72"/>
      <c r="AI23" s="72"/>
      <c r="AJ23" s="72"/>
    </row>
    <row r="24" spans="1:36" hidden="1">
      <c r="A24" s="931">
        <v>4</v>
      </c>
      <c r="B24" s="943" t="s">
        <v>3135</v>
      </c>
      <c r="C24" s="70"/>
      <c r="D24" s="73">
        <v>0.8</v>
      </c>
      <c r="E24" s="71"/>
      <c r="F24" s="71"/>
      <c r="G24" s="71"/>
      <c r="H24" s="71"/>
      <c r="I24" s="72"/>
      <c r="J24" s="72"/>
      <c r="K24" s="72">
        <v>1</v>
      </c>
      <c r="L24" s="72"/>
      <c r="M24" s="72"/>
      <c r="N24" s="71"/>
      <c r="O24" s="71">
        <v>1</v>
      </c>
      <c r="P24" s="71"/>
      <c r="Q24" s="71"/>
      <c r="R24" s="71"/>
      <c r="S24" s="72"/>
      <c r="T24" s="72"/>
      <c r="U24" s="72">
        <v>1</v>
      </c>
      <c r="V24" s="72"/>
      <c r="W24" s="72"/>
      <c r="X24" s="72"/>
      <c r="Y24" s="72"/>
      <c r="Z24" s="72"/>
      <c r="AA24" s="72"/>
      <c r="AB24" s="72"/>
      <c r="AC24" s="72"/>
      <c r="AD24" s="954"/>
      <c r="AE24" s="954">
        <v>6</v>
      </c>
      <c r="AF24" s="72"/>
      <c r="AG24" s="72"/>
      <c r="AH24" s="72"/>
      <c r="AI24" s="72"/>
      <c r="AJ24" s="72"/>
    </row>
    <row r="25" spans="1:36" hidden="1">
      <c r="A25" s="931"/>
      <c r="B25" s="943" t="s">
        <v>3136</v>
      </c>
      <c r="C25" s="70"/>
      <c r="D25" s="73">
        <v>0.8</v>
      </c>
      <c r="E25" s="73"/>
      <c r="F25" s="73"/>
      <c r="G25" s="73"/>
      <c r="H25" s="73"/>
      <c r="I25" s="72"/>
      <c r="J25" s="72"/>
      <c r="K25" s="72">
        <v>1</v>
      </c>
      <c r="L25" s="72"/>
      <c r="M25" s="72"/>
      <c r="N25" s="71"/>
      <c r="O25" s="71">
        <v>1</v>
      </c>
      <c r="P25" s="71"/>
      <c r="Q25" s="71"/>
      <c r="R25" s="71"/>
      <c r="S25" s="72"/>
      <c r="T25" s="72"/>
      <c r="U25" s="72">
        <v>1</v>
      </c>
      <c r="V25" s="72"/>
      <c r="W25" s="72"/>
      <c r="X25" s="72"/>
      <c r="Y25" s="72"/>
      <c r="Z25" s="72"/>
      <c r="AA25" s="72"/>
      <c r="AB25" s="72"/>
      <c r="AC25" s="72"/>
      <c r="AD25" s="954"/>
      <c r="AE25" s="954">
        <v>6</v>
      </c>
      <c r="AF25" s="72"/>
      <c r="AG25" s="72"/>
      <c r="AH25" s="72"/>
      <c r="AI25" s="72"/>
      <c r="AJ25" s="72"/>
    </row>
    <row r="26" spans="1:36" hidden="1">
      <c r="A26" s="931"/>
      <c r="B26" s="943" t="s">
        <v>3137</v>
      </c>
      <c r="C26" s="70"/>
      <c r="D26" s="73">
        <v>0.8</v>
      </c>
      <c r="E26" s="73"/>
      <c r="F26" s="73"/>
      <c r="G26" s="73"/>
      <c r="H26" s="73"/>
      <c r="I26" s="72"/>
      <c r="J26" s="72"/>
      <c r="K26" s="72">
        <v>1</v>
      </c>
      <c r="L26" s="72"/>
      <c r="M26" s="72"/>
      <c r="N26" s="71"/>
      <c r="O26" s="71">
        <v>1</v>
      </c>
      <c r="P26" s="71"/>
      <c r="Q26" s="71"/>
      <c r="R26" s="71"/>
      <c r="S26" s="72"/>
      <c r="T26" s="72"/>
      <c r="U26" s="72">
        <v>3</v>
      </c>
      <c r="V26" s="72"/>
      <c r="W26" s="72"/>
      <c r="X26" s="72"/>
      <c r="Y26" s="72"/>
      <c r="Z26" s="72"/>
      <c r="AA26" s="72"/>
      <c r="AB26" s="72"/>
      <c r="AC26" s="72"/>
      <c r="AD26" s="954"/>
      <c r="AE26" s="954">
        <v>6</v>
      </c>
      <c r="AF26" s="72"/>
      <c r="AG26" s="72"/>
      <c r="AH26" s="72"/>
      <c r="AI26" s="72"/>
      <c r="AJ26" s="72"/>
    </row>
    <row r="27" spans="1:36" hidden="1">
      <c r="A27" s="931"/>
      <c r="B27" s="943" t="s">
        <v>3138</v>
      </c>
      <c r="C27" s="70"/>
      <c r="D27" s="73">
        <v>0.8</v>
      </c>
      <c r="E27" s="73"/>
      <c r="F27" s="73"/>
      <c r="G27" s="73"/>
      <c r="H27" s="73"/>
      <c r="I27" s="72"/>
      <c r="J27" s="72"/>
      <c r="K27" s="72">
        <v>1</v>
      </c>
      <c r="L27" s="72"/>
      <c r="M27" s="72"/>
      <c r="N27" s="71"/>
      <c r="O27" s="71">
        <v>1</v>
      </c>
      <c r="P27" s="71"/>
      <c r="Q27" s="71"/>
      <c r="R27" s="71"/>
      <c r="S27" s="72"/>
      <c r="T27" s="72"/>
      <c r="U27" s="72">
        <v>3</v>
      </c>
      <c r="V27" s="72"/>
      <c r="W27" s="72"/>
      <c r="X27" s="72"/>
      <c r="Y27" s="72"/>
      <c r="Z27" s="72"/>
      <c r="AA27" s="72"/>
      <c r="AB27" s="72"/>
      <c r="AC27" s="72"/>
      <c r="AD27" s="954"/>
      <c r="AE27" s="954">
        <v>6</v>
      </c>
      <c r="AF27" s="72"/>
      <c r="AG27" s="72"/>
      <c r="AH27" s="72"/>
      <c r="AI27" s="72"/>
      <c r="AJ27" s="72"/>
    </row>
    <row r="28" spans="1:36" hidden="1">
      <c r="A28" s="931"/>
      <c r="B28" s="943" t="s">
        <v>3139</v>
      </c>
      <c r="C28" s="70"/>
      <c r="D28" s="73">
        <v>0.8</v>
      </c>
      <c r="E28" s="73"/>
      <c r="F28" s="73"/>
      <c r="G28" s="73"/>
      <c r="H28" s="73"/>
      <c r="I28" s="72"/>
      <c r="J28" s="72"/>
      <c r="K28" s="72">
        <v>1</v>
      </c>
      <c r="L28" s="72"/>
      <c r="M28" s="72"/>
      <c r="N28" s="71"/>
      <c r="O28" s="71">
        <v>1</v>
      </c>
      <c r="P28" s="71"/>
      <c r="Q28" s="71"/>
      <c r="R28" s="71"/>
      <c r="S28" s="72"/>
      <c r="T28" s="72"/>
      <c r="U28" s="72">
        <v>2</v>
      </c>
      <c r="V28" s="72"/>
      <c r="W28" s="72"/>
      <c r="X28" s="72"/>
      <c r="Y28" s="72"/>
      <c r="Z28" s="72"/>
      <c r="AA28" s="72"/>
      <c r="AB28" s="72"/>
      <c r="AC28" s="72"/>
      <c r="AD28" s="954"/>
      <c r="AE28" s="954">
        <v>6</v>
      </c>
      <c r="AF28" s="72"/>
      <c r="AG28" s="72"/>
      <c r="AH28" s="72"/>
      <c r="AI28" s="72"/>
      <c r="AJ28" s="72"/>
    </row>
    <row r="29" spans="1:36" hidden="1">
      <c r="A29" s="931"/>
      <c r="B29" s="72"/>
      <c r="C29" s="70"/>
      <c r="D29" s="73"/>
      <c r="E29" s="73"/>
      <c r="F29" s="73"/>
      <c r="G29" s="73"/>
      <c r="H29" s="73"/>
      <c r="I29" s="72"/>
      <c r="J29" s="72"/>
      <c r="K29" s="72"/>
      <c r="L29" s="72"/>
      <c r="M29" s="72"/>
      <c r="N29" s="71"/>
      <c r="O29" s="71"/>
      <c r="P29" s="71"/>
      <c r="Q29" s="71"/>
      <c r="R29" s="71"/>
      <c r="S29" s="72"/>
      <c r="T29" s="72"/>
      <c r="U29" s="72"/>
      <c r="V29" s="72"/>
      <c r="W29" s="72"/>
      <c r="X29" s="72"/>
      <c r="Y29" s="72"/>
      <c r="Z29" s="72"/>
      <c r="AA29" s="72"/>
      <c r="AB29" s="72"/>
      <c r="AC29" s="72"/>
      <c r="AD29" s="954"/>
      <c r="AE29" s="954"/>
      <c r="AF29" s="72"/>
      <c r="AG29" s="72"/>
      <c r="AH29" s="72"/>
      <c r="AI29" s="72"/>
      <c r="AJ29" s="72"/>
    </row>
    <row r="30" spans="1:36" hidden="1">
      <c r="A30" s="931">
        <v>5</v>
      </c>
      <c r="B30" s="943" t="s">
        <v>3140</v>
      </c>
      <c r="C30" s="70"/>
      <c r="D30" s="73">
        <v>0.8</v>
      </c>
      <c r="E30" s="71"/>
      <c r="F30" s="71"/>
      <c r="G30" s="71"/>
      <c r="H30" s="71"/>
      <c r="I30" s="72"/>
      <c r="J30" s="72"/>
      <c r="K30" s="72">
        <v>1</v>
      </c>
      <c r="L30" s="72"/>
      <c r="M30" s="72"/>
      <c r="N30" s="71"/>
      <c r="O30" s="71">
        <v>1</v>
      </c>
      <c r="P30" s="71"/>
      <c r="Q30" s="71"/>
      <c r="R30" s="71"/>
      <c r="S30" s="72"/>
      <c r="T30" s="72"/>
      <c r="U30" s="72">
        <v>1</v>
      </c>
      <c r="V30" s="72"/>
      <c r="W30" s="72"/>
      <c r="X30" s="72"/>
      <c r="Y30" s="72"/>
      <c r="Z30" s="72"/>
      <c r="AA30" s="72"/>
      <c r="AB30" s="72"/>
      <c r="AC30" s="72"/>
      <c r="AD30" s="954"/>
      <c r="AE30" s="954">
        <v>8</v>
      </c>
      <c r="AF30" s="72"/>
      <c r="AG30" s="72"/>
      <c r="AH30" s="72"/>
      <c r="AI30" s="72"/>
      <c r="AJ30" s="72"/>
    </row>
    <row r="31" spans="1:36" hidden="1">
      <c r="A31" s="931"/>
      <c r="B31" s="943" t="s">
        <v>1388</v>
      </c>
      <c r="C31" s="70"/>
      <c r="D31" s="73">
        <v>0.8</v>
      </c>
      <c r="E31" s="73"/>
      <c r="F31" s="73"/>
      <c r="G31" s="73"/>
      <c r="H31" s="73"/>
      <c r="I31" s="72"/>
      <c r="J31" s="72"/>
      <c r="K31" s="72">
        <v>1</v>
      </c>
      <c r="L31" s="72"/>
      <c r="M31" s="72"/>
      <c r="N31" s="71"/>
      <c r="O31" s="71">
        <v>1</v>
      </c>
      <c r="P31" s="71"/>
      <c r="Q31" s="71"/>
      <c r="R31" s="71"/>
      <c r="S31" s="72"/>
      <c r="T31" s="72"/>
      <c r="U31" s="72">
        <v>1</v>
      </c>
      <c r="V31" s="72"/>
      <c r="W31" s="72"/>
      <c r="X31" s="72"/>
      <c r="Y31" s="72"/>
      <c r="Z31" s="72"/>
      <c r="AA31" s="72"/>
      <c r="AB31" s="72"/>
      <c r="AC31" s="72"/>
      <c r="AD31" s="954"/>
      <c r="AE31" s="954">
        <v>8</v>
      </c>
      <c r="AF31" s="72"/>
      <c r="AG31" s="72"/>
      <c r="AH31" s="72"/>
      <c r="AI31" s="72"/>
      <c r="AJ31" s="72"/>
    </row>
    <row r="32" spans="1:36" hidden="1">
      <c r="A32" s="931"/>
      <c r="B32" s="943" t="s">
        <v>1389</v>
      </c>
      <c r="C32" s="70"/>
      <c r="D32" s="73">
        <v>0.8</v>
      </c>
      <c r="E32" s="73"/>
      <c r="F32" s="73"/>
      <c r="G32" s="73"/>
      <c r="H32" s="73"/>
      <c r="I32" s="72"/>
      <c r="J32" s="72"/>
      <c r="K32" s="72">
        <v>1</v>
      </c>
      <c r="L32" s="72"/>
      <c r="M32" s="72"/>
      <c r="N32" s="71"/>
      <c r="O32" s="71">
        <v>1</v>
      </c>
      <c r="P32" s="71"/>
      <c r="Q32" s="71"/>
      <c r="R32" s="71"/>
      <c r="S32" s="72"/>
      <c r="T32" s="72"/>
      <c r="U32" s="72">
        <v>3</v>
      </c>
      <c r="V32" s="72"/>
      <c r="W32" s="72"/>
      <c r="X32" s="72"/>
      <c r="Y32" s="72"/>
      <c r="Z32" s="72"/>
      <c r="AA32" s="72"/>
      <c r="AB32" s="72"/>
      <c r="AC32" s="72"/>
      <c r="AD32" s="954"/>
      <c r="AE32" s="954">
        <v>8</v>
      </c>
      <c r="AF32" s="72"/>
      <c r="AG32" s="72"/>
      <c r="AH32" s="72"/>
      <c r="AI32" s="72"/>
      <c r="AJ32" s="72"/>
    </row>
    <row r="33" spans="1:36" hidden="1">
      <c r="A33" s="931"/>
      <c r="B33" s="943" t="s">
        <v>1390</v>
      </c>
      <c r="C33" s="70"/>
      <c r="D33" s="73">
        <v>0.8</v>
      </c>
      <c r="E33" s="73"/>
      <c r="F33" s="73"/>
      <c r="G33" s="73"/>
      <c r="H33" s="73"/>
      <c r="I33" s="72"/>
      <c r="J33" s="72"/>
      <c r="K33" s="72">
        <v>1</v>
      </c>
      <c r="L33" s="72"/>
      <c r="M33" s="72"/>
      <c r="N33" s="71"/>
      <c r="O33" s="71">
        <v>1</v>
      </c>
      <c r="P33" s="71"/>
      <c r="Q33" s="71"/>
      <c r="R33" s="71"/>
      <c r="S33" s="72"/>
      <c r="T33" s="72"/>
      <c r="U33" s="72">
        <v>3</v>
      </c>
      <c r="V33" s="72"/>
      <c r="W33" s="72"/>
      <c r="X33" s="72"/>
      <c r="Y33" s="72"/>
      <c r="Z33" s="72"/>
      <c r="AA33" s="72"/>
      <c r="AB33" s="72"/>
      <c r="AC33" s="72"/>
      <c r="AD33" s="954"/>
      <c r="AE33" s="954">
        <v>8</v>
      </c>
      <c r="AF33" s="72"/>
      <c r="AG33" s="72"/>
      <c r="AH33" s="72"/>
      <c r="AI33" s="72"/>
      <c r="AJ33" s="72"/>
    </row>
    <row r="34" spans="1:36" hidden="1">
      <c r="A34" s="931"/>
      <c r="B34" s="943" t="s">
        <v>1391</v>
      </c>
      <c r="C34" s="70"/>
      <c r="D34" s="73">
        <v>0.8</v>
      </c>
      <c r="E34" s="73"/>
      <c r="F34" s="73"/>
      <c r="G34" s="73"/>
      <c r="H34" s="73"/>
      <c r="I34" s="72"/>
      <c r="J34" s="72"/>
      <c r="K34" s="72">
        <v>1</v>
      </c>
      <c r="L34" s="72"/>
      <c r="M34" s="72"/>
      <c r="N34" s="71"/>
      <c r="O34" s="71">
        <v>1</v>
      </c>
      <c r="P34" s="71"/>
      <c r="Q34" s="71"/>
      <c r="R34" s="71"/>
      <c r="S34" s="72"/>
      <c r="T34" s="72"/>
      <c r="U34" s="72">
        <v>2</v>
      </c>
      <c r="V34" s="72"/>
      <c r="W34" s="72"/>
      <c r="X34" s="72"/>
      <c r="Y34" s="72"/>
      <c r="Z34" s="72"/>
      <c r="AA34" s="72"/>
      <c r="AB34" s="72"/>
      <c r="AC34" s="72"/>
      <c r="AD34" s="954"/>
      <c r="AE34" s="954">
        <v>8</v>
      </c>
      <c r="AF34" s="72"/>
      <c r="AG34" s="72"/>
      <c r="AH34" s="72"/>
      <c r="AI34" s="72"/>
      <c r="AJ34" s="72"/>
    </row>
    <row r="35" spans="1:36" hidden="1">
      <c r="A35" s="931"/>
      <c r="B35" s="72"/>
      <c r="C35" s="70"/>
      <c r="D35" s="73"/>
      <c r="E35" s="73"/>
      <c r="F35" s="73"/>
      <c r="G35" s="73"/>
      <c r="H35" s="73"/>
      <c r="I35" s="72"/>
      <c r="J35" s="72"/>
      <c r="K35" s="72"/>
      <c r="L35" s="72"/>
      <c r="M35" s="72"/>
      <c r="N35" s="71"/>
      <c r="O35" s="71"/>
      <c r="P35" s="71"/>
      <c r="Q35" s="71"/>
      <c r="R35" s="71"/>
      <c r="S35" s="72"/>
      <c r="T35" s="72"/>
      <c r="U35" s="72"/>
      <c r="V35" s="72"/>
      <c r="W35" s="72"/>
      <c r="X35" s="72"/>
      <c r="Y35" s="72"/>
      <c r="Z35" s="72"/>
      <c r="AA35" s="72"/>
      <c r="AB35" s="72"/>
      <c r="AC35" s="72"/>
      <c r="AD35" s="954"/>
      <c r="AE35" s="954"/>
      <c r="AF35" s="72"/>
      <c r="AG35" s="72"/>
      <c r="AH35" s="72"/>
      <c r="AI35" s="72"/>
      <c r="AJ35" s="72"/>
    </row>
    <row r="36" spans="1:36" hidden="1">
      <c r="A36" s="931">
        <v>6</v>
      </c>
      <c r="B36" s="71" t="s">
        <v>1392</v>
      </c>
      <c r="C36" s="70"/>
      <c r="D36" s="73">
        <v>0.6</v>
      </c>
      <c r="E36" s="71"/>
      <c r="F36" s="71"/>
      <c r="G36" s="71"/>
      <c r="H36" s="71"/>
      <c r="I36" s="72"/>
      <c r="J36" s="72"/>
      <c r="K36" s="72">
        <v>1</v>
      </c>
      <c r="L36" s="72"/>
      <c r="M36" s="72"/>
      <c r="N36" s="71"/>
      <c r="O36" s="71">
        <v>1</v>
      </c>
      <c r="P36" s="71"/>
      <c r="Q36" s="71"/>
      <c r="R36" s="71"/>
      <c r="S36" s="72"/>
      <c r="T36" s="72"/>
      <c r="U36" s="72"/>
      <c r="V36" s="72"/>
      <c r="W36" s="72"/>
      <c r="X36" s="72"/>
      <c r="Y36" s="72"/>
      <c r="Z36" s="72"/>
      <c r="AA36" s="72"/>
      <c r="AB36" s="72"/>
      <c r="AC36" s="72"/>
      <c r="AD36" s="954"/>
      <c r="AE36" s="954"/>
      <c r="AF36" s="72"/>
      <c r="AG36" s="72"/>
      <c r="AH36" s="72"/>
      <c r="AI36" s="72"/>
      <c r="AJ36" s="72"/>
    </row>
    <row r="37" spans="1:36" hidden="1">
      <c r="A37" s="931"/>
      <c r="B37" s="71" t="s">
        <v>1393</v>
      </c>
      <c r="C37" s="70"/>
      <c r="D37" s="73">
        <v>0.6</v>
      </c>
      <c r="E37" s="73"/>
      <c r="F37" s="73"/>
      <c r="G37" s="73"/>
      <c r="H37" s="73"/>
      <c r="I37" s="72"/>
      <c r="J37" s="72"/>
      <c r="K37" s="72">
        <v>1</v>
      </c>
      <c r="L37" s="72"/>
      <c r="M37" s="72"/>
      <c r="N37" s="71"/>
      <c r="O37" s="71">
        <v>1</v>
      </c>
      <c r="P37" s="71"/>
      <c r="Q37" s="71"/>
      <c r="R37" s="71"/>
      <c r="S37" s="72"/>
      <c r="T37" s="72"/>
      <c r="U37" s="72">
        <v>1</v>
      </c>
      <c r="V37" s="72"/>
      <c r="W37" s="72"/>
      <c r="X37" s="72"/>
      <c r="Y37" s="72"/>
      <c r="Z37" s="72"/>
      <c r="AA37" s="72"/>
      <c r="AB37" s="72"/>
      <c r="AC37" s="72"/>
      <c r="AD37" s="954"/>
      <c r="AE37" s="954"/>
      <c r="AF37" s="72"/>
      <c r="AG37" s="72"/>
      <c r="AH37" s="72"/>
      <c r="AI37" s="72"/>
      <c r="AJ37" s="72"/>
    </row>
    <row r="38" spans="1:36" hidden="1">
      <c r="A38" s="931"/>
      <c r="B38" s="71" t="s">
        <v>1394</v>
      </c>
      <c r="C38" s="70"/>
      <c r="D38" s="73">
        <v>0.6</v>
      </c>
      <c r="E38" s="73"/>
      <c r="F38" s="73"/>
      <c r="G38" s="73"/>
      <c r="H38" s="73"/>
      <c r="I38" s="72"/>
      <c r="J38" s="72"/>
      <c r="K38" s="72">
        <v>1</v>
      </c>
      <c r="L38" s="72"/>
      <c r="M38" s="72"/>
      <c r="N38" s="71"/>
      <c r="O38" s="71">
        <v>1</v>
      </c>
      <c r="P38" s="71"/>
      <c r="Q38" s="71"/>
      <c r="R38" s="71"/>
      <c r="S38" s="72"/>
      <c r="T38" s="72"/>
      <c r="U38" s="72">
        <v>2</v>
      </c>
      <c r="V38" s="72"/>
      <c r="W38" s="72"/>
      <c r="X38" s="72"/>
      <c r="Y38" s="72"/>
      <c r="Z38" s="72"/>
      <c r="AA38" s="72"/>
      <c r="AB38" s="72"/>
      <c r="AC38" s="72"/>
      <c r="AD38" s="954"/>
      <c r="AE38" s="954"/>
      <c r="AF38" s="72"/>
      <c r="AG38" s="72"/>
      <c r="AH38" s="72"/>
      <c r="AI38" s="72"/>
      <c r="AJ38" s="72"/>
    </row>
    <row r="39" spans="1:36" hidden="1">
      <c r="A39" s="931"/>
      <c r="B39" s="71" t="s">
        <v>1395</v>
      </c>
      <c r="C39" s="70"/>
      <c r="D39" s="73">
        <v>0.6</v>
      </c>
      <c r="E39" s="73"/>
      <c r="F39" s="73"/>
      <c r="G39" s="73"/>
      <c r="H39" s="73"/>
      <c r="I39" s="72"/>
      <c r="J39" s="72"/>
      <c r="K39" s="72">
        <v>1</v>
      </c>
      <c r="L39" s="72"/>
      <c r="M39" s="72"/>
      <c r="N39" s="71"/>
      <c r="O39" s="71">
        <v>1</v>
      </c>
      <c r="P39" s="71"/>
      <c r="Q39" s="71"/>
      <c r="R39" s="71"/>
      <c r="S39" s="72"/>
      <c r="T39" s="72"/>
      <c r="U39" s="72">
        <v>2</v>
      </c>
      <c r="V39" s="72"/>
      <c r="W39" s="72"/>
      <c r="X39" s="72"/>
      <c r="Y39" s="72"/>
      <c r="Z39" s="72"/>
      <c r="AA39" s="72"/>
      <c r="AB39" s="72"/>
      <c r="AC39" s="72"/>
      <c r="AD39" s="954"/>
      <c r="AE39" s="954"/>
      <c r="AF39" s="72"/>
      <c r="AG39" s="72"/>
      <c r="AH39" s="72"/>
      <c r="AI39" s="72"/>
      <c r="AJ39" s="72"/>
    </row>
    <row r="40" spans="1:36" hidden="1">
      <c r="A40" s="931"/>
      <c r="B40" s="71" t="s">
        <v>1396</v>
      </c>
      <c r="C40" s="70"/>
      <c r="D40" s="73">
        <v>0.6</v>
      </c>
      <c r="E40" s="73"/>
      <c r="F40" s="73"/>
      <c r="G40" s="73"/>
      <c r="H40" s="73"/>
      <c r="I40" s="72"/>
      <c r="J40" s="72"/>
      <c r="K40" s="72">
        <v>1</v>
      </c>
      <c r="L40" s="72"/>
      <c r="M40" s="72"/>
      <c r="N40" s="71"/>
      <c r="O40" s="71">
        <v>1</v>
      </c>
      <c r="P40" s="71"/>
      <c r="Q40" s="71"/>
      <c r="R40" s="71"/>
      <c r="S40" s="72"/>
      <c r="T40" s="72"/>
      <c r="U40" s="72">
        <v>1</v>
      </c>
      <c r="V40" s="72"/>
      <c r="W40" s="72"/>
      <c r="X40" s="72"/>
      <c r="Y40" s="72"/>
      <c r="Z40" s="72"/>
      <c r="AA40" s="72"/>
      <c r="AB40" s="72"/>
      <c r="AC40" s="72"/>
      <c r="AD40" s="954"/>
      <c r="AE40" s="954"/>
      <c r="AF40" s="72"/>
      <c r="AG40" s="72"/>
      <c r="AH40" s="72"/>
      <c r="AI40" s="72"/>
      <c r="AJ40" s="72"/>
    </row>
    <row r="41" spans="1:36" hidden="1">
      <c r="A41" s="931"/>
      <c r="B41" s="72"/>
      <c r="C41" s="70"/>
      <c r="D41" s="73"/>
      <c r="E41" s="73"/>
      <c r="F41" s="73"/>
      <c r="G41" s="73"/>
      <c r="H41" s="73"/>
      <c r="I41" s="72"/>
      <c r="J41" s="72"/>
      <c r="K41" s="72"/>
      <c r="L41" s="72"/>
      <c r="M41" s="72"/>
      <c r="N41" s="71"/>
      <c r="O41" s="71"/>
      <c r="P41" s="71"/>
      <c r="Q41" s="71"/>
      <c r="R41" s="71"/>
      <c r="S41" s="72"/>
      <c r="T41" s="72"/>
      <c r="U41" s="72"/>
      <c r="V41" s="72"/>
      <c r="W41" s="72"/>
      <c r="X41" s="72"/>
      <c r="Y41" s="72"/>
      <c r="Z41" s="72"/>
      <c r="AA41" s="72"/>
      <c r="AB41" s="72"/>
      <c r="AC41" s="72"/>
      <c r="AD41" s="954"/>
      <c r="AE41" s="954"/>
      <c r="AF41" s="72"/>
      <c r="AG41" s="72"/>
      <c r="AH41" s="72"/>
      <c r="AI41" s="72"/>
      <c r="AJ41" s="72"/>
    </row>
    <row r="42" spans="1:36" hidden="1">
      <c r="A42" s="931">
        <v>7</v>
      </c>
      <c r="B42" s="943" t="s">
        <v>1397</v>
      </c>
      <c r="C42" s="70"/>
      <c r="D42" s="73">
        <v>0.8</v>
      </c>
      <c r="E42" s="71"/>
      <c r="F42" s="71"/>
      <c r="G42" s="71"/>
      <c r="H42" s="71"/>
      <c r="I42" s="72"/>
      <c r="J42" s="72"/>
      <c r="K42" s="72">
        <v>1</v>
      </c>
      <c r="L42" s="72"/>
      <c r="M42" s="72"/>
      <c r="N42" s="71"/>
      <c r="O42" s="71">
        <v>1</v>
      </c>
      <c r="P42" s="71"/>
      <c r="Q42" s="71"/>
      <c r="R42" s="71"/>
      <c r="S42" s="72"/>
      <c r="T42" s="72"/>
      <c r="U42" s="72"/>
      <c r="V42" s="72"/>
      <c r="W42" s="72"/>
      <c r="X42" s="72"/>
      <c r="Y42" s="72"/>
      <c r="Z42" s="72"/>
      <c r="AA42" s="72"/>
      <c r="AB42" s="72"/>
      <c r="AC42" s="72"/>
      <c r="AD42" s="954"/>
      <c r="AE42" s="954"/>
      <c r="AF42" s="72"/>
      <c r="AG42" s="72"/>
      <c r="AH42" s="72"/>
      <c r="AI42" s="72"/>
      <c r="AJ42" s="72"/>
    </row>
    <row r="43" spans="1:36" hidden="1">
      <c r="A43" s="931"/>
      <c r="B43" s="943" t="s">
        <v>1398</v>
      </c>
      <c r="C43" s="70"/>
      <c r="D43" s="73">
        <v>0.8</v>
      </c>
      <c r="E43" s="73"/>
      <c r="F43" s="73"/>
      <c r="G43" s="73"/>
      <c r="H43" s="73"/>
      <c r="I43" s="72"/>
      <c r="J43" s="72"/>
      <c r="K43" s="72">
        <v>1</v>
      </c>
      <c r="L43" s="72"/>
      <c r="M43" s="72"/>
      <c r="N43" s="71"/>
      <c r="O43" s="71">
        <v>1</v>
      </c>
      <c r="P43" s="71"/>
      <c r="Q43" s="71"/>
      <c r="R43" s="71"/>
      <c r="S43" s="72"/>
      <c r="T43" s="72"/>
      <c r="U43" s="72">
        <v>1</v>
      </c>
      <c r="V43" s="72"/>
      <c r="W43" s="72"/>
      <c r="X43" s="72"/>
      <c r="Y43" s="72"/>
      <c r="Z43" s="72"/>
      <c r="AA43" s="72"/>
      <c r="AB43" s="72"/>
      <c r="AC43" s="72"/>
      <c r="AD43" s="954"/>
      <c r="AE43" s="954"/>
      <c r="AF43" s="72"/>
      <c r="AG43" s="72"/>
      <c r="AH43" s="72"/>
      <c r="AI43" s="72"/>
      <c r="AJ43" s="72"/>
    </row>
    <row r="44" spans="1:36" hidden="1">
      <c r="A44" s="931"/>
      <c r="B44" s="943" t="s">
        <v>1399</v>
      </c>
      <c r="C44" s="70"/>
      <c r="D44" s="73">
        <v>0.8</v>
      </c>
      <c r="E44" s="73"/>
      <c r="F44" s="73"/>
      <c r="G44" s="73"/>
      <c r="H44" s="73"/>
      <c r="I44" s="72"/>
      <c r="J44" s="72"/>
      <c r="K44" s="72">
        <v>1</v>
      </c>
      <c r="L44" s="72"/>
      <c r="M44" s="72"/>
      <c r="N44" s="71"/>
      <c r="O44" s="71">
        <v>1</v>
      </c>
      <c r="P44" s="71"/>
      <c r="Q44" s="71"/>
      <c r="R44" s="71"/>
      <c r="S44" s="72"/>
      <c r="T44" s="72"/>
      <c r="U44" s="72">
        <v>2</v>
      </c>
      <c r="V44" s="72"/>
      <c r="W44" s="72"/>
      <c r="X44" s="72"/>
      <c r="Y44" s="72"/>
      <c r="Z44" s="72"/>
      <c r="AA44" s="72"/>
      <c r="AB44" s="72"/>
      <c r="AC44" s="72"/>
      <c r="AD44" s="954"/>
      <c r="AE44" s="954"/>
      <c r="AF44" s="72"/>
      <c r="AG44" s="72"/>
      <c r="AH44" s="72"/>
      <c r="AI44" s="72"/>
      <c r="AJ44" s="72"/>
    </row>
    <row r="45" spans="1:36" hidden="1">
      <c r="A45" s="931"/>
      <c r="B45" s="943" t="s">
        <v>1400</v>
      </c>
      <c r="C45" s="70"/>
      <c r="D45" s="73">
        <v>0.8</v>
      </c>
      <c r="E45" s="73"/>
      <c r="F45" s="73"/>
      <c r="G45" s="73"/>
      <c r="H45" s="73"/>
      <c r="I45" s="72"/>
      <c r="J45" s="72"/>
      <c r="K45" s="72">
        <v>1</v>
      </c>
      <c r="L45" s="72"/>
      <c r="M45" s="72"/>
      <c r="N45" s="71"/>
      <c r="O45" s="71">
        <v>1</v>
      </c>
      <c r="P45" s="71"/>
      <c r="Q45" s="71"/>
      <c r="R45" s="71"/>
      <c r="S45" s="72"/>
      <c r="T45" s="72"/>
      <c r="U45" s="72">
        <v>2</v>
      </c>
      <c r="V45" s="72"/>
      <c r="W45" s="72"/>
      <c r="X45" s="72"/>
      <c r="Y45" s="72"/>
      <c r="Z45" s="72"/>
      <c r="AA45" s="72"/>
      <c r="AB45" s="72"/>
      <c r="AC45" s="72"/>
      <c r="AD45" s="954"/>
      <c r="AE45" s="954"/>
      <c r="AF45" s="72"/>
      <c r="AG45" s="72"/>
      <c r="AH45" s="72"/>
      <c r="AI45" s="72"/>
      <c r="AJ45" s="72"/>
    </row>
    <row r="46" spans="1:36" hidden="1">
      <c r="A46" s="931"/>
      <c r="B46" s="943" t="s">
        <v>1401</v>
      </c>
      <c r="C46" s="70"/>
      <c r="D46" s="73">
        <v>0.8</v>
      </c>
      <c r="E46" s="73"/>
      <c r="F46" s="73"/>
      <c r="G46" s="73"/>
      <c r="H46" s="73"/>
      <c r="I46" s="72"/>
      <c r="J46" s="72"/>
      <c r="K46" s="72">
        <v>1</v>
      </c>
      <c r="L46" s="72"/>
      <c r="M46" s="72"/>
      <c r="N46" s="71"/>
      <c r="O46" s="71">
        <v>1</v>
      </c>
      <c r="P46" s="71"/>
      <c r="Q46" s="71"/>
      <c r="R46" s="71"/>
      <c r="S46" s="72"/>
      <c r="T46" s="72"/>
      <c r="U46" s="72">
        <v>1</v>
      </c>
      <c r="V46" s="72"/>
      <c r="W46" s="72"/>
      <c r="X46" s="72"/>
      <c r="Y46" s="72"/>
      <c r="Z46" s="72"/>
      <c r="AA46" s="72"/>
      <c r="AB46" s="72"/>
      <c r="AC46" s="72"/>
      <c r="AD46" s="954"/>
      <c r="AE46" s="954"/>
      <c r="AF46" s="72"/>
      <c r="AG46" s="72"/>
      <c r="AH46" s="72"/>
      <c r="AI46" s="72"/>
      <c r="AJ46" s="72"/>
    </row>
    <row r="47" spans="1:36" hidden="1">
      <c r="A47" s="955"/>
      <c r="B47" s="943"/>
      <c r="C47" s="956"/>
      <c r="D47" s="957"/>
      <c r="E47" s="957"/>
      <c r="F47" s="957"/>
      <c r="G47" s="957"/>
      <c r="H47" s="957"/>
      <c r="I47" s="943"/>
      <c r="J47" s="943"/>
      <c r="K47" s="943"/>
      <c r="L47" s="943"/>
      <c r="M47" s="943"/>
      <c r="N47" s="943"/>
      <c r="O47" s="943"/>
      <c r="P47" s="943"/>
      <c r="Q47" s="943"/>
      <c r="R47" s="943"/>
      <c r="S47" s="943"/>
      <c r="T47" s="943"/>
      <c r="U47" s="943"/>
      <c r="V47" s="943"/>
      <c r="W47" s="943"/>
      <c r="X47" s="943"/>
      <c r="Y47" s="943"/>
      <c r="Z47" s="943"/>
      <c r="AA47" s="943"/>
      <c r="AB47" s="943"/>
      <c r="AC47" s="943"/>
      <c r="AD47" s="943"/>
      <c r="AE47" s="943"/>
      <c r="AF47" s="943"/>
      <c r="AG47" s="943"/>
      <c r="AH47" s="943"/>
      <c r="AI47" s="943"/>
      <c r="AJ47" s="943"/>
    </row>
    <row r="48" spans="1:36" hidden="1">
      <c r="A48" s="931"/>
      <c r="B48" s="941">
        <v>1</v>
      </c>
      <c r="C48" s="958">
        <f>+B48+1</f>
        <v>2</v>
      </c>
      <c r="D48" s="958">
        <f>+C48+1</f>
        <v>3</v>
      </c>
      <c r="E48" s="958" t="e">
        <f>+#REF!+1</f>
        <v>#REF!</v>
      </c>
      <c r="F48" s="958" t="e">
        <f>+E48+1</f>
        <v>#REF!</v>
      </c>
      <c r="G48" s="958" t="e">
        <f>+F48+1</f>
        <v>#REF!</v>
      </c>
      <c r="H48" s="958"/>
      <c r="I48" s="958" t="e">
        <f>+#REF!+1</f>
        <v>#REF!</v>
      </c>
      <c r="J48" s="958" t="e">
        <f>+I48+1</f>
        <v>#REF!</v>
      </c>
      <c r="K48" s="958" t="e">
        <f>+J48+1</f>
        <v>#REF!</v>
      </c>
      <c r="L48" s="958" t="e">
        <f>+#REF!+1</f>
        <v>#REF!</v>
      </c>
      <c r="M48" s="958" t="e">
        <f>+L48+1</f>
        <v>#REF!</v>
      </c>
      <c r="N48" s="958" t="e">
        <f>+M48+1</f>
        <v>#REF!</v>
      </c>
      <c r="O48" s="958" t="e">
        <f>+M48+1</f>
        <v>#REF!</v>
      </c>
      <c r="P48" s="958" t="e">
        <f>+O48+1</f>
        <v>#REF!</v>
      </c>
      <c r="Q48" s="958" t="e">
        <f>+P48+1</f>
        <v>#REF!</v>
      </c>
      <c r="R48" s="958"/>
      <c r="S48" s="958" t="e">
        <f>+Q48+1</f>
        <v>#REF!</v>
      </c>
      <c r="T48" s="958" t="e">
        <f>+S48+1</f>
        <v>#REF!</v>
      </c>
      <c r="U48" s="958" t="e">
        <f>+T48+1</f>
        <v>#REF!</v>
      </c>
      <c r="V48" s="958" t="e">
        <f>+U48+1</f>
        <v>#REF!</v>
      </c>
      <c r="W48" s="958"/>
      <c r="X48" s="958"/>
      <c r="Y48" s="958"/>
      <c r="Z48" s="958"/>
      <c r="AA48" s="958"/>
      <c r="AB48" s="958" t="e">
        <f>+#REF!+1</f>
        <v>#REF!</v>
      </c>
      <c r="AC48" s="958"/>
      <c r="AD48" s="958" t="e">
        <f>+#REF!+1</f>
        <v>#REF!</v>
      </c>
      <c r="AE48" s="958" t="e">
        <f>+AD48+1</f>
        <v>#REF!</v>
      </c>
      <c r="AF48" s="958" t="e">
        <f>+#REF!+1</f>
        <v>#REF!</v>
      </c>
      <c r="AG48" s="958" t="e">
        <f>+AF48+1</f>
        <v>#REF!</v>
      </c>
      <c r="AH48" s="958" t="e">
        <f>+#REF!+1</f>
        <v>#REF!</v>
      </c>
      <c r="AI48" s="958" t="e">
        <f>+AH48+1</f>
        <v>#REF!</v>
      </c>
      <c r="AJ48" s="958"/>
    </row>
    <row r="49" spans="1:37">
      <c r="A49" s="959" t="s">
        <v>1974</v>
      </c>
      <c r="B49" s="952"/>
      <c r="C49" s="961"/>
      <c r="D49" s="962"/>
      <c r="E49" s="962"/>
      <c r="F49" s="962"/>
      <c r="G49" s="962"/>
      <c r="H49" s="96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row>
    <row r="50" spans="1:37">
      <c r="A50" s="959" t="s">
        <v>1975</v>
      </c>
      <c r="B50" s="952"/>
      <c r="C50" s="961"/>
      <c r="D50" s="962"/>
      <c r="E50" s="962"/>
      <c r="F50" s="72">
        <f>C50</f>
        <v>0</v>
      </c>
      <c r="G50" s="962"/>
      <c r="H50" s="962"/>
      <c r="I50" s="952"/>
      <c r="J50" s="952"/>
      <c r="K50" s="952"/>
      <c r="L50" s="952"/>
      <c r="M50" s="952"/>
      <c r="N50" s="952"/>
      <c r="O50" s="952"/>
      <c r="P50" s="952">
        <f>IF(SUM(K50:K50)=2,1,0)</f>
        <v>0</v>
      </c>
      <c r="Q50" s="952">
        <f>IF(SUM(K50:K50)=1,1,0)</f>
        <v>0</v>
      </c>
      <c r="R50" s="952"/>
      <c r="S50" s="952"/>
      <c r="T50" s="952"/>
      <c r="U50" s="952"/>
      <c r="V50" s="952"/>
      <c r="W50" s="952"/>
      <c r="X50" s="952"/>
      <c r="Y50" s="952"/>
      <c r="Z50" s="952"/>
      <c r="AA50" s="952"/>
      <c r="AB50" s="952"/>
      <c r="AC50" s="952"/>
      <c r="AD50" s="952"/>
      <c r="AE50" s="952"/>
      <c r="AF50" s="952"/>
      <c r="AG50" s="952"/>
      <c r="AH50" s="952"/>
      <c r="AI50" s="952"/>
      <c r="AJ50" s="952"/>
    </row>
    <row r="51" spans="1:37" s="953" customFormat="1">
      <c r="A51" s="944" t="s">
        <v>1976</v>
      </c>
      <c r="B51" s="954"/>
      <c r="C51" s="960"/>
      <c r="D51" s="72"/>
      <c r="E51" s="72">
        <f>C51*2</f>
        <v>0</v>
      </c>
      <c r="F51" s="72"/>
      <c r="G51" s="72">
        <f>C51</f>
        <v>0</v>
      </c>
      <c r="H51" s="72"/>
      <c r="I51" s="72" t="s">
        <v>5511</v>
      </c>
      <c r="J51" s="72"/>
      <c r="K51" s="72"/>
      <c r="L51" s="72"/>
      <c r="M51" s="72"/>
      <c r="N51" s="952"/>
      <c r="O51" s="72"/>
      <c r="P51" s="952">
        <f>IF(SUM(K51:K51)=2,1,0)</f>
        <v>0</v>
      </c>
      <c r="Q51" s="952">
        <f>IF(SUM(K51:K51)=1,1,0)</f>
        <v>0</v>
      </c>
      <c r="R51" s="952"/>
      <c r="S51" s="72"/>
      <c r="T51" s="72"/>
      <c r="U51" s="72"/>
      <c r="V51" s="72"/>
      <c r="W51" s="72"/>
      <c r="X51" s="72"/>
      <c r="Y51" s="72">
        <v>1</v>
      </c>
      <c r="Z51" s="72"/>
      <c r="AA51" s="72">
        <v>2</v>
      </c>
      <c r="AB51" s="72"/>
      <c r="AC51" s="72"/>
      <c r="AD51" s="72"/>
      <c r="AE51" s="72"/>
      <c r="AF51" s="72"/>
      <c r="AG51" s="72"/>
      <c r="AH51" s="72">
        <v>2</v>
      </c>
      <c r="AI51" s="72"/>
      <c r="AJ51" s="72"/>
      <c r="AK51" s="38"/>
    </row>
    <row r="52" spans="1:37" s="953" customFormat="1">
      <c r="A52" s="944" t="s">
        <v>1977</v>
      </c>
      <c r="B52" s="954"/>
      <c r="C52" s="960">
        <v>30</v>
      </c>
      <c r="D52" s="76"/>
      <c r="E52" s="72">
        <f t="shared" ref="E52:E62" si="0">C52*2</f>
        <v>60</v>
      </c>
      <c r="F52" s="72"/>
      <c r="G52" s="72">
        <f t="shared" ref="G52:G62" si="1">C52</f>
        <v>30</v>
      </c>
      <c r="H52" s="72"/>
      <c r="I52" s="72"/>
      <c r="J52" s="72"/>
      <c r="K52" s="72">
        <v>1</v>
      </c>
      <c r="L52" s="72"/>
      <c r="M52" s="72"/>
      <c r="N52" s="952">
        <v>1</v>
      </c>
      <c r="O52" s="72"/>
      <c r="P52" s="952"/>
      <c r="Q52" s="952"/>
      <c r="R52" s="952"/>
      <c r="S52" s="72"/>
      <c r="T52" s="72"/>
      <c r="U52" s="72"/>
      <c r="V52" s="72"/>
      <c r="W52" s="72"/>
      <c r="X52" s="72"/>
      <c r="Y52" s="72">
        <v>1</v>
      </c>
      <c r="Z52" s="72">
        <v>2</v>
      </c>
      <c r="AA52" s="72"/>
      <c r="AB52" s="72"/>
      <c r="AC52" s="72"/>
      <c r="AD52" s="72"/>
      <c r="AE52" s="72"/>
      <c r="AF52" s="72"/>
      <c r="AG52" s="72"/>
      <c r="AH52" s="72">
        <v>3</v>
      </c>
      <c r="AI52" s="72"/>
      <c r="AJ52" s="72"/>
    </row>
    <row r="53" spans="1:37" s="953" customFormat="1">
      <c r="A53" s="944" t="s">
        <v>5888</v>
      </c>
      <c r="B53" s="954"/>
      <c r="C53" s="960">
        <v>34</v>
      </c>
      <c r="D53" s="76"/>
      <c r="E53" s="72">
        <f t="shared" si="0"/>
        <v>68</v>
      </c>
      <c r="F53" s="72"/>
      <c r="G53" s="72">
        <f t="shared" si="1"/>
        <v>34</v>
      </c>
      <c r="H53" s="72"/>
      <c r="I53" s="72"/>
      <c r="J53" s="72"/>
      <c r="K53" s="72">
        <v>1</v>
      </c>
      <c r="L53" s="72"/>
      <c r="M53" s="72"/>
      <c r="N53" s="952">
        <v>1</v>
      </c>
      <c r="O53" s="72"/>
      <c r="P53" s="952"/>
      <c r="Q53" s="952"/>
      <c r="R53" s="952"/>
      <c r="S53" s="72"/>
      <c r="T53" s="72"/>
      <c r="U53" s="72">
        <v>1</v>
      </c>
      <c r="V53" s="72"/>
      <c r="W53" s="72"/>
      <c r="X53" s="72"/>
      <c r="Y53" s="72">
        <v>1</v>
      </c>
      <c r="Z53" s="72">
        <v>2</v>
      </c>
      <c r="AA53" s="72"/>
      <c r="AB53" s="72"/>
      <c r="AC53" s="72"/>
      <c r="AD53" s="72"/>
      <c r="AE53" s="72"/>
      <c r="AF53" s="72"/>
      <c r="AG53" s="72"/>
      <c r="AH53" s="72">
        <v>2</v>
      </c>
      <c r="AI53" s="72"/>
      <c r="AJ53" s="72"/>
    </row>
    <row r="54" spans="1:37" s="953" customFormat="1">
      <c r="A54" s="944" t="s">
        <v>5889</v>
      </c>
      <c r="B54" s="954"/>
      <c r="C54" s="960">
        <v>31</v>
      </c>
      <c r="D54" s="76"/>
      <c r="E54" s="72">
        <f t="shared" si="0"/>
        <v>62</v>
      </c>
      <c r="F54" s="72"/>
      <c r="G54" s="72">
        <f t="shared" si="1"/>
        <v>31</v>
      </c>
      <c r="H54" s="72"/>
      <c r="I54" s="72"/>
      <c r="J54" s="72"/>
      <c r="K54" s="72">
        <v>1</v>
      </c>
      <c r="L54" s="72"/>
      <c r="M54" s="72"/>
      <c r="N54" s="952">
        <v>1</v>
      </c>
      <c r="O54" s="72"/>
      <c r="P54" s="952"/>
      <c r="Q54" s="952"/>
      <c r="R54" s="952"/>
      <c r="S54" s="72"/>
      <c r="T54" s="72"/>
      <c r="U54" s="72"/>
      <c r="V54" s="72"/>
      <c r="W54" s="72"/>
      <c r="X54" s="72"/>
      <c r="Y54" s="72">
        <v>1</v>
      </c>
      <c r="Z54" s="72">
        <v>2</v>
      </c>
      <c r="AA54" s="72"/>
      <c r="AB54" s="72"/>
      <c r="AC54" s="72"/>
      <c r="AD54" s="72"/>
      <c r="AE54" s="72"/>
      <c r="AF54" s="72"/>
      <c r="AG54" s="72"/>
      <c r="AH54" s="72">
        <v>3</v>
      </c>
      <c r="AI54" s="72"/>
      <c r="AJ54" s="72"/>
      <c r="AK54" s="38"/>
    </row>
    <row r="55" spans="1:37" s="953" customFormat="1">
      <c r="A55" s="944" t="s">
        <v>5890</v>
      </c>
      <c r="B55" s="954"/>
      <c r="C55" s="960">
        <v>32</v>
      </c>
      <c r="D55" s="76"/>
      <c r="E55" s="72">
        <f t="shared" si="0"/>
        <v>64</v>
      </c>
      <c r="F55" s="72"/>
      <c r="G55" s="72">
        <f t="shared" si="1"/>
        <v>32</v>
      </c>
      <c r="H55" s="72"/>
      <c r="I55" s="72"/>
      <c r="J55" s="72"/>
      <c r="K55" s="72">
        <v>1</v>
      </c>
      <c r="L55" s="72"/>
      <c r="M55" s="72"/>
      <c r="N55" s="952">
        <v>1</v>
      </c>
      <c r="O55" s="72"/>
      <c r="P55" s="952"/>
      <c r="Q55" s="952"/>
      <c r="R55" s="952"/>
      <c r="S55" s="72"/>
      <c r="T55" s="72"/>
      <c r="U55" s="72"/>
      <c r="V55" s="72"/>
      <c r="W55" s="72"/>
      <c r="X55" s="72"/>
      <c r="Y55" s="72">
        <v>1</v>
      </c>
      <c r="Z55" s="72">
        <v>2</v>
      </c>
      <c r="AA55" s="72"/>
      <c r="AB55" s="72"/>
      <c r="AC55" s="72"/>
      <c r="AD55" s="72"/>
      <c r="AE55" s="72"/>
      <c r="AF55" s="72"/>
      <c r="AG55" s="72"/>
      <c r="AH55" s="72">
        <v>5</v>
      </c>
      <c r="AI55" s="72"/>
      <c r="AJ55" s="72"/>
    </row>
    <row r="56" spans="1:37" s="953" customFormat="1">
      <c r="A56" s="944" t="s">
        <v>5809</v>
      </c>
      <c r="B56" s="954"/>
      <c r="C56" s="960">
        <v>35</v>
      </c>
      <c r="D56" s="76"/>
      <c r="E56" s="72">
        <f t="shared" si="0"/>
        <v>70</v>
      </c>
      <c r="F56" s="72"/>
      <c r="G56" s="72">
        <f t="shared" si="1"/>
        <v>35</v>
      </c>
      <c r="H56" s="72"/>
      <c r="I56" s="72"/>
      <c r="J56" s="72"/>
      <c r="K56" s="72">
        <v>1</v>
      </c>
      <c r="L56" s="72"/>
      <c r="M56" s="72"/>
      <c r="N56" s="952">
        <v>1</v>
      </c>
      <c r="O56" s="72"/>
      <c r="P56" s="952"/>
      <c r="Q56" s="952"/>
      <c r="R56" s="952"/>
      <c r="S56" s="72"/>
      <c r="T56" s="72"/>
      <c r="U56" s="72">
        <v>1</v>
      </c>
      <c r="V56" s="72"/>
      <c r="W56" s="72"/>
      <c r="X56" s="72"/>
      <c r="Y56" s="72">
        <v>1</v>
      </c>
      <c r="Z56" s="72">
        <v>2</v>
      </c>
      <c r="AA56" s="72"/>
      <c r="AB56" s="72"/>
      <c r="AC56" s="72"/>
      <c r="AD56" s="72"/>
      <c r="AE56" s="72"/>
      <c r="AF56" s="72"/>
      <c r="AG56" s="72"/>
      <c r="AH56" s="72"/>
      <c r="AI56" s="72"/>
      <c r="AJ56" s="72"/>
    </row>
    <row r="57" spans="1:37" s="953" customFormat="1">
      <c r="A57" s="944" t="s">
        <v>5810</v>
      </c>
      <c r="B57" s="954"/>
      <c r="C57" s="960">
        <v>32</v>
      </c>
      <c r="D57" s="76"/>
      <c r="E57" s="72">
        <f t="shared" si="0"/>
        <v>64</v>
      </c>
      <c r="F57" s="72"/>
      <c r="G57" s="72">
        <f t="shared" si="1"/>
        <v>32</v>
      </c>
      <c r="H57" s="72"/>
      <c r="I57" s="72"/>
      <c r="J57" s="72"/>
      <c r="K57" s="72">
        <v>1</v>
      </c>
      <c r="L57" s="72"/>
      <c r="M57" s="72"/>
      <c r="N57" s="952">
        <v>1</v>
      </c>
      <c r="O57" s="72"/>
      <c r="P57" s="952"/>
      <c r="Q57" s="952"/>
      <c r="R57" s="952"/>
      <c r="S57" s="72"/>
      <c r="T57" s="72"/>
      <c r="U57" s="72"/>
      <c r="V57" s="72"/>
      <c r="W57" s="72"/>
      <c r="X57" s="72"/>
      <c r="Y57" s="72">
        <v>1</v>
      </c>
      <c r="Z57" s="72">
        <v>2</v>
      </c>
      <c r="AA57" s="72"/>
      <c r="AB57" s="72"/>
      <c r="AC57" s="72"/>
      <c r="AD57" s="72"/>
      <c r="AE57" s="72"/>
      <c r="AF57" s="72"/>
      <c r="AG57" s="72"/>
      <c r="AH57" s="72"/>
      <c r="AI57" s="72"/>
      <c r="AJ57" s="72"/>
    </row>
    <row r="58" spans="1:37" s="953" customFormat="1">
      <c r="A58" s="944" t="s">
        <v>5811</v>
      </c>
      <c r="B58" s="954"/>
      <c r="C58" s="960">
        <v>38</v>
      </c>
      <c r="D58" s="76"/>
      <c r="E58" s="72">
        <f t="shared" si="0"/>
        <v>76</v>
      </c>
      <c r="F58" s="72"/>
      <c r="G58" s="72">
        <f t="shared" si="1"/>
        <v>38</v>
      </c>
      <c r="H58" s="72"/>
      <c r="I58" s="72"/>
      <c r="J58" s="72"/>
      <c r="K58" s="72">
        <v>1</v>
      </c>
      <c r="L58" s="72"/>
      <c r="M58" s="72"/>
      <c r="N58" s="952">
        <v>1</v>
      </c>
      <c r="O58" s="72"/>
      <c r="P58" s="952"/>
      <c r="Q58" s="952"/>
      <c r="R58" s="952"/>
      <c r="S58" s="72"/>
      <c r="T58" s="72"/>
      <c r="U58" s="72"/>
      <c r="V58" s="72"/>
      <c r="W58" s="72"/>
      <c r="X58" s="72"/>
      <c r="Y58" s="72">
        <v>1</v>
      </c>
      <c r="Z58" s="72">
        <v>2</v>
      </c>
      <c r="AA58" s="72"/>
      <c r="AB58" s="72"/>
      <c r="AC58" s="72"/>
      <c r="AD58" s="72"/>
      <c r="AE58" s="72"/>
      <c r="AF58" s="72"/>
      <c r="AG58" s="72"/>
      <c r="AH58" s="72"/>
      <c r="AI58" s="72"/>
      <c r="AJ58" s="72"/>
    </row>
    <row r="59" spans="1:37" s="953" customFormat="1">
      <c r="A59" s="944" t="s">
        <v>5812</v>
      </c>
      <c r="B59" s="954"/>
      <c r="C59" s="960">
        <v>37</v>
      </c>
      <c r="D59" s="76"/>
      <c r="E59" s="72">
        <f t="shared" si="0"/>
        <v>74</v>
      </c>
      <c r="F59" s="72"/>
      <c r="G59" s="72">
        <f t="shared" si="1"/>
        <v>37</v>
      </c>
      <c r="H59" s="72"/>
      <c r="I59" s="72"/>
      <c r="J59" s="72"/>
      <c r="K59" s="72">
        <v>1</v>
      </c>
      <c r="L59" s="72"/>
      <c r="M59" s="72"/>
      <c r="N59" s="952">
        <v>1</v>
      </c>
      <c r="O59" s="72"/>
      <c r="P59" s="952"/>
      <c r="Q59" s="952"/>
      <c r="R59" s="952"/>
      <c r="S59" s="72"/>
      <c r="T59" s="72"/>
      <c r="U59" s="72"/>
      <c r="V59" s="72"/>
      <c r="W59" s="72"/>
      <c r="X59" s="72"/>
      <c r="Y59" s="72">
        <v>1</v>
      </c>
      <c r="Z59" s="72">
        <v>2</v>
      </c>
      <c r="AA59" s="72"/>
      <c r="AB59" s="72"/>
      <c r="AC59" s="72"/>
      <c r="AD59" s="72"/>
      <c r="AE59" s="72"/>
      <c r="AF59" s="72"/>
      <c r="AG59" s="72"/>
      <c r="AH59" s="72"/>
      <c r="AI59" s="72"/>
      <c r="AJ59" s="72"/>
    </row>
    <row r="60" spans="1:37" s="953" customFormat="1">
      <c r="A60" s="944" t="s">
        <v>5813</v>
      </c>
      <c r="B60" s="954"/>
      <c r="C60" s="960">
        <v>42</v>
      </c>
      <c r="D60" s="76"/>
      <c r="E60" s="72">
        <f t="shared" si="0"/>
        <v>84</v>
      </c>
      <c r="F60" s="72"/>
      <c r="G60" s="72">
        <f t="shared" si="1"/>
        <v>42</v>
      </c>
      <c r="H60" s="72"/>
      <c r="I60" s="72"/>
      <c r="J60" s="72"/>
      <c r="K60" s="72">
        <v>1</v>
      </c>
      <c r="L60" s="72"/>
      <c r="M60" s="72"/>
      <c r="N60" s="952">
        <v>1</v>
      </c>
      <c r="O60" s="72"/>
      <c r="P60" s="952"/>
      <c r="Q60" s="952"/>
      <c r="R60" s="952"/>
      <c r="S60" s="72"/>
      <c r="T60" s="72"/>
      <c r="U60" s="72"/>
      <c r="V60" s="72"/>
      <c r="W60" s="72"/>
      <c r="X60" s="72"/>
      <c r="Y60" s="72">
        <v>1</v>
      </c>
      <c r="Z60" s="72">
        <v>2</v>
      </c>
      <c r="AA60" s="72"/>
      <c r="AB60" s="72"/>
      <c r="AC60" s="72"/>
      <c r="AD60" s="72"/>
      <c r="AE60" s="72"/>
      <c r="AF60" s="72"/>
      <c r="AG60" s="72"/>
      <c r="AH60" s="72">
        <v>4</v>
      </c>
      <c r="AI60" s="72"/>
      <c r="AJ60" s="72"/>
    </row>
    <row r="61" spans="1:37" s="953" customFormat="1">
      <c r="A61" s="944" t="s">
        <v>5814</v>
      </c>
      <c r="B61" s="954"/>
      <c r="C61" s="960">
        <v>37</v>
      </c>
      <c r="D61" s="76"/>
      <c r="E61" s="72">
        <f t="shared" si="0"/>
        <v>74</v>
      </c>
      <c r="F61" s="72"/>
      <c r="G61" s="72">
        <f t="shared" si="1"/>
        <v>37</v>
      </c>
      <c r="H61" s="72"/>
      <c r="I61" s="72"/>
      <c r="J61" s="72"/>
      <c r="K61" s="72">
        <v>1</v>
      </c>
      <c r="L61" s="72"/>
      <c r="M61" s="72"/>
      <c r="N61" s="952">
        <v>1</v>
      </c>
      <c r="O61" s="72"/>
      <c r="P61" s="952"/>
      <c r="Q61" s="952"/>
      <c r="R61" s="952"/>
      <c r="S61" s="72"/>
      <c r="T61" s="72"/>
      <c r="U61" s="72"/>
      <c r="V61" s="72"/>
      <c r="W61" s="72"/>
      <c r="X61" s="72"/>
      <c r="Y61" s="72">
        <v>1</v>
      </c>
      <c r="Z61" s="72">
        <v>2</v>
      </c>
      <c r="AA61" s="72"/>
      <c r="AB61" s="72"/>
      <c r="AC61" s="72"/>
      <c r="AD61" s="72"/>
      <c r="AE61" s="72"/>
      <c r="AF61" s="72"/>
      <c r="AG61" s="72"/>
      <c r="AH61" s="72">
        <v>4</v>
      </c>
      <c r="AI61" s="72"/>
      <c r="AJ61" s="72"/>
    </row>
    <row r="62" spans="1:37" s="953" customFormat="1">
      <c r="A62" s="944" t="s">
        <v>5815</v>
      </c>
      <c r="B62" s="954"/>
      <c r="C62" s="960">
        <v>44</v>
      </c>
      <c r="D62" s="76"/>
      <c r="E62" s="72">
        <f t="shared" si="0"/>
        <v>88</v>
      </c>
      <c r="F62" s="72"/>
      <c r="G62" s="72">
        <f t="shared" si="1"/>
        <v>44</v>
      </c>
      <c r="H62" s="72"/>
      <c r="I62" s="72"/>
      <c r="J62" s="72"/>
      <c r="K62" s="72">
        <v>1</v>
      </c>
      <c r="L62" s="72"/>
      <c r="M62" s="72"/>
      <c r="N62" s="952">
        <v>1</v>
      </c>
      <c r="O62" s="72"/>
      <c r="P62" s="952"/>
      <c r="Q62" s="952"/>
      <c r="R62" s="952"/>
      <c r="S62" s="72"/>
      <c r="T62" s="72"/>
      <c r="U62" s="72">
        <v>1</v>
      </c>
      <c r="V62" s="72"/>
      <c r="W62" s="72"/>
      <c r="X62" s="72"/>
      <c r="Y62" s="72">
        <v>1</v>
      </c>
      <c r="Z62" s="72">
        <v>2</v>
      </c>
      <c r="AA62" s="72"/>
      <c r="AB62" s="72"/>
      <c r="AC62" s="72"/>
      <c r="AD62" s="72"/>
      <c r="AE62" s="72"/>
      <c r="AF62" s="72"/>
      <c r="AG62" s="72"/>
      <c r="AH62" s="72">
        <v>4</v>
      </c>
      <c r="AI62" s="72"/>
      <c r="AJ62" s="72"/>
      <c r="AK62" s="38"/>
    </row>
    <row r="63" spans="1:37" s="588" customFormat="1" ht="20.100000000000001" customHeight="1">
      <c r="A63" s="1398" t="s">
        <v>5816</v>
      </c>
      <c r="B63" s="1399"/>
      <c r="C63" s="1400">
        <f t="shared" ref="C63:AJ63" si="2">ROUND(SUM(C50:C62),0)</f>
        <v>392</v>
      </c>
      <c r="D63" s="1400">
        <f t="shared" si="2"/>
        <v>0</v>
      </c>
      <c r="E63" s="1400">
        <f t="shared" si="2"/>
        <v>784</v>
      </c>
      <c r="F63" s="1400">
        <f t="shared" si="2"/>
        <v>0</v>
      </c>
      <c r="G63" s="1400">
        <f t="shared" si="2"/>
        <v>392</v>
      </c>
      <c r="H63" s="1400">
        <f t="shared" si="2"/>
        <v>0</v>
      </c>
      <c r="I63" s="1400">
        <f t="shared" si="2"/>
        <v>0</v>
      </c>
      <c r="J63" s="1400">
        <f t="shared" si="2"/>
        <v>0</v>
      </c>
      <c r="K63" s="1400">
        <f t="shared" si="2"/>
        <v>11</v>
      </c>
      <c r="L63" s="1400">
        <f t="shared" si="2"/>
        <v>0</v>
      </c>
      <c r="M63" s="1400">
        <f t="shared" si="2"/>
        <v>0</v>
      </c>
      <c r="N63" s="1400">
        <f t="shared" si="2"/>
        <v>11</v>
      </c>
      <c r="O63" s="1400">
        <f t="shared" si="2"/>
        <v>0</v>
      </c>
      <c r="P63" s="1400">
        <f t="shared" si="2"/>
        <v>0</v>
      </c>
      <c r="Q63" s="1400">
        <f t="shared" si="2"/>
        <v>0</v>
      </c>
      <c r="R63" s="1400">
        <f t="shared" si="2"/>
        <v>0</v>
      </c>
      <c r="S63" s="1400">
        <f t="shared" si="2"/>
        <v>0</v>
      </c>
      <c r="T63" s="1400">
        <f t="shared" si="2"/>
        <v>0</v>
      </c>
      <c r="U63" s="1400">
        <f t="shared" si="2"/>
        <v>3</v>
      </c>
      <c r="V63" s="1400">
        <f t="shared" si="2"/>
        <v>0</v>
      </c>
      <c r="W63" s="1400">
        <f t="shared" si="2"/>
        <v>0</v>
      </c>
      <c r="X63" s="1400">
        <f t="shared" si="2"/>
        <v>0</v>
      </c>
      <c r="Y63" s="1400">
        <f t="shared" si="2"/>
        <v>12</v>
      </c>
      <c r="Z63" s="1400">
        <f t="shared" si="2"/>
        <v>22</v>
      </c>
      <c r="AA63" s="1400">
        <f t="shared" si="2"/>
        <v>2</v>
      </c>
      <c r="AB63" s="1400">
        <f t="shared" si="2"/>
        <v>0</v>
      </c>
      <c r="AC63" s="1400">
        <f t="shared" si="2"/>
        <v>0</v>
      </c>
      <c r="AD63" s="1400">
        <f t="shared" si="2"/>
        <v>0</v>
      </c>
      <c r="AE63" s="1400">
        <f t="shared" si="2"/>
        <v>0</v>
      </c>
      <c r="AF63" s="1400">
        <f t="shared" si="2"/>
        <v>0</v>
      </c>
      <c r="AG63" s="1400">
        <f t="shared" si="2"/>
        <v>0</v>
      </c>
      <c r="AH63" s="1400">
        <f t="shared" si="2"/>
        <v>27</v>
      </c>
      <c r="AI63" s="1400">
        <f t="shared" si="2"/>
        <v>0</v>
      </c>
      <c r="AJ63" s="1400">
        <f t="shared" si="2"/>
        <v>0</v>
      </c>
    </row>
    <row r="64" spans="1:37">
      <c r="A64" s="959"/>
      <c r="B64" s="952"/>
      <c r="C64" s="961"/>
      <c r="D64" s="962"/>
      <c r="E64" s="962"/>
      <c r="F64" s="962"/>
      <c r="G64" s="962"/>
      <c r="H64" s="962"/>
      <c r="I64" s="952"/>
      <c r="J64" s="952"/>
      <c r="K64" s="952"/>
      <c r="L64" s="952"/>
      <c r="M64" s="952"/>
      <c r="N64" s="952"/>
      <c r="O64" s="952"/>
      <c r="P64" s="952"/>
      <c r="Q64" s="952"/>
      <c r="R64" s="952"/>
      <c r="S64" s="952"/>
      <c r="T64" s="952"/>
      <c r="U64" s="952"/>
      <c r="V64" s="952"/>
      <c r="W64" s="952"/>
      <c r="X64" s="952"/>
      <c r="Y64" s="952"/>
      <c r="Z64" s="952"/>
      <c r="AA64" s="952"/>
      <c r="AB64" s="952"/>
      <c r="AC64" s="952"/>
      <c r="AD64" s="952"/>
      <c r="AE64" s="952"/>
      <c r="AF64" s="952"/>
      <c r="AG64" s="952"/>
      <c r="AH64" s="952"/>
      <c r="AI64" s="952"/>
      <c r="AJ64" s="952"/>
    </row>
    <row r="65" spans="1:37">
      <c r="A65" s="959"/>
      <c r="B65" s="952"/>
      <c r="C65" s="961"/>
      <c r="D65" s="962"/>
      <c r="E65" s="962"/>
      <c r="F65" s="962"/>
      <c r="G65" s="962"/>
      <c r="H65" s="962"/>
      <c r="I65" s="952"/>
      <c r="J65" s="952"/>
      <c r="K65" s="952"/>
      <c r="L65" s="952"/>
      <c r="M65" s="952"/>
      <c r="N65" s="952"/>
      <c r="O65" s="952"/>
      <c r="P65" s="952"/>
      <c r="Q65" s="952"/>
      <c r="R65" s="952"/>
      <c r="S65" s="952"/>
      <c r="T65" s="952"/>
      <c r="U65" s="952"/>
      <c r="V65" s="952"/>
      <c r="W65" s="952"/>
      <c r="X65" s="952"/>
      <c r="Y65" s="952"/>
      <c r="Z65" s="952"/>
      <c r="AA65" s="952"/>
      <c r="AB65" s="952"/>
      <c r="AC65" s="952"/>
      <c r="AD65" s="952"/>
      <c r="AE65" s="952"/>
      <c r="AF65" s="952"/>
      <c r="AG65" s="952"/>
      <c r="AH65" s="952"/>
      <c r="AI65" s="952"/>
      <c r="AJ65" s="952"/>
    </row>
    <row r="66" spans="1:37" s="953" customFormat="1">
      <c r="A66" s="944"/>
      <c r="B66" s="954"/>
      <c r="C66" s="960"/>
      <c r="D66" s="76"/>
      <c r="E66" s="72"/>
      <c r="F66" s="72"/>
      <c r="G66" s="72"/>
      <c r="H66" s="72"/>
      <c r="I66" s="72"/>
      <c r="J66" s="72"/>
      <c r="K66" s="72"/>
      <c r="L66" s="72"/>
      <c r="M66" s="72"/>
      <c r="N66" s="952"/>
      <c r="O66" s="72"/>
      <c r="P66" s="952"/>
      <c r="Q66" s="952"/>
      <c r="R66" s="952"/>
      <c r="S66" s="72"/>
      <c r="T66" s="72"/>
      <c r="U66" s="72"/>
      <c r="V66" s="72"/>
      <c r="W66" s="72"/>
      <c r="X66" s="72"/>
      <c r="Y66" s="72"/>
      <c r="Z66" s="72"/>
      <c r="AA66" s="72"/>
      <c r="AB66" s="72"/>
      <c r="AC66" s="72"/>
      <c r="AD66" s="72"/>
      <c r="AE66" s="72"/>
      <c r="AF66" s="72"/>
      <c r="AG66" s="72"/>
      <c r="AH66" s="72"/>
      <c r="AI66" s="72"/>
      <c r="AJ66" s="72"/>
      <c r="AK66" s="38"/>
    </row>
    <row r="67" spans="1:37" s="953" customFormat="1">
      <c r="A67" s="944"/>
      <c r="B67" s="954"/>
      <c r="C67" s="960"/>
      <c r="D67" s="76"/>
      <c r="E67" s="72"/>
      <c r="F67" s="72"/>
      <c r="G67" s="72"/>
      <c r="H67" s="72"/>
      <c r="I67" s="72"/>
      <c r="J67" s="72"/>
      <c r="K67" s="72"/>
      <c r="L67" s="72"/>
      <c r="M67" s="72"/>
      <c r="N67" s="952"/>
      <c r="O67" s="72"/>
      <c r="P67" s="952"/>
      <c r="Q67" s="952"/>
      <c r="R67" s="952"/>
      <c r="S67" s="72"/>
      <c r="T67" s="72"/>
      <c r="U67" s="72"/>
      <c r="V67" s="72"/>
      <c r="W67" s="72"/>
      <c r="X67" s="72"/>
      <c r="Y67" s="72"/>
      <c r="Z67" s="72"/>
      <c r="AA67" s="72"/>
      <c r="AB67" s="72"/>
      <c r="AC67" s="72"/>
      <c r="AD67" s="72"/>
      <c r="AE67" s="72"/>
      <c r="AF67" s="72"/>
      <c r="AG67" s="72"/>
      <c r="AH67" s="72"/>
      <c r="AI67" s="72"/>
      <c r="AJ67" s="72"/>
      <c r="AK67" s="38"/>
    </row>
    <row r="68" spans="1:37" s="953" customFormat="1">
      <c r="A68" s="944"/>
      <c r="B68" s="954"/>
      <c r="C68" s="960"/>
      <c r="D68" s="76"/>
      <c r="E68" s="72"/>
      <c r="F68" s="72"/>
      <c r="G68" s="72"/>
      <c r="H68" s="72"/>
      <c r="I68" s="72"/>
      <c r="J68" s="72"/>
      <c r="K68" s="72"/>
      <c r="L68" s="72"/>
      <c r="M68" s="72"/>
      <c r="N68" s="952"/>
      <c r="O68" s="72"/>
      <c r="P68" s="952"/>
      <c r="Q68" s="952"/>
      <c r="R68" s="952"/>
      <c r="S68" s="72"/>
      <c r="T68" s="72"/>
      <c r="U68" s="72"/>
      <c r="V68" s="72"/>
      <c r="W68" s="72"/>
      <c r="X68" s="72"/>
      <c r="Y68" s="72"/>
      <c r="Z68" s="72"/>
      <c r="AA68" s="72"/>
      <c r="AB68" s="72"/>
      <c r="AC68" s="72"/>
      <c r="AD68" s="72"/>
      <c r="AE68" s="72"/>
      <c r="AF68" s="72"/>
      <c r="AG68" s="72"/>
      <c r="AH68" s="72"/>
      <c r="AI68" s="72"/>
      <c r="AJ68" s="72"/>
    </row>
    <row r="69" spans="1:37" s="953" customFormat="1">
      <c r="A69" s="944"/>
      <c r="B69" s="954"/>
      <c r="C69" s="960"/>
      <c r="D69" s="76"/>
      <c r="E69" s="72"/>
      <c r="F69" s="72"/>
      <c r="G69" s="72"/>
      <c r="H69" s="72"/>
      <c r="I69" s="72"/>
      <c r="J69" s="72"/>
      <c r="K69" s="72"/>
      <c r="L69" s="72"/>
      <c r="M69" s="72"/>
      <c r="N69" s="952"/>
      <c r="O69" s="72"/>
      <c r="P69" s="952"/>
      <c r="Q69" s="952"/>
      <c r="R69" s="952"/>
      <c r="S69" s="72"/>
      <c r="T69" s="72"/>
      <c r="U69" s="72"/>
      <c r="V69" s="72"/>
      <c r="W69" s="72"/>
      <c r="X69" s="72"/>
      <c r="Y69" s="72"/>
      <c r="Z69" s="72"/>
      <c r="AA69" s="72"/>
      <c r="AB69" s="72"/>
      <c r="AC69" s="72"/>
      <c r="AD69" s="72"/>
      <c r="AE69" s="72"/>
      <c r="AF69" s="72"/>
      <c r="AG69" s="72"/>
      <c r="AH69" s="72"/>
      <c r="AI69" s="72"/>
      <c r="AJ69" s="72"/>
    </row>
    <row r="70" spans="1:37" s="953" customFormat="1">
      <c r="A70" s="944"/>
      <c r="B70" s="954"/>
      <c r="C70" s="960"/>
      <c r="D70" s="76"/>
      <c r="E70" s="72"/>
      <c r="F70" s="72"/>
      <c r="G70" s="72"/>
      <c r="H70" s="72"/>
      <c r="I70" s="72"/>
      <c r="J70" s="72"/>
      <c r="K70" s="72"/>
      <c r="L70" s="72"/>
      <c r="M70" s="72"/>
      <c r="N70" s="952"/>
      <c r="O70" s="72"/>
      <c r="P70" s="952"/>
      <c r="Q70" s="952"/>
      <c r="R70" s="952"/>
      <c r="S70" s="72"/>
      <c r="T70" s="72"/>
      <c r="U70" s="72"/>
      <c r="V70" s="72"/>
      <c r="W70" s="72"/>
      <c r="X70" s="72"/>
      <c r="Y70" s="72"/>
      <c r="Z70" s="72"/>
      <c r="AA70" s="72"/>
      <c r="AB70" s="72"/>
      <c r="AC70" s="72"/>
      <c r="AD70" s="72"/>
      <c r="AE70" s="72"/>
      <c r="AF70" s="72"/>
      <c r="AG70" s="72"/>
      <c r="AH70" s="72"/>
      <c r="AI70" s="72"/>
      <c r="AJ70" s="72"/>
      <c r="AK70" s="38"/>
    </row>
    <row r="71" spans="1:37" s="953" customFormat="1">
      <c r="A71" s="944"/>
      <c r="B71" s="954"/>
      <c r="C71" s="960"/>
      <c r="D71" s="76"/>
      <c r="E71" s="72"/>
      <c r="F71" s="72"/>
      <c r="G71" s="72"/>
      <c r="H71" s="72"/>
      <c r="I71" s="72"/>
      <c r="J71" s="72"/>
      <c r="K71" s="72"/>
      <c r="L71" s="72"/>
      <c r="M71" s="72"/>
      <c r="N71" s="952"/>
      <c r="O71" s="72"/>
      <c r="P71" s="952"/>
      <c r="Q71" s="952"/>
      <c r="R71" s="952"/>
      <c r="S71" s="72"/>
      <c r="T71" s="72"/>
      <c r="U71" s="72"/>
      <c r="V71" s="72"/>
      <c r="W71" s="72"/>
      <c r="X71" s="72"/>
      <c r="Y71" s="72"/>
      <c r="Z71" s="72"/>
      <c r="AA71" s="72"/>
      <c r="AB71" s="72"/>
      <c r="AC71" s="72"/>
      <c r="AD71" s="72"/>
      <c r="AE71" s="72"/>
      <c r="AF71" s="72"/>
      <c r="AG71" s="72"/>
      <c r="AH71" s="72"/>
      <c r="AI71" s="72"/>
      <c r="AJ71" s="72"/>
      <c r="AK71" s="38"/>
    </row>
    <row r="72" spans="1:37" s="953" customFormat="1">
      <c r="A72" s="944"/>
      <c r="B72" s="954"/>
      <c r="C72" s="960"/>
      <c r="D72" s="76"/>
      <c r="E72" s="72"/>
      <c r="F72" s="72"/>
      <c r="G72" s="72"/>
      <c r="H72" s="72"/>
      <c r="I72" s="72"/>
      <c r="J72" s="72"/>
      <c r="K72" s="72"/>
      <c r="L72" s="72"/>
      <c r="M72" s="72"/>
      <c r="N72" s="952"/>
      <c r="O72" s="72"/>
      <c r="P72" s="952"/>
      <c r="Q72" s="952"/>
      <c r="R72" s="952"/>
      <c r="S72" s="72"/>
      <c r="T72" s="72"/>
      <c r="U72" s="72"/>
      <c r="V72" s="72"/>
      <c r="W72" s="72"/>
      <c r="X72" s="72"/>
      <c r="Y72" s="72"/>
      <c r="Z72" s="72"/>
      <c r="AA72" s="72"/>
      <c r="AB72" s="72"/>
      <c r="AC72" s="72"/>
      <c r="AD72" s="72"/>
      <c r="AE72" s="72"/>
      <c r="AF72" s="72"/>
      <c r="AG72" s="72"/>
      <c r="AH72" s="72"/>
      <c r="AI72" s="72"/>
      <c r="AJ72" s="72"/>
      <c r="AK72" s="38"/>
    </row>
    <row r="73" spans="1:37" s="953" customFormat="1">
      <c r="A73" s="944"/>
      <c r="B73" s="954"/>
      <c r="C73" s="960"/>
      <c r="D73" s="76"/>
      <c r="E73" s="72"/>
      <c r="F73" s="72"/>
      <c r="G73" s="72"/>
      <c r="H73" s="72"/>
      <c r="I73" s="72"/>
      <c r="J73" s="72"/>
      <c r="K73" s="72"/>
      <c r="L73" s="72"/>
      <c r="M73" s="72"/>
      <c r="N73" s="952"/>
      <c r="O73" s="72"/>
      <c r="P73" s="952"/>
      <c r="Q73" s="952"/>
      <c r="R73" s="952"/>
      <c r="S73" s="72"/>
      <c r="T73" s="72"/>
      <c r="U73" s="72"/>
      <c r="V73" s="72"/>
      <c r="W73" s="72"/>
      <c r="X73" s="72"/>
      <c r="Y73" s="72"/>
      <c r="Z73" s="72"/>
      <c r="AA73" s="72"/>
      <c r="AB73" s="72"/>
      <c r="AC73" s="72"/>
      <c r="AD73" s="72"/>
      <c r="AE73" s="72"/>
      <c r="AF73" s="72"/>
      <c r="AG73" s="72"/>
      <c r="AH73" s="72"/>
      <c r="AI73" s="72"/>
      <c r="AJ73" s="72"/>
      <c r="AK73" s="38"/>
    </row>
    <row r="74" spans="1:37" s="953" customFormat="1">
      <c r="A74" s="944"/>
      <c r="B74" s="954"/>
      <c r="C74" s="960"/>
      <c r="D74" s="76"/>
      <c r="E74" s="72"/>
      <c r="F74" s="72"/>
      <c r="G74" s="72"/>
      <c r="H74" s="72"/>
      <c r="I74" s="72"/>
      <c r="J74" s="72"/>
      <c r="K74" s="72"/>
      <c r="L74" s="72"/>
      <c r="M74" s="72"/>
      <c r="N74" s="952"/>
      <c r="O74" s="72"/>
      <c r="P74" s="952"/>
      <c r="Q74" s="952"/>
      <c r="R74" s="952"/>
      <c r="S74" s="72"/>
      <c r="T74" s="72"/>
      <c r="U74" s="72"/>
      <c r="V74" s="72"/>
      <c r="W74" s="72"/>
      <c r="X74" s="72"/>
      <c r="Y74" s="72"/>
      <c r="Z74" s="72"/>
      <c r="AA74" s="72"/>
      <c r="AB74" s="72"/>
      <c r="AC74" s="72"/>
      <c r="AD74" s="72"/>
      <c r="AE74" s="72"/>
      <c r="AF74" s="72"/>
      <c r="AG74" s="72"/>
      <c r="AH74" s="72"/>
      <c r="AI74" s="72"/>
      <c r="AJ74" s="72"/>
      <c r="AK74" s="38"/>
    </row>
    <row r="75" spans="1:37">
      <c r="A75" s="959"/>
      <c r="B75" s="952"/>
      <c r="C75" s="961"/>
      <c r="D75" s="76"/>
      <c r="E75" s="962"/>
      <c r="F75" s="962"/>
      <c r="G75" s="962"/>
      <c r="H75" s="962"/>
      <c r="I75" s="952"/>
      <c r="J75" s="952"/>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row>
    <row r="76" spans="1:37" s="953" customFormat="1">
      <c r="A76" s="944"/>
      <c r="B76" s="954"/>
      <c r="C76" s="960"/>
      <c r="D76" s="76"/>
      <c r="E76" s="72"/>
      <c r="F76" s="72"/>
      <c r="G76" s="72"/>
      <c r="H76" s="72"/>
      <c r="I76" s="72"/>
      <c r="J76" s="72"/>
      <c r="K76" s="72"/>
      <c r="L76" s="72"/>
      <c r="M76" s="72"/>
      <c r="N76" s="952"/>
      <c r="O76" s="72"/>
      <c r="P76" s="952"/>
      <c r="Q76" s="952"/>
      <c r="R76" s="952"/>
      <c r="S76" s="72"/>
      <c r="T76" s="72"/>
      <c r="U76" s="72"/>
      <c r="V76" s="72"/>
      <c r="W76" s="72"/>
      <c r="X76" s="72"/>
      <c r="Y76" s="72"/>
      <c r="Z76" s="72"/>
      <c r="AA76" s="72"/>
      <c r="AB76" s="72"/>
      <c r="AC76" s="72"/>
      <c r="AD76" s="72"/>
      <c r="AE76" s="72"/>
      <c r="AF76" s="72"/>
      <c r="AG76" s="72"/>
      <c r="AH76" s="72"/>
      <c r="AI76" s="72"/>
      <c r="AJ76" s="72"/>
      <c r="AK76" s="38"/>
    </row>
    <row r="77" spans="1:37" s="953" customFormat="1">
      <c r="A77" s="944"/>
      <c r="B77" s="954"/>
      <c r="C77" s="960"/>
      <c r="D77" s="76"/>
      <c r="E77" s="72"/>
      <c r="F77" s="72"/>
      <c r="G77" s="72"/>
      <c r="H77" s="72"/>
      <c r="I77" s="72"/>
      <c r="J77" s="72"/>
      <c r="K77" s="72"/>
      <c r="L77" s="72"/>
      <c r="M77" s="72"/>
      <c r="N77" s="952"/>
      <c r="O77" s="72"/>
      <c r="P77" s="952"/>
      <c r="Q77" s="952"/>
      <c r="R77" s="952"/>
      <c r="S77" s="72"/>
      <c r="T77" s="72"/>
      <c r="U77" s="72"/>
      <c r="V77" s="72"/>
      <c r="W77" s="72"/>
      <c r="X77" s="72"/>
      <c r="Y77" s="72"/>
      <c r="Z77" s="72"/>
      <c r="AA77" s="72"/>
      <c r="AB77" s="72"/>
      <c r="AC77" s="72"/>
      <c r="AD77" s="72"/>
      <c r="AE77" s="72"/>
      <c r="AF77" s="72"/>
      <c r="AG77" s="72"/>
      <c r="AH77" s="72"/>
      <c r="AI77" s="72"/>
      <c r="AJ77" s="72"/>
    </row>
    <row r="78" spans="1:37" s="953" customFormat="1">
      <c r="A78" s="944"/>
      <c r="B78" s="954"/>
      <c r="C78" s="960"/>
      <c r="D78" s="76"/>
      <c r="E78" s="72"/>
      <c r="F78" s="72"/>
      <c r="G78" s="72"/>
      <c r="H78" s="72"/>
      <c r="I78" s="72"/>
      <c r="J78" s="72"/>
      <c r="K78" s="72"/>
      <c r="L78" s="72"/>
      <c r="M78" s="72"/>
      <c r="N78" s="952"/>
      <c r="O78" s="72"/>
      <c r="P78" s="952"/>
      <c r="Q78" s="952"/>
      <c r="R78" s="952"/>
      <c r="S78" s="72"/>
      <c r="T78" s="72"/>
      <c r="U78" s="72"/>
      <c r="V78" s="72"/>
      <c r="W78" s="72"/>
      <c r="X78" s="72"/>
      <c r="Y78" s="72"/>
      <c r="Z78" s="72"/>
      <c r="AA78" s="72"/>
      <c r="AB78" s="72"/>
      <c r="AC78" s="72"/>
      <c r="AD78" s="72"/>
      <c r="AE78" s="72"/>
      <c r="AF78" s="72"/>
      <c r="AG78" s="72"/>
      <c r="AH78" s="72"/>
      <c r="AI78" s="72"/>
      <c r="AJ78" s="72"/>
    </row>
    <row r="79" spans="1:37" s="953" customFormat="1">
      <c r="A79" s="944"/>
      <c r="B79" s="954"/>
      <c r="C79" s="960"/>
      <c r="D79" s="76"/>
      <c r="E79" s="72"/>
      <c r="F79" s="72"/>
      <c r="G79" s="72"/>
      <c r="H79" s="72"/>
      <c r="I79" s="72"/>
      <c r="J79" s="72"/>
      <c r="K79" s="72"/>
      <c r="L79" s="72"/>
      <c r="M79" s="72"/>
      <c r="N79" s="952"/>
      <c r="O79" s="72"/>
      <c r="P79" s="952"/>
      <c r="Q79" s="952"/>
      <c r="R79" s="952"/>
      <c r="S79" s="72"/>
      <c r="T79" s="72"/>
      <c r="U79" s="72"/>
      <c r="V79" s="72"/>
      <c r="W79" s="72"/>
      <c r="X79" s="72"/>
      <c r="Y79" s="72"/>
      <c r="Z79" s="72"/>
      <c r="AA79" s="72"/>
      <c r="AB79" s="72"/>
      <c r="AC79" s="72"/>
      <c r="AD79" s="72"/>
      <c r="AE79" s="72"/>
      <c r="AF79" s="72"/>
      <c r="AG79" s="72"/>
      <c r="AH79" s="72"/>
      <c r="AI79" s="72"/>
      <c r="AJ79" s="72"/>
    </row>
    <row r="80" spans="1:37" s="953" customFormat="1">
      <c r="A80" s="944"/>
      <c r="B80" s="954"/>
      <c r="C80" s="960"/>
      <c r="D80" s="76"/>
      <c r="E80" s="72"/>
      <c r="F80" s="72"/>
      <c r="G80" s="72"/>
      <c r="H80" s="72"/>
      <c r="I80" s="72"/>
      <c r="J80" s="72"/>
      <c r="K80" s="72"/>
      <c r="L80" s="72"/>
      <c r="M80" s="72"/>
      <c r="N80" s="952"/>
      <c r="O80" s="72"/>
      <c r="P80" s="952"/>
      <c r="Q80" s="952"/>
      <c r="R80" s="952"/>
      <c r="S80" s="72"/>
      <c r="T80" s="72"/>
      <c r="U80" s="72"/>
      <c r="V80" s="72"/>
      <c r="W80" s="72"/>
      <c r="X80" s="72"/>
      <c r="Y80" s="72"/>
      <c r="Z80" s="72"/>
      <c r="AA80" s="72"/>
      <c r="AB80" s="72"/>
      <c r="AC80" s="72"/>
      <c r="AD80" s="72"/>
      <c r="AE80" s="72"/>
      <c r="AF80" s="72"/>
      <c r="AG80" s="72"/>
      <c r="AH80" s="72"/>
      <c r="AI80" s="72"/>
      <c r="AJ80" s="72"/>
    </row>
    <row r="81" spans="1:36" s="953" customFormat="1">
      <c r="A81" s="944"/>
      <c r="B81" s="954"/>
      <c r="C81" s="960"/>
      <c r="D81" s="76"/>
      <c r="E81" s="72"/>
      <c r="F81" s="72"/>
      <c r="G81" s="72"/>
      <c r="H81" s="72"/>
      <c r="I81" s="72"/>
      <c r="J81" s="72"/>
      <c r="K81" s="72"/>
      <c r="L81" s="72"/>
      <c r="M81" s="72"/>
      <c r="N81" s="952"/>
      <c r="O81" s="72"/>
      <c r="P81" s="952"/>
      <c r="Q81" s="952"/>
      <c r="R81" s="952"/>
      <c r="S81" s="72"/>
      <c r="T81" s="72"/>
      <c r="U81" s="72"/>
      <c r="V81" s="72"/>
      <c r="W81" s="72"/>
      <c r="X81" s="72"/>
      <c r="Y81" s="72"/>
      <c r="Z81" s="72"/>
      <c r="AA81" s="72"/>
      <c r="AB81" s="72"/>
      <c r="AC81" s="72"/>
      <c r="AD81" s="72"/>
      <c r="AE81" s="72"/>
      <c r="AF81" s="72"/>
      <c r="AG81" s="72"/>
      <c r="AH81" s="72"/>
      <c r="AI81" s="72"/>
      <c r="AJ81" s="72"/>
    </row>
    <row r="82" spans="1:36" s="588" customFormat="1" ht="20.100000000000001" customHeight="1">
      <c r="A82" s="1398" t="s">
        <v>5817</v>
      </c>
      <c r="B82" s="1399"/>
      <c r="C82" s="1400">
        <f t="shared" ref="C82:AJ82" si="3">ROUND(SUM(C66:C81),0)</f>
        <v>0</v>
      </c>
      <c r="D82" s="1400">
        <f t="shared" si="3"/>
        <v>0</v>
      </c>
      <c r="E82" s="1400">
        <f t="shared" si="3"/>
        <v>0</v>
      </c>
      <c r="F82" s="1400">
        <f t="shared" si="3"/>
        <v>0</v>
      </c>
      <c r="G82" s="1400">
        <f t="shared" si="3"/>
        <v>0</v>
      </c>
      <c r="H82" s="1400">
        <f t="shared" si="3"/>
        <v>0</v>
      </c>
      <c r="I82" s="1400">
        <f t="shared" si="3"/>
        <v>0</v>
      </c>
      <c r="J82" s="1400">
        <f t="shared" si="3"/>
        <v>0</v>
      </c>
      <c r="K82" s="1400">
        <f t="shared" si="3"/>
        <v>0</v>
      </c>
      <c r="L82" s="1400">
        <f t="shared" si="3"/>
        <v>0</v>
      </c>
      <c r="M82" s="1400">
        <f t="shared" si="3"/>
        <v>0</v>
      </c>
      <c r="N82" s="1400">
        <f t="shared" si="3"/>
        <v>0</v>
      </c>
      <c r="O82" s="1400">
        <f t="shared" si="3"/>
        <v>0</v>
      </c>
      <c r="P82" s="1400">
        <f t="shared" si="3"/>
        <v>0</v>
      </c>
      <c r="Q82" s="1400">
        <f t="shared" si="3"/>
        <v>0</v>
      </c>
      <c r="R82" s="1400">
        <f t="shared" si="3"/>
        <v>0</v>
      </c>
      <c r="S82" s="1400">
        <f t="shared" si="3"/>
        <v>0</v>
      </c>
      <c r="T82" s="1400">
        <f t="shared" si="3"/>
        <v>0</v>
      </c>
      <c r="U82" s="1400">
        <f t="shared" si="3"/>
        <v>0</v>
      </c>
      <c r="V82" s="1400">
        <f t="shared" si="3"/>
        <v>0</v>
      </c>
      <c r="W82" s="1400">
        <f t="shared" si="3"/>
        <v>0</v>
      </c>
      <c r="X82" s="1400">
        <f t="shared" si="3"/>
        <v>0</v>
      </c>
      <c r="Y82" s="1400">
        <f t="shared" si="3"/>
        <v>0</v>
      </c>
      <c r="Z82" s="1400">
        <f t="shared" si="3"/>
        <v>0</v>
      </c>
      <c r="AA82" s="1400">
        <f t="shared" si="3"/>
        <v>0</v>
      </c>
      <c r="AB82" s="1400">
        <f t="shared" si="3"/>
        <v>0</v>
      </c>
      <c r="AC82" s="1400">
        <f t="shared" si="3"/>
        <v>0</v>
      </c>
      <c r="AD82" s="1400">
        <f t="shared" si="3"/>
        <v>0</v>
      </c>
      <c r="AE82" s="1400">
        <f t="shared" si="3"/>
        <v>0</v>
      </c>
      <c r="AF82" s="1400">
        <f t="shared" si="3"/>
        <v>0</v>
      </c>
      <c r="AG82" s="1400">
        <f t="shared" si="3"/>
        <v>0</v>
      </c>
      <c r="AH82" s="1400">
        <f t="shared" si="3"/>
        <v>0</v>
      </c>
      <c r="AI82" s="1400">
        <f t="shared" si="3"/>
        <v>0</v>
      </c>
      <c r="AJ82" s="1400">
        <f t="shared" si="3"/>
        <v>0</v>
      </c>
    </row>
    <row r="83" spans="1:36" ht="3" customHeight="1">
      <c r="A83" s="2112" t="s">
        <v>1208</v>
      </c>
      <c r="B83" s="2113"/>
      <c r="C83" s="945"/>
      <c r="D83" s="946"/>
      <c r="E83" s="946"/>
      <c r="F83" s="946"/>
      <c r="G83" s="946"/>
      <c r="H83" s="946"/>
      <c r="I83" s="945"/>
      <c r="J83" s="947"/>
      <c r="K83" s="947"/>
      <c r="L83" s="947"/>
      <c r="M83" s="947"/>
      <c r="N83" s="947"/>
      <c r="O83" s="947"/>
      <c r="P83" s="947"/>
      <c r="Q83" s="947"/>
      <c r="R83" s="947"/>
      <c r="S83" s="948"/>
      <c r="T83" s="948"/>
      <c r="U83" s="948"/>
      <c r="V83" s="948"/>
      <c r="W83" s="948"/>
      <c r="X83" s="948"/>
      <c r="Y83" s="948"/>
      <c r="Z83" s="948"/>
      <c r="AA83" s="948"/>
      <c r="AB83" s="948"/>
      <c r="AC83" s="948"/>
      <c r="AD83" s="948"/>
      <c r="AE83" s="948"/>
      <c r="AF83" s="948"/>
      <c r="AG83" s="948"/>
      <c r="AH83" s="948"/>
      <c r="AI83" s="948"/>
      <c r="AJ83" s="949"/>
    </row>
    <row r="84" spans="1:36" s="589" customFormat="1" ht="30" customHeight="1">
      <c r="A84" s="2114"/>
      <c r="B84" s="2115"/>
      <c r="C84" s="1401">
        <f t="shared" ref="C84:AJ84" si="4">C63+C82</f>
        <v>392</v>
      </c>
      <c r="D84" s="1401">
        <f t="shared" si="4"/>
        <v>0</v>
      </c>
      <c r="E84" s="1401">
        <f t="shared" si="4"/>
        <v>784</v>
      </c>
      <c r="F84" s="1401">
        <f t="shared" si="4"/>
        <v>0</v>
      </c>
      <c r="G84" s="1401">
        <f t="shared" si="4"/>
        <v>392</v>
      </c>
      <c r="H84" s="1401">
        <f t="shared" si="4"/>
        <v>0</v>
      </c>
      <c r="I84" s="1401">
        <f t="shared" si="4"/>
        <v>0</v>
      </c>
      <c r="J84" s="1401">
        <f t="shared" si="4"/>
        <v>0</v>
      </c>
      <c r="K84" s="1401">
        <f t="shared" si="4"/>
        <v>11</v>
      </c>
      <c r="L84" s="1401">
        <f t="shared" si="4"/>
        <v>0</v>
      </c>
      <c r="M84" s="1401">
        <f t="shared" si="4"/>
        <v>0</v>
      </c>
      <c r="N84" s="1401">
        <f t="shared" si="4"/>
        <v>11</v>
      </c>
      <c r="O84" s="1401">
        <f t="shared" si="4"/>
        <v>0</v>
      </c>
      <c r="P84" s="1401">
        <f t="shared" si="4"/>
        <v>0</v>
      </c>
      <c r="Q84" s="1401">
        <f t="shared" si="4"/>
        <v>0</v>
      </c>
      <c r="R84" s="1401">
        <f t="shared" si="4"/>
        <v>0</v>
      </c>
      <c r="S84" s="1401">
        <f t="shared" si="4"/>
        <v>0</v>
      </c>
      <c r="T84" s="1401">
        <f t="shared" si="4"/>
        <v>0</v>
      </c>
      <c r="U84" s="1401">
        <f t="shared" si="4"/>
        <v>3</v>
      </c>
      <c r="V84" s="1401">
        <f t="shared" si="4"/>
        <v>0</v>
      </c>
      <c r="W84" s="1401">
        <f t="shared" si="4"/>
        <v>0</v>
      </c>
      <c r="X84" s="1401">
        <f t="shared" si="4"/>
        <v>0</v>
      </c>
      <c r="Y84" s="1401">
        <f t="shared" si="4"/>
        <v>12</v>
      </c>
      <c r="Z84" s="1401">
        <f t="shared" si="4"/>
        <v>22</v>
      </c>
      <c r="AA84" s="1401">
        <f t="shared" si="4"/>
        <v>2</v>
      </c>
      <c r="AB84" s="1401">
        <f t="shared" si="4"/>
        <v>0</v>
      </c>
      <c r="AC84" s="1401">
        <f t="shared" si="4"/>
        <v>0</v>
      </c>
      <c r="AD84" s="1401">
        <f t="shared" si="4"/>
        <v>0</v>
      </c>
      <c r="AE84" s="1401">
        <f t="shared" si="4"/>
        <v>0</v>
      </c>
      <c r="AF84" s="1401">
        <f t="shared" si="4"/>
        <v>0</v>
      </c>
      <c r="AG84" s="1401">
        <f t="shared" si="4"/>
        <v>0</v>
      </c>
      <c r="AH84" s="1401">
        <f t="shared" si="4"/>
        <v>27</v>
      </c>
      <c r="AI84" s="1401">
        <f t="shared" si="4"/>
        <v>0</v>
      </c>
      <c r="AJ84" s="1401">
        <f t="shared" si="4"/>
        <v>0</v>
      </c>
    </row>
    <row r="85" spans="1:36" ht="10.5" customHeight="1">
      <c r="A85" s="52"/>
      <c r="B85" s="52"/>
      <c r="C85" s="40"/>
      <c r="D85" s="40"/>
      <c r="E85" s="40"/>
      <c r="F85" s="40"/>
      <c r="G85" s="40"/>
      <c r="H85" s="40"/>
      <c r="I85" s="40"/>
      <c r="J85" s="40"/>
      <c r="K85" s="40"/>
      <c r="L85" s="40"/>
      <c r="M85" s="40"/>
      <c r="O85" s="40"/>
    </row>
    <row r="86" spans="1:36">
      <c r="A86" s="2075" t="s">
        <v>1471</v>
      </c>
      <c r="B86" s="2075"/>
      <c r="C86" s="2075"/>
      <c r="D86" s="40"/>
      <c r="E86" s="40"/>
      <c r="F86" s="40"/>
      <c r="G86" s="40"/>
      <c r="H86" s="40"/>
      <c r="I86" s="40"/>
      <c r="J86" s="40"/>
      <c r="K86" s="40"/>
      <c r="L86" s="40"/>
      <c r="M86" s="40"/>
      <c r="O86" s="54"/>
    </row>
    <row r="87" spans="1:36">
      <c r="A87" s="2073" t="s">
        <v>1472</v>
      </c>
      <c r="B87" s="2073"/>
      <c r="C87" s="2073"/>
    </row>
    <row r="88" spans="1:36">
      <c r="D88" s="41"/>
      <c r="E88" s="41"/>
      <c r="F88" s="41" t="str">
        <f>+ROUND(E84,0)&amp;"m x 1,02 ="</f>
        <v>784m x 1,02 =</v>
      </c>
      <c r="G88" s="55">
        <f>+ROUND(+E84*1.02,0)</f>
        <v>800</v>
      </c>
      <c r="H88" s="55"/>
      <c r="I88" s="43" t="s">
        <v>2603</v>
      </c>
      <c r="J88" s="44"/>
    </row>
    <row r="89" spans="1:36" hidden="1">
      <c r="D89" s="41"/>
      <c r="E89" s="41"/>
      <c r="F89" s="41" t="str">
        <f>+ROUND(F84,0)&amp;"m x 1,02 ="</f>
        <v>0m x 1,02 =</v>
      </c>
      <c r="G89" s="55">
        <f>+ROUND(+F84*1.02,0)</f>
        <v>0</v>
      </c>
      <c r="H89" s="55"/>
      <c r="I89" s="43" t="s">
        <v>2602</v>
      </c>
      <c r="J89" s="44"/>
    </row>
    <row r="90" spans="1:36">
      <c r="D90" s="41"/>
      <c r="E90" s="41"/>
      <c r="F90" s="41" t="str">
        <f>+ROUND(G84,0)&amp;"m x 1,02 ="</f>
        <v>392m x 1,02 =</v>
      </c>
      <c r="G90" s="55">
        <f>+ROUND(+G84*1.02,0)</f>
        <v>400</v>
      </c>
      <c r="H90" s="55"/>
      <c r="I90" s="43" t="s">
        <v>2604</v>
      </c>
      <c r="J90" s="44"/>
    </row>
    <row r="91" spans="1:36">
      <c r="A91" s="2073" t="s">
        <v>3846</v>
      </c>
      <c r="B91" s="2073"/>
      <c r="C91" s="2073"/>
      <c r="D91" s="52"/>
      <c r="E91" s="40"/>
      <c r="F91" s="40"/>
      <c r="G91" s="41"/>
      <c r="H91" s="40"/>
      <c r="L91" s="40"/>
      <c r="M91" s="40"/>
      <c r="N91" s="40"/>
      <c r="AD91" s="38"/>
      <c r="AE91" s="38"/>
    </row>
    <row r="92" spans="1:36">
      <c r="A92" s="38"/>
      <c r="E92" s="41"/>
      <c r="F92" s="41" t="str">
        <f>+G90&amp;" m x 0,149 kg/m ="</f>
        <v>400 m x 0,149 kg/m =</v>
      </c>
      <c r="G92" s="55">
        <f>+ROUND((G90*0.149),0)</f>
        <v>60</v>
      </c>
      <c r="H92" s="55"/>
      <c r="I92" s="43" t="s">
        <v>2605</v>
      </c>
      <c r="AD92" s="38"/>
      <c r="AE92" s="38"/>
    </row>
    <row r="93" spans="1:36">
      <c r="A93" s="38"/>
      <c r="E93" s="41"/>
      <c r="F93" s="41"/>
      <c r="G93" s="41"/>
      <c r="H93" s="41"/>
      <c r="I93" s="44"/>
      <c r="J93" s="44"/>
      <c r="AD93" s="38"/>
      <c r="AE93" s="38"/>
    </row>
  </sheetData>
  <mergeCells count="24">
    <mergeCell ref="A1:AJ1"/>
    <mergeCell ref="AJ3:AJ4"/>
    <mergeCell ref="A83:B84"/>
    <mergeCell ref="A86:C86"/>
    <mergeCell ref="Y3:Y4"/>
    <mergeCell ref="AA3:AA4"/>
    <mergeCell ref="Z3:Z4"/>
    <mergeCell ref="A3:A4"/>
    <mergeCell ref="B3:B4"/>
    <mergeCell ref="C3:C4"/>
    <mergeCell ref="AE3:AE4"/>
    <mergeCell ref="AB3:AB4"/>
    <mergeCell ref="AC3:AC4"/>
    <mergeCell ref="L3:Q3"/>
    <mergeCell ref="I3:K3"/>
    <mergeCell ref="X3:X4"/>
    <mergeCell ref="A91:C91"/>
    <mergeCell ref="AI3:AI4"/>
    <mergeCell ref="AH3:AH4"/>
    <mergeCell ref="AF3:AF4"/>
    <mergeCell ref="AG3:AG4"/>
    <mergeCell ref="AD3:AD4"/>
    <mergeCell ref="A87:C87"/>
    <mergeCell ref="W3:W4"/>
  </mergeCells>
  <phoneticPr fontId="152" type="noConversion"/>
  <printOptions horizontalCentered="1"/>
  <pageMargins left="0.19685039370078741" right="0.19685039370078741" top="0.39370078740157483" bottom="0.19685039370078741" header="0.51181102362204722" footer="0.51181102362204722"/>
  <pageSetup paperSize="9" scale="80" orientation="landscape" blackAndWhite="1"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22"/>
  </sheetPr>
  <dimension ref="A1:BN258"/>
  <sheetViews>
    <sheetView showZeros="0" workbookViewId="0">
      <pane xSplit="4" ySplit="48" topLeftCell="E229" activePane="bottomRight" state="frozen"/>
      <selection activeCell="C10" sqref="C10:D10"/>
      <selection pane="topRight" activeCell="C10" sqref="C10:D10"/>
      <selection pane="bottomLeft" activeCell="C10" sqref="C10:D10"/>
      <selection pane="bottomRight" activeCell="C10" sqref="C10:D10"/>
    </sheetView>
  </sheetViews>
  <sheetFormatPr defaultColWidth="9.33203125" defaultRowHeight="12.75"/>
  <cols>
    <col min="1" max="1" width="15.83203125" style="53" customWidth="1"/>
    <col min="2" max="2" width="10.1640625" style="53" customWidth="1"/>
    <col min="3" max="3" width="5.33203125" style="38" customWidth="1"/>
    <col min="4" max="5" width="4.83203125" style="38" customWidth="1"/>
    <col min="6" max="7" width="6.83203125" style="38" customWidth="1"/>
    <col min="8" max="11" width="4" style="38" customWidth="1"/>
    <col min="12" max="12" width="3.83203125" style="38" customWidth="1"/>
    <col min="13" max="14" width="4" style="38" customWidth="1"/>
    <col min="15" max="15" width="4" style="38" hidden="1" customWidth="1"/>
    <col min="16" max="24" width="4" style="38" customWidth="1"/>
    <col min="25" max="25" width="19.6640625" style="38" hidden="1" customWidth="1"/>
    <col min="26" max="28" width="6.5" style="38" hidden="1" customWidth="1"/>
    <col min="29" max="30" width="4" style="38" customWidth="1"/>
    <col min="31" max="31" width="4" style="38" hidden="1" customWidth="1"/>
    <col min="32" max="40" width="4" style="38" customWidth="1"/>
    <col min="41" max="43" width="4" style="38" hidden="1" customWidth="1"/>
    <col min="44" max="47" width="4" style="38" customWidth="1"/>
    <col min="48" max="51" width="4" style="953" customWidth="1"/>
    <col min="52" max="54" width="4" style="38" customWidth="1"/>
    <col min="55" max="58" width="4" style="38" hidden="1" customWidth="1"/>
    <col min="59" max="64" width="4" style="38" customWidth="1"/>
    <col min="65" max="65" width="22.5" style="38" customWidth="1"/>
    <col min="66" max="16384" width="9.33203125" style="38"/>
  </cols>
  <sheetData>
    <row r="1" spans="1:65" ht="18.75">
      <c r="A1" s="2111" t="s">
        <v>5818</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c r="AN1" s="2111"/>
      <c r="AO1" s="2111"/>
      <c r="AP1" s="2111"/>
      <c r="AQ1" s="2111"/>
      <c r="AR1" s="2111"/>
      <c r="AS1" s="2111"/>
      <c r="AT1" s="2111"/>
      <c r="AU1" s="2111"/>
      <c r="AV1" s="2111"/>
      <c r="AW1" s="2111"/>
      <c r="AX1" s="2111"/>
      <c r="AY1" s="2111"/>
      <c r="AZ1" s="2111"/>
      <c r="BA1" s="2111"/>
      <c r="BB1" s="2111"/>
      <c r="BC1" s="2111"/>
      <c r="BD1" s="2111"/>
      <c r="BE1" s="2111"/>
      <c r="BF1" s="2111"/>
      <c r="BG1" s="2111"/>
      <c r="BH1" s="2111"/>
      <c r="BI1" s="2111"/>
      <c r="BJ1" s="2111"/>
      <c r="BK1" s="2111"/>
      <c r="BL1" s="2111"/>
      <c r="BM1" s="2111"/>
    </row>
    <row r="2" spans="1:65" ht="8.25" customHeight="1"/>
    <row r="3" spans="1:65" ht="14.25" customHeight="1">
      <c r="A3" s="2071" t="s">
        <v>2541</v>
      </c>
      <c r="B3" s="2071" t="s">
        <v>2542</v>
      </c>
      <c r="C3" s="2071" t="s">
        <v>2543</v>
      </c>
      <c r="D3" s="56" t="s">
        <v>2544</v>
      </c>
      <c r="E3" s="56"/>
      <c r="F3" s="56"/>
      <c r="G3" s="56"/>
      <c r="H3" s="56" t="s">
        <v>2545</v>
      </c>
      <c r="I3" s="56"/>
      <c r="J3" s="56"/>
      <c r="K3" s="56"/>
      <c r="L3" s="56"/>
      <c r="M3" s="2078" t="s">
        <v>2546</v>
      </c>
      <c r="N3" s="2079"/>
      <c r="O3" s="2079"/>
      <c r="P3" s="2079"/>
      <c r="Q3" s="2079"/>
      <c r="R3" s="2079"/>
      <c r="S3" s="2079"/>
      <c r="T3" s="2080"/>
      <c r="U3" s="56" t="s">
        <v>2547</v>
      </c>
      <c r="V3" s="56"/>
      <c r="W3" s="56"/>
      <c r="X3" s="56"/>
      <c r="Y3" s="56" t="s">
        <v>5848</v>
      </c>
      <c r="Z3" s="56"/>
      <c r="AA3" s="56"/>
      <c r="AB3" s="56"/>
      <c r="AC3" s="2078" t="s">
        <v>1019</v>
      </c>
      <c r="AD3" s="2079"/>
      <c r="AE3" s="2079"/>
      <c r="AF3" s="2079"/>
      <c r="AG3" s="2079"/>
      <c r="AH3" s="2079"/>
      <c r="AI3" s="2080"/>
      <c r="AJ3" s="2068" t="s">
        <v>5972</v>
      </c>
      <c r="AK3" s="2068" t="s">
        <v>3493</v>
      </c>
      <c r="AL3" s="2068" t="s">
        <v>5820</v>
      </c>
      <c r="AM3" s="2068" t="s">
        <v>3492</v>
      </c>
      <c r="AN3" s="2068" t="s">
        <v>3623</v>
      </c>
      <c r="AO3" s="2068" t="s">
        <v>3017</v>
      </c>
      <c r="AP3" s="2068" t="s">
        <v>3439</v>
      </c>
      <c r="AQ3" s="2068" t="s">
        <v>2382</v>
      </c>
      <c r="AR3" s="2068" t="s">
        <v>409</v>
      </c>
      <c r="AS3" s="2068" t="s">
        <v>410</v>
      </c>
      <c r="AT3" s="2121" t="s">
        <v>1604</v>
      </c>
      <c r="AU3" s="2121" t="s">
        <v>1605</v>
      </c>
      <c r="AV3" s="2069" t="s">
        <v>5844</v>
      </c>
      <c r="AW3" s="2069" t="s">
        <v>5845</v>
      </c>
      <c r="AX3" s="2069" t="s">
        <v>5846</v>
      </c>
      <c r="AY3" s="2069" t="s">
        <v>5519</v>
      </c>
      <c r="AZ3" s="2068" t="s">
        <v>2377</v>
      </c>
      <c r="BA3" s="2068" t="s">
        <v>6208</v>
      </c>
      <c r="BB3" s="2068" t="s">
        <v>2600</v>
      </c>
      <c r="BC3" s="2069" t="s">
        <v>2378</v>
      </c>
      <c r="BD3" s="2069" t="s">
        <v>3709</v>
      </c>
      <c r="BE3" s="2069" t="s">
        <v>6209</v>
      </c>
      <c r="BF3" s="2071" t="s">
        <v>2379</v>
      </c>
      <c r="BG3" s="2071" t="s">
        <v>2380</v>
      </c>
      <c r="BH3" s="2074" t="s">
        <v>719</v>
      </c>
      <c r="BI3" s="2109" t="s">
        <v>2381</v>
      </c>
      <c r="BJ3" s="2107" t="s">
        <v>1865</v>
      </c>
      <c r="BK3" s="2107" t="s">
        <v>1866</v>
      </c>
      <c r="BL3" s="2107" t="s">
        <v>1215</v>
      </c>
      <c r="BM3" s="2063" t="s">
        <v>6403</v>
      </c>
    </row>
    <row r="4" spans="1:65" ht="163.5" customHeight="1">
      <c r="A4" s="2074"/>
      <c r="B4" s="2071"/>
      <c r="C4" s="2071"/>
      <c r="D4" s="51" t="s">
        <v>1892</v>
      </c>
      <c r="E4" s="51" t="s">
        <v>5509</v>
      </c>
      <c r="F4" s="51" t="s">
        <v>1893</v>
      </c>
      <c r="G4" s="51" t="s">
        <v>718</v>
      </c>
      <c r="H4" s="51" t="s">
        <v>3959</v>
      </c>
      <c r="I4" s="51" t="s">
        <v>3891</v>
      </c>
      <c r="J4" s="51" t="s">
        <v>3960</v>
      </c>
      <c r="K4" s="51" t="s">
        <v>856</v>
      </c>
      <c r="L4" s="51" t="s">
        <v>3335</v>
      </c>
      <c r="M4" s="51" t="s">
        <v>280</v>
      </c>
      <c r="N4" s="51" t="s">
        <v>405</v>
      </c>
      <c r="O4" s="51" t="s">
        <v>405</v>
      </c>
      <c r="P4" s="51" t="s">
        <v>406</v>
      </c>
      <c r="Q4" s="75" t="s">
        <v>5345</v>
      </c>
      <c r="R4" s="75" t="s">
        <v>5790</v>
      </c>
      <c r="S4" s="1494" t="s">
        <v>2373</v>
      </c>
      <c r="T4" s="75" t="s">
        <v>2372</v>
      </c>
      <c r="U4" s="51" t="s">
        <v>2193</v>
      </c>
      <c r="V4" s="51" t="s">
        <v>2376</v>
      </c>
      <c r="W4" s="75" t="s">
        <v>407</v>
      </c>
      <c r="X4" s="75" t="s">
        <v>408</v>
      </c>
      <c r="Y4" s="59" t="s">
        <v>3744</v>
      </c>
      <c r="Z4" s="59" t="s">
        <v>3743</v>
      </c>
      <c r="AA4" s="59" t="s">
        <v>3742</v>
      </c>
      <c r="AB4" s="918" t="s">
        <v>6212</v>
      </c>
      <c r="AC4" s="918" t="s">
        <v>6212</v>
      </c>
      <c r="AD4" s="918" t="s">
        <v>714</v>
      </c>
      <c r="AE4" s="919" t="s">
        <v>6213</v>
      </c>
      <c r="AF4" s="919" t="s">
        <v>6213</v>
      </c>
      <c r="AG4" s="919" t="s">
        <v>715</v>
      </c>
      <c r="AH4" s="918" t="s">
        <v>5971</v>
      </c>
      <c r="AI4" s="918" t="s">
        <v>855</v>
      </c>
      <c r="AJ4" s="2068"/>
      <c r="AK4" s="2068"/>
      <c r="AL4" s="2068"/>
      <c r="AM4" s="2068"/>
      <c r="AN4" s="2068"/>
      <c r="AO4" s="2068"/>
      <c r="AP4" s="2068"/>
      <c r="AQ4" s="2068"/>
      <c r="AR4" s="2068"/>
      <c r="AS4" s="2068"/>
      <c r="AT4" s="2121"/>
      <c r="AU4" s="2121"/>
      <c r="AV4" s="2069"/>
      <c r="AW4" s="2069"/>
      <c r="AX4" s="2069"/>
      <c r="AY4" s="2069"/>
      <c r="AZ4" s="2068"/>
      <c r="BA4" s="2068"/>
      <c r="BB4" s="2068"/>
      <c r="BC4" s="2069"/>
      <c r="BD4" s="2069"/>
      <c r="BE4" s="2069"/>
      <c r="BF4" s="2072"/>
      <c r="BG4" s="2072"/>
      <c r="BH4" s="2120"/>
      <c r="BI4" s="2110"/>
      <c r="BJ4" s="2108"/>
      <c r="BK4" s="2108"/>
      <c r="BL4" s="2108"/>
      <c r="BM4" s="2063"/>
    </row>
    <row r="5" spans="1:65">
      <c r="A5" s="60"/>
      <c r="B5" s="61"/>
      <c r="C5" s="62"/>
      <c r="D5" s="63"/>
      <c r="E5" s="63"/>
      <c r="F5" s="63"/>
      <c r="G5" s="63"/>
      <c r="H5" s="64"/>
      <c r="I5" s="64"/>
      <c r="J5" s="65"/>
      <c r="K5" s="65"/>
      <c r="L5" s="65"/>
      <c r="M5" s="65"/>
      <c r="N5" s="65"/>
      <c r="O5" s="65"/>
      <c r="P5" s="65"/>
      <c r="Q5" s="66"/>
      <c r="R5" s="66"/>
      <c r="S5" s="66"/>
      <c r="T5" s="66"/>
      <c r="U5" s="67"/>
      <c r="V5" s="67"/>
      <c r="W5" s="67"/>
      <c r="X5" s="67"/>
      <c r="Y5" s="68"/>
      <c r="Z5" s="68"/>
      <c r="AA5" s="68"/>
      <c r="AB5" s="68"/>
      <c r="AC5" s="68"/>
      <c r="AD5" s="68"/>
      <c r="AE5" s="68"/>
      <c r="AF5" s="68"/>
      <c r="AG5" s="68"/>
      <c r="AH5" s="68"/>
      <c r="AI5" s="68"/>
      <c r="AJ5" s="67"/>
      <c r="AK5" s="67"/>
      <c r="AL5" s="67"/>
      <c r="AM5" s="67"/>
      <c r="AN5" s="67"/>
      <c r="AO5" s="67"/>
      <c r="AP5" s="67"/>
      <c r="AQ5" s="67"/>
      <c r="AR5" s="67"/>
      <c r="AS5" s="67"/>
      <c r="AT5" s="67"/>
      <c r="AU5" s="67"/>
      <c r="AV5" s="952"/>
      <c r="AW5" s="952"/>
      <c r="AX5" s="952"/>
      <c r="AY5" s="952"/>
      <c r="AZ5" s="67"/>
      <c r="BA5" s="67"/>
      <c r="BB5" s="67"/>
      <c r="BC5" s="67"/>
      <c r="BD5" s="67"/>
      <c r="BE5" s="67"/>
      <c r="BF5" s="67"/>
      <c r="BG5" s="72">
        <f t="shared" ref="BG5:BG48" si="0">IF(D5=0.8,1,0)</f>
        <v>0</v>
      </c>
      <c r="BH5" s="67"/>
      <c r="BI5" s="67"/>
      <c r="BJ5" s="67"/>
      <c r="BK5" s="67"/>
      <c r="BL5" s="67"/>
      <c r="BM5" s="67"/>
    </row>
    <row r="6" spans="1:65" hidden="1">
      <c r="A6" s="931">
        <v>1</v>
      </c>
      <c r="B6" s="71" t="s">
        <v>3120</v>
      </c>
      <c r="C6" s="70"/>
      <c r="D6" s="73">
        <v>0.6</v>
      </c>
      <c r="E6" s="71"/>
      <c r="F6" s="71"/>
      <c r="G6" s="71"/>
      <c r="H6" s="72"/>
      <c r="I6" s="72"/>
      <c r="J6" s="72"/>
      <c r="K6" s="72">
        <v>1</v>
      </c>
      <c r="L6" s="72"/>
      <c r="M6" s="72"/>
      <c r="N6" s="72"/>
      <c r="O6" s="72"/>
      <c r="P6" s="72"/>
      <c r="Q6" s="71">
        <v>1</v>
      </c>
      <c r="R6" s="71"/>
      <c r="S6" s="71"/>
      <c r="T6" s="71"/>
      <c r="U6" s="72"/>
      <c r="V6" s="72"/>
      <c r="W6" s="72"/>
      <c r="X6" s="72"/>
      <c r="Y6" s="72"/>
      <c r="Z6" s="72"/>
      <c r="AA6" s="72">
        <v>3</v>
      </c>
      <c r="AB6" s="72"/>
      <c r="AC6" s="72"/>
      <c r="AD6" s="72">
        <v>1</v>
      </c>
      <c r="AE6" s="72"/>
      <c r="AF6" s="72"/>
      <c r="AG6" s="72"/>
      <c r="AH6" s="72"/>
      <c r="AI6" s="72"/>
      <c r="AJ6" s="72">
        <v>1</v>
      </c>
      <c r="AK6" s="72"/>
      <c r="AL6" s="72"/>
      <c r="AM6" s="72"/>
      <c r="AN6" s="72"/>
      <c r="AO6" s="72"/>
      <c r="AP6" s="72"/>
      <c r="AQ6" s="72"/>
      <c r="AR6" s="72"/>
      <c r="AS6" s="72"/>
      <c r="AT6" s="72"/>
      <c r="AU6" s="72"/>
      <c r="AV6" s="954"/>
      <c r="AW6" s="954"/>
      <c r="AX6" s="954"/>
      <c r="AY6" s="954"/>
      <c r="AZ6" s="72"/>
      <c r="BA6" s="72"/>
      <c r="BB6" s="72"/>
      <c r="BC6" s="72"/>
      <c r="BD6" s="72"/>
      <c r="BE6" s="72"/>
      <c r="BF6" s="72"/>
      <c r="BG6" s="72">
        <f t="shared" si="0"/>
        <v>0</v>
      </c>
      <c r="BH6" s="72"/>
      <c r="BI6" s="72"/>
      <c r="BJ6" s="72"/>
      <c r="BK6" s="72"/>
      <c r="BL6" s="72"/>
      <c r="BM6" s="72"/>
    </row>
    <row r="7" spans="1:65" hidden="1">
      <c r="A7" s="931"/>
      <c r="B7" s="71" t="s">
        <v>3121</v>
      </c>
      <c r="C7" s="70"/>
      <c r="D7" s="73">
        <v>0.6</v>
      </c>
      <c r="E7" s="73"/>
      <c r="F7" s="73"/>
      <c r="G7" s="73"/>
      <c r="H7" s="72"/>
      <c r="I7" s="72"/>
      <c r="J7" s="72"/>
      <c r="K7" s="72">
        <v>1</v>
      </c>
      <c r="L7" s="72"/>
      <c r="M7" s="72"/>
      <c r="N7" s="72"/>
      <c r="O7" s="72"/>
      <c r="P7" s="72"/>
      <c r="Q7" s="71">
        <v>1</v>
      </c>
      <c r="R7" s="71"/>
      <c r="S7" s="71"/>
      <c r="T7" s="71"/>
      <c r="U7" s="72"/>
      <c r="V7" s="72"/>
      <c r="W7" s="72">
        <v>1</v>
      </c>
      <c r="X7" s="72"/>
      <c r="Y7" s="72"/>
      <c r="Z7" s="72"/>
      <c r="AA7" s="72">
        <v>3</v>
      </c>
      <c r="AB7" s="72"/>
      <c r="AC7" s="72"/>
      <c r="AD7" s="72">
        <v>2</v>
      </c>
      <c r="AE7" s="72"/>
      <c r="AF7" s="72"/>
      <c r="AG7" s="72"/>
      <c r="AH7" s="72">
        <v>1</v>
      </c>
      <c r="AI7" s="72"/>
      <c r="AJ7" s="72">
        <v>1</v>
      </c>
      <c r="AK7" s="72"/>
      <c r="AL7" s="72"/>
      <c r="AM7" s="72"/>
      <c r="AN7" s="72"/>
      <c r="AO7" s="72"/>
      <c r="AP7" s="72"/>
      <c r="AQ7" s="72"/>
      <c r="AR7" s="72"/>
      <c r="AS7" s="72"/>
      <c r="AT7" s="72"/>
      <c r="AU7" s="72"/>
      <c r="AV7" s="954"/>
      <c r="AW7" s="954"/>
      <c r="AX7" s="954"/>
      <c r="AY7" s="954"/>
      <c r="AZ7" s="72"/>
      <c r="BA7" s="72"/>
      <c r="BB7" s="72"/>
      <c r="BC7" s="72"/>
      <c r="BD7" s="72"/>
      <c r="BE7" s="72"/>
      <c r="BF7" s="72"/>
      <c r="BG7" s="72">
        <f t="shared" si="0"/>
        <v>0</v>
      </c>
      <c r="BH7" s="72"/>
      <c r="BI7" s="72"/>
      <c r="BJ7" s="72"/>
      <c r="BK7" s="72"/>
      <c r="BL7" s="72"/>
      <c r="BM7" s="72"/>
    </row>
    <row r="8" spans="1:65" hidden="1">
      <c r="A8" s="931"/>
      <c r="B8" s="71" t="s">
        <v>3122</v>
      </c>
      <c r="C8" s="70"/>
      <c r="D8" s="73">
        <v>0.6</v>
      </c>
      <c r="E8" s="73"/>
      <c r="F8" s="73"/>
      <c r="G8" s="73"/>
      <c r="H8" s="72"/>
      <c r="I8" s="72"/>
      <c r="J8" s="72"/>
      <c r="K8" s="72">
        <v>1</v>
      </c>
      <c r="L8" s="72"/>
      <c r="M8" s="72"/>
      <c r="N8" s="72"/>
      <c r="O8" s="72"/>
      <c r="P8" s="72"/>
      <c r="Q8" s="71">
        <v>1</v>
      </c>
      <c r="R8" s="71"/>
      <c r="S8" s="71"/>
      <c r="T8" s="71"/>
      <c r="U8" s="72"/>
      <c r="V8" s="72"/>
      <c r="W8" s="72">
        <v>2</v>
      </c>
      <c r="X8" s="72"/>
      <c r="Y8" s="72"/>
      <c r="Z8" s="72"/>
      <c r="AA8" s="72">
        <v>3</v>
      </c>
      <c r="AB8" s="72"/>
      <c r="AC8" s="72"/>
      <c r="AD8" s="72"/>
      <c r="AE8" s="72"/>
      <c r="AF8" s="72"/>
      <c r="AG8" s="72">
        <v>2</v>
      </c>
      <c r="AH8" s="72"/>
      <c r="AI8" s="72"/>
      <c r="AJ8" s="72">
        <v>2</v>
      </c>
      <c r="AK8" s="72"/>
      <c r="AL8" s="72"/>
      <c r="AM8" s="72"/>
      <c r="AN8" s="72"/>
      <c r="AO8" s="72"/>
      <c r="AP8" s="72"/>
      <c r="AQ8" s="72"/>
      <c r="AR8" s="72"/>
      <c r="AS8" s="72"/>
      <c r="AT8" s="72"/>
      <c r="AU8" s="72"/>
      <c r="AV8" s="954"/>
      <c r="AW8" s="954"/>
      <c r="AX8" s="954"/>
      <c r="AY8" s="954"/>
      <c r="AZ8" s="72"/>
      <c r="BA8" s="72"/>
      <c r="BB8" s="72"/>
      <c r="BC8" s="72"/>
      <c r="BD8" s="72"/>
      <c r="BE8" s="72">
        <v>3</v>
      </c>
      <c r="BF8" s="72"/>
      <c r="BG8" s="72">
        <f t="shared" si="0"/>
        <v>0</v>
      </c>
      <c r="BH8" s="72"/>
      <c r="BI8" s="72"/>
      <c r="BJ8" s="72"/>
      <c r="BK8" s="72">
        <v>1</v>
      </c>
      <c r="BL8" s="72"/>
      <c r="BM8" s="72"/>
    </row>
    <row r="9" spans="1:65" hidden="1">
      <c r="A9" s="931"/>
      <c r="B9" s="71" t="s">
        <v>3123</v>
      </c>
      <c r="C9" s="70"/>
      <c r="D9" s="73">
        <v>0.6</v>
      </c>
      <c r="E9" s="73"/>
      <c r="F9" s="73"/>
      <c r="G9" s="73"/>
      <c r="H9" s="72"/>
      <c r="I9" s="72"/>
      <c r="J9" s="72"/>
      <c r="K9" s="72">
        <v>1</v>
      </c>
      <c r="L9" s="72"/>
      <c r="M9" s="72"/>
      <c r="N9" s="72"/>
      <c r="O9" s="72"/>
      <c r="P9" s="72"/>
      <c r="Q9" s="71">
        <v>1</v>
      </c>
      <c r="R9" s="71"/>
      <c r="S9" s="71"/>
      <c r="T9" s="71"/>
      <c r="U9" s="72"/>
      <c r="V9" s="72"/>
      <c r="W9" s="72">
        <v>2</v>
      </c>
      <c r="X9" s="72"/>
      <c r="Y9" s="72"/>
      <c r="Z9" s="72"/>
      <c r="AA9" s="72">
        <v>3</v>
      </c>
      <c r="AB9" s="72"/>
      <c r="AC9" s="72"/>
      <c r="AD9" s="72"/>
      <c r="AE9" s="72"/>
      <c r="AF9" s="72"/>
      <c r="AG9" s="72">
        <v>2</v>
      </c>
      <c r="AH9" s="72"/>
      <c r="AI9" s="72"/>
      <c r="AJ9" s="72">
        <v>2</v>
      </c>
      <c r="AK9" s="72"/>
      <c r="AL9" s="72"/>
      <c r="AM9" s="72"/>
      <c r="AN9" s="72"/>
      <c r="AO9" s="72"/>
      <c r="AP9" s="72"/>
      <c r="AQ9" s="72"/>
      <c r="AR9" s="72"/>
      <c r="AS9" s="72"/>
      <c r="AT9" s="72"/>
      <c r="AU9" s="72"/>
      <c r="AV9" s="954"/>
      <c r="AW9" s="954"/>
      <c r="AX9" s="954"/>
      <c r="AY9" s="954"/>
      <c r="AZ9" s="72"/>
      <c r="BA9" s="72"/>
      <c r="BB9" s="72"/>
      <c r="BC9" s="72"/>
      <c r="BD9" s="72"/>
      <c r="BE9" s="72"/>
      <c r="BF9" s="72"/>
      <c r="BG9" s="72">
        <f t="shared" si="0"/>
        <v>0</v>
      </c>
      <c r="BH9" s="72"/>
      <c r="BI9" s="72"/>
      <c r="BJ9" s="72"/>
      <c r="BK9" s="72">
        <v>1</v>
      </c>
      <c r="BL9" s="72"/>
      <c r="BM9" s="72"/>
    </row>
    <row r="10" spans="1:65" hidden="1">
      <c r="A10" s="931"/>
      <c r="B10" s="71" t="s">
        <v>3124</v>
      </c>
      <c r="C10" s="70"/>
      <c r="D10" s="73">
        <v>0.6</v>
      </c>
      <c r="E10" s="73"/>
      <c r="F10" s="73"/>
      <c r="G10" s="73"/>
      <c r="H10" s="72"/>
      <c r="I10" s="72"/>
      <c r="J10" s="72"/>
      <c r="K10" s="72">
        <v>1</v>
      </c>
      <c r="L10" s="72"/>
      <c r="M10" s="72"/>
      <c r="N10" s="72"/>
      <c r="O10" s="72"/>
      <c r="P10" s="72"/>
      <c r="Q10" s="71">
        <v>1</v>
      </c>
      <c r="R10" s="71"/>
      <c r="S10" s="71"/>
      <c r="T10" s="71"/>
      <c r="U10" s="72"/>
      <c r="V10" s="72"/>
      <c r="W10" s="72">
        <v>1</v>
      </c>
      <c r="X10" s="72"/>
      <c r="Y10" s="72"/>
      <c r="Z10" s="72"/>
      <c r="AA10" s="72">
        <v>3</v>
      </c>
      <c r="AB10" s="72"/>
      <c r="AC10" s="72"/>
      <c r="AD10" s="72"/>
      <c r="AE10" s="72"/>
      <c r="AF10" s="72"/>
      <c r="AG10" s="72">
        <v>1</v>
      </c>
      <c r="AH10" s="72"/>
      <c r="AI10" s="72">
        <v>3</v>
      </c>
      <c r="AJ10" s="72">
        <v>1</v>
      </c>
      <c r="AK10" s="72"/>
      <c r="AL10" s="72"/>
      <c r="AM10" s="72"/>
      <c r="AN10" s="72"/>
      <c r="AO10" s="72"/>
      <c r="AP10" s="72"/>
      <c r="AQ10" s="72"/>
      <c r="AR10" s="72"/>
      <c r="AS10" s="72"/>
      <c r="AT10" s="72"/>
      <c r="AU10" s="72"/>
      <c r="AV10" s="954"/>
      <c r="AW10" s="954"/>
      <c r="AX10" s="954"/>
      <c r="AY10" s="954"/>
      <c r="AZ10" s="72"/>
      <c r="BA10" s="72"/>
      <c r="BB10" s="72"/>
      <c r="BC10" s="72"/>
      <c r="BD10" s="72"/>
      <c r="BE10" s="72"/>
      <c r="BF10" s="72"/>
      <c r="BG10" s="72">
        <f t="shared" si="0"/>
        <v>0</v>
      </c>
      <c r="BH10" s="72"/>
      <c r="BI10" s="72"/>
      <c r="BJ10" s="72"/>
      <c r="BK10" s="72">
        <v>1</v>
      </c>
      <c r="BL10" s="72"/>
      <c r="BM10" s="72"/>
    </row>
    <row r="11" spans="1:65" hidden="1">
      <c r="A11" s="931"/>
      <c r="B11" s="954"/>
      <c r="C11" s="70"/>
      <c r="D11" s="73"/>
      <c r="E11" s="73"/>
      <c r="F11" s="73"/>
      <c r="G11" s="73"/>
      <c r="H11" s="72"/>
      <c r="I11" s="72"/>
      <c r="J11" s="72"/>
      <c r="K11" s="72"/>
      <c r="L11" s="72"/>
      <c r="M11" s="72"/>
      <c r="N11" s="72"/>
      <c r="O11" s="72"/>
      <c r="P11" s="72"/>
      <c r="Q11" s="71"/>
      <c r="R11" s="71"/>
      <c r="S11" s="71"/>
      <c r="T11" s="71"/>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954"/>
      <c r="AW11" s="954"/>
      <c r="AX11" s="954"/>
      <c r="AY11" s="954"/>
      <c r="AZ11" s="72"/>
      <c r="BA11" s="72"/>
      <c r="BB11" s="72"/>
      <c r="BC11" s="72"/>
      <c r="BD11" s="72"/>
      <c r="BE11" s="72"/>
      <c r="BF11" s="72"/>
      <c r="BG11" s="72">
        <f t="shared" si="0"/>
        <v>0</v>
      </c>
      <c r="BH11" s="72"/>
      <c r="BI11" s="72"/>
      <c r="BJ11" s="72"/>
      <c r="BK11" s="72"/>
      <c r="BL11" s="72"/>
      <c r="BM11" s="72"/>
    </row>
    <row r="12" spans="1:65" hidden="1">
      <c r="A12" s="931">
        <v>2</v>
      </c>
      <c r="B12" s="71" t="s">
        <v>3125</v>
      </c>
      <c r="C12" s="70"/>
      <c r="D12" s="73">
        <v>0.6</v>
      </c>
      <c r="E12" s="71"/>
      <c r="F12" s="71"/>
      <c r="G12" s="71"/>
      <c r="H12" s="72"/>
      <c r="I12" s="72"/>
      <c r="J12" s="72"/>
      <c r="K12" s="72">
        <v>1</v>
      </c>
      <c r="L12" s="72"/>
      <c r="M12" s="72"/>
      <c r="N12" s="72"/>
      <c r="O12" s="72"/>
      <c r="P12" s="72"/>
      <c r="Q12" s="71">
        <v>1</v>
      </c>
      <c r="R12" s="71"/>
      <c r="S12" s="71"/>
      <c r="T12" s="71"/>
      <c r="U12" s="72"/>
      <c r="V12" s="72"/>
      <c r="W12" s="72">
        <v>1</v>
      </c>
      <c r="X12" s="72"/>
      <c r="Y12" s="72"/>
      <c r="Z12" s="72"/>
      <c r="AA12" s="72">
        <v>3</v>
      </c>
      <c r="AB12" s="72"/>
      <c r="AC12" s="72"/>
      <c r="AD12" s="72">
        <v>1</v>
      </c>
      <c r="AE12" s="72"/>
      <c r="AF12" s="72"/>
      <c r="AG12" s="72">
        <v>1</v>
      </c>
      <c r="AH12" s="72"/>
      <c r="AI12" s="72">
        <v>3</v>
      </c>
      <c r="AJ12" s="72">
        <v>2</v>
      </c>
      <c r="AK12" s="72"/>
      <c r="AL12" s="72"/>
      <c r="AM12" s="72"/>
      <c r="AN12" s="72"/>
      <c r="AO12" s="72"/>
      <c r="AP12" s="72"/>
      <c r="AQ12" s="72"/>
      <c r="AR12" s="72"/>
      <c r="AS12" s="72"/>
      <c r="AT12" s="72"/>
      <c r="AU12" s="72"/>
      <c r="AV12" s="954"/>
      <c r="AW12" s="954"/>
      <c r="AX12" s="954"/>
      <c r="AY12" s="954">
        <v>6</v>
      </c>
      <c r="AZ12" s="72"/>
      <c r="BA12" s="72"/>
      <c r="BB12" s="72"/>
      <c r="BC12" s="72"/>
      <c r="BD12" s="72"/>
      <c r="BE12" s="72"/>
      <c r="BF12" s="72"/>
      <c r="BG12" s="72">
        <f t="shared" si="0"/>
        <v>0</v>
      </c>
      <c r="BH12" s="72"/>
      <c r="BI12" s="72"/>
      <c r="BJ12" s="72"/>
      <c r="BK12" s="72">
        <v>1</v>
      </c>
      <c r="BL12" s="72"/>
      <c r="BM12" s="72"/>
    </row>
    <row r="13" spans="1:65" hidden="1">
      <c r="A13" s="931"/>
      <c r="B13" s="71" t="s">
        <v>3126</v>
      </c>
      <c r="C13" s="70"/>
      <c r="D13" s="73">
        <v>0.6</v>
      </c>
      <c r="E13" s="73"/>
      <c r="F13" s="73"/>
      <c r="G13" s="73"/>
      <c r="H13" s="72"/>
      <c r="I13" s="72"/>
      <c r="J13" s="72"/>
      <c r="K13" s="72">
        <v>1</v>
      </c>
      <c r="L13" s="72"/>
      <c r="M13" s="72"/>
      <c r="N13" s="72"/>
      <c r="O13" s="72"/>
      <c r="P13" s="72"/>
      <c r="Q13" s="71">
        <v>1</v>
      </c>
      <c r="R13" s="71"/>
      <c r="S13" s="71"/>
      <c r="T13" s="71"/>
      <c r="U13" s="72"/>
      <c r="V13" s="72"/>
      <c r="W13" s="72">
        <v>1</v>
      </c>
      <c r="X13" s="72"/>
      <c r="Y13" s="72"/>
      <c r="Z13" s="72"/>
      <c r="AA13" s="72">
        <v>3</v>
      </c>
      <c r="AB13" s="72"/>
      <c r="AC13" s="72"/>
      <c r="AD13" s="72">
        <v>2</v>
      </c>
      <c r="AE13" s="72"/>
      <c r="AF13" s="72"/>
      <c r="AG13" s="72">
        <v>1</v>
      </c>
      <c r="AH13" s="72">
        <v>1</v>
      </c>
      <c r="AI13" s="72">
        <v>3</v>
      </c>
      <c r="AJ13" s="72">
        <v>2</v>
      </c>
      <c r="AK13" s="72"/>
      <c r="AL13" s="72"/>
      <c r="AM13" s="72"/>
      <c r="AN13" s="72"/>
      <c r="AO13" s="72"/>
      <c r="AP13" s="72"/>
      <c r="AQ13" s="72"/>
      <c r="AR13" s="72"/>
      <c r="AS13" s="72"/>
      <c r="AT13" s="72"/>
      <c r="AU13" s="72"/>
      <c r="AV13" s="954"/>
      <c r="AW13" s="954"/>
      <c r="AX13" s="954"/>
      <c r="AY13" s="954">
        <v>6</v>
      </c>
      <c r="AZ13" s="72"/>
      <c r="BA13" s="72"/>
      <c r="BB13" s="72"/>
      <c r="BC13" s="72"/>
      <c r="BD13" s="72"/>
      <c r="BE13" s="72"/>
      <c r="BF13" s="72"/>
      <c r="BG13" s="72">
        <f t="shared" si="0"/>
        <v>0</v>
      </c>
      <c r="BH13" s="72"/>
      <c r="BI13" s="72"/>
      <c r="BJ13" s="72"/>
      <c r="BK13" s="72">
        <v>1</v>
      </c>
      <c r="BL13" s="72"/>
      <c r="BM13" s="72"/>
    </row>
    <row r="14" spans="1:65" hidden="1">
      <c r="A14" s="931"/>
      <c r="B14" s="71" t="s">
        <v>3127</v>
      </c>
      <c r="C14" s="70"/>
      <c r="D14" s="73">
        <v>0.6</v>
      </c>
      <c r="E14" s="73"/>
      <c r="F14" s="73"/>
      <c r="G14" s="73"/>
      <c r="H14" s="72"/>
      <c r="I14" s="72"/>
      <c r="J14" s="72"/>
      <c r="K14" s="72">
        <v>1</v>
      </c>
      <c r="L14" s="72"/>
      <c r="M14" s="72"/>
      <c r="N14" s="72"/>
      <c r="O14" s="72"/>
      <c r="P14" s="72"/>
      <c r="Q14" s="71">
        <v>1</v>
      </c>
      <c r="R14" s="71"/>
      <c r="S14" s="71"/>
      <c r="T14" s="71"/>
      <c r="U14" s="72"/>
      <c r="V14" s="72"/>
      <c r="W14" s="72">
        <v>3</v>
      </c>
      <c r="X14" s="72"/>
      <c r="Y14" s="72"/>
      <c r="Z14" s="72"/>
      <c r="AA14" s="72">
        <v>3</v>
      </c>
      <c r="AB14" s="72"/>
      <c r="AC14" s="72"/>
      <c r="AD14" s="72"/>
      <c r="AE14" s="72"/>
      <c r="AF14" s="72"/>
      <c r="AG14" s="72">
        <v>3</v>
      </c>
      <c r="AH14" s="72"/>
      <c r="AI14" s="72">
        <v>3</v>
      </c>
      <c r="AJ14" s="72">
        <v>3</v>
      </c>
      <c r="AK14" s="72"/>
      <c r="AL14" s="72"/>
      <c r="AM14" s="72"/>
      <c r="AN14" s="72"/>
      <c r="AO14" s="72"/>
      <c r="AP14" s="72"/>
      <c r="AQ14" s="72"/>
      <c r="AR14" s="72"/>
      <c r="AS14" s="72"/>
      <c r="AT14" s="72"/>
      <c r="AU14" s="72"/>
      <c r="AV14" s="954"/>
      <c r="AW14" s="954"/>
      <c r="AX14" s="954"/>
      <c r="AY14" s="954">
        <v>6</v>
      </c>
      <c r="AZ14" s="72"/>
      <c r="BA14" s="72"/>
      <c r="BB14" s="72"/>
      <c r="BC14" s="72"/>
      <c r="BD14" s="72"/>
      <c r="BE14" s="72">
        <v>3</v>
      </c>
      <c r="BF14" s="72"/>
      <c r="BG14" s="72">
        <f t="shared" si="0"/>
        <v>0</v>
      </c>
      <c r="BH14" s="72"/>
      <c r="BI14" s="72"/>
      <c r="BJ14" s="72"/>
      <c r="BK14" s="72">
        <v>1</v>
      </c>
      <c r="BL14" s="72"/>
      <c r="BM14" s="72"/>
    </row>
    <row r="15" spans="1:65" hidden="1">
      <c r="A15" s="931"/>
      <c r="B15" s="71" t="s">
        <v>3128</v>
      </c>
      <c r="C15" s="70"/>
      <c r="D15" s="73">
        <v>0.6</v>
      </c>
      <c r="E15" s="73"/>
      <c r="F15" s="73"/>
      <c r="G15" s="73"/>
      <c r="H15" s="72"/>
      <c r="I15" s="72"/>
      <c r="J15" s="72"/>
      <c r="K15" s="72">
        <v>1</v>
      </c>
      <c r="L15" s="72"/>
      <c r="M15" s="72"/>
      <c r="N15" s="72"/>
      <c r="O15" s="72"/>
      <c r="P15" s="72"/>
      <c r="Q15" s="71">
        <v>1</v>
      </c>
      <c r="R15" s="71"/>
      <c r="S15" s="71"/>
      <c r="T15" s="71"/>
      <c r="U15" s="72"/>
      <c r="V15" s="72"/>
      <c r="W15" s="72">
        <v>3</v>
      </c>
      <c r="X15" s="72"/>
      <c r="Y15" s="72"/>
      <c r="Z15" s="72"/>
      <c r="AA15" s="72">
        <v>3</v>
      </c>
      <c r="AB15" s="72"/>
      <c r="AC15" s="72"/>
      <c r="AD15" s="72"/>
      <c r="AE15" s="72"/>
      <c r="AF15" s="72"/>
      <c r="AG15" s="72">
        <v>3</v>
      </c>
      <c r="AH15" s="72"/>
      <c r="AI15" s="72">
        <v>3</v>
      </c>
      <c r="AJ15" s="72">
        <v>3</v>
      </c>
      <c r="AK15" s="72"/>
      <c r="AL15" s="72"/>
      <c r="AM15" s="72"/>
      <c r="AN15" s="72"/>
      <c r="AO15" s="72"/>
      <c r="AP15" s="72"/>
      <c r="AQ15" s="72"/>
      <c r="AR15" s="72"/>
      <c r="AS15" s="72"/>
      <c r="AT15" s="72"/>
      <c r="AU15" s="72"/>
      <c r="AV15" s="954"/>
      <c r="AW15" s="954"/>
      <c r="AX15" s="954"/>
      <c r="AY15" s="954">
        <v>6</v>
      </c>
      <c r="AZ15" s="72"/>
      <c r="BA15" s="72"/>
      <c r="BB15" s="72"/>
      <c r="BC15" s="72"/>
      <c r="BD15" s="72"/>
      <c r="BE15" s="72"/>
      <c r="BF15" s="72"/>
      <c r="BG15" s="72">
        <f t="shared" si="0"/>
        <v>0</v>
      </c>
      <c r="BH15" s="72"/>
      <c r="BI15" s="72"/>
      <c r="BJ15" s="72"/>
      <c r="BK15" s="72">
        <v>1</v>
      </c>
      <c r="BL15" s="72"/>
      <c r="BM15" s="72"/>
    </row>
    <row r="16" spans="1:65" hidden="1">
      <c r="A16" s="931"/>
      <c r="B16" s="71" t="s">
        <v>3129</v>
      </c>
      <c r="C16" s="70"/>
      <c r="D16" s="73">
        <v>0.6</v>
      </c>
      <c r="E16" s="73"/>
      <c r="F16" s="73"/>
      <c r="G16" s="73"/>
      <c r="H16" s="72"/>
      <c r="I16" s="72"/>
      <c r="J16" s="72"/>
      <c r="K16" s="72">
        <v>1</v>
      </c>
      <c r="L16" s="72"/>
      <c r="M16" s="72"/>
      <c r="N16" s="72"/>
      <c r="O16" s="72"/>
      <c r="P16" s="72"/>
      <c r="Q16" s="71">
        <v>1</v>
      </c>
      <c r="R16" s="71"/>
      <c r="S16" s="71"/>
      <c r="T16" s="71"/>
      <c r="U16" s="72"/>
      <c r="V16" s="72"/>
      <c r="W16" s="72">
        <v>2</v>
      </c>
      <c r="X16" s="72"/>
      <c r="Y16" s="72"/>
      <c r="Z16" s="72"/>
      <c r="AA16" s="72">
        <v>3</v>
      </c>
      <c r="AB16" s="72"/>
      <c r="AC16" s="72"/>
      <c r="AD16" s="72"/>
      <c r="AE16" s="72"/>
      <c r="AF16" s="72"/>
      <c r="AG16" s="72">
        <v>2</v>
      </c>
      <c r="AH16" s="72"/>
      <c r="AI16" s="72">
        <v>6</v>
      </c>
      <c r="AJ16" s="72">
        <v>2</v>
      </c>
      <c r="AK16" s="72"/>
      <c r="AL16" s="72"/>
      <c r="AM16" s="72"/>
      <c r="AN16" s="72"/>
      <c r="AO16" s="72"/>
      <c r="AP16" s="72"/>
      <c r="AQ16" s="72"/>
      <c r="AR16" s="72"/>
      <c r="AS16" s="72"/>
      <c r="AT16" s="72"/>
      <c r="AU16" s="72"/>
      <c r="AV16" s="954"/>
      <c r="AW16" s="954"/>
      <c r="AX16" s="954"/>
      <c r="AY16" s="954">
        <v>6</v>
      </c>
      <c r="AZ16" s="72"/>
      <c r="BA16" s="72"/>
      <c r="BB16" s="72"/>
      <c r="BC16" s="72"/>
      <c r="BD16" s="72"/>
      <c r="BE16" s="72"/>
      <c r="BF16" s="72"/>
      <c r="BG16" s="72">
        <f t="shared" si="0"/>
        <v>0</v>
      </c>
      <c r="BH16" s="72"/>
      <c r="BI16" s="72"/>
      <c r="BJ16" s="72"/>
      <c r="BK16" s="72">
        <v>1</v>
      </c>
      <c r="BL16" s="72"/>
      <c r="BM16" s="72"/>
    </row>
    <row r="17" spans="1:65" hidden="1">
      <c r="A17" s="931"/>
      <c r="B17" s="72"/>
      <c r="C17" s="70"/>
      <c r="D17" s="73"/>
      <c r="E17" s="73"/>
      <c r="F17" s="73"/>
      <c r="G17" s="73"/>
      <c r="H17" s="72"/>
      <c r="I17" s="72"/>
      <c r="J17" s="72"/>
      <c r="K17" s="72"/>
      <c r="L17" s="72"/>
      <c r="M17" s="72"/>
      <c r="N17" s="72"/>
      <c r="O17" s="72"/>
      <c r="P17" s="72"/>
      <c r="Q17" s="71"/>
      <c r="R17" s="71"/>
      <c r="S17" s="71"/>
      <c r="T17" s="71"/>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954"/>
      <c r="AW17" s="954"/>
      <c r="AX17" s="954"/>
      <c r="AY17" s="954"/>
      <c r="AZ17" s="72"/>
      <c r="BA17" s="72"/>
      <c r="BB17" s="72"/>
      <c r="BC17" s="72"/>
      <c r="BD17" s="72"/>
      <c r="BE17" s="72"/>
      <c r="BF17" s="72"/>
      <c r="BG17" s="72">
        <f t="shared" si="0"/>
        <v>0</v>
      </c>
      <c r="BH17" s="72"/>
      <c r="BI17" s="72"/>
      <c r="BJ17" s="72"/>
      <c r="BK17" s="72"/>
      <c r="BL17" s="72"/>
      <c r="BM17" s="72"/>
    </row>
    <row r="18" spans="1:65" hidden="1">
      <c r="A18" s="931">
        <v>3</v>
      </c>
      <c r="B18" s="943" t="s">
        <v>3130</v>
      </c>
      <c r="C18" s="70"/>
      <c r="D18" s="73">
        <v>0.8</v>
      </c>
      <c r="E18" s="71"/>
      <c r="F18" s="71"/>
      <c r="G18" s="71"/>
      <c r="H18" s="72"/>
      <c r="I18" s="72"/>
      <c r="J18" s="72"/>
      <c r="K18" s="72">
        <v>1</v>
      </c>
      <c r="L18" s="72"/>
      <c r="M18" s="72"/>
      <c r="N18" s="72"/>
      <c r="O18" s="72"/>
      <c r="P18" s="72"/>
      <c r="Q18" s="71">
        <v>1</v>
      </c>
      <c r="R18" s="71"/>
      <c r="S18" s="71"/>
      <c r="T18" s="71"/>
      <c r="U18" s="72"/>
      <c r="V18" s="72"/>
      <c r="W18" s="72"/>
      <c r="X18" s="72"/>
      <c r="Y18" s="72"/>
      <c r="Z18" s="72"/>
      <c r="AA18" s="72">
        <v>4</v>
      </c>
      <c r="AB18" s="72"/>
      <c r="AC18" s="72"/>
      <c r="AD18" s="72">
        <v>1</v>
      </c>
      <c r="AE18" s="72"/>
      <c r="AF18" s="72"/>
      <c r="AG18" s="72"/>
      <c r="AH18" s="72"/>
      <c r="AI18" s="72"/>
      <c r="AJ18" s="72">
        <v>1</v>
      </c>
      <c r="AK18" s="72"/>
      <c r="AL18" s="72"/>
      <c r="AM18" s="72"/>
      <c r="AN18" s="72"/>
      <c r="AO18" s="72"/>
      <c r="AP18" s="72"/>
      <c r="AQ18" s="72"/>
      <c r="AR18" s="72"/>
      <c r="AS18" s="72"/>
      <c r="AT18" s="72"/>
      <c r="AU18" s="72"/>
      <c r="AV18" s="954"/>
      <c r="AW18" s="954"/>
      <c r="AX18" s="954"/>
      <c r="AY18" s="954"/>
      <c r="AZ18" s="72"/>
      <c r="BA18" s="72"/>
      <c r="BB18" s="72"/>
      <c r="BC18" s="72"/>
      <c r="BD18" s="72"/>
      <c r="BE18" s="72"/>
      <c r="BF18" s="72"/>
      <c r="BG18" s="72">
        <f t="shared" si="0"/>
        <v>1</v>
      </c>
      <c r="BH18" s="72"/>
      <c r="BI18" s="72"/>
      <c r="BJ18" s="72"/>
      <c r="BK18" s="72"/>
      <c r="BL18" s="72"/>
      <c r="BM18" s="72"/>
    </row>
    <row r="19" spans="1:65" hidden="1">
      <c r="A19" s="931"/>
      <c r="B19" s="943" t="s">
        <v>3131</v>
      </c>
      <c r="C19" s="70"/>
      <c r="D19" s="73">
        <v>0.8</v>
      </c>
      <c r="E19" s="73"/>
      <c r="F19" s="73"/>
      <c r="G19" s="73"/>
      <c r="H19" s="72"/>
      <c r="I19" s="72"/>
      <c r="J19" s="72"/>
      <c r="K19" s="72">
        <v>1</v>
      </c>
      <c r="L19" s="72"/>
      <c r="M19" s="72"/>
      <c r="N19" s="72"/>
      <c r="O19" s="72"/>
      <c r="P19" s="72"/>
      <c r="Q19" s="71">
        <v>1</v>
      </c>
      <c r="R19" s="71"/>
      <c r="S19" s="71"/>
      <c r="T19" s="71"/>
      <c r="U19" s="72"/>
      <c r="V19" s="72"/>
      <c r="W19" s="72">
        <v>1</v>
      </c>
      <c r="X19" s="72"/>
      <c r="Y19" s="72"/>
      <c r="Z19" s="72"/>
      <c r="AA19" s="72">
        <v>4</v>
      </c>
      <c r="AB19" s="72"/>
      <c r="AC19" s="72"/>
      <c r="AD19" s="72">
        <v>2</v>
      </c>
      <c r="AE19" s="72"/>
      <c r="AF19" s="72"/>
      <c r="AG19" s="72"/>
      <c r="AH19" s="72">
        <v>1</v>
      </c>
      <c r="AI19" s="72"/>
      <c r="AJ19" s="72">
        <v>1</v>
      </c>
      <c r="AK19" s="72"/>
      <c r="AL19" s="72"/>
      <c r="AM19" s="72"/>
      <c r="AN19" s="72"/>
      <c r="AO19" s="72"/>
      <c r="AP19" s="72"/>
      <c r="AQ19" s="72"/>
      <c r="AR19" s="72"/>
      <c r="AS19" s="72"/>
      <c r="AT19" s="72"/>
      <c r="AU19" s="72"/>
      <c r="AV19" s="954"/>
      <c r="AW19" s="954"/>
      <c r="AX19" s="954"/>
      <c r="AY19" s="954"/>
      <c r="AZ19" s="72"/>
      <c r="BA19" s="72"/>
      <c r="BB19" s="72"/>
      <c r="BC19" s="72"/>
      <c r="BD19" s="72"/>
      <c r="BE19" s="72"/>
      <c r="BF19" s="72"/>
      <c r="BG19" s="72">
        <f t="shared" si="0"/>
        <v>1</v>
      </c>
      <c r="BH19" s="72"/>
      <c r="BI19" s="72"/>
      <c r="BJ19" s="72"/>
      <c r="BK19" s="72"/>
      <c r="BL19" s="72"/>
      <c r="BM19" s="72"/>
    </row>
    <row r="20" spans="1:65" hidden="1">
      <c r="A20" s="931"/>
      <c r="B20" s="943" t="s">
        <v>3132</v>
      </c>
      <c r="C20" s="70"/>
      <c r="D20" s="73">
        <v>0.8</v>
      </c>
      <c r="E20" s="73"/>
      <c r="F20" s="73"/>
      <c r="G20" s="73"/>
      <c r="H20" s="72"/>
      <c r="I20" s="72"/>
      <c r="J20" s="72"/>
      <c r="K20" s="72">
        <v>1</v>
      </c>
      <c r="L20" s="72"/>
      <c r="M20" s="72"/>
      <c r="N20" s="72"/>
      <c r="O20" s="72"/>
      <c r="P20" s="72"/>
      <c r="Q20" s="71">
        <v>1</v>
      </c>
      <c r="R20" s="71"/>
      <c r="S20" s="71"/>
      <c r="T20" s="71"/>
      <c r="U20" s="72"/>
      <c r="V20" s="72"/>
      <c r="W20" s="72">
        <v>2</v>
      </c>
      <c r="X20" s="72"/>
      <c r="Y20" s="72"/>
      <c r="Z20" s="72"/>
      <c r="AA20" s="72">
        <v>4</v>
      </c>
      <c r="AB20" s="72"/>
      <c r="AC20" s="72"/>
      <c r="AD20" s="72"/>
      <c r="AE20" s="72"/>
      <c r="AF20" s="72"/>
      <c r="AG20" s="72">
        <v>2</v>
      </c>
      <c r="AH20" s="72"/>
      <c r="AI20" s="72"/>
      <c r="AJ20" s="72">
        <v>2</v>
      </c>
      <c r="AK20" s="72"/>
      <c r="AL20" s="72"/>
      <c r="AM20" s="72"/>
      <c r="AN20" s="72"/>
      <c r="AO20" s="72"/>
      <c r="AP20" s="72"/>
      <c r="AQ20" s="72"/>
      <c r="AR20" s="72"/>
      <c r="AS20" s="72"/>
      <c r="AT20" s="72"/>
      <c r="AU20" s="72"/>
      <c r="AV20" s="954"/>
      <c r="AW20" s="954"/>
      <c r="AX20" s="954"/>
      <c r="AY20" s="954"/>
      <c r="AZ20" s="72"/>
      <c r="BA20" s="72"/>
      <c r="BB20" s="72"/>
      <c r="BC20" s="72"/>
      <c r="BD20" s="72"/>
      <c r="BE20" s="72">
        <v>4</v>
      </c>
      <c r="BF20" s="72"/>
      <c r="BG20" s="72">
        <f t="shared" si="0"/>
        <v>1</v>
      </c>
      <c r="BH20" s="72"/>
      <c r="BI20" s="72"/>
      <c r="BJ20" s="72"/>
      <c r="BK20" s="72">
        <v>1</v>
      </c>
      <c r="BL20" s="72"/>
      <c r="BM20" s="72"/>
    </row>
    <row r="21" spans="1:65" hidden="1">
      <c r="A21" s="931"/>
      <c r="B21" s="943" t="s">
        <v>3133</v>
      </c>
      <c r="C21" s="70"/>
      <c r="D21" s="73">
        <v>0.8</v>
      </c>
      <c r="E21" s="73"/>
      <c r="F21" s="73"/>
      <c r="G21" s="73"/>
      <c r="H21" s="72"/>
      <c r="I21" s="72"/>
      <c r="J21" s="72"/>
      <c r="K21" s="72">
        <v>1</v>
      </c>
      <c r="L21" s="72"/>
      <c r="M21" s="72"/>
      <c r="N21" s="72"/>
      <c r="O21" s="72"/>
      <c r="P21" s="72"/>
      <c r="Q21" s="71">
        <v>1</v>
      </c>
      <c r="R21" s="71"/>
      <c r="S21" s="71"/>
      <c r="T21" s="71"/>
      <c r="U21" s="72"/>
      <c r="V21" s="72"/>
      <c r="W21" s="72">
        <v>2</v>
      </c>
      <c r="X21" s="72"/>
      <c r="Y21" s="72"/>
      <c r="Z21" s="72"/>
      <c r="AA21" s="72">
        <v>4</v>
      </c>
      <c r="AB21" s="72"/>
      <c r="AC21" s="72"/>
      <c r="AD21" s="72"/>
      <c r="AE21" s="72"/>
      <c r="AF21" s="72"/>
      <c r="AG21" s="72">
        <v>2</v>
      </c>
      <c r="AH21" s="72"/>
      <c r="AI21" s="72"/>
      <c r="AJ21" s="72">
        <v>2</v>
      </c>
      <c r="AK21" s="72"/>
      <c r="AL21" s="72"/>
      <c r="AM21" s="72"/>
      <c r="AN21" s="72"/>
      <c r="AO21" s="72"/>
      <c r="AP21" s="72"/>
      <c r="AQ21" s="72"/>
      <c r="AR21" s="72"/>
      <c r="AS21" s="72"/>
      <c r="AT21" s="72"/>
      <c r="AU21" s="72"/>
      <c r="AV21" s="954"/>
      <c r="AW21" s="954"/>
      <c r="AX21" s="954"/>
      <c r="AY21" s="954"/>
      <c r="AZ21" s="72"/>
      <c r="BA21" s="72"/>
      <c r="BB21" s="72"/>
      <c r="BC21" s="72"/>
      <c r="BD21" s="72"/>
      <c r="BE21" s="72"/>
      <c r="BF21" s="72"/>
      <c r="BG21" s="72">
        <f t="shared" si="0"/>
        <v>1</v>
      </c>
      <c r="BH21" s="72"/>
      <c r="BI21" s="72"/>
      <c r="BJ21" s="72"/>
      <c r="BK21" s="72">
        <v>1</v>
      </c>
      <c r="BL21" s="72"/>
      <c r="BM21" s="72"/>
    </row>
    <row r="22" spans="1:65" hidden="1">
      <c r="A22" s="931"/>
      <c r="B22" s="943" t="s">
        <v>3134</v>
      </c>
      <c r="C22" s="70"/>
      <c r="D22" s="73">
        <v>0.8</v>
      </c>
      <c r="E22" s="73"/>
      <c r="F22" s="73"/>
      <c r="G22" s="73"/>
      <c r="H22" s="72"/>
      <c r="I22" s="72"/>
      <c r="J22" s="72"/>
      <c r="K22" s="72">
        <v>1</v>
      </c>
      <c r="L22" s="72"/>
      <c r="M22" s="72"/>
      <c r="N22" s="72"/>
      <c r="O22" s="72"/>
      <c r="P22" s="72"/>
      <c r="Q22" s="71">
        <v>1</v>
      </c>
      <c r="R22" s="71"/>
      <c r="S22" s="71"/>
      <c r="T22" s="71"/>
      <c r="U22" s="72"/>
      <c r="V22" s="72"/>
      <c r="W22" s="72">
        <v>1</v>
      </c>
      <c r="X22" s="72"/>
      <c r="Y22" s="72"/>
      <c r="Z22" s="72"/>
      <c r="AA22" s="72">
        <v>4</v>
      </c>
      <c r="AB22" s="72"/>
      <c r="AC22" s="72"/>
      <c r="AD22" s="72"/>
      <c r="AE22" s="72"/>
      <c r="AF22" s="72"/>
      <c r="AG22" s="72">
        <v>1</v>
      </c>
      <c r="AH22" s="72"/>
      <c r="AI22" s="72">
        <v>4</v>
      </c>
      <c r="AJ22" s="72">
        <v>1</v>
      </c>
      <c r="AK22" s="72"/>
      <c r="AL22" s="72"/>
      <c r="AM22" s="72"/>
      <c r="AN22" s="72"/>
      <c r="AO22" s="72"/>
      <c r="AP22" s="72"/>
      <c r="AQ22" s="72"/>
      <c r="AR22" s="72"/>
      <c r="AS22" s="72"/>
      <c r="AT22" s="72"/>
      <c r="AU22" s="72"/>
      <c r="AV22" s="954"/>
      <c r="AW22" s="954"/>
      <c r="AX22" s="954"/>
      <c r="AY22" s="954"/>
      <c r="AZ22" s="72"/>
      <c r="BA22" s="72"/>
      <c r="BB22" s="72"/>
      <c r="BC22" s="72"/>
      <c r="BD22" s="72"/>
      <c r="BE22" s="72"/>
      <c r="BF22" s="72"/>
      <c r="BG22" s="72">
        <f t="shared" si="0"/>
        <v>1</v>
      </c>
      <c r="BH22" s="72"/>
      <c r="BI22" s="72"/>
      <c r="BJ22" s="72"/>
      <c r="BK22" s="72">
        <v>1</v>
      </c>
      <c r="BL22" s="72"/>
      <c r="BM22" s="72"/>
    </row>
    <row r="23" spans="1:65" hidden="1">
      <c r="A23" s="931"/>
      <c r="B23" s="72"/>
      <c r="C23" s="70"/>
      <c r="D23" s="73"/>
      <c r="E23" s="73"/>
      <c r="F23" s="73"/>
      <c r="G23" s="73"/>
      <c r="H23" s="72"/>
      <c r="I23" s="72"/>
      <c r="J23" s="72"/>
      <c r="K23" s="72"/>
      <c r="L23" s="72"/>
      <c r="M23" s="72"/>
      <c r="N23" s="72"/>
      <c r="O23" s="72"/>
      <c r="P23" s="72"/>
      <c r="Q23" s="71"/>
      <c r="R23" s="71"/>
      <c r="S23" s="71"/>
      <c r="T23" s="71"/>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954"/>
      <c r="AW23" s="954"/>
      <c r="AX23" s="954"/>
      <c r="AY23" s="954"/>
      <c r="AZ23" s="72"/>
      <c r="BA23" s="72"/>
      <c r="BB23" s="72"/>
      <c r="BC23" s="72"/>
      <c r="BD23" s="72"/>
      <c r="BE23" s="72"/>
      <c r="BF23" s="72"/>
      <c r="BG23" s="72">
        <f t="shared" si="0"/>
        <v>0</v>
      </c>
      <c r="BH23" s="72"/>
      <c r="BI23" s="72"/>
      <c r="BJ23" s="72"/>
      <c r="BK23" s="72"/>
      <c r="BL23" s="72"/>
      <c r="BM23" s="72"/>
    </row>
    <row r="24" spans="1:65" hidden="1">
      <c r="A24" s="931">
        <v>4</v>
      </c>
      <c r="B24" s="943" t="s">
        <v>3135</v>
      </c>
      <c r="C24" s="70"/>
      <c r="D24" s="73">
        <v>0.8</v>
      </c>
      <c r="E24" s="71"/>
      <c r="F24" s="71"/>
      <c r="G24" s="71"/>
      <c r="H24" s="72"/>
      <c r="I24" s="72"/>
      <c r="J24" s="72"/>
      <c r="K24" s="72">
        <v>1</v>
      </c>
      <c r="L24" s="72"/>
      <c r="M24" s="72"/>
      <c r="N24" s="72"/>
      <c r="O24" s="72"/>
      <c r="P24" s="72"/>
      <c r="Q24" s="71">
        <v>1</v>
      </c>
      <c r="R24" s="71"/>
      <c r="S24" s="71"/>
      <c r="T24" s="71"/>
      <c r="U24" s="72"/>
      <c r="V24" s="72"/>
      <c r="W24" s="72">
        <v>1</v>
      </c>
      <c r="X24" s="72"/>
      <c r="Y24" s="72"/>
      <c r="Z24" s="72"/>
      <c r="AA24" s="72">
        <v>4</v>
      </c>
      <c r="AB24" s="72"/>
      <c r="AC24" s="72"/>
      <c r="AD24" s="72">
        <v>1</v>
      </c>
      <c r="AE24" s="72"/>
      <c r="AF24" s="72"/>
      <c r="AG24" s="72">
        <v>1</v>
      </c>
      <c r="AH24" s="72"/>
      <c r="AI24" s="72">
        <v>3</v>
      </c>
      <c r="AJ24" s="72">
        <v>2</v>
      </c>
      <c r="AK24" s="72"/>
      <c r="AL24" s="72"/>
      <c r="AM24" s="72"/>
      <c r="AN24" s="72"/>
      <c r="AO24" s="72"/>
      <c r="AP24" s="72"/>
      <c r="AQ24" s="72"/>
      <c r="AR24" s="72"/>
      <c r="AS24" s="72"/>
      <c r="AT24" s="72"/>
      <c r="AU24" s="72"/>
      <c r="AV24" s="954"/>
      <c r="AW24" s="954"/>
      <c r="AX24" s="954"/>
      <c r="AY24" s="954">
        <v>6</v>
      </c>
      <c r="AZ24" s="72"/>
      <c r="BA24" s="72"/>
      <c r="BB24" s="72"/>
      <c r="BC24" s="72"/>
      <c r="BD24" s="72"/>
      <c r="BE24" s="72"/>
      <c r="BF24" s="72"/>
      <c r="BG24" s="72">
        <f t="shared" si="0"/>
        <v>1</v>
      </c>
      <c r="BH24" s="72"/>
      <c r="BI24" s="72"/>
      <c r="BJ24" s="72"/>
      <c r="BK24" s="72">
        <v>1</v>
      </c>
      <c r="BL24" s="72"/>
      <c r="BM24" s="72"/>
    </row>
    <row r="25" spans="1:65" hidden="1">
      <c r="A25" s="931"/>
      <c r="B25" s="943" t="s">
        <v>3136</v>
      </c>
      <c r="C25" s="70"/>
      <c r="D25" s="73">
        <v>0.8</v>
      </c>
      <c r="E25" s="73"/>
      <c r="F25" s="73"/>
      <c r="G25" s="73"/>
      <c r="H25" s="72"/>
      <c r="I25" s="72"/>
      <c r="J25" s="72"/>
      <c r="K25" s="72">
        <v>1</v>
      </c>
      <c r="L25" s="72"/>
      <c r="M25" s="72"/>
      <c r="N25" s="72"/>
      <c r="O25" s="72"/>
      <c r="P25" s="72"/>
      <c r="Q25" s="71">
        <v>1</v>
      </c>
      <c r="R25" s="71"/>
      <c r="S25" s="71"/>
      <c r="T25" s="71"/>
      <c r="U25" s="72"/>
      <c r="V25" s="72"/>
      <c r="W25" s="72">
        <v>1</v>
      </c>
      <c r="X25" s="72"/>
      <c r="Y25" s="72"/>
      <c r="Z25" s="72"/>
      <c r="AA25" s="72">
        <v>4</v>
      </c>
      <c r="AB25" s="72"/>
      <c r="AC25" s="72"/>
      <c r="AD25" s="72">
        <v>2</v>
      </c>
      <c r="AE25" s="72"/>
      <c r="AF25" s="72"/>
      <c r="AG25" s="72">
        <v>1</v>
      </c>
      <c r="AH25" s="72">
        <v>1</v>
      </c>
      <c r="AI25" s="72">
        <v>3</v>
      </c>
      <c r="AJ25" s="72">
        <v>2</v>
      </c>
      <c r="AK25" s="72"/>
      <c r="AL25" s="72"/>
      <c r="AM25" s="72"/>
      <c r="AN25" s="72"/>
      <c r="AO25" s="72"/>
      <c r="AP25" s="72"/>
      <c r="AQ25" s="72"/>
      <c r="AR25" s="72"/>
      <c r="AS25" s="72"/>
      <c r="AT25" s="72"/>
      <c r="AU25" s="72"/>
      <c r="AV25" s="954"/>
      <c r="AW25" s="954"/>
      <c r="AX25" s="954"/>
      <c r="AY25" s="954">
        <v>6</v>
      </c>
      <c r="AZ25" s="72"/>
      <c r="BA25" s="72"/>
      <c r="BB25" s="72"/>
      <c r="BC25" s="72"/>
      <c r="BD25" s="72"/>
      <c r="BE25" s="72"/>
      <c r="BF25" s="72"/>
      <c r="BG25" s="72">
        <f t="shared" si="0"/>
        <v>1</v>
      </c>
      <c r="BH25" s="72"/>
      <c r="BI25" s="72"/>
      <c r="BJ25" s="72"/>
      <c r="BK25" s="72">
        <v>1</v>
      </c>
      <c r="BL25" s="72"/>
      <c r="BM25" s="72"/>
    </row>
    <row r="26" spans="1:65" hidden="1">
      <c r="A26" s="931"/>
      <c r="B26" s="943" t="s">
        <v>3137</v>
      </c>
      <c r="C26" s="70"/>
      <c r="D26" s="73">
        <v>0.8</v>
      </c>
      <c r="E26" s="73"/>
      <c r="F26" s="73"/>
      <c r="G26" s="73"/>
      <c r="H26" s="72"/>
      <c r="I26" s="72"/>
      <c r="J26" s="72"/>
      <c r="K26" s="72">
        <v>1</v>
      </c>
      <c r="L26" s="72"/>
      <c r="M26" s="72"/>
      <c r="N26" s="72"/>
      <c r="O26" s="72"/>
      <c r="P26" s="72"/>
      <c r="Q26" s="71">
        <v>1</v>
      </c>
      <c r="R26" s="71"/>
      <c r="S26" s="71"/>
      <c r="T26" s="71"/>
      <c r="U26" s="72"/>
      <c r="V26" s="72"/>
      <c r="W26" s="72">
        <v>3</v>
      </c>
      <c r="X26" s="72"/>
      <c r="Y26" s="72"/>
      <c r="Z26" s="72"/>
      <c r="AA26" s="72">
        <v>4</v>
      </c>
      <c r="AB26" s="72"/>
      <c r="AC26" s="72"/>
      <c r="AD26" s="72"/>
      <c r="AE26" s="72"/>
      <c r="AF26" s="72"/>
      <c r="AG26" s="72">
        <v>3</v>
      </c>
      <c r="AH26" s="72"/>
      <c r="AI26" s="72">
        <v>3</v>
      </c>
      <c r="AJ26" s="72">
        <v>3</v>
      </c>
      <c r="AK26" s="72"/>
      <c r="AL26" s="72"/>
      <c r="AM26" s="72"/>
      <c r="AN26" s="72"/>
      <c r="AO26" s="72"/>
      <c r="AP26" s="72"/>
      <c r="AQ26" s="72"/>
      <c r="AR26" s="72"/>
      <c r="AS26" s="72"/>
      <c r="AT26" s="72"/>
      <c r="AU26" s="72"/>
      <c r="AV26" s="954"/>
      <c r="AW26" s="954"/>
      <c r="AX26" s="954"/>
      <c r="AY26" s="954">
        <v>6</v>
      </c>
      <c r="AZ26" s="72"/>
      <c r="BA26" s="72"/>
      <c r="BB26" s="72"/>
      <c r="BC26" s="72"/>
      <c r="BD26" s="72"/>
      <c r="BE26" s="72">
        <v>4</v>
      </c>
      <c r="BF26" s="72"/>
      <c r="BG26" s="72">
        <f t="shared" si="0"/>
        <v>1</v>
      </c>
      <c r="BH26" s="72"/>
      <c r="BI26" s="72"/>
      <c r="BJ26" s="72"/>
      <c r="BK26" s="72">
        <v>1</v>
      </c>
      <c r="BL26" s="72"/>
      <c r="BM26" s="72"/>
    </row>
    <row r="27" spans="1:65" hidden="1">
      <c r="A27" s="931"/>
      <c r="B27" s="943" t="s">
        <v>3138</v>
      </c>
      <c r="C27" s="70"/>
      <c r="D27" s="73">
        <v>0.8</v>
      </c>
      <c r="E27" s="73"/>
      <c r="F27" s="73"/>
      <c r="G27" s="73"/>
      <c r="H27" s="72"/>
      <c r="I27" s="72"/>
      <c r="J27" s="72"/>
      <c r="K27" s="72">
        <v>1</v>
      </c>
      <c r="L27" s="72"/>
      <c r="M27" s="72"/>
      <c r="N27" s="72"/>
      <c r="O27" s="72"/>
      <c r="P27" s="72"/>
      <c r="Q27" s="71">
        <v>1</v>
      </c>
      <c r="R27" s="71"/>
      <c r="S27" s="71"/>
      <c r="T27" s="71"/>
      <c r="U27" s="72"/>
      <c r="V27" s="72"/>
      <c r="W27" s="72">
        <v>3</v>
      </c>
      <c r="X27" s="72"/>
      <c r="Y27" s="72"/>
      <c r="Z27" s="72"/>
      <c r="AA27" s="72">
        <v>4</v>
      </c>
      <c r="AB27" s="72"/>
      <c r="AC27" s="72"/>
      <c r="AD27" s="72"/>
      <c r="AE27" s="72"/>
      <c r="AF27" s="72"/>
      <c r="AG27" s="72">
        <v>3</v>
      </c>
      <c r="AH27" s="72"/>
      <c r="AI27" s="72">
        <v>3</v>
      </c>
      <c r="AJ27" s="72">
        <v>3</v>
      </c>
      <c r="AK27" s="72"/>
      <c r="AL27" s="72"/>
      <c r="AM27" s="72"/>
      <c r="AN27" s="72"/>
      <c r="AO27" s="72"/>
      <c r="AP27" s="72"/>
      <c r="AQ27" s="72"/>
      <c r="AR27" s="72"/>
      <c r="AS27" s="72"/>
      <c r="AT27" s="72"/>
      <c r="AU27" s="72"/>
      <c r="AV27" s="954"/>
      <c r="AW27" s="954"/>
      <c r="AX27" s="954"/>
      <c r="AY27" s="954">
        <v>6</v>
      </c>
      <c r="AZ27" s="72"/>
      <c r="BA27" s="72"/>
      <c r="BB27" s="72"/>
      <c r="BC27" s="72"/>
      <c r="BD27" s="72"/>
      <c r="BE27" s="72"/>
      <c r="BF27" s="72"/>
      <c r="BG27" s="72">
        <f t="shared" si="0"/>
        <v>1</v>
      </c>
      <c r="BH27" s="72"/>
      <c r="BI27" s="72"/>
      <c r="BJ27" s="72"/>
      <c r="BK27" s="72">
        <v>1</v>
      </c>
      <c r="BL27" s="72"/>
      <c r="BM27" s="72"/>
    </row>
    <row r="28" spans="1:65" hidden="1">
      <c r="A28" s="931"/>
      <c r="B28" s="943" t="s">
        <v>3139</v>
      </c>
      <c r="C28" s="70"/>
      <c r="D28" s="73">
        <v>0.8</v>
      </c>
      <c r="E28" s="73"/>
      <c r="F28" s="73"/>
      <c r="G28" s="73"/>
      <c r="H28" s="72"/>
      <c r="I28" s="72"/>
      <c r="J28" s="72"/>
      <c r="K28" s="72">
        <v>1</v>
      </c>
      <c r="L28" s="72"/>
      <c r="M28" s="72"/>
      <c r="N28" s="72"/>
      <c r="O28" s="72"/>
      <c r="P28" s="72"/>
      <c r="Q28" s="71">
        <v>1</v>
      </c>
      <c r="R28" s="71"/>
      <c r="S28" s="71"/>
      <c r="T28" s="71"/>
      <c r="U28" s="72"/>
      <c r="V28" s="72"/>
      <c r="W28" s="72">
        <v>2</v>
      </c>
      <c r="X28" s="72"/>
      <c r="Y28" s="72"/>
      <c r="Z28" s="72"/>
      <c r="AA28" s="72">
        <v>4</v>
      </c>
      <c r="AB28" s="72"/>
      <c r="AC28" s="72"/>
      <c r="AD28" s="72"/>
      <c r="AE28" s="72"/>
      <c r="AF28" s="72"/>
      <c r="AG28" s="72">
        <v>2</v>
      </c>
      <c r="AH28" s="72"/>
      <c r="AI28" s="72">
        <v>7</v>
      </c>
      <c r="AJ28" s="72">
        <v>2</v>
      </c>
      <c r="AK28" s="72"/>
      <c r="AL28" s="72"/>
      <c r="AM28" s="72"/>
      <c r="AN28" s="72"/>
      <c r="AO28" s="72"/>
      <c r="AP28" s="72"/>
      <c r="AQ28" s="72"/>
      <c r="AR28" s="72"/>
      <c r="AS28" s="72"/>
      <c r="AT28" s="72"/>
      <c r="AU28" s="72"/>
      <c r="AV28" s="954"/>
      <c r="AW28" s="954"/>
      <c r="AX28" s="954"/>
      <c r="AY28" s="954">
        <v>6</v>
      </c>
      <c r="AZ28" s="72"/>
      <c r="BA28" s="72"/>
      <c r="BB28" s="72"/>
      <c r="BC28" s="72"/>
      <c r="BD28" s="72"/>
      <c r="BE28" s="72"/>
      <c r="BF28" s="72"/>
      <c r="BG28" s="72">
        <f t="shared" si="0"/>
        <v>1</v>
      </c>
      <c r="BH28" s="72"/>
      <c r="BI28" s="72"/>
      <c r="BJ28" s="72"/>
      <c r="BK28" s="72">
        <v>1</v>
      </c>
      <c r="BL28" s="72"/>
      <c r="BM28" s="72"/>
    </row>
    <row r="29" spans="1:65" hidden="1">
      <c r="A29" s="931"/>
      <c r="B29" s="72"/>
      <c r="C29" s="70"/>
      <c r="D29" s="73"/>
      <c r="E29" s="73"/>
      <c r="F29" s="73"/>
      <c r="G29" s="73"/>
      <c r="H29" s="72"/>
      <c r="I29" s="72"/>
      <c r="J29" s="72"/>
      <c r="K29" s="72"/>
      <c r="L29" s="72"/>
      <c r="M29" s="72"/>
      <c r="N29" s="72"/>
      <c r="O29" s="72"/>
      <c r="P29" s="72"/>
      <c r="Q29" s="71"/>
      <c r="R29" s="71"/>
      <c r="S29" s="71"/>
      <c r="T29" s="71"/>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954"/>
      <c r="AW29" s="954"/>
      <c r="AX29" s="954"/>
      <c r="AY29" s="954"/>
      <c r="AZ29" s="72"/>
      <c r="BA29" s="72"/>
      <c r="BB29" s="72"/>
      <c r="BC29" s="72"/>
      <c r="BD29" s="72"/>
      <c r="BE29" s="72"/>
      <c r="BF29" s="72"/>
      <c r="BG29" s="72">
        <f t="shared" si="0"/>
        <v>0</v>
      </c>
      <c r="BH29" s="72"/>
      <c r="BI29" s="72"/>
      <c r="BJ29" s="72"/>
      <c r="BK29" s="72"/>
      <c r="BL29" s="72"/>
      <c r="BM29" s="72"/>
    </row>
    <row r="30" spans="1:65" hidden="1">
      <c r="A30" s="931">
        <v>5</v>
      </c>
      <c r="B30" s="943" t="s">
        <v>3140</v>
      </c>
      <c r="C30" s="70"/>
      <c r="D30" s="73">
        <v>0.8</v>
      </c>
      <c r="E30" s="71"/>
      <c r="F30" s="71"/>
      <c r="G30" s="71"/>
      <c r="H30" s="72"/>
      <c r="I30" s="72"/>
      <c r="J30" s="72"/>
      <c r="K30" s="72">
        <v>1</v>
      </c>
      <c r="L30" s="72"/>
      <c r="M30" s="72"/>
      <c r="N30" s="72"/>
      <c r="O30" s="72"/>
      <c r="P30" s="72"/>
      <c r="Q30" s="71">
        <v>1</v>
      </c>
      <c r="R30" s="71"/>
      <c r="S30" s="71"/>
      <c r="T30" s="71"/>
      <c r="U30" s="72"/>
      <c r="V30" s="72"/>
      <c r="W30" s="72">
        <v>1</v>
      </c>
      <c r="X30" s="72"/>
      <c r="Y30" s="72"/>
      <c r="Z30" s="72"/>
      <c r="AA30" s="72">
        <v>4</v>
      </c>
      <c r="AB30" s="72"/>
      <c r="AC30" s="72"/>
      <c r="AD30" s="72">
        <v>1</v>
      </c>
      <c r="AE30" s="72"/>
      <c r="AF30" s="72"/>
      <c r="AG30" s="72">
        <v>1</v>
      </c>
      <c r="AH30" s="72"/>
      <c r="AI30" s="72">
        <v>4</v>
      </c>
      <c r="AJ30" s="72">
        <v>2</v>
      </c>
      <c r="AK30" s="72"/>
      <c r="AL30" s="72"/>
      <c r="AM30" s="72"/>
      <c r="AN30" s="72"/>
      <c r="AO30" s="72"/>
      <c r="AP30" s="72"/>
      <c r="AQ30" s="72"/>
      <c r="AR30" s="72"/>
      <c r="AS30" s="72"/>
      <c r="AT30" s="72"/>
      <c r="AU30" s="72"/>
      <c r="AV30" s="954"/>
      <c r="AW30" s="954"/>
      <c r="AX30" s="954"/>
      <c r="AY30" s="954">
        <v>8</v>
      </c>
      <c r="AZ30" s="72"/>
      <c r="BA30" s="72"/>
      <c r="BB30" s="72"/>
      <c r="BC30" s="72"/>
      <c r="BD30" s="72"/>
      <c r="BE30" s="72"/>
      <c r="BF30" s="72"/>
      <c r="BG30" s="72">
        <f t="shared" si="0"/>
        <v>1</v>
      </c>
      <c r="BH30" s="72"/>
      <c r="BI30" s="72"/>
      <c r="BJ30" s="72"/>
      <c r="BK30" s="72">
        <v>1</v>
      </c>
      <c r="BL30" s="72"/>
      <c r="BM30" s="72"/>
    </row>
    <row r="31" spans="1:65" hidden="1">
      <c r="A31" s="931"/>
      <c r="B31" s="943" t="s">
        <v>1388</v>
      </c>
      <c r="C31" s="70"/>
      <c r="D31" s="73">
        <v>0.8</v>
      </c>
      <c r="E31" s="73"/>
      <c r="F31" s="73"/>
      <c r="G31" s="73"/>
      <c r="H31" s="72"/>
      <c r="I31" s="72"/>
      <c r="J31" s="72"/>
      <c r="K31" s="72">
        <v>1</v>
      </c>
      <c r="L31" s="72"/>
      <c r="M31" s="72"/>
      <c r="N31" s="72"/>
      <c r="O31" s="72"/>
      <c r="P31" s="72"/>
      <c r="Q31" s="71">
        <v>1</v>
      </c>
      <c r="R31" s="71"/>
      <c r="S31" s="71"/>
      <c r="T31" s="71"/>
      <c r="U31" s="72"/>
      <c r="V31" s="72"/>
      <c r="W31" s="72">
        <v>1</v>
      </c>
      <c r="X31" s="72"/>
      <c r="Y31" s="72"/>
      <c r="Z31" s="72"/>
      <c r="AA31" s="72">
        <v>4</v>
      </c>
      <c r="AB31" s="72"/>
      <c r="AC31" s="72"/>
      <c r="AD31" s="72">
        <v>2</v>
      </c>
      <c r="AE31" s="72"/>
      <c r="AF31" s="72"/>
      <c r="AG31" s="72">
        <v>1</v>
      </c>
      <c r="AH31" s="72">
        <v>1</v>
      </c>
      <c r="AI31" s="72">
        <v>4</v>
      </c>
      <c r="AJ31" s="72">
        <v>2</v>
      </c>
      <c r="AK31" s="72"/>
      <c r="AL31" s="72"/>
      <c r="AM31" s="72"/>
      <c r="AN31" s="72"/>
      <c r="AO31" s="72"/>
      <c r="AP31" s="72"/>
      <c r="AQ31" s="72"/>
      <c r="AR31" s="72"/>
      <c r="AS31" s="72"/>
      <c r="AT31" s="72"/>
      <c r="AU31" s="72"/>
      <c r="AV31" s="954"/>
      <c r="AW31" s="954"/>
      <c r="AX31" s="954"/>
      <c r="AY31" s="954">
        <v>8</v>
      </c>
      <c r="AZ31" s="72"/>
      <c r="BA31" s="72"/>
      <c r="BB31" s="72"/>
      <c r="BC31" s="72"/>
      <c r="BD31" s="72"/>
      <c r="BE31" s="72"/>
      <c r="BF31" s="72"/>
      <c r="BG31" s="72">
        <f t="shared" si="0"/>
        <v>1</v>
      </c>
      <c r="BH31" s="72"/>
      <c r="BI31" s="72"/>
      <c r="BJ31" s="72"/>
      <c r="BK31" s="72">
        <v>1</v>
      </c>
      <c r="BL31" s="72"/>
      <c r="BM31" s="72"/>
    </row>
    <row r="32" spans="1:65" hidden="1">
      <c r="A32" s="931"/>
      <c r="B32" s="943" t="s">
        <v>1389</v>
      </c>
      <c r="C32" s="70"/>
      <c r="D32" s="73">
        <v>0.8</v>
      </c>
      <c r="E32" s="73"/>
      <c r="F32" s="73"/>
      <c r="G32" s="73"/>
      <c r="H32" s="72"/>
      <c r="I32" s="72"/>
      <c r="J32" s="72"/>
      <c r="K32" s="72">
        <v>1</v>
      </c>
      <c r="L32" s="72"/>
      <c r="M32" s="72"/>
      <c r="N32" s="72"/>
      <c r="O32" s="72"/>
      <c r="P32" s="72"/>
      <c r="Q32" s="71">
        <v>1</v>
      </c>
      <c r="R32" s="71"/>
      <c r="S32" s="71"/>
      <c r="T32" s="71"/>
      <c r="U32" s="72"/>
      <c r="V32" s="72"/>
      <c r="W32" s="72">
        <v>3</v>
      </c>
      <c r="X32" s="72"/>
      <c r="Y32" s="72"/>
      <c r="Z32" s="72"/>
      <c r="AA32" s="72">
        <v>4</v>
      </c>
      <c r="AB32" s="72"/>
      <c r="AC32" s="72"/>
      <c r="AD32" s="72"/>
      <c r="AE32" s="72"/>
      <c r="AF32" s="72"/>
      <c r="AG32" s="72">
        <v>3</v>
      </c>
      <c r="AH32" s="72"/>
      <c r="AI32" s="72">
        <v>4</v>
      </c>
      <c r="AJ32" s="72">
        <v>3</v>
      </c>
      <c r="AK32" s="72"/>
      <c r="AL32" s="72"/>
      <c r="AM32" s="72"/>
      <c r="AN32" s="72"/>
      <c r="AO32" s="72"/>
      <c r="AP32" s="72"/>
      <c r="AQ32" s="72"/>
      <c r="AR32" s="72"/>
      <c r="AS32" s="72"/>
      <c r="AT32" s="72"/>
      <c r="AU32" s="72"/>
      <c r="AV32" s="954"/>
      <c r="AW32" s="954"/>
      <c r="AX32" s="954"/>
      <c r="AY32" s="954">
        <v>8</v>
      </c>
      <c r="AZ32" s="72"/>
      <c r="BA32" s="72"/>
      <c r="BB32" s="72"/>
      <c r="BC32" s="72"/>
      <c r="BD32" s="72"/>
      <c r="BE32" s="72">
        <v>4</v>
      </c>
      <c r="BF32" s="72"/>
      <c r="BG32" s="72">
        <f t="shared" si="0"/>
        <v>1</v>
      </c>
      <c r="BH32" s="72"/>
      <c r="BI32" s="72"/>
      <c r="BJ32" s="72"/>
      <c r="BK32" s="72">
        <v>1</v>
      </c>
      <c r="BL32" s="72"/>
      <c r="BM32" s="72"/>
    </row>
    <row r="33" spans="1:65" hidden="1">
      <c r="A33" s="931"/>
      <c r="B33" s="943" t="s">
        <v>1390</v>
      </c>
      <c r="C33" s="70"/>
      <c r="D33" s="73">
        <v>0.8</v>
      </c>
      <c r="E33" s="73"/>
      <c r="F33" s="73"/>
      <c r="G33" s="73"/>
      <c r="H33" s="72"/>
      <c r="I33" s="72"/>
      <c r="J33" s="72"/>
      <c r="K33" s="72">
        <v>1</v>
      </c>
      <c r="L33" s="72"/>
      <c r="M33" s="72"/>
      <c r="N33" s="72"/>
      <c r="O33" s="72"/>
      <c r="P33" s="72"/>
      <c r="Q33" s="71">
        <v>1</v>
      </c>
      <c r="R33" s="71"/>
      <c r="S33" s="71"/>
      <c r="T33" s="71"/>
      <c r="U33" s="72"/>
      <c r="V33" s="72"/>
      <c r="W33" s="72">
        <v>3</v>
      </c>
      <c r="X33" s="72"/>
      <c r="Y33" s="72"/>
      <c r="Z33" s="72"/>
      <c r="AA33" s="72">
        <v>4</v>
      </c>
      <c r="AB33" s="72"/>
      <c r="AC33" s="72"/>
      <c r="AD33" s="72"/>
      <c r="AE33" s="72"/>
      <c r="AF33" s="72"/>
      <c r="AG33" s="72">
        <v>3</v>
      </c>
      <c r="AH33" s="72"/>
      <c r="AI33" s="72">
        <v>4</v>
      </c>
      <c r="AJ33" s="72">
        <v>3</v>
      </c>
      <c r="AK33" s="72"/>
      <c r="AL33" s="72"/>
      <c r="AM33" s="72"/>
      <c r="AN33" s="72"/>
      <c r="AO33" s="72"/>
      <c r="AP33" s="72"/>
      <c r="AQ33" s="72"/>
      <c r="AR33" s="72"/>
      <c r="AS33" s="72"/>
      <c r="AT33" s="72"/>
      <c r="AU33" s="72"/>
      <c r="AV33" s="954"/>
      <c r="AW33" s="954"/>
      <c r="AX33" s="954"/>
      <c r="AY33" s="954">
        <v>8</v>
      </c>
      <c r="AZ33" s="72"/>
      <c r="BA33" s="72"/>
      <c r="BB33" s="72"/>
      <c r="BC33" s="72"/>
      <c r="BD33" s="72"/>
      <c r="BE33" s="72"/>
      <c r="BF33" s="72"/>
      <c r="BG33" s="72">
        <f t="shared" si="0"/>
        <v>1</v>
      </c>
      <c r="BH33" s="72"/>
      <c r="BI33" s="72"/>
      <c r="BJ33" s="72"/>
      <c r="BK33" s="72">
        <v>1</v>
      </c>
      <c r="BL33" s="72"/>
      <c r="BM33" s="72"/>
    </row>
    <row r="34" spans="1:65" hidden="1">
      <c r="A34" s="931"/>
      <c r="B34" s="943" t="s">
        <v>1391</v>
      </c>
      <c r="C34" s="70"/>
      <c r="D34" s="73">
        <v>0.8</v>
      </c>
      <c r="E34" s="73"/>
      <c r="F34" s="73"/>
      <c r="G34" s="73"/>
      <c r="H34" s="72"/>
      <c r="I34" s="72"/>
      <c r="J34" s="72"/>
      <c r="K34" s="72">
        <v>1</v>
      </c>
      <c r="L34" s="72"/>
      <c r="M34" s="72"/>
      <c r="N34" s="72"/>
      <c r="O34" s="72"/>
      <c r="P34" s="72"/>
      <c r="Q34" s="71">
        <v>1</v>
      </c>
      <c r="R34" s="71"/>
      <c r="S34" s="71"/>
      <c r="T34" s="71"/>
      <c r="U34" s="72"/>
      <c r="V34" s="72"/>
      <c r="W34" s="72">
        <v>2</v>
      </c>
      <c r="X34" s="72"/>
      <c r="Y34" s="72"/>
      <c r="Z34" s="72"/>
      <c r="AA34" s="72">
        <v>4</v>
      </c>
      <c r="AB34" s="72"/>
      <c r="AC34" s="72"/>
      <c r="AD34" s="72"/>
      <c r="AE34" s="72"/>
      <c r="AF34" s="72"/>
      <c r="AG34" s="72">
        <v>2</v>
      </c>
      <c r="AH34" s="72"/>
      <c r="AI34" s="72">
        <v>8</v>
      </c>
      <c r="AJ34" s="72">
        <v>2</v>
      </c>
      <c r="AK34" s="72"/>
      <c r="AL34" s="72"/>
      <c r="AM34" s="72"/>
      <c r="AN34" s="72"/>
      <c r="AO34" s="72"/>
      <c r="AP34" s="72"/>
      <c r="AQ34" s="72"/>
      <c r="AR34" s="72"/>
      <c r="AS34" s="72"/>
      <c r="AT34" s="72"/>
      <c r="AU34" s="72"/>
      <c r="AV34" s="954"/>
      <c r="AW34" s="954"/>
      <c r="AX34" s="954"/>
      <c r="AY34" s="954">
        <v>8</v>
      </c>
      <c r="AZ34" s="72"/>
      <c r="BA34" s="72"/>
      <c r="BB34" s="72"/>
      <c r="BC34" s="72"/>
      <c r="BD34" s="72"/>
      <c r="BE34" s="72"/>
      <c r="BF34" s="72"/>
      <c r="BG34" s="72">
        <f t="shared" si="0"/>
        <v>1</v>
      </c>
      <c r="BH34" s="72"/>
      <c r="BI34" s="72"/>
      <c r="BJ34" s="72"/>
      <c r="BK34" s="72">
        <v>1</v>
      </c>
      <c r="BL34" s="72"/>
      <c r="BM34" s="72"/>
    </row>
    <row r="35" spans="1:65" hidden="1">
      <c r="A35" s="931"/>
      <c r="B35" s="72"/>
      <c r="C35" s="70"/>
      <c r="D35" s="73"/>
      <c r="E35" s="73"/>
      <c r="F35" s="73"/>
      <c r="G35" s="73"/>
      <c r="H35" s="72"/>
      <c r="I35" s="72"/>
      <c r="J35" s="72"/>
      <c r="K35" s="72"/>
      <c r="L35" s="72"/>
      <c r="M35" s="72"/>
      <c r="N35" s="72"/>
      <c r="O35" s="72"/>
      <c r="P35" s="72"/>
      <c r="Q35" s="71"/>
      <c r="R35" s="71"/>
      <c r="S35" s="71"/>
      <c r="T35" s="71"/>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954"/>
      <c r="AW35" s="954"/>
      <c r="AX35" s="954"/>
      <c r="AY35" s="954"/>
      <c r="AZ35" s="72"/>
      <c r="BA35" s="72"/>
      <c r="BB35" s="72"/>
      <c r="BC35" s="72"/>
      <c r="BD35" s="72"/>
      <c r="BE35" s="72"/>
      <c r="BF35" s="72"/>
      <c r="BG35" s="72">
        <f t="shared" si="0"/>
        <v>0</v>
      </c>
      <c r="BH35" s="72"/>
      <c r="BI35" s="72"/>
      <c r="BJ35" s="72"/>
      <c r="BK35" s="72"/>
      <c r="BL35" s="72"/>
      <c r="BM35" s="72"/>
    </row>
    <row r="36" spans="1:65" hidden="1">
      <c r="A36" s="931">
        <v>6</v>
      </c>
      <c r="B36" s="71" t="s">
        <v>1392</v>
      </c>
      <c r="C36" s="70"/>
      <c r="D36" s="73">
        <v>0.6</v>
      </c>
      <c r="E36" s="71"/>
      <c r="F36" s="71"/>
      <c r="G36" s="71"/>
      <c r="H36" s="72"/>
      <c r="I36" s="72"/>
      <c r="J36" s="72"/>
      <c r="K36" s="72">
        <v>1</v>
      </c>
      <c r="L36" s="72"/>
      <c r="M36" s="72"/>
      <c r="N36" s="72"/>
      <c r="O36" s="72"/>
      <c r="P36" s="72"/>
      <c r="Q36" s="71">
        <v>1</v>
      </c>
      <c r="R36" s="71"/>
      <c r="S36" s="71"/>
      <c r="T36" s="71"/>
      <c r="U36" s="72"/>
      <c r="V36" s="72"/>
      <c r="W36" s="72"/>
      <c r="X36" s="72"/>
      <c r="Y36" s="72"/>
      <c r="Z36" s="72"/>
      <c r="AA36" s="72">
        <v>3</v>
      </c>
      <c r="AB36" s="72"/>
      <c r="AC36" s="72"/>
      <c r="AD36" s="72">
        <v>1</v>
      </c>
      <c r="AE36" s="72"/>
      <c r="AF36" s="72"/>
      <c r="AG36" s="72"/>
      <c r="AH36" s="72"/>
      <c r="AI36" s="72"/>
      <c r="AJ36" s="72">
        <v>1</v>
      </c>
      <c r="AK36" s="72"/>
      <c r="AL36" s="72"/>
      <c r="AM36" s="72"/>
      <c r="AN36" s="72"/>
      <c r="AO36" s="72"/>
      <c r="AP36" s="72"/>
      <c r="AQ36" s="72"/>
      <c r="AR36" s="72"/>
      <c r="AS36" s="72"/>
      <c r="AT36" s="72"/>
      <c r="AU36" s="72"/>
      <c r="AV36" s="954"/>
      <c r="AW36" s="954"/>
      <c r="AX36" s="954"/>
      <c r="AY36" s="954"/>
      <c r="AZ36" s="72"/>
      <c r="BA36" s="72"/>
      <c r="BB36" s="72"/>
      <c r="BC36" s="72"/>
      <c r="BD36" s="72"/>
      <c r="BE36" s="72"/>
      <c r="BF36" s="72"/>
      <c r="BG36" s="72">
        <f t="shared" si="0"/>
        <v>0</v>
      </c>
      <c r="BH36" s="72"/>
      <c r="BI36" s="72"/>
      <c r="BJ36" s="72"/>
      <c r="BK36" s="72"/>
      <c r="BL36" s="72"/>
      <c r="BM36" s="72"/>
    </row>
    <row r="37" spans="1:65" hidden="1">
      <c r="A37" s="931"/>
      <c r="B37" s="71" t="s">
        <v>1393</v>
      </c>
      <c r="C37" s="70"/>
      <c r="D37" s="73">
        <v>0.6</v>
      </c>
      <c r="E37" s="73"/>
      <c r="F37" s="73"/>
      <c r="G37" s="73"/>
      <c r="H37" s="72"/>
      <c r="I37" s="72"/>
      <c r="J37" s="72"/>
      <c r="K37" s="72">
        <v>1</v>
      </c>
      <c r="L37" s="72"/>
      <c r="M37" s="72"/>
      <c r="N37" s="72"/>
      <c r="O37" s="72"/>
      <c r="P37" s="72"/>
      <c r="Q37" s="71">
        <v>1</v>
      </c>
      <c r="R37" s="71"/>
      <c r="S37" s="71"/>
      <c r="T37" s="71"/>
      <c r="U37" s="72"/>
      <c r="V37" s="72"/>
      <c r="W37" s="72">
        <v>1</v>
      </c>
      <c r="X37" s="72"/>
      <c r="Y37" s="72"/>
      <c r="Z37" s="72"/>
      <c r="AA37" s="72">
        <v>3</v>
      </c>
      <c r="AB37" s="72"/>
      <c r="AC37" s="72"/>
      <c r="AD37" s="72">
        <v>2</v>
      </c>
      <c r="AE37" s="72"/>
      <c r="AF37" s="72"/>
      <c r="AG37" s="72"/>
      <c r="AH37" s="72">
        <v>1</v>
      </c>
      <c r="AI37" s="72"/>
      <c r="AJ37" s="72">
        <v>1</v>
      </c>
      <c r="AK37" s="72"/>
      <c r="AL37" s="72"/>
      <c r="AM37" s="72"/>
      <c r="AN37" s="72"/>
      <c r="AO37" s="72"/>
      <c r="AP37" s="72"/>
      <c r="AQ37" s="72"/>
      <c r="AR37" s="72"/>
      <c r="AS37" s="72"/>
      <c r="AT37" s="72"/>
      <c r="AU37" s="72"/>
      <c r="AV37" s="954"/>
      <c r="AW37" s="954"/>
      <c r="AX37" s="954"/>
      <c r="AY37" s="954"/>
      <c r="AZ37" s="72"/>
      <c r="BA37" s="72"/>
      <c r="BB37" s="72"/>
      <c r="BC37" s="72"/>
      <c r="BD37" s="72"/>
      <c r="BE37" s="72"/>
      <c r="BF37" s="72"/>
      <c r="BG37" s="72">
        <f t="shared" si="0"/>
        <v>0</v>
      </c>
      <c r="BH37" s="72"/>
      <c r="BI37" s="72"/>
      <c r="BJ37" s="72"/>
      <c r="BK37" s="72"/>
      <c r="BL37" s="72"/>
      <c r="BM37" s="72"/>
    </row>
    <row r="38" spans="1:65" hidden="1">
      <c r="A38" s="931"/>
      <c r="B38" s="71" t="s">
        <v>1394</v>
      </c>
      <c r="C38" s="70"/>
      <c r="D38" s="73">
        <v>0.6</v>
      </c>
      <c r="E38" s="73"/>
      <c r="F38" s="73"/>
      <c r="G38" s="73"/>
      <c r="H38" s="72"/>
      <c r="I38" s="72"/>
      <c r="J38" s="72"/>
      <c r="K38" s="72">
        <v>1</v>
      </c>
      <c r="L38" s="72"/>
      <c r="M38" s="72"/>
      <c r="N38" s="72"/>
      <c r="O38" s="72"/>
      <c r="P38" s="72"/>
      <c r="Q38" s="71">
        <v>1</v>
      </c>
      <c r="R38" s="71"/>
      <c r="S38" s="71"/>
      <c r="T38" s="71"/>
      <c r="U38" s="72"/>
      <c r="V38" s="72"/>
      <c r="W38" s="72">
        <v>2</v>
      </c>
      <c r="X38" s="72"/>
      <c r="Y38" s="72"/>
      <c r="Z38" s="72"/>
      <c r="AA38" s="72">
        <v>3</v>
      </c>
      <c r="AB38" s="72"/>
      <c r="AC38" s="72"/>
      <c r="AD38" s="72"/>
      <c r="AE38" s="72"/>
      <c r="AF38" s="72"/>
      <c r="AG38" s="72">
        <v>2</v>
      </c>
      <c r="AH38" s="72"/>
      <c r="AI38" s="72"/>
      <c r="AJ38" s="72">
        <v>2</v>
      </c>
      <c r="AK38" s="72"/>
      <c r="AL38" s="72"/>
      <c r="AM38" s="72"/>
      <c r="AN38" s="72"/>
      <c r="AO38" s="72"/>
      <c r="AP38" s="72"/>
      <c r="AQ38" s="72"/>
      <c r="AR38" s="72"/>
      <c r="AS38" s="72"/>
      <c r="AT38" s="72"/>
      <c r="AU38" s="72"/>
      <c r="AV38" s="954"/>
      <c r="AW38" s="954"/>
      <c r="AX38" s="954"/>
      <c r="AY38" s="954"/>
      <c r="AZ38" s="72"/>
      <c r="BA38" s="72"/>
      <c r="BB38" s="72"/>
      <c r="BC38" s="72"/>
      <c r="BD38" s="72"/>
      <c r="BE38" s="72">
        <v>3</v>
      </c>
      <c r="BF38" s="72"/>
      <c r="BG38" s="72">
        <f t="shared" si="0"/>
        <v>0</v>
      </c>
      <c r="BH38" s="72"/>
      <c r="BI38" s="72"/>
      <c r="BJ38" s="72"/>
      <c r="BK38" s="72">
        <v>1</v>
      </c>
      <c r="BL38" s="72"/>
      <c r="BM38" s="72"/>
    </row>
    <row r="39" spans="1:65" hidden="1">
      <c r="A39" s="931"/>
      <c r="B39" s="71" t="s">
        <v>1395</v>
      </c>
      <c r="C39" s="70"/>
      <c r="D39" s="73">
        <v>0.6</v>
      </c>
      <c r="E39" s="73"/>
      <c r="F39" s="73"/>
      <c r="G39" s="73"/>
      <c r="H39" s="72"/>
      <c r="I39" s="72"/>
      <c r="J39" s="72"/>
      <c r="K39" s="72">
        <v>1</v>
      </c>
      <c r="L39" s="72"/>
      <c r="M39" s="72"/>
      <c r="N39" s="72"/>
      <c r="O39" s="72"/>
      <c r="P39" s="72"/>
      <c r="Q39" s="71">
        <v>1</v>
      </c>
      <c r="R39" s="71"/>
      <c r="S39" s="71"/>
      <c r="T39" s="71"/>
      <c r="U39" s="72"/>
      <c r="V39" s="72"/>
      <c r="W39" s="72">
        <v>2</v>
      </c>
      <c r="X39" s="72"/>
      <c r="Y39" s="72"/>
      <c r="Z39" s="72"/>
      <c r="AA39" s="72">
        <v>3</v>
      </c>
      <c r="AB39" s="72"/>
      <c r="AC39" s="72"/>
      <c r="AD39" s="72"/>
      <c r="AE39" s="72"/>
      <c r="AF39" s="72"/>
      <c r="AG39" s="72">
        <v>2</v>
      </c>
      <c r="AH39" s="72"/>
      <c r="AI39" s="72"/>
      <c r="AJ39" s="72">
        <v>2</v>
      </c>
      <c r="AK39" s="72"/>
      <c r="AL39" s="72"/>
      <c r="AM39" s="72"/>
      <c r="AN39" s="72"/>
      <c r="AO39" s="72"/>
      <c r="AP39" s="72"/>
      <c r="AQ39" s="72"/>
      <c r="AR39" s="72"/>
      <c r="AS39" s="72"/>
      <c r="AT39" s="72"/>
      <c r="AU39" s="72"/>
      <c r="AV39" s="954"/>
      <c r="AW39" s="954"/>
      <c r="AX39" s="954"/>
      <c r="AY39" s="954"/>
      <c r="AZ39" s="72"/>
      <c r="BA39" s="72"/>
      <c r="BB39" s="72"/>
      <c r="BC39" s="72"/>
      <c r="BD39" s="72"/>
      <c r="BE39" s="72"/>
      <c r="BF39" s="72"/>
      <c r="BG39" s="72">
        <f t="shared" si="0"/>
        <v>0</v>
      </c>
      <c r="BH39" s="72"/>
      <c r="BI39" s="72"/>
      <c r="BJ39" s="72"/>
      <c r="BK39" s="72">
        <v>1</v>
      </c>
      <c r="BL39" s="72"/>
      <c r="BM39" s="72"/>
    </row>
    <row r="40" spans="1:65" hidden="1">
      <c r="A40" s="931"/>
      <c r="B40" s="71" t="s">
        <v>1396</v>
      </c>
      <c r="C40" s="70"/>
      <c r="D40" s="73">
        <v>0.6</v>
      </c>
      <c r="E40" s="73"/>
      <c r="F40" s="73"/>
      <c r="G40" s="73"/>
      <c r="H40" s="72"/>
      <c r="I40" s="72"/>
      <c r="J40" s="72"/>
      <c r="K40" s="72">
        <v>1</v>
      </c>
      <c r="L40" s="72"/>
      <c r="M40" s="72"/>
      <c r="N40" s="72"/>
      <c r="O40" s="72"/>
      <c r="P40" s="72"/>
      <c r="Q40" s="71">
        <v>1</v>
      </c>
      <c r="R40" s="71"/>
      <c r="S40" s="71"/>
      <c r="T40" s="71"/>
      <c r="U40" s="72"/>
      <c r="V40" s="72"/>
      <c r="W40" s="72">
        <v>1</v>
      </c>
      <c r="X40" s="72"/>
      <c r="Y40" s="72"/>
      <c r="Z40" s="72"/>
      <c r="AA40" s="72">
        <v>3</v>
      </c>
      <c r="AB40" s="72"/>
      <c r="AC40" s="72"/>
      <c r="AD40" s="72"/>
      <c r="AE40" s="72"/>
      <c r="AF40" s="72"/>
      <c r="AG40" s="72">
        <v>1</v>
      </c>
      <c r="AH40" s="72"/>
      <c r="AI40" s="72">
        <v>3</v>
      </c>
      <c r="AJ40" s="72">
        <v>1</v>
      </c>
      <c r="AK40" s="72"/>
      <c r="AL40" s="72"/>
      <c r="AM40" s="72"/>
      <c r="AN40" s="72"/>
      <c r="AO40" s="72"/>
      <c r="AP40" s="72"/>
      <c r="AQ40" s="72"/>
      <c r="AR40" s="72"/>
      <c r="AS40" s="72"/>
      <c r="AT40" s="72"/>
      <c r="AU40" s="72"/>
      <c r="AV40" s="954"/>
      <c r="AW40" s="954"/>
      <c r="AX40" s="954"/>
      <c r="AY40" s="954"/>
      <c r="AZ40" s="72"/>
      <c r="BA40" s="72"/>
      <c r="BB40" s="72"/>
      <c r="BC40" s="72"/>
      <c r="BD40" s="72"/>
      <c r="BE40" s="72"/>
      <c r="BF40" s="72"/>
      <c r="BG40" s="72">
        <f t="shared" si="0"/>
        <v>0</v>
      </c>
      <c r="BH40" s="72"/>
      <c r="BI40" s="72"/>
      <c r="BJ40" s="72"/>
      <c r="BK40" s="72">
        <v>1</v>
      </c>
      <c r="BL40" s="72"/>
      <c r="BM40" s="72"/>
    </row>
    <row r="41" spans="1:65" hidden="1">
      <c r="A41" s="931"/>
      <c r="B41" s="72"/>
      <c r="C41" s="70"/>
      <c r="D41" s="73"/>
      <c r="E41" s="73"/>
      <c r="F41" s="73"/>
      <c r="G41" s="73"/>
      <c r="H41" s="72"/>
      <c r="I41" s="72"/>
      <c r="J41" s="72"/>
      <c r="K41" s="72"/>
      <c r="L41" s="72"/>
      <c r="M41" s="72"/>
      <c r="N41" s="72"/>
      <c r="O41" s="72"/>
      <c r="P41" s="72"/>
      <c r="Q41" s="71"/>
      <c r="R41" s="71"/>
      <c r="S41" s="71"/>
      <c r="T41" s="71"/>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954"/>
      <c r="AW41" s="954"/>
      <c r="AX41" s="954"/>
      <c r="AY41" s="954"/>
      <c r="AZ41" s="72"/>
      <c r="BA41" s="72"/>
      <c r="BB41" s="72"/>
      <c r="BC41" s="72"/>
      <c r="BD41" s="72"/>
      <c r="BE41" s="72"/>
      <c r="BF41" s="72"/>
      <c r="BG41" s="72">
        <f t="shared" si="0"/>
        <v>0</v>
      </c>
      <c r="BH41" s="72"/>
      <c r="BI41" s="72"/>
      <c r="BJ41" s="72"/>
      <c r="BK41" s="72"/>
      <c r="BL41" s="72"/>
      <c r="BM41" s="72"/>
    </row>
    <row r="42" spans="1:65" hidden="1">
      <c r="A42" s="931">
        <v>7</v>
      </c>
      <c r="B42" s="943" t="s">
        <v>1397</v>
      </c>
      <c r="C42" s="70"/>
      <c r="D42" s="73">
        <v>0.8</v>
      </c>
      <c r="E42" s="71"/>
      <c r="F42" s="71"/>
      <c r="G42" s="71"/>
      <c r="H42" s="72"/>
      <c r="I42" s="72"/>
      <c r="J42" s="72"/>
      <c r="K42" s="72">
        <v>1</v>
      </c>
      <c r="L42" s="72"/>
      <c r="M42" s="72"/>
      <c r="N42" s="72"/>
      <c r="O42" s="72"/>
      <c r="P42" s="72"/>
      <c r="Q42" s="71">
        <v>1</v>
      </c>
      <c r="R42" s="71"/>
      <c r="S42" s="71"/>
      <c r="T42" s="71"/>
      <c r="U42" s="72"/>
      <c r="V42" s="72"/>
      <c r="W42" s="72"/>
      <c r="X42" s="72"/>
      <c r="Y42" s="72"/>
      <c r="Z42" s="72"/>
      <c r="AA42" s="72">
        <v>4</v>
      </c>
      <c r="AB42" s="72"/>
      <c r="AC42" s="72"/>
      <c r="AD42" s="72">
        <v>1</v>
      </c>
      <c r="AE42" s="72"/>
      <c r="AF42" s="72"/>
      <c r="AG42" s="72"/>
      <c r="AH42" s="72"/>
      <c r="AI42" s="72"/>
      <c r="AJ42" s="72">
        <v>1</v>
      </c>
      <c r="AK42" s="72"/>
      <c r="AL42" s="72"/>
      <c r="AM42" s="72"/>
      <c r="AN42" s="72"/>
      <c r="AO42" s="72"/>
      <c r="AP42" s="72"/>
      <c r="AQ42" s="72"/>
      <c r="AR42" s="72"/>
      <c r="AS42" s="72"/>
      <c r="AT42" s="72"/>
      <c r="AU42" s="72"/>
      <c r="AV42" s="954"/>
      <c r="AW42" s="954"/>
      <c r="AX42" s="954"/>
      <c r="AY42" s="954"/>
      <c r="AZ42" s="72"/>
      <c r="BA42" s="72"/>
      <c r="BB42" s="72"/>
      <c r="BC42" s="72"/>
      <c r="BD42" s="72"/>
      <c r="BE42" s="72"/>
      <c r="BF42" s="72"/>
      <c r="BG42" s="72">
        <f t="shared" si="0"/>
        <v>1</v>
      </c>
      <c r="BH42" s="72"/>
      <c r="BI42" s="72"/>
      <c r="BJ42" s="72"/>
      <c r="BK42" s="72"/>
      <c r="BL42" s="72"/>
      <c r="BM42" s="72"/>
    </row>
    <row r="43" spans="1:65" hidden="1">
      <c r="A43" s="931"/>
      <c r="B43" s="943" t="s">
        <v>1398</v>
      </c>
      <c r="C43" s="70"/>
      <c r="D43" s="73">
        <v>0.8</v>
      </c>
      <c r="E43" s="73"/>
      <c r="F43" s="73"/>
      <c r="G43" s="73"/>
      <c r="H43" s="72"/>
      <c r="I43" s="72"/>
      <c r="J43" s="72"/>
      <c r="K43" s="72">
        <v>1</v>
      </c>
      <c r="L43" s="72"/>
      <c r="M43" s="72"/>
      <c r="N43" s="72"/>
      <c r="O43" s="72"/>
      <c r="P43" s="72"/>
      <c r="Q43" s="71">
        <v>1</v>
      </c>
      <c r="R43" s="71"/>
      <c r="S43" s="71"/>
      <c r="T43" s="71"/>
      <c r="U43" s="72"/>
      <c r="V43" s="72"/>
      <c r="W43" s="72">
        <v>1</v>
      </c>
      <c r="X43" s="72"/>
      <c r="Y43" s="72"/>
      <c r="Z43" s="72"/>
      <c r="AA43" s="72">
        <v>4</v>
      </c>
      <c r="AB43" s="72"/>
      <c r="AC43" s="72"/>
      <c r="AD43" s="72">
        <v>2</v>
      </c>
      <c r="AE43" s="72"/>
      <c r="AF43" s="72"/>
      <c r="AG43" s="72"/>
      <c r="AH43" s="72">
        <v>1</v>
      </c>
      <c r="AI43" s="72"/>
      <c r="AJ43" s="72">
        <v>1</v>
      </c>
      <c r="AK43" s="72"/>
      <c r="AL43" s="72"/>
      <c r="AM43" s="72"/>
      <c r="AN43" s="72"/>
      <c r="AO43" s="72"/>
      <c r="AP43" s="72"/>
      <c r="AQ43" s="72"/>
      <c r="AR43" s="72"/>
      <c r="AS43" s="72"/>
      <c r="AT43" s="72"/>
      <c r="AU43" s="72"/>
      <c r="AV43" s="954"/>
      <c r="AW43" s="954"/>
      <c r="AX43" s="954"/>
      <c r="AY43" s="954"/>
      <c r="AZ43" s="72"/>
      <c r="BA43" s="72"/>
      <c r="BB43" s="72"/>
      <c r="BC43" s="72"/>
      <c r="BD43" s="72"/>
      <c r="BE43" s="72"/>
      <c r="BF43" s="72"/>
      <c r="BG43" s="72">
        <f t="shared" si="0"/>
        <v>1</v>
      </c>
      <c r="BH43" s="72"/>
      <c r="BI43" s="72"/>
      <c r="BJ43" s="72"/>
      <c r="BK43" s="72"/>
      <c r="BL43" s="72"/>
      <c r="BM43" s="72"/>
    </row>
    <row r="44" spans="1:65" hidden="1">
      <c r="A44" s="931"/>
      <c r="B44" s="943" t="s">
        <v>1399</v>
      </c>
      <c r="C44" s="70"/>
      <c r="D44" s="73">
        <v>0.8</v>
      </c>
      <c r="E44" s="73"/>
      <c r="F44" s="73"/>
      <c r="G44" s="73"/>
      <c r="H44" s="72"/>
      <c r="I44" s="72"/>
      <c r="J44" s="72"/>
      <c r="K44" s="72">
        <v>1</v>
      </c>
      <c r="L44" s="72"/>
      <c r="M44" s="72"/>
      <c r="N44" s="72"/>
      <c r="O44" s="72"/>
      <c r="P44" s="72"/>
      <c r="Q44" s="71">
        <v>1</v>
      </c>
      <c r="R44" s="71"/>
      <c r="S44" s="71"/>
      <c r="T44" s="71"/>
      <c r="U44" s="72"/>
      <c r="V44" s="72"/>
      <c r="W44" s="72">
        <v>2</v>
      </c>
      <c r="X44" s="72"/>
      <c r="Y44" s="72"/>
      <c r="Z44" s="72"/>
      <c r="AA44" s="72">
        <v>4</v>
      </c>
      <c r="AB44" s="72"/>
      <c r="AC44" s="72"/>
      <c r="AD44" s="72"/>
      <c r="AE44" s="72"/>
      <c r="AF44" s="72"/>
      <c r="AG44" s="72">
        <v>2</v>
      </c>
      <c r="AH44" s="72"/>
      <c r="AI44" s="72"/>
      <c r="AJ44" s="72">
        <v>2</v>
      </c>
      <c r="AK44" s="72"/>
      <c r="AL44" s="72"/>
      <c r="AM44" s="72"/>
      <c r="AN44" s="72"/>
      <c r="AO44" s="72"/>
      <c r="AP44" s="72"/>
      <c r="AQ44" s="72"/>
      <c r="AR44" s="72"/>
      <c r="AS44" s="72"/>
      <c r="AT44" s="72"/>
      <c r="AU44" s="72"/>
      <c r="AV44" s="954"/>
      <c r="AW44" s="954"/>
      <c r="AX44" s="954"/>
      <c r="AY44" s="954"/>
      <c r="AZ44" s="72"/>
      <c r="BA44" s="72"/>
      <c r="BB44" s="72"/>
      <c r="BC44" s="72"/>
      <c r="BD44" s="72"/>
      <c r="BE44" s="72">
        <v>4</v>
      </c>
      <c r="BF44" s="72"/>
      <c r="BG44" s="72">
        <f t="shared" si="0"/>
        <v>1</v>
      </c>
      <c r="BH44" s="72"/>
      <c r="BI44" s="72"/>
      <c r="BJ44" s="72"/>
      <c r="BK44" s="72">
        <v>1</v>
      </c>
      <c r="BL44" s="72"/>
      <c r="BM44" s="72"/>
    </row>
    <row r="45" spans="1:65" hidden="1">
      <c r="A45" s="931"/>
      <c r="B45" s="943" t="s">
        <v>1400</v>
      </c>
      <c r="C45" s="70"/>
      <c r="D45" s="73">
        <v>0.8</v>
      </c>
      <c r="E45" s="73"/>
      <c r="F45" s="73"/>
      <c r="G45" s="73"/>
      <c r="H45" s="72"/>
      <c r="I45" s="72"/>
      <c r="J45" s="72"/>
      <c r="K45" s="72">
        <v>1</v>
      </c>
      <c r="L45" s="72"/>
      <c r="M45" s="72"/>
      <c r="N45" s="72"/>
      <c r="O45" s="72"/>
      <c r="P45" s="72"/>
      <c r="Q45" s="71">
        <v>1</v>
      </c>
      <c r="R45" s="71"/>
      <c r="S45" s="71"/>
      <c r="T45" s="71"/>
      <c r="U45" s="72"/>
      <c r="V45" s="72"/>
      <c r="W45" s="72">
        <v>2</v>
      </c>
      <c r="X45" s="72"/>
      <c r="Y45" s="72"/>
      <c r="Z45" s="72"/>
      <c r="AA45" s="72">
        <v>4</v>
      </c>
      <c r="AB45" s="72"/>
      <c r="AC45" s="72"/>
      <c r="AD45" s="72"/>
      <c r="AE45" s="72"/>
      <c r="AF45" s="72"/>
      <c r="AG45" s="72">
        <v>2</v>
      </c>
      <c r="AH45" s="72"/>
      <c r="AI45" s="72"/>
      <c r="AJ45" s="72">
        <v>2</v>
      </c>
      <c r="AK45" s="72"/>
      <c r="AL45" s="72"/>
      <c r="AM45" s="72"/>
      <c r="AN45" s="72"/>
      <c r="AO45" s="72"/>
      <c r="AP45" s="72"/>
      <c r="AQ45" s="72"/>
      <c r="AR45" s="72"/>
      <c r="AS45" s="72"/>
      <c r="AT45" s="72"/>
      <c r="AU45" s="72"/>
      <c r="AV45" s="954"/>
      <c r="AW45" s="954"/>
      <c r="AX45" s="954"/>
      <c r="AY45" s="954"/>
      <c r="AZ45" s="72"/>
      <c r="BA45" s="72"/>
      <c r="BB45" s="72"/>
      <c r="BC45" s="72"/>
      <c r="BD45" s="72"/>
      <c r="BE45" s="72"/>
      <c r="BF45" s="72"/>
      <c r="BG45" s="72">
        <f t="shared" si="0"/>
        <v>1</v>
      </c>
      <c r="BH45" s="72"/>
      <c r="BI45" s="72"/>
      <c r="BJ45" s="72"/>
      <c r="BK45" s="72">
        <v>1</v>
      </c>
      <c r="BL45" s="72"/>
      <c r="BM45" s="72"/>
    </row>
    <row r="46" spans="1:65" hidden="1">
      <c r="A46" s="931"/>
      <c r="B46" s="943" t="s">
        <v>1401</v>
      </c>
      <c r="C46" s="70"/>
      <c r="D46" s="73">
        <v>0.8</v>
      </c>
      <c r="E46" s="73"/>
      <c r="F46" s="73"/>
      <c r="G46" s="73"/>
      <c r="H46" s="72"/>
      <c r="I46" s="72"/>
      <c r="J46" s="72"/>
      <c r="K46" s="72">
        <v>1</v>
      </c>
      <c r="L46" s="72"/>
      <c r="M46" s="72"/>
      <c r="N46" s="72"/>
      <c r="O46" s="72"/>
      <c r="P46" s="72"/>
      <c r="Q46" s="71">
        <v>1</v>
      </c>
      <c r="R46" s="71"/>
      <c r="S46" s="71"/>
      <c r="T46" s="71"/>
      <c r="U46" s="72"/>
      <c r="V46" s="72"/>
      <c r="W46" s="72">
        <v>1</v>
      </c>
      <c r="X46" s="72"/>
      <c r="Y46" s="72"/>
      <c r="Z46" s="72"/>
      <c r="AA46" s="72">
        <v>4</v>
      </c>
      <c r="AB46" s="72"/>
      <c r="AC46" s="72"/>
      <c r="AD46" s="72"/>
      <c r="AE46" s="72"/>
      <c r="AF46" s="72"/>
      <c r="AG46" s="72">
        <v>1</v>
      </c>
      <c r="AH46" s="72"/>
      <c r="AI46" s="72">
        <v>4</v>
      </c>
      <c r="AJ46" s="72">
        <v>1</v>
      </c>
      <c r="AK46" s="72"/>
      <c r="AL46" s="72"/>
      <c r="AM46" s="72"/>
      <c r="AN46" s="72"/>
      <c r="AO46" s="72"/>
      <c r="AP46" s="72"/>
      <c r="AQ46" s="72"/>
      <c r="AR46" s="72"/>
      <c r="AS46" s="72"/>
      <c r="AT46" s="72"/>
      <c r="AU46" s="72"/>
      <c r="AV46" s="954"/>
      <c r="AW46" s="954"/>
      <c r="AX46" s="954"/>
      <c r="AY46" s="954"/>
      <c r="AZ46" s="72"/>
      <c r="BA46" s="72"/>
      <c r="BB46" s="72"/>
      <c r="BC46" s="72"/>
      <c r="BD46" s="72"/>
      <c r="BE46" s="72"/>
      <c r="BF46" s="72"/>
      <c r="BG46" s="72">
        <f t="shared" si="0"/>
        <v>1</v>
      </c>
      <c r="BH46" s="72"/>
      <c r="BI46" s="72"/>
      <c r="BJ46" s="72"/>
      <c r="BK46" s="72">
        <v>1</v>
      </c>
      <c r="BL46" s="72"/>
      <c r="BM46" s="72"/>
    </row>
    <row r="47" spans="1:65" hidden="1">
      <c r="A47" s="955"/>
      <c r="B47" s="943"/>
      <c r="C47" s="956"/>
      <c r="D47" s="957"/>
      <c r="E47" s="957"/>
      <c r="F47" s="957"/>
      <c r="G47" s="957"/>
      <c r="H47" s="943"/>
      <c r="I47" s="943"/>
      <c r="J47" s="943"/>
      <c r="K47" s="943"/>
      <c r="L47" s="943"/>
      <c r="M47" s="943"/>
      <c r="N47" s="943"/>
      <c r="O47" s="943"/>
      <c r="P47" s="943"/>
      <c r="Q47" s="943"/>
      <c r="R47" s="943"/>
      <c r="S47" s="943"/>
      <c r="T47" s="943"/>
      <c r="U47" s="943"/>
      <c r="V47" s="943"/>
      <c r="W47" s="943"/>
      <c r="X47" s="943"/>
      <c r="Y47" s="943"/>
      <c r="Z47" s="943"/>
      <c r="AA47" s="943"/>
      <c r="AB47" s="943"/>
      <c r="AC47" s="943"/>
      <c r="AD47" s="943"/>
      <c r="AE47" s="943"/>
      <c r="AF47" s="943"/>
      <c r="AG47" s="943"/>
      <c r="AH47" s="943"/>
      <c r="AI47" s="943"/>
      <c r="AJ47" s="943"/>
      <c r="AK47" s="943"/>
      <c r="AL47" s="943"/>
      <c r="AM47" s="943"/>
      <c r="AN47" s="943"/>
      <c r="AO47" s="943"/>
      <c r="AP47" s="943"/>
      <c r="AQ47" s="943"/>
      <c r="AR47" s="943"/>
      <c r="AS47" s="943"/>
      <c r="AT47" s="943"/>
      <c r="AU47" s="943"/>
      <c r="AV47" s="943"/>
      <c r="AW47" s="943"/>
      <c r="AX47" s="943"/>
      <c r="AY47" s="943"/>
      <c r="AZ47" s="943"/>
      <c r="BA47" s="943"/>
      <c r="BB47" s="943"/>
      <c r="BC47" s="943"/>
      <c r="BD47" s="943"/>
      <c r="BE47" s="943"/>
      <c r="BF47" s="943"/>
      <c r="BG47" s="72">
        <f t="shared" si="0"/>
        <v>0</v>
      </c>
      <c r="BH47" s="72"/>
      <c r="BI47" s="943"/>
      <c r="BJ47" s="943"/>
      <c r="BK47" s="943"/>
      <c r="BL47" s="943"/>
      <c r="BM47" s="943"/>
    </row>
    <row r="48" spans="1:65" hidden="1">
      <c r="A48" s="931"/>
      <c r="B48" s="941">
        <v>1</v>
      </c>
      <c r="C48" s="958">
        <f>+B48+1</f>
        <v>2</v>
      </c>
      <c r="D48" s="958">
        <f t="shared" ref="D48:BK48" si="1">+C48+1</f>
        <v>3</v>
      </c>
      <c r="E48" s="958" t="e">
        <f>+#REF!+1</f>
        <v>#REF!</v>
      </c>
      <c r="F48" s="958" t="e">
        <f t="shared" si="1"/>
        <v>#REF!</v>
      </c>
      <c r="G48" s="958" t="e">
        <f t="shared" si="1"/>
        <v>#REF!</v>
      </c>
      <c r="H48" s="958" t="e">
        <f>+#REF!+1</f>
        <v>#REF!</v>
      </c>
      <c r="I48" s="958" t="e">
        <f t="shared" si="1"/>
        <v>#REF!</v>
      </c>
      <c r="J48" s="958" t="e">
        <f t="shared" si="1"/>
        <v>#REF!</v>
      </c>
      <c r="K48" s="958" t="e">
        <f t="shared" si="1"/>
        <v>#REF!</v>
      </c>
      <c r="L48" s="958"/>
      <c r="M48" s="958" t="e">
        <f>+K48+1</f>
        <v>#REF!</v>
      </c>
      <c r="N48" s="958" t="e">
        <f t="shared" si="1"/>
        <v>#REF!</v>
      </c>
      <c r="O48" s="958" t="e">
        <f t="shared" si="1"/>
        <v>#REF!</v>
      </c>
      <c r="P48" s="958"/>
      <c r="Q48" s="958" t="e">
        <f>+O48+1</f>
        <v>#REF!</v>
      </c>
      <c r="R48" s="958"/>
      <c r="S48" s="958" t="e">
        <f>+Q48+1</f>
        <v>#REF!</v>
      </c>
      <c r="T48" s="958" t="e">
        <f t="shared" si="1"/>
        <v>#REF!</v>
      </c>
      <c r="U48" s="958" t="e">
        <f t="shared" si="1"/>
        <v>#REF!</v>
      </c>
      <c r="V48" s="958" t="e">
        <f t="shared" si="1"/>
        <v>#REF!</v>
      </c>
      <c r="W48" s="958" t="e">
        <f t="shared" si="1"/>
        <v>#REF!</v>
      </c>
      <c r="X48" s="958" t="e">
        <f t="shared" si="1"/>
        <v>#REF!</v>
      </c>
      <c r="Y48" s="958" t="e">
        <f t="shared" si="1"/>
        <v>#REF!</v>
      </c>
      <c r="Z48" s="958" t="e">
        <f t="shared" si="1"/>
        <v>#REF!</v>
      </c>
      <c r="AA48" s="958" t="e">
        <f t="shared" si="1"/>
        <v>#REF!</v>
      </c>
      <c r="AB48" s="958" t="e">
        <f t="shared" si="1"/>
        <v>#REF!</v>
      </c>
      <c r="AC48" s="958" t="e">
        <f t="shared" si="1"/>
        <v>#REF!</v>
      </c>
      <c r="AD48" s="958" t="e">
        <f t="shared" si="1"/>
        <v>#REF!</v>
      </c>
      <c r="AE48" s="958" t="e">
        <f t="shared" si="1"/>
        <v>#REF!</v>
      </c>
      <c r="AF48" s="958" t="e">
        <f t="shared" si="1"/>
        <v>#REF!</v>
      </c>
      <c r="AG48" s="958" t="e">
        <f t="shared" si="1"/>
        <v>#REF!</v>
      </c>
      <c r="AH48" s="958" t="e">
        <f t="shared" si="1"/>
        <v>#REF!</v>
      </c>
      <c r="AI48" s="958" t="e">
        <f t="shared" si="1"/>
        <v>#REF!</v>
      </c>
      <c r="AJ48" s="958" t="e">
        <f>+AI48+1</f>
        <v>#REF!</v>
      </c>
      <c r="AK48" s="958" t="e">
        <f t="shared" si="1"/>
        <v>#REF!</v>
      </c>
      <c r="AL48" s="958"/>
      <c r="AM48" s="958"/>
      <c r="AN48" s="958" t="e">
        <f>+AK48+1</f>
        <v>#REF!</v>
      </c>
      <c r="AO48" s="958" t="e">
        <f t="shared" si="1"/>
        <v>#REF!</v>
      </c>
      <c r="AP48" s="958" t="e">
        <f t="shared" si="1"/>
        <v>#REF!</v>
      </c>
      <c r="AQ48" s="958" t="e">
        <f t="shared" si="1"/>
        <v>#REF!</v>
      </c>
      <c r="AR48" s="958" t="e">
        <f t="shared" si="1"/>
        <v>#REF!</v>
      </c>
      <c r="AS48" s="958" t="e">
        <f>+AR48+1</f>
        <v>#REF!</v>
      </c>
      <c r="AT48" s="958" t="e">
        <f t="shared" si="1"/>
        <v>#REF!</v>
      </c>
      <c r="AU48" s="958"/>
      <c r="AV48" s="958" t="e">
        <f>+AT48+1</f>
        <v>#REF!</v>
      </c>
      <c r="AW48" s="958" t="e">
        <f t="shared" si="1"/>
        <v>#REF!</v>
      </c>
      <c r="AX48" s="958" t="e">
        <f t="shared" si="1"/>
        <v>#REF!</v>
      </c>
      <c r="AY48" s="958" t="e">
        <f t="shared" si="1"/>
        <v>#REF!</v>
      </c>
      <c r="AZ48" s="958" t="e">
        <f t="shared" si="1"/>
        <v>#REF!</v>
      </c>
      <c r="BA48" s="958" t="e">
        <f t="shared" si="1"/>
        <v>#REF!</v>
      </c>
      <c r="BB48" s="958" t="e">
        <f t="shared" si="1"/>
        <v>#REF!</v>
      </c>
      <c r="BC48" s="958" t="e">
        <f t="shared" si="1"/>
        <v>#REF!</v>
      </c>
      <c r="BD48" s="958" t="e">
        <f t="shared" si="1"/>
        <v>#REF!</v>
      </c>
      <c r="BE48" s="958" t="e">
        <f t="shared" si="1"/>
        <v>#REF!</v>
      </c>
      <c r="BF48" s="958" t="e">
        <f t="shared" si="1"/>
        <v>#REF!</v>
      </c>
      <c r="BG48" s="72">
        <f t="shared" si="0"/>
        <v>0</v>
      </c>
      <c r="BH48" s="1486"/>
      <c r="BI48" s="958">
        <f>+BG48+1</f>
        <v>1</v>
      </c>
      <c r="BJ48" s="958">
        <f t="shared" si="1"/>
        <v>2</v>
      </c>
      <c r="BK48" s="958">
        <f t="shared" si="1"/>
        <v>3</v>
      </c>
      <c r="BL48" s="958"/>
      <c r="BM48" s="958"/>
    </row>
    <row r="49" spans="1:66">
      <c r="A49" s="959" t="s">
        <v>713</v>
      </c>
      <c r="B49" s="952"/>
      <c r="C49" s="961"/>
      <c r="D49" s="962"/>
      <c r="E49" s="962"/>
      <c r="F49" s="962"/>
      <c r="G49" s="962"/>
      <c r="H49" s="95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c r="AS49" s="952"/>
      <c r="AT49" s="952"/>
      <c r="AU49" s="952"/>
      <c r="AV49" s="952"/>
      <c r="AW49" s="952"/>
      <c r="AX49" s="952"/>
      <c r="AY49" s="952"/>
      <c r="AZ49" s="952"/>
      <c r="BA49" s="952"/>
      <c r="BB49" s="952"/>
      <c r="BC49" s="952"/>
      <c r="BD49" s="952"/>
      <c r="BE49" s="952"/>
      <c r="BF49" s="952"/>
      <c r="BG49" s="72">
        <v>0</v>
      </c>
      <c r="BH49" s="67"/>
      <c r="BI49" s="952"/>
      <c r="BJ49" s="952"/>
      <c r="BK49" s="952"/>
      <c r="BL49" s="952"/>
      <c r="BM49" s="952"/>
    </row>
    <row r="50" spans="1:66">
      <c r="A50" s="959" t="s">
        <v>716</v>
      </c>
      <c r="B50" s="952"/>
      <c r="C50" s="961"/>
      <c r="D50" s="962"/>
      <c r="E50" s="962"/>
      <c r="F50" s="962"/>
      <c r="G50" s="962"/>
      <c r="H50" s="952"/>
      <c r="I50" s="952"/>
      <c r="J50" s="952"/>
      <c r="K50" s="952"/>
      <c r="L50" s="952"/>
      <c r="M50" s="952"/>
      <c r="N50" s="952"/>
      <c r="O50" s="952"/>
      <c r="P50" s="952"/>
      <c r="Q50" s="952"/>
      <c r="R50" s="952"/>
      <c r="S50" s="952">
        <f>IF(SUM(K50:L50)=2,1,0)</f>
        <v>0</v>
      </c>
      <c r="T50" s="952">
        <f>IF(SUM(K50:L50)=1,1,0)</f>
        <v>0</v>
      </c>
      <c r="U50" s="952"/>
      <c r="V50" s="952"/>
      <c r="W50" s="952"/>
      <c r="X50" s="952"/>
      <c r="Y50" s="952"/>
      <c r="Z50" s="952"/>
      <c r="AA50" s="952"/>
      <c r="AB50" s="952"/>
      <c r="AC50" s="952"/>
      <c r="AD50" s="952"/>
      <c r="AE50" s="952"/>
      <c r="AF50" s="952"/>
      <c r="AG50" s="952"/>
      <c r="AH50" s="952"/>
      <c r="AI50" s="952"/>
      <c r="AJ50" s="952"/>
      <c r="AK50" s="952"/>
      <c r="AL50" s="952"/>
      <c r="AM50" s="952"/>
      <c r="AN50" s="952"/>
      <c r="AO50" s="952"/>
      <c r="AP50" s="952"/>
      <c r="AQ50" s="952"/>
      <c r="AR50" s="952"/>
      <c r="AS50" s="952"/>
      <c r="AT50" s="952"/>
      <c r="AU50" s="952"/>
      <c r="AV50" s="952"/>
      <c r="AW50" s="952"/>
      <c r="AX50" s="952"/>
      <c r="AY50" s="952"/>
      <c r="AZ50" s="952"/>
      <c r="BA50" s="952"/>
      <c r="BB50" s="952"/>
      <c r="BC50" s="952"/>
      <c r="BD50" s="952"/>
      <c r="BE50" s="952"/>
      <c r="BF50" s="952"/>
      <c r="BG50" s="72">
        <v>0</v>
      </c>
      <c r="BH50" s="67"/>
      <c r="BI50" s="952"/>
      <c r="BJ50" s="952"/>
      <c r="BK50" s="952"/>
      <c r="BL50" s="952"/>
      <c r="BM50" s="952"/>
    </row>
    <row r="51" spans="1:66" s="953" customFormat="1">
      <c r="A51" s="1487" t="s">
        <v>4530</v>
      </c>
      <c r="B51" s="954" t="s">
        <v>3124</v>
      </c>
      <c r="C51" s="960"/>
      <c r="D51" s="72"/>
      <c r="E51" s="72"/>
      <c r="F51" s="962"/>
      <c r="G51" s="72">
        <v>10</v>
      </c>
      <c r="H51" s="72"/>
      <c r="I51" s="72"/>
      <c r="J51" s="72"/>
      <c r="K51" s="72"/>
      <c r="L51" s="72"/>
      <c r="M51" s="72"/>
      <c r="N51" s="72"/>
      <c r="O51" s="72"/>
      <c r="P51" s="72"/>
      <c r="Q51" s="72"/>
      <c r="R51" s="67"/>
      <c r="S51" s="952">
        <f t="shared" ref="S51:S61" si="2">IF(SUM(K51:L51)=2,1,0)</f>
        <v>0</v>
      </c>
      <c r="T51" s="952">
        <f>IF(SUM(K51:L51)=1,1,0)</f>
        <v>0</v>
      </c>
      <c r="U51" s="72"/>
      <c r="V51" s="72"/>
      <c r="W51" s="72"/>
      <c r="X51" s="72"/>
      <c r="Y51" s="72"/>
      <c r="Z51" s="72"/>
      <c r="AA51" s="72"/>
      <c r="AB51" s="72"/>
      <c r="AC51" s="72"/>
      <c r="AD51" s="72"/>
      <c r="AE51" s="72"/>
      <c r="AF51" s="72"/>
      <c r="AG51" s="72">
        <v>1</v>
      </c>
      <c r="AH51" s="72"/>
      <c r="AI51" s="72"/>
      <c r="AJ51" s="72"/>
      <c r="AK51" s="72"/>
      <c r="AL51" s="72"/>
      <c r="AM51" s="72"/>
      <c r="AN51" s="72">
        <v>1</v>
      </c>
      <c r="AO51" s="72"/>
      <c r="AP51" s="72"/>
      <c r="AQ51" s="72"/>
      <c r="AR51" s="72"/>
      <c r="AS51" s="72"/>
      <c r="AT51" s="72"/>
      <c r="AU51" s="72"/>
      <c r="AV51" s="72"/>
      <c r="AW51" s="72"/>
      <c r="AX51" s="72"/>
      <c r="AY51" s="72">
        <v>2</v>
      </c>
      <c r="AZ51" s="72"/>
      <c r="BA51" s="72"/>
      <c r="BB51" s="72">
        <v>3</v>
      </c>
      <c r="BC51" s="72"/>
      <c r="BD51" s="72"/>
      <c r="BE51" s="72"/>
      <c r="BF51" s="72"/>
      <c r="BG51" s="72"/>
      <c r="BH51" s="72">
        <v>1</v>
      </c>
      <c r="BI51" s="72"/>
      <c r="BJ51" s="72"/>
      <c r="BK51" s="72"/>
      <c r="BL51" s="72" t="s">
        <v>4926</v>
      </c>
      <c r="BM51" s="72" t="s">
        <v>5921</v>
      </c>
      <c r="BN51" s="38"/>
    </row>
    <row r="52" spans="1:66" s="953" customFormat="1">
      <c r="A52" s="944" t="s">
        <v>5887</v>
      </c>
      <c r="B52" s="954" t="s">
        <v>3120</v>
      </c>
      <c r="C52" s="960">
        <v>30</v>
      </c>
      <c r="D52" s="76"/>
      <c r="E52" s="72"/>
      <c r="F52" s="962"/>
      <c r="G52" s="72">
        <f t="shared" ref="G52:G65" si="3">C52</f>
        <v>30</v>
      </c>
      <c r="H52" s="72"/>
      <c r="I52" s="72"/>
      <c r="J52" s="72"/>
      <c r="K52" s="72">
        <v>1</v>
      </c>
      <c r="L52" s="72"/>
      <c r="M52" s="72"/>
      <c r="N52" s="72"/>
      <c r="O52" s="72"/>
      <c r="P52" s="72">
        <v>1</v>
      </c>
      <c r="Q52" s="72"/>
      <c r="R52" s="67"/>
      <c r="S52" s="952">
        <f t="shared" si="2"/>
        <v>0</v>
      </c>
      <c r="T52" s="952"/>
      <c r="U52" s="72"/>
      <c r="V52" s="72"/>
      <c r="W52" s="72"/>
      <c r="X52" s="72"/>
      <c r="Y52" s="72"/>
      <c r="Z52" s="72"/>
      <c r="AA52" s="72"/>
      <c r="AB52" s="72"/>
      <c r="AC52" s="72"/>
      <c r="AD52" s="72">
        <v>1</v>
      </c>
      <c r="AE52" s="72"/>
      <c r="AF52" s="72"/>
      <c r="AG52" s="72"/>
      <c r="AH52" s="72"/>
      <c r="AI52" s="72"/>
      <c r="AJ52" s="72">
        <v>1</v>
      </c>
      <c r="AK52" s="72"/>
      <c r="AL52" s="72"/>
      <c r="AM52" s="72"/>
      <c r="AN52" s="72"/>
      <c r="AO52" s="72"/>
      <c r="AP52" s="72"/>
      <c r="AQ52" s="72"/>
      <c r="AR52" s="72">
        <f>IF(S52=1,2,0)</f>
        <v>0</v>
      </c>
      <c r="AS52" s="72">
        <f>IF(S52=1,1,0)</f>
        <v>0</v>
      </c>
      <c r="AT52" s="72"/>
      <c r="AU52" s="72"/>
      <c r="AV52" s="72"/>
      <c r="AW52" s="72"/>
      <c r="AX52" s="72"/>
      <c r="AY52" s="72"/>
      <c r="AZ52" s="72"/>
      <c r="BA52" s="72"/>
      <c r="BB52" s="72"/>
      <c r="BC52" s="72"/>
      <c r="BD52" s="72"/>
      <c r="BE52" s="72"/>
      <c r="BF52" s="72"/>
      <c r="BG52" s="72"/>
      <c r="BH52" s="72">
        <v>1</v>
      </c>
      <c r="BI52" s="72"/>
      <c r="BJ52" s="72"/>
      <c r="BK52" s="72"/>
      <c r="BL52" s="72"/>
      <c r="BM52" s="72"/>
    </row>
    <row r="53" spans="1:66" s="953" customFormat="1">
      <c r="A53" s="944" t="s">
        <v>4529</v>
      </c>
      <c r="B53" s="954" t="s">
        <v>3120</v>
      </c>
      <c r="C53" s="960">
        <v>30</v>
      </c>
      <c r="D53" s="76"/>
      <c r="E53" s="72"/>
      <c r="F53" s="962"/>
      <c r="G53" s="72">
        <f t="shared" si="3"/>
        <v>30</v>
      </c>
      <c r="H53" s="72"/>
      <c r="I53" s="72"/>
      <c r="J53" s="72"/>
      <c r="K53" s="72"/>
      <c r="L53" s="72"/>
      <c r="M53" s="72"/>
      <c r="N53" s="72"/>
      <c r="O53" s="72"/>
      <c r="P53" s="72"/>
      <c r="Q53" s="72"/>
      <c r="R53" s="67"/>
      <c r="S53" s="952">
        <f t="shared" si="2"/>
        <v>0</v>
      </c>
      <c r="T53" s="952"/>
      <c r="U53" s="72"/>
      <c r="V53" s="72"/>
      <c r="W53" s="72"/>
      <c r="X53" s="72"/>
      <c r="Y53" s="72"/>
      <c r="Z53" s="72"/>
      <c r="AA53" s="72"/>
      <c r="AB53" s="72"/>
      <c r="AC53" s="72"/>
      <c r="AD53" s="72">
        <v>1</v>
      </c>
      <c r="AE53" s="72"/>
      <c r="AF53" s="72"/>
      <c r="AG53" s="72"/>
      <c r="AH53" s="72"/>
      <c r="AI53" s="72"/>
      <c r="AJ53" s="72"/>
      <c r="AK53" s="72"/>
      <c r="AL53" s="72">
        <v>1</v>
      </c>
      <c r="AM53" s="72"/>
      <c r="AN53" s="72"/>
      <c r="AO53" s="72"/>
      <c r="AP53" s="72"/>
      <c r="AQ53" s="72"/>
      <c r="AR53" s="72">
        <f t="shared" ref="AR53:AR71" si="4">IF(S53=1,2,0)</f>
        <v>0</v>
      </c>
      <c r="AS53" s="72">
        <f t="shared" ref="AS53:AS71" si="5">IF(S53=1,1,0)</f>
        <v>0</v>
      </c>
      <c r="AT53" s="72"/>
      <c r="AU53" s="72"/>
      <c r="AV53" s="72"/>
      <c r="AW53" s="72"/>
      <c r="AX53" s="72"/>
      <c r="AY53" s="72"/>
      <c r="AZ53" s="72"/>
      <c r="BA53" s="72"/>
      <c r="BB53" s="72"/>
      <c r="BC53" s="72"/>
      <c r="BD53" s="72"/>
      <c r="BE53" s="72"/>
      <c r="BF53" s="72"/>
      <c r="BG53" s="72"/>
      <c r="BH53" s="72">
        <v>1</v>
      </c>
      <c r="BI53" s="72"/>
      <c r="BJ53" s="72"/>
      <c r="BK53" s="72"/>
      <c r="BL53" s="72"/>
      <c r="BM53" s="72"/>
    </row>
    <row r="54" spans="1:66" s="953" customFormat="1">
      <c r="A54" s="944" t="s">
        <v>5888</v>
      </c>
      <c r="B54" s="954" t="s">
        <v>3120</v>
      </c>
      <c r="C54" s="960">
        <v>32</v>
      </c>
      <c r="D54" s="76"/>
      <c r="E54" s="72"/>
      <c r="F54" s="962"/>
      <c r="G54" s="72">
        <f t="shared" si="3"/>
        <v>32</v>
      </c>
      <c r="H54" s="72"/>
      <c r="I54" s="72"/>
      <c r="J54" s="72"/>
      <c r="K54" s="72">
        <v>1</v>
      </c>
      <c r="L54" s="72"/>
      <c r="M54" s="72"/>
      <c r="N54" s="72"/>
      <c r="O54" s="72"/>
      <c r="P54" s="72">
        <v>1</v>
      </c>
      <c r="Q54" s="72"/>
      <c r="R54" s="67"/>
      <c r="S54" s="952">
        <f t="shared" si="2"/>
        <v>0</v>
      </c>
      <c r="T54" s="952"/>
      <c r="U54" s="72"/>
      <c r="V54" s="72"/>
      <c r="W54" s="72"/>
      <c r="X54" s="72"/>
      <c r="Y54" s="72"/>
      <c r="Z54" s="72"/>
      <c r="AA54" s="72"/>
      <c r="AB54" s="72"/>
      <c r="AC54" s="72"/>
      <c r="AD54" s="72">
        <v>1</v>
      </c>
      <c r="AE54" s="72"/>
      <c r="AF54" s="72"/>
      <c r="AG54" s="72"/>
      <c r="AH54" s="72"/>
      <c r="AI54" s="72"/>
      <c r="AJ54" s="72">
        <v>1</v>
      </c>
      <c r="AK54" s="72"/>
      <c r="AL54" s="72"/>
      <c r="AM54" s="72"/>
      <c r="AN54" s="72"/>
      <c r="AO54" s="72"/>
      <c r="AP54" s="72"/>
      <c r="AQ54" s="72"/>
      <c r="AR54" s="72">
        <f t="shared" si="4"/>
        <v>0</v>
      </c>
      <c r="AS54" s="72">
        <f t="shared" si="5"/>
        <v>0</v>
      </c>
      <c r="AT54" s="72"/>
      <c r="AU54" s="72"/>
      <c r="AV54" s="72"/>
      <c r="AW54" s="72"/>
      <c r="AX54" s="72"/>
      <c r="AY54" s="72"/>
      <c r="AZ54" s="72"/>
      <c r="BA54" s="72"/>
      <c r="BB54" s="72"/>
      <c r="BC54" s="72"/>
      <c r="BD54" s="72"/>
      <c r="BE54" s="72"/>
      <c r="BF54" s="72"/>
      <c r="BG54" s="72"/>
      <c r="BH54" s="72">
        <v>1</v>
      </c>
      <c r="BI54" s="72"/>
      <c r="BJ54" s="72"/>
      <c r="BK54" s="72"/>
      <c r="BL54" s="72"/>
      <c r="BM54" s="72"/>
      <c r="BN54" s="38"/>
    </row>
    <row r="55" spans="1:66" s="953" customFormat="1">
      <c r="A55" s="944" t="s">
        <v>5725</v>
      </c>
      <c r="B55" s="954" t="s">
        <v>3120</v>
      </c>
      <c r="C55" s="960">
        <v>33</v>
      </c>
      <c r="D55" s="76"/>
      <c r="E55" s="72"/>
      <c r="F55" s="962"/>
      <c r="G55" s="72">
        <f t="shared" si="3"/>
        <v>33</v>
      </c>
      <c r="H55" s="72"/>
      <c r="I55" s="72"/>
      <c r="J55" s="72"/>
      <c r="K55" s="72"/>
      <c r="L55" s="72"/>
      <c r="M55" s="72"/>
      <c r="N55" s="72"/>
      <c r="O55" s="72"/>
      <c r="P55" s="72"/>
      <c r="Q55" s="72"/>
      <c r="R55" s="67"/>
      <c r="S55" s="952">
        <f t="shared" si="2"/>
        <v>0</v>
      </c>
      <c r="T55" s="952"/>
      <c r="U55" s="72"/>
      <c r="V55" s="72"/>
      <c r="W55" s="72"/>
      <c r="X55" s="72"/>
      <c r="Y55" s="72"/>
      <c r="Z55" s="72"/>
      <c r="AA55" s="72"/>
      <c r="AB55" s="72"/>
      <c r="AC55" s="72"/>
      <c r="AD55" s="72">
        <v>1</v>
      </c>
      <c r="AE55" s="72"/>
      <c r="AF55" s="72"/>
      <c r="AG55" s="72"/>
      <c r="AH55" s="72"/>
      <c r="AI55" s="72"/>
      <c r="AJ55" s="72"/>
      <c r="AK55" s="72"/>
      <c r="AL55" s="72">
        <v>1</v>
      </c>
      <c r="AM55" s="72"/>
      <c r="AN55" s="72"/>
      <c r="AO55" s="72"/>
      <c r="AP55" s="72"/>
      <c r="AQ55" s="72"/>
      <c r="AR55" s="72">
        <f t="shared" si="4"/>
        <v>0</v>
      </c>
      <c r="AS55" s="72">
        <f t="shared" si="5"/>
        <v>0</v>
      </c>
      <c r="AT55" s="72"/>
      <c r="AU55" s="72"/>
      <c r="AV55" s="72"/>
      <c r="AW55" s="72"/>
      <c r="AX55" s="72"/>
      <c r="AY55" s="72"/>
      <c r="AZ55" s="72"/>
      <c r="BA55" s="72"/>
      <c r="BB55" s="72"/>
      <c r="BC55" s="72"/>
      <c r="BD55" s="72"/>
      <c r="BE55" s="72"/>
      <c r="BF55" s="72"/>
      <c r="BG55" s="72"/>
      <c r="BH55" s="72">
        <v>1</v>
      </c>
      <c r="BI55" s="72"/>
      <c r="BJ55" s="72"/>
      <c r="BK55" s="72"/>
      <c r="BL55" s="72">
        <v>1</v>
      </c>
      <c r="BM55" s="72"/>
    </row>
    <row r="56" spans="1:66" s="953" customFormat="1">
      <c r="A56" s="944" t="s">
        <v>5889</v>
      </c>
      <c r="B56" s="954" t="s">
        <v>3120</v>
      </c>
      <c r="C56" s="960">
        <v>32</v>
      </c>
      <c r="D56" s="76"/>
      <c r="E56" s="72"/>
      <c r="F56" s="962"/>
      <c r="G56" s="72">
        <f t="shared" si="3"/>
        <v>32</v>
      </c>
      <c r="H56" s="72"/>
      <c r="I56" s="72"/>
      <c r="J56" s="72"/>
      <c r="K56" s="72">
        <v>1</v>
      </c>
      <c r="L56" s="72"/>
      <c r="M56" s="72"/>
      <c r="N56" s="72"/>
      <c r="O56" s="72"/>
      <c r="P56" s="72">
        <v>1</v>
      </c>
      <c r="Q56" s="72"/>
      <c r="R56" s="67"/>
      <c r="S56" s="952">
        <f t="shared" si="2"/>
        <v>0</v>
      </c>
      <c r="T56" s="952"/>
      <c r="U56" s="72"/>
      <c r="V56" s="72"/>
      <c r="W56" s="72"/>
      <c r="X56" s="72"/>
      <c r="Y56" s="72"/>
      <c r="Z56" s="72"/>
      <c r="AA56" s="72"/>
      <c r="AB56" s="72"/>
      <c r="AC56" s="72"/>
      <c r="AD56" s="72">
        <v>1</v>
      </c>
      <c r="AE56" s="72"/>
      <c r="AF56" s="72"/>
      <c r="AG56" s="72"/>
      <c r="AH56" s="72"/>
      <c r="AI56" s="72"/>
      <c r="AJ56" s="72">
        <v>1</v>
      </c>
      <c r="AK56" s="72"/>
      <c r="AL56" s="72"/>
      <c r="AM56" s="72"/>
      <c r="AN56" s="72"/>
      <c r="AO56" s="72"/>
      <c r="AP56" s="72"/>
      <c r="AQ56" s="72"/>
      <c r="AR56" s="72">
        <f t="shared" si="4"/>
        <v>0</v>
      </c>
      <c r="AS56" s="72">
        <f t="shared" si="5"/>
        <v>0</v>
      </c>
      <c r="AT56" s="72"/>
      <c r="AU56" s="72"/>
      <c r="AV56" s="72"/>
      <c r="AW56" s="72"/>
      <c r="AX56" s="72"/>
      <c r="AY56" s="72"/>
      <c r="AZ56" s="72"/>
      <c r="BA56" s="72"/>
      <c r="BB56" s="72"/>
      <c r="BC56" s="72"/>
      <c r="BD56" s="72"/>
      <c r="BE56" s="72"/>
      <c r="BF56" s="72"/>
      <c r="BG56" s="72"/>
      <c r="BH56" s="72">
        <v>1</v>
      </c>
      <c r="BI56" s="72"/>
      <c r="BJ56" s="72"/>
      <c r="BK56" s="72"/>
      <c r="BL56" s="72"/>
      <c r="BM56" s="72"/>
    </row>
    <row r="57" spans="1:66" s="953" customFormat="1">
      <c r="A57" s="944" t="s">
        <v>5724</v>
      </c>
      <c r="B57" s="954" t="s">
        <v>3120</v>
      </c>
      <c r="C57" s="960">
        <v>33</v>
      </c>
      <c r="D57" s="76"/>
      <c r="E57" s="72"/>
      <c r="F57" s="962"/>
      <c r="G57" s="72">
        <f t="shared" si="3"/>
        <v>33</v>
      </c>
      <c r="H57" s="72"/>
      <c r="I57" s="72"/>
      <c r="J57" s="72"/>
      <c r="K57" s="72"/>
      <c r="L57" s="72"/>
      <c r="M57" s="72"/>
      <c r="N57" s="72"/>
      <c r="O57" s="72"/>
      <c r="P57" s="72"/>
      <c r="Q57" s="72"/>
      <c r="R57" s="67"/>
      <c r="S57" s="952">
        <f t="shared" si="2"/>
        <v>0</v>
      </c>
      <c r="T57" s="952"/>
      <c r="U57" s="72"/>
      <c r="V57" s="72"/>
      <c r="W57" s="72"/>
      <c r="X57" s="72"/>
      <c r="Y57" s="72"/>
      <c r="Z57" s="72"/>
      <c r="AA57" s="72"/>
      <c r="AB57" s="72"/>
      <c r="AC57" s="72"/>
      <c r="AD57" s="72">
        <v>2</v>
      </c>
      <c r="AE57" s="72"/>
      <c r="AF57" s="72"/>
      <c r="AG57" s="72"/>
      <c r="AH57" s="72">
        <v>1</v>
      </c>
      <c r="AI57" s="72"/>
      <c r="AJ57" s="72"/>
      <c r="AK57" s="72"/>
      <c r="AL57" s="72">
        <v>1</v>
      </c>
      <c r="AM57" s="72"/>
      <c r="AN57" s="72"/>
      <c r="AO57" s="72"/>
      <c r="AP57" s="72"/>
      <c r="AQ57" s="72"/>
      <c r="AR57" s="72">
        <f t="shared" si="4"/>
        <v>0</v>
      </c>
      <c r="AS57" s="72">
        <f t="shared" si="5"/>
        <v>0</v>
      </c>
      <c r="AT57" s="72"/>
      <c r="AU57" s="72"/>
      <c r="AV57" s="72"/>
      <c r="AW57" s="72"/>
      <c r="AX57" s="72"/>
      <c r="AY57" s="72"/>
      <c r="AZ57" s="72"/>
      <c r="BA57" s="72"/>
      <c r="BB57" s="72"/>
      <c r="BC57" s="72"/>
      <c r="BD57" s="72"/>
      <c r="BE57" s="72"/>
      <c r="BF57" s="72"/>
      <c r="BG57" s="72"/>
      <c r="BH57" s="72">
        <v>1</v>
      </c>
      <c r="BI57" s="72"/>
      <c r="BJ57" s="72"/>
      <c r="BK57" s="72"/>
      <c r="BL57" s="72"/>
      <c r="BM57" s="72"/>
    </row>
    <row r="58" spans="1:66" s="953" customFormat="1">
      <c r="A58" s="944" t="s">
        <v>5890</v>
      </c>
      <c r="B58" s="954" t="s">
        <v>3120</v>
      </c>
      <c r="C58" s="960">
        <v>32</v>
      </c>
      <c r="D58" s="76"/>
      <c r="E58" s="72"/>
      <c r="F58" s="962"/>
      <c r="G58" s="72">
        <f t="shared" si="3"/>
        <v>32</v>
      </c>
      <c r="H58" s="72"/>
      <c r="I58" s="72"/>
      <c r="J58" s="72"/>
      <c r="K58" s="72">
        <v>1</v>
      </c>
      <c r="L58" s="72"/>
      <c r="M58" s="72"/>
      <c r="N58" s="72"/>
      <c r="O58" s="72"/>
      <c r="P58" s="72">
        <v>1</v>
      </c>
      <c r="Q58" s="72"/>
      <c r="R58" s="67"/>
      <c r="S58" s="952">
        <f t="shared" si="2"/>
        <v>0</v>
      </c>
      <c r="T58" s="952"/>
      <c r="U58" s="72"/>
      <c r="V58" s="72"/>
      <c r="W58" s="72"/>
      <c r="X58" s="72"/>
      <c r="Y58" s="72"/>
      <c r="Z58" s="72"/>
      <c r="AA58" s="72"/>
      <c r="AB58" s="72"/>
      <c r="AC58" s="72"/>
      <c r="AD58" s="72">
        <v>1</v>
      </c>
      <c r="AE58" s="72"/>
      <c r="AF58" s="72"/>
      <c r="AG58" s="72"/>
      <c r="AH58" s="72"/>
      <c r="AI58" s="72"/>
      <c r="AJ58" s="72">
        <v>1</v>
      </c>
      <c r="AK58" s="72"/>
      <c r="AL58" s="72"/>
      <c r="AM58" s="72"/>
      <c r="AN58" s="72"/>
      <c r="AO58" s="72"/>
      <c r="AP58" s="72"/>
      <c r="AQ58" s="72"/>
      <c r="AR58" s="72">
        <f t="shared" si="4"/>
        <v>0</v>
      </c>
      <c r="AS58" s="72">
        <f t="shared" si="5"/>
        <v>0</v>
      </c>
      <c r="AT58" s="72"/>
      <c r="AU58" s="72"/>
      <c r="AV58" s="72"/>
      <c r="AW58" s="72"/>
      <c r="AX58" s="72"/>
      <c r="AY58" s="72"/>
      <c r="AZ58" s="72"/>
      <c r="BA58" s="72"/>
      <c r="BB58" s="72"/>
      <c r="BC58" s="72"/>
      <c r="BD58" s="72"/>
      <c r="BE58" s="72"/>
      <c r="BF58" s="72"/>
      <c r="BG58" s="72"/>
      <c r="BH58" s="72">
        <v>1</v>
      </c>
      <c r="BI58" s="72"/>
      <c r="BJ58" s="72"/>
      <c r="BK58" s="72"/>
      <c r="BL58" s="72"/>
      <c r="BM58" s="72"/>
    </row>
    <row r="59" spans="1:66" s="953" customFormat="1">
      <c r="A59" s="944" t="s">
        <v>5723</v>
      </c>
      <c r="B59" s="954" t="s">
        <v>3122</v>
      </c>
      <c r="C59" s="960">
        <v>33</v>
      </c>
      <c r="D59" s="76"/>
      <c r="E59" s="72"/>
      <c r="F59" s="962"/>
      <c r="G59" s="72">
        <f t="shared" si="3"/>
        <v>33</v>
      </c>
      <c r="H59" s="72"/>
      <c r="I59" s="72"/>
      <c r="J59" s="72"/>
      <c r="K59" s="72"/>
      <c r="L59" s="72"/>
      <c r="M59" s="72"/>
      <c r="N59" s="72"/>
      <c r="O59" s="72"/>
      <c r="P59" s="72"/>
      <c r="Q59" s="72"/>
      <c r="R59" s="67"/>
      <c r="S59" s="952">
        <f t="shared" si="2"/>
        <v>0</v>
      </c>
      <c r="T59" s="952"/>
      <c r="U59" s="72"/>
      <c r="V59" s="72"/>
      <c r="W59" s="72"/>
      <c r="X59" s="72"/>
      <c r="Y59" s="72"/>
      <c r="Z59" s="72"/>
      <c r="AA59" s="72"/>
      <c r="AB59" s="72"/>
      <c r="AC59" s="72"/>
      <c r="AD59" s="72"/>
      <c r="AE59" s="72"/>
      <c r="AF59" s="72"/>
      <c r="AG59" s="72">
        <v>2</v>
      </c>
      <c r="AH59" s="72"/>
      <c r="AI59" s="72"/>
      <c r="AJ59" s="72"/>
      <c r="AK59" s="72"/>
      <c r="AL59" s="72"/>
      <c r="AM59" s="72"/>
      <c r="AN59" s="72">
        <v>1</v>
      </c>
      <c r="AO59" s="72"/>
      <c r="AP59" s="72"/>
      <c r="AQ59" s="72"/>
      <c r="AR59" s="72">
        <f t="shared" si="4"/>
        <v>0</v>
      </c>
      <c r="AS59" s="72">
        <f t="shared" si="5"/>
        <v>0</v>
      </c>
      <c r="AT59" s="72"/>
      <c r="AU59" s="72"/>
      <c r="AV59" s="72"/>
      <c r="AW59" s="72"/>
      <c r="AX59" s="72"/>
      <c r="AY59" s="72"/>
      <c r="AZ59" s="72"/>
      <c r="BA59" s="72"/>
      <c r="BB59" s="72"/>
      <c r="BC59" s="72"/>
      <c r="BD59" s="72"/>
      <c r="BE59" s="72"/>
      <c r="BF59" s="72"/>
      <c r="BG59" s="72"/>
      <c r="BH59" s="72">
        <v>1</v>
      </c>
      <c r="BI59" s="72"/>
      <c r="BJ59" s="72"/>
      <c r="BK59" s="72"/>
      <c r="BL59" s="72">
        <v>1</v>
      </c>
      <c r="BM59" s="72"/>
    </row>
    <row r="60" spans="1:66" s="953" customFormat="1">
      <c r="A60" s="944" t="s">
        <v>5809</v>
      </c>
      <c r="B60" s="954" t="s">
        <v>3120</v>
      </c>
      <c r="C60" s="960">
        <v>30</v>
      </c>
      <c r="D60" s="76"/>
      <c r="E60" s="72"/>
      <c r="F60" s="962"/>
      <c r="G60" s="72">
        <f t="shared" si="3"/>
        <v>30</v>
      </c>
      <c r="H60" s="72"/>
      <c r="I60" s="72"/>
      <c r="J60" s="72"/>
      <c r="K60" s="72">
        <v>1</v>
      </c>
      <c r="L60" s="72"/>
      <c r="M60" s="72"/>
      <c r="N60" s="72"/>
      <c r="O60" s="72"/>
      <c r="P60" s="72">
        <v>1</v>
      </c>
      <c r="Q60" s="72"/>
      <c r="R60" s="67"/>
      <c r="S60" s="952">
        <f t="shared" si="2"/>
        <v>0</v>
      </c>
      <c r="T60" s="952"/>
      <c r="U60" s="72"/>
      <c r="V60" s="72"/>
      <c r="W60" s="72"/>
      <c r="X60" s="72"/>
      <c r="Y60" s="72"/>
      <c r="Z60" s="72"/>
      <c r="AA60" s="72"/>
      <c r="AB60" s="72"/>
      <c r="AC60" s="72"/>
      <c r="AD60" s="72">
        <v>1</v>
      </c>
      <c r="AE60" s="72"/>
      <c r="AF60" s="72"/>
      <c r="AG60" s="72"/>
      <c r="AH60" s="72"/>
      <c r="AI60" s="72"/>
      <c r="AJ60" s="72">
        <v>1</v>
      </c>
      <c r="AK60" s="72"/>
      <c r="AL60" s="72"/>
      <c r="AM60" s="72"/>
      <c r="AN60" s="72"/>
      <c r="AO60" s="72"/>
      <c r="AP60" s="72"/>
      <c r="AQ60" s="72"/>
      <c r="AR60" s="72">
        <f t="shared" si="4"/>
        <v>0</v>
      </c>
      <c r="AS60" s="72">
        <f t="shared" si="5"/>
        <v>0</v>
      </c>
      <c r="AT60" s="72"/>
      <c r="AU60" s="72"/>
      <c r="AV60" s="72"/>
      <c r="AW60" s="72"/>
      <c r="AX60" s="72"/>
      <c r="AY60" s="72"/>
      <c r="AZ60" s="72"/>
      <c r="BA60" s="72"/>
      <c r="BB60" s="72"/>
      <c r="BC60" s="72"/>
      <c r="BD60" s="72"/>
      <c r="BE60" s="72"/>
      <c r="BF60" s="72"/>
      <c r="BG60" s="72"/>
      <c r="BH60" s="72">
        <v>1</v>
      </c>
      <c r="BI60" s="72"/>
      <c r="BJ60" s="72"/>
      <c r="BK60" s="72"/>
      <c r="BL60" s="72"/>
      <c r="BM60" s="72"/>
    </row>
    <row r="61" spans="1:66" s="953" customFormat="1">
      <c r="A61" s="944" t="s">
        <v>5722</v>
      </c>
      <c r="B61" s="954" t="s">
        <v>3120</v>
      </c>
      <c r="C61" s="960">
        <v>30</v>
      </c>
      <c r="D61" s="76"/>
      <c r="E61" s="72"/>
      <c r="F61" s="962"/>
      <c r="G61" s="72">
        <f t="shared" si="3"/>
        <v>30</v>
      </c>
      <c r="H61" s="72"/>
      <c r="I61" s="72"/>
      <c r="J61" s="72"/>
      <c r="K61" s="72"/>
      <c r="L61" s="72"/>
      <c r="M61" s="72"/>
      <c r="N61" s="72"/>
      <c r="O61" s="72"/>
      <c r="P61" s="72"/>
      <c r="Q61" s="72"/>
      <c r="R61" s="67"/>
      <c r="S61" s="952">
        <f t="shared" si="2"/>
        <v>0</v>
      </c>
      <c r="T61" s="952"/>
      <c r="U61" s="72"/>
      <c r="V61" s="72"/>
      <c r="W61" s="72"/>
      <c r="X61" s="72"/>
      <c r="Y61" s="72"/>
      <c r="Z61" s="72"/>
      <c r="AA61" s="72"/>
      <c r="AB61" s="72"/>
      <c r="AC61" s="72"/>
      <c r="AD61" s="72">
        <v>1</v>
      </c>
      <c r="AE61" s="72"/>
      <c r="AF61" s="72"/>
      <c r="AG61" s="72"/>
      <c r="AH61" s="72"/>
      <c r="AI61" s="72"/>
      <c r="AJ61" s="72"/>
      <c r="AK61" s="72"/>
      <c r="AL61" s="72">
        <v>1</v>
      </c>
      <c r="AM61" s="72"/>
      <c r="AN61" s="72"/>
      <c r="AO61" s="72"/>
      <c r="AP61" s="72"/>
      <c r="AQ61" s="72"/>
      <c r="AR61" s="72">
        <f t="shared" si="4"/>
        <v>0</v>
      </c>
      <c r="AS61" s="72">
        <f t="shared" si="5"/>
        <v>0</v>
      </c>
      <c r="AT61" s="72"/>
      <c r="AU61" s="72"/>
      <c r="AV61" s="72"/>
      <c r="AW61" s="72"/>
      <c r="AX61" s="72"/>
      <c r="AY61" s="72"/>
      <c r="AZ61" s="72"/>
      <c r="BA61" s="72"/>
      <c r="BB61" s="72"/>
      <c r="BC61" s="72"/>
      <c r="BD61" s="72"/>
      <c r="BE61" s="72"/>
      <c r="BF61" s="72"/>
      <c r="BG61" s="72"/>
      <c r="BH61" s="72">
        <v>1</v>
      </c>
      <c r="BI61" s="72"/>
      <c r="BJ61" s="72"/>
      <c r="BK61" s="72"/>
      <c r="BL61" s="72"/>
      <c r="BM61" s="72"/>
      <c r="BN61" s="38"/>
    </row>
    <row r="62" spans="1:66" s="953" customFormat="1">
      <c r="A62" s="944" t="s">
        <v>5809</v>
      </c>
      <c r="B62" s="954" t="s">
        <v>3120</v>
      </c>
      <c r="C62" s="960">
        <v>30</v>
      </c>
      <c r="D62" s="76"/>
      <c r="E62" s="72"/>
      <c r="F62" s="962"/>
      <c r="G62" s="72">
        <f t="shared" si="3"/>
        <v>30</v>
      </c>
      <c r="H62" s="72"/>
      <c r="I62" s="72"/>
      <c r="J62" s="72"/>
      <c r="K62" s="72">
        <v>1</v>
      </c>
      <c r="L62" s="72"/>
      <c r="M62" s="72"/>
      <c r="N62" s="72"/>
      <c r="O62" s="72"/>
      <c r="P62" s="72">
        <v>1</v>
      </c>
      <c r="Q62" s="72"/>
      <c r="R62" s="67"/>
      <c r="S62" s="952">
        <f>IF(SUM(K62:L62)=2,1,0)</f>
        <v>0</v>
      </c>
      <c r="T62" s="952"/>
      <c r="U62" s="72"/>
      <c r="V62" s="72"/>
      <c r="W62" s="72"/>
      <c r="X62" s="72"/>
      <c r="Y62" s="72"/>
      <c r="Z62" s="72"/>
      <c r="AA62" s="72"/>
      <c r="AB62" s="72"/>
      <c r="AC62" s="72"/>
      <c r="AD62" s="72">
        <v>1</v>
      </c>
      <c r="AE62" s="72"/>
      <c r="AF62" s="72"/>
      <c r="AG62" s="72"/>
      <c r="AH62" s="72"/>
      <c r="AI62" s="72"/>
      <c r="AJ62" s="72">
        <v>1</v>
      </c>
      <c r="AK62" s="72"/>
      <c r="AL62" s="72"/>
      <c r="AM62" s="72"/>
      <c r="AN62" s="72"/>
      <c r="AO62" s="72"/>
      <c r="AP62" s="72"/>
      <c r="AQ62" s="72"/>
      <c r="AR62" s="72">
        <f t="shared" si="4"/>
        <v>0</v>
      </c>
      <c r="AS62" s="72">
        <f t="shared" si="5"/>
        <v>0</v>
      </c>
      <c r="AT62" s="72"/>
      <c r="AU62" s="72"/>
      <c r="AV62" s="72"/>
      <c r="AW62" s="72"/>
      <c r="AX62" s="72"/>
      <c r="AY62" s="72"/>
      <c r="AZ62" s="72"/>
      <c r="BA62" s="72"/>
      <c r="BB62" s="72"/>
      <c r="BC62" s="72"/>
      <c r="BD62" s="72"/>
      <c r="BE62" s="72"/>
      <c r="BF62" s="72"/>
      <c r="BG62" s="72"/>
      <c r="BH62" s="72">
        <v>1</v>
      </c>
      <c r="BI62" s="72"/>
      <c r="BJ62" s="72"/>
      <c r="BK62" s="72"/>
      <c r="BL62" s="72"/>
      <c r="BM62" s="72"/>
    </row>
    <row r="63" spans="1:66" s="953" customFormat="1">
      <c r="A63" s="944" t="s">
        <v>5721</v>
      </c>
      <c r="B63" s="954" t="s">
        <v>3120</v>
      </c>
      <c r="C63" s="960">
        <v>30</v>
      </c>
      <c r="D63" s="76"/>
      <c r="E63" s="72"/>
      <c r="F63" s="962"/>
      <c r="G63" s="72">
        <f t="shared" si="3"/>
        <v>30</v>
      </c>
      <c r="H63" s="72"/>
      <c r="I63" s="72"/>
      <c r="J63" s="72"/>
      <c r="K63" s="72"/>
      <c r="L63" s="72"/>
      <c r="M63" s="72"/>
      <c r="N63" s="72"/>
      <c r="O63" s="72"/>
      <c r="P63" s="72"/>
      <c r="Q63" s="72"/>
      <c r="R63" s="67"/>
      <c r="S63" s="952">
        <f>IF(SUM(K63:L63)=2,1,0)</f>
        <v>0</v>
      </c>
      <c r="T63" s="952"/>
      <c r="U63" s="72"/>
      <c r="V63" s="72"/>
      <c r="W63" s="72"/>
      <c r="X63" s="72"/>
      <c r="Y63" s="72"/>
      <c r="Z63" s="72"/>
      <c r="AA63" s="72"/>
      <c r="AB63" s="72"/>
      <c r="AC63" s="72"/>
      <c r="AD63" s="72">
        <v>1</v>
      </c>
      <c r="AE63" s="72"/>
      <c r="AF63" s="72"/>
      <c r="AG63" s="72"/>
      <c r="AH63" s="72"/>
      <c r="AI63" s="72"/>
      <c r="AJ63" s="72"/>
      <c r="AK63" s="72"/>
      <c r="AL63" s="72">
        <v>1</v>
      </c>
      <c r="AM63" s="72"/>
      <c r="AN63" s="72"/>
      <c r="AO63" s="72"/>
      <c r="AP63" s="72"/>
      <c r="AQ63" s="72"/>
      <c r="AR63" s="72">
        <f t="shared" si="4"/>
        <v>0</v>
      </c>
      <c r="AS63" s="72">
        <f t="shared" si="5"/>
        <v>0</v>
      </c>
      <c r="AT63" s="72"/>
      <c r="AU63" s="72"/>
      <c r="AV63" s="72"/>
      <c r="AW63" s="72"/>
      <c r="AX63" s="72"/>
      <c r="AY63" s="72"/>
      <c r="AZ63" s="72"/>
      <c r="BA63" s="72"/>
      <c r="BB63" s="72"/>
      <c r="BC63" s="72"/>
      <c r="BD63" s="72"/>
      <c r="BE63" s="72"/>
      <c r="BF63" s="72"/>
      <c r="BG63" s="72"/>
      <c r="BH63" s="72">
        <v>1</v>
      </c>
      <c r="BI63" s="72"/>
      <c r="BJ63" s="72"/>
      <c r="BK63" s="72"/>
      <c r="BL63" s="72"/>
      <c r="BM63" s="72"/>
    </row>
    <row r="64" spans="1:66" s="953" customFormat="1">
      <c r="A64" s="944" t="s">
        <v>5811</v>
      </c>
      <c r="B64" s="954" t="s">
        <v>3120</v>
      </c>
      <c r="C64" s="960">
        <v>30</v>
      </c>
      <c r="D64" s="76"/>
      <c r="E64" s="72"/>
      <c r="F64" s="962"/>
      <c r="G64" s="72">
        <f t="shared" si="3"/>
        <v>30</v>
      </c>
      <c r="H64" s="72"/>
      <c r="I64" s="72"/>
      <c r="J64" s="72"/>
      <c r="K64" s="72">
        <v>1</v>
      </c>
      <c r="L64" s="72"/>
      <c r="M64" s="72"/>
      <c r="N64" s="72"/>
      <c r="O64" s="72"/>
      <c r="P64" s="72">
        <v>1</v>
      </c>
      <c r="Q64" s="72"/>
      <c r="R64" s="67"/>
      <c r="S64" s="952">
        <f>IF(SUM(K64:L64)=2,1,0)</f>
        <v>0</v>
      </c>
      <c r="T64" s="952"/>
      <c r="U64" s="72"/>
      <c r="V64" s="72"/>
      <c r="W64" s="72"/>
      <c r="X64" s="72"/>
      <c r="Y64" s="72"/>
      <c r="Z64" s="72"/>
      <c r="AA64" s="72"/>
      <c r="AB64" s="72"/>
      <c r="AC64" s="72"/>
      <c r="AD64" s="72">
        <v>1</v>
      </c>
      <c r="AE64" s="72"/>
      <c r="AF64" s="72"/>
      <c r="AG64" s="72"/>
      <c r="AH64" s="72"/>
      <c r="AI64" s="72"/>
      <c r="AJ64" s="72">
        <v>1</v>
      </c>
      <c r="AK64" s="72"/>
      <c r="AL64" s="72"/>
      <c r="AM64" s="72"/>
      <c r="AN64" s="72"/>
      <c r="AO64" s="72"/>
      <c r="AP64" s="72"/>
      <c r="AQ64" s="72"/>
      <c r="AR64" s="72">
        <f t="shared" si="4"/>
        <v>0</v>
      </c>
      <c r="AS64" s="72">
        <f t="shared" si="5"/>
        <v>0</v>
      </c>
      <c r="AT64" s="72"/>
      <c r="AU64" s="72"/>
      <c r="AV64" s="72"/>
      <c r="AW64" s="72"/>
      <c r="AX64" s="72"/>
      <c r="AY64" s="72"/>
      <c r="AZ64" s="72"/>
      <c r="BA64" s="72"/>
      <c r="BB64" s="72"/>
      <c r="BC64" s="72"/>
      <c r="BD64" s="72"/>
      <c r="BE64" s="72"/>
      <c r="BF64" s="72"/>
      <c r="BG64" s="72"/>
      <c r="BH64" s="72">
        <v>1</v>
      </c>
      <c r="BI64" s="72"/>
      <c r="BJ64" s="72"/>
      <c r="BK64" s="72"/>
      <c r="BL64" s="72"/>
      <c r="BM64" s="72"/>
    </row>
    <row r="65" spans="1:66" s="953" customFormat="1">
      <c r="A65" s="944" t="s">
        <v>5720</v>
      </c>
      <c r="B65" s="954" t="s">
        <v>3124</v>
      </c>
      <c r="C65" s="960">
        <v>30</v>
      </c>
      <c r="D65" s="76"/>
      <c r="E65" s="72"/>
      <c r="F65" s="962"/>
      <c r="G65" s="72">
        <f t="shared" si="3"/>
        <v>30</v>
      </c>
      <c r="H65" s="72"/>
      <c r="I65" s="72"/>
      <c r="J65" s="72"/>
      <c r="K65" s="72"/>
      <c r="L65" s="72"/>
      <c r="M65" s="72"/>
      <c r="N65" s="72"/>
      <c r="O65" s="72"/>
      <c r="P65" s="72"/>
      <c r="Q65" s="72"/>
      <c r="R65" s="67"/>
      <c r="S65" s="952">
        <f>IF(SUM(K65:L65)=2,1,0)</f>
        <v>0</v>
      </c>
      <c r="T65" s="952">
        <f>IF(SUM(K65:L65)=1,1,0)</f>
        <v>0</v>
      </c>
      <c r="U65" s="72"/>
      <c r="V65" s="72"/>
      <c r="W65" s="72"/>
      <c r="X65" s="72"/>
      <c r="Y65" s="72"/>
      <c r="Z65" s="72"/>
      <c r="AA65" s="72"/>
      <c r="AB65" s="72"/>
      <c r="AC65" s="72"/>
      <c r="AD65" s="72"/>
      <c r="AE65" s="72"/>
      <c r="AF65" s="72"/>
      <c r="AG65" s="72">
        <v>1</v>
      </c>
      <c r="AH65" s="72"/>
      <c r="AI65" s="72">
        <v>3</v>
      </c>
      <c r="AJ65" s="72"/>
      <c r="AK65" s="72"/>
      <c r="AL65" s="72"/>
      <c r="AM65" s="72"/>
      <c r="AN65" s="72">
        <v>1</v>
      </c>
      <c r="AO65" s="72"/>
      <c r="AP65" s="72"/>
      <c r="AQ65" s="72"/>
      <c r="AR65" s="72">
        <f t="shared" si="4"/>
        <v>0</v>
      </c>
      <c r="AS65" s="72">
        <f t="shared" si="5"/>
        <v>0</v>
      </c>
      <c r="AT65" s="72"/>
      <c r="AU65" s="72"/>
      <c r="AV65" s="72"/>
      <c r="AW65" s="72"/>
      <c r="AX65" s="72"/>
      <c r="AY65" s="72"/>
      <c r="AZ65" s="72"/>
      <c r="BA65" s="72"/>
      <c r="BB65" s="72"/>
      <c r="BC65" s="72"/>
      <c r="BD65" s="72"/>
      <c r="BE65" s="72"/>
      <c r="BF65" s="72"/>
      <c r="BG65" s="72"/>
      <c r="BH65" s="72">
        <v>1</v>
      </c>
      <c r="BI65" s="72"/>
      <c r="BJ65" s="72"/>
      <c r="BK65" s="72"/>
      <c r="BL65" s="72">
        <v>1</v>
      </c>
      <c r="BM65" s="72"/>
      <c r="BN65" s="38"/>
    </row>
    <row r="66" spans="1:66" s="953" customFormat="1">
      <c r="A66" s="944"/>
      <c r="B66" s="952"/>
      <c r="C66" s="961"/>
      <c r="D66" s="1485"/>
      <c r="E66" s="67"/>
      <c r="F66" s="72"/>
      <c r="G66" s="67"/>
      <c r="H66" s="67"/>
      <c r="I66" s="67"/>
      <c r="J66" s="67"/>
      <c r="K66" s="67"/>
      <c r="L66" s="67"/>
      <c r="M66" s="67"/>
      <c r="N66" s="67"/>
      <c r="O66" s="67"/>
      <c r="P66" s="67"/>
      <c r="Q66" s="67"/>
      <c r="R66" s="67"/>
      <c r="S66" s="952"/>
      <c r="T66" s="952"/>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72">
        <f t="shared" si="4"/>
        <v>0</v>
      </c>
      <c r="AS66" s="72">
        <f t="shared" si="5"/>
        <v>0</v>
      </c>
      <c r="AT66" s="67"/>
      <c r="AU66" s="67"/>
      <c r="AV66" s="67"/>
      <c r="AW66" s="67"/>
      <c r="AX66" s="67"/>
      <c r="AY66" s="67"/>
      <c r="AZ66" s="67"/>
      <c r="BA66" s="67"/>
      <c r="BB66" s="67"/>
      <c r="BC66" s="67"/>
      <c r="BD66" s="67"/>
      <c r="BE66" s="67"/>
      <c r="BF66" s="67"/>
      <c r="BG66" s="72"/>
      <c r="BH66" s="67"/>
      <c r="BI66" s="67"/>
      <c r="BJ66" s="67"/>
      <c r="BK66" s="72"/>
      <c r="BL66" s="67"/>
      <c r="BM66" s="67"/>
      <c r="BN66" s="38"/>
    </row>
    <row r="67" spans="1:66" s="953" customFormat="1">
      <c r="A67" s="1487" t="s">
        <v>4530</v>
      </c>
      <c r="B67" s="954" t="s">
        <v>3124</v>
      </c>
      <c r="C67" s="960"/>
      <c r="D67" s="72"/>
      <c r="E67" s="72"/>
      <c r="F67" s="962"/>
      <c r="G67" s="72">
        <v>10</v>
      </c>
      <c r="H67" s="72"/>
      <c r="I67" s="72"/>
      <c r="J67" s="72"/>
      <c r="K67" s="72"/>
      <c r="L67" s="72"/>
      <c r="M67" s="72"/>
      <c r="N67" s="72"/>
      <c r="O67" s="72"/>
      <c r="P67" s="72"/>
      <c r="Q67" s="72"/>
      <c r="R67" s="67"/>
      <c r="S67" s="952">
        <f t="shared" ref="S67:S75" si="6">IF(SUM(K67:L67)=2,1,0)</f>
        <v>0</v>
      </c>
      <c r="T67" s="952">
        <f>IF(SUM(K67:L67)=1,1,0)</f>
        <v>0</v>
      </c>
      <c r="U67" s="72"/>
      <c r="V67" s="72"/>
      <c r="W67" s="72"/>
      <c r="X67" s="72"/>
      <c r="Y67" s="72"/>
      <c r="Z67" s="72"/>
      <c r="AA67" s="72"/>
      <c r="AB67" s="72"/>
      <c r="AC67" s="72"/>
      <c r="AD67" s="72"/>
      <c r="AE67" s="72"/>
      <c r="AF67" s="72"/>
      <c r="AG67" s="72">
        <v>1</v>
      </c>
      <c r="AH67" s="72"/>
      <c r="AI67" s="72"/>
      <c r="AJ67" s="72"/>
      <c r="AK67" s="72"/>
      <c r="AL67" s="72">
        <v>1</v>
      </c>
      <c r="AM67" s="72"/>
      <c r="AN67" s="72"/>
      <c r="AO67" s="72"/>
      <c r="AP67" s="72"/>
      <c r="AQ67" s="72"/>
      <c r="AR67" s="72">
        <f t="shared" si="4"/>
        <v>0</v>
      </c>
      <c r="AS67" s="72">
        <f t="shared" si="5"/>
        <v>0</v>
      </c>
      <c r="AT67" s="72"/>
      <c r="AU67" s="72"/>
      <c r="AV67" s="72"/>
      <c r="AW67" s="72"/>
      <c r="AX67" s="72"/>
      <c r="AY67" s="72"/>
      <c r="AZ67" s="72"/>
      <c r="BA67" s="72"/>
      <c r="BB67" s="72"/>
      <c r="BC67" s="72"/>
      <c r="BD67" s="72"/>
      <c r="BE67" s="72"/>
      <c r="BF67" s="72"/>
      <c r="BG67" s="72"/>
      <c r="BH67" s="72" t="s">
        <v>5819</v>
      </c>
      <c r="BI67" s="72"/>
      <c r="BJ67" s="72"/>
      <c r="BK67" s="72"/>
      <c r="BL67" s="72" t="s">
        <v>4926</v>
      </c>
      <c r="BM67" s="72" t="s">
        <v>5921</v>
      </c>
      <c r="BN67" s="38"/>
    </row>
    <row r="68" spans="1:66" s="953" customFormat="1">
      <c r="A68" s="944" t="s">
        <v>5828</v>
      </c>
      <c r="B68" s="954" t="s">
        <v>3120</v>
      </c>
      <c r="C68" s="960">
        <v>30</v>
      </c>
      <c r="D68" s="76"/>
      <c r="E68" s="72"/>
      <c r="F68" s="962"/>
      <c r="G68" s="72">
        <f t="shared" ref="G68:G75" si="7">C68</f>
        <v>30</v>
      </c>
      <c r="H68" s="72"/>
      <c r="I68" s="72"/>
      <c r="J68" s="72"/>
      <c r="K68" s="72">
        <v>1</v>
      </c>
      <c r="L68" s="72"/>
      <c r="M68" s="72"/>
      <c r="N68" s="72"/>
      <c r="O68" s="72"/>
      <c r="P68" s="72">
        <v>1</v>
      </c>
      <c r="Q68" s="72"/>
      <c r="R68" s="67"/>
      <c r="S68" s="952">
        <f t="shared" si="6"/>
        <v>0</v>
      </c>
      <c r="T68" s="952"/>
      <c r="U68" s="72"/>
      <c r="V68" s="72"/>
      <c r="W68" s="72"/>
      <c r="X68" s="72"/>
      <c r="Y68" s="72"/>
      <c r="Z68" s="72"/>
      <c r="AA68" s="72"/>
      <c r="AB68" s="72"/>
      <c r="AC68" s="72"/>
      <c r="AD68" s="72">
        <v>1</v>
      </c>
      <c r="AE68" s="72"/>
      <c r="AF68" s="72"/>
      <c r="AG68" s="72"/>
      <c r="AH68" s="72"/>
      <c r="AI68" s="72"/>
      <c r="AJ68" s="72">
        <v>1</v>
      </c>
      <c r="AK68" s="72"/>
      <c r="AL68" s="72"/>
      <c r="AM68" s="72"/>
      <c r="AN68" s="72"/>
      <c r="AO68" s="72"/>
      <c r="AP68" s="72"/>
      <c r="AQ68" s="72"/>
      <c r="AR68" s="72">
        <f t="shared" si="4"/>
        <v>0</v>
      </c>
      <c r="AS68" s="72">
        <f t="shared" si="5"/>
        <v>0</v>
      </c>
      <c r="AT68" s="72"/>
      <c r="AU68" s="72"/>
      <c r="AV68" s="72"/>
      <c r="AW68" s="72"/>
      <c r="AX68" s="72"/>
      <c r="AY68" s="72"/>
      <c r="AZ68" s="72"/>
      <c r="BA68" s="72"/>
      <c r="BB68" s="72"/>
      <c r="BC68" s="72"/>
      <c r="BD68" s="72"/>
      <c r="BE68" s="72"/>
      <c r="BF68" s="72"/>
      <c r="BG68" s="72"/>
      <c r="BH68" s="72">
        <v>1</v>
      </c>
      <c r="BI68" s="72"/>
      <c r="BJ68" s="72"/>
      <c r="BK68" s="72"/>
      <c r="BL68" s="72"/>
      <c r="BM68" s="72"/>
    </row>
    <row r="69" spans="1:66" s="953" customFormat="1">
      <c r="A69" s="944" t="s">
        <v>4531</v>
      </c>
      <c r="B69" s="954" t="s">
        <v>3120</v>
      </c>
      <c r="C69" s="960">
        <v>30</v>
      </c>
      <c r="D69" s="76"/>
      <c r="E69" s="72"/>
      <c r="F69" s="962"/>
      <c r="G69" s="72">
        <f t="shared" si="7"/>
        <v>30</v>
      </c>
      <c r="H69" s="72"/>
      <c r="I69" s="72"/>
      <c r="J69" s="72"/>
      <c r="K69" s="72"/>
      <c r="L69" s="72"/>
      <c r="M69" s="72"/>
      <c r="N69" s="72"/>
      <c r="O69" s="72"/>
      <c r="P69" s="72"/>
      <c r="Q69" s="72"/>
      <c r="R69" s="67"/>
      <c r="S69" s="952">
        <f t="shared" si="6"/>
        <v>0</v>
      </c>
      <c r="T69" s="952"/>
      <c r="U69" s="72"/>
      <c r="V69" s="72"/>
      <c r="W69" s="72"/>
      <c r="X69" s="72"/>
      <c r="Y69" s="72"/>
      <c r="Z69" s="72"/>
      <c r="AA69" s="72"/>
      <c r="AB69" s="72"/>
      <c r="AC69" s="72"/>
      <c r="AD69" s="72">
        <v>1</v>
      </c>
      <c r="AE69" s="72"/>
      <c r="AF69" s="72"/>
      <c r="AG69" s="72"/>
      <c r="AH69" s="72"/>
      <c r="AI69" s="72"/>
      <c r="AJ69" s="72"/>
      <c r="AK69" s="72"/>
      <c r="AL69" s="72">
        <v>1</v>
      </c>
      <c r="AM69" s="72"/>
      <c r="AN69" s="72"/>
      <c r="AO69" s="72"/>
      <c r="AP69" s="72"/>
      <c r="AQ69" s="72"/>
      <c r="AR69" s="72">
        <f t="shared" si="4"/>
        <v>0</v>
      </c>
      <c r="AS69" s="72">
        <f t="shared" si="5"/>
        <v>0</v>
      </c>
      <c r="AT69" s="72"/>
      <c r="AU69" s="72"/>
      <c r="AV69" s="72"/>
      <c r="AW69" s="72"/>
      <c r="AX69" s="72"/>
      <c r="AY69" s="72"/>
      <c r="AZ69" s="72"/>
      <c r="BA69" s="72"/>
      <c r="BB69" s="72"/>
      <c r="BC69" s="72"/>
      <c r="BD69" s="72"/>
      <c r="BE69" s="72"/>
      <c r="BF69" s="72"/>
      <c r="BG69" s="72"/>
      <c r="BH69" s="72">
        <v>1</v>
      </c>
      <c r="BI69" s="72"/>
      <c r="BJ69" s="72"/>
      <c r="BK69" s="72"/>
      <c r="BL69" s="72"/>
      <c r="BM69" s="72"/>
    </row>
    <row r="70" spans="1:66" s="953" customFormat="1">
      <c r="A70" s="944" t="s">
        <v>5829</v>
      </c>
      <c r="B70" s="954" t="s">
        <v>3120</v>
      </c>
      <c r="C70" s="960">
        <v>32</v>
      </c>
      <c r="D70" s="76"/>
      <c r="E70" s="72"/>
      <c r="F70" s="962"/>
      <c r="G70" s="72">
        <f t="shared" si="7"/>
        <v>32</v>
      </c>
      <c r="H70" s="72"/>
      <c r="I70" s="72"/>
      <c r="J70" s="72"/>
      <c r="K70" s="72">
        <v>1</v>
      </c>
      <c r="L70" s="72"/>
      <c r="M70" s="72"/>
      <c r="N70" s="72"/>
      <c r="O70" s="72"/>
      <c r="P70" s="72">
        <v>1</v>
      </c>
      <c r="Q70" s="72"/>
      <c r="R70" s="67"/>
      <c r="S70" s="952">
        <f t="shared" si="6"/>
        <v>0</v>
      </c>
      <c r="T70" s="952"/>
      <c r="U70" s="72"/>
      <c r="V70" s="72"/>
      <c r="W70" s="72"/>
      <c r="X70" s="72"/>
      <c r="Y70" s="72"/>
      <c r="Z70" s="72"/>
      <c r="AA70" s="72"/>
      <c r="AB70" s="72"/>
      <c r="AC70" s="72"/>
      <c r="AD70" s="72">
        <v>1</v>
      </c>
      <c r="AE70" s="72"/>
      <c r="AF70" s="72"/>
      <c r="AG70" s="72"/>
      <c r="AH70" s="72"/>
      <c r="AI70" s="72"/>
      <c r="AJ70" s="72">
        <v>1</v>
      </c>
      <c r="AK70" s="72"/>
      <c r="AL70" s="72"/>
      <c r="AM70" s="72"/>
      <c r="AN70" s="72"/>
      <c r="AO70" s="72"/>
      <c r="AP70" s="72"/>
      <c r="AQ70" s="72"/>
      <c r="AR70" s="72">
        <f t="shared" si="4"/>
        <v>0</v>
      </c>
      <c r="AS70" s="72">
        <f t="shared" si="5"/>
        <v>0</v>
      </c>
      <c r="AT70" s="72"/>
      <c r="AU70" s="72"/>
      <c r="AV70" s="72"/>
      <c r="AW70" s="72"/>
      <c r="AX70" s="72"/>
      <c r="AY70" s="72"/>
      <c r="AZ70" s="72"/>
      <c r="BA70" s="72"/>
      <c r="BB70" s="72"/>
      <c r="BC70" s="72"/>
      <c r="BD70" s="72"/>
      <c r="BE70" s="72"/>
      <c r="BF70" s="72"/>
      <c r="BG70" s="72"/>
      <c r="BH70" s="72">
        <v>1</v>
      </c>
      <c r="BI70" s="72"/>
      <c r="BJ70" s="72"/>
      <c r="BK70" s="72"/>
      <c r="BL70" s="72"/>
      <c r="BM70" s="72"/>
      <c r="BN70" s="38"/>
    </row>
    <row r="71" spans="1:66" s="953" customFormat="1">
      <c r="A71" s="944" t="s">
        <v>4532</v>
      </c>
      <c r="B71" s="954" t="s">
        <v>3120</v>
      </c>
      <c r="C71" s="960">
        <v>33</v>
      </c>
      <c r="D71" s="76"/>
      <c r="E71" s="72"/>
      <c r="F71" s="962"/>
      <c r="G71" s="72">
        <f t="shared" si="7"/>
        <v>33</v>
      </c>
      <c r="H71" s="72"/>
      <c r="I71" s="72"/>
      <c r="J71" s="72"/>
      <c r="K71" s="72"/>
      <c r="L71" s="72"/>
      <c r="M71" s="72"/>
      <c r="N71" s="72"/>
      <c r="O71" s="72"/>
      <c r="P71" s="72"/>
      <c r="Q71" s="72"/>
      <c r="R71" s="67"/>
      <c r="S71" s="952">
        <f t="shared" si="6"/>
        <v>0</v>
      </c>
      <c r="T71" s="952"/>
      <c r="U71" s="72"/>
      <c r="V71" s="72"/>
      <c r="W71" s="72"/>
      <c r="X71" s="72"/>
      <c r="Y71" s="72"/>
      <c r="Z71" s="72"/>
      <c r="AA71" s="72"/>
      <c r="AB71" s="72"/>
      <c r="AC71" s="72"/>
      <c r="AD71" s="72">
        <v>1</v>
      </c>
      <c r="AE71" s="72"/>
      <c r="AF71" s="72"/>
      <c r="AG71" s="72"/>
      <c r="AH71" s="72"/>
      <c r="AI71" s="72"/>
      <c r="AJ71" s="72"/>
      <c r="AK71" s="72"/>
      <c r="AL71" s="72">
        <v>1</v>
      </c>
      <c r="AM71" s="72"/>
      <c r="AN71" s="72"/>
      <c r="AO71" s="72"/>
      <c r="AP71" s="72"/>
      <c r="AQ71" s="72"/>
      <c r="AR71" s="72">
        <f t="shared" si="4"/>
        <v>0</v>
      </c>
      <c r="AS71" s="72">
        <f t="shared" si="5"/>
        <v>0</v>
      </c>
      <c r="AT71" s="72"/>
      <c r="AU71" s="72"/>
      <c r="AV71" s="72"/>
      <c r="AW71" s="72"/>
      <c r="AX71" s="72"/>
      <c r="AY71" s="72"/>
      <c r="AZ71" s="72"/>
      <c r="BA71" s="72"/>
      <c r="BB71" s="72"/>
      <c r="BC71" s="72"/>
      <c r="BD71" s="72"/>
      <c r="BE71" s="72"/>
      <c r="BF71" s="72"/>
      <c r="BG71" s="72"/>
      <c r="BH71" s="72">
        <v>1</v>
      </c>
      <c r="BI71" s="72"/>
      <c r="BJ71" s="72"/>
      <c r="BK71" s="72"/>
      <c r="BL71" s="72">
        <v>1</v>
      </c>
      <c r="BM71" s="72"/>
    </row>
    <row r="72" spans="1:66" s="953" customFormat="1">
      <c r="A72" s="944" t="s">
        <v>5830</v>
      </c>
      <c r="B72" s="954" t="s">
        <v>3120</v>
      </c>
      <c r="C72" s="960">
        <v>32</v>
      </c>
      <c r="D72" s="76"/>
      <c r="E72" s="72"/>
      <c r="F72" s="962"/>
      <c r="G72" s="72">
        <f t="shared" si="7"/>
        <v>32</v>
      </c>
      <c r="H72" s="72"/>
      <c r="I72" s="72"/>
      <c r="J72" s="72"/>
      <c r="K72" s="72">
        <v>1</v>
      </c>
      <c r="L72" s="72"/>
      <c r="M72" s="72"/>
      <c r="N72" s="72"/>
      <c r="O72" s="72"/>
      <c r="P72" s="72">
        <v>1</v>
      </c>
      <c r="Q72" s="72"/>
      <c r="R72" s="67"/>
      <c r="S72" s="952">
        <f t="shared" si="6"/>
        <v>0</v>
      </c>
      <c r="T72" s="952"/>
      <c r="U72" s="72"/>
      <c r="V72" s="72"/>
      <c r="W72" s="72"/>
      <c r="X72" s="72"/>
      <c r="Y72" s="72"/>
      <c r="Z72" s="72"/>
      <c r="AA72" s="72"/>
      <c r="AB72" s="72"/>
      <c r="AC72" s="72"/>
      <c r="AD72" s="72">
        <v>1</v>
      </c>
      <c r="AE72" s="72"/>
      <c r="AF72" s="72"/>
      <c r="AG72" s="72"/>
      <c r="AH72" s="72"/>
      <c r="AI72" s="72"/>
      <c r="AJ72" s="72">
        <v>1</v>
      </c>
      <c r="AK72" s="72"/>
      <c r="AL72" s="72"/>
      <c r="AM72" s="72"/>
      <c r="AN72" s="72"/>
      <c r="AO72" s="72"/>
      <c r="AP72" s="72"/>
      <c r="AQ72" s="72"/>
      <c r="AR72" s="72">
        <f>IF(S72=1,2,0)</f>
        <v>0</v>
      </c>
      <c r="AS72" s="72">
        <f>IF(S72=1,1,0)</f>
        <v>0</v>
      </c>
      <c r="AT72" s="72"/>
      <c r="AU72" s="72"/>
      <c r="AV72" s="72"/>
      <c r="AW72" s="72"/>
      <c r="AX72" s="72"/>
      <c r="AY72" s="72"/>
      <c r="AZ72" s="72"/>
      <c r="BA72" s="72"/>
      <c r="BB72" s="72"/>
      <c r="BC72" s="72"/>
      <c r="BD72" s="72"/>
      <c r="BE72" s="72"/>
      <c r="BF72" s="72"/>
      <c r="BG72" s="72"/>
      <c r="BH72" s="72">
        <v>1</v>
      </c>
      <c r="BI72" s="72"/>
      <c r="BJ72" s="72"/>
      <c r="BK72" s="72"/>
      <c r="BL72" s="72"/>
      <c r="BM72" s="72"/>
    </row>
    <row r="73" spans="1:66" s="953" customFormat="1">
      <c r="A73" s="944" t="s">
        <v>4533</v>
      </c>
      <c r="B73" s="954" t="s">
        <v>3120</v>
      </c>
      <c r="C73" s="960">
        <v>33</v>
      </c>
      <c r="D73" s="76"/>
      <c r="E73" s="72"/>
      <c r="F73" s="962"/>
      <c r="G73" s="72">
        <f t="shared" si="7"/>
        <v>33</v>
      </c>
      <c r="H73" s="72"/>
      <c r="I73" s="72"/>
      <c r="J73" s="72"/>
      <c r="K73" s="72"/>
      <c r="L73" s="72"/>
      <c r="M73" s="72"/>
      <c r="N73" s="72"/>
      <c r="O73" s="72"/>
      <c r="P73" s="72"/>
      <c r="Q73" s="72"/>
      <c r="R73" s="67"/>
      <c r="S73" s="952">
        <f t="shared" si="6"/>
        <v>0</v>
      </c>
      <c r="T73" s="952"/>
      <c r="U73" s="72"/>
      <c r="V73" s="72"/>
      <c r="W73" s="72"/>
      <c r="X73" s="72"/>
      <c r="Y73" s="72"/>
      <c r="Z73" s="72"/>
      <c r="AA73" s="72"/>
      <c r="AB73" s="72"/>
      <c r="AC73" s="72"/>
      <c r="AD73" s="72">
        <v>1</v>
      </c>
      <c r="AE73" s="72"/>
      <c r="AF73" s="72"/>
      <c r="AG73" s="72"/>
      <c r="AH73" s="72"/>
      <c r="AI73" s="72"/>
      <c r="AJ73" s="72"/>
      <c r="AK73" s="72"/>
      <c r="AL73" s="72">
        <v>1</v>
      </c>
      <c r="AM73" s="72"/>
      <c r="AN73" s="72"/>
      <c r="AO73" s="72"/>
      <c r="AP73" s="72"/>
      <c r="AQ73" s="72"/>
      <c r="AR73" s="72">
        <f t="shared" ref="AR73:AR88" si="8">IF(S73=1,2,0)</f>
        <v>0</v>
      </c>
      <c r="AS73" s="72">
        <f t="shared" ref="AS73:AS88" si="9">IF(S73=1,1,0)</f>
        <v>0</v>
      </c>
      <c r="AT73" s="72"/>
      <c r="AU73" s="72"/>
      <c r="AV73" s="72"/>
      <c r="AW73" s="72"/>
      <c r="AX73" s="72"/>
      <c r="AY73" s="72"/>
      <c r="AZ73" s="72"/>
      <c r="BA73" s="72"/>
      <c r="BB73" s="72"/>
      <c r="BC73" s="72"/>
      <c r="BD73" s="72"/>
      <c r="BE73" s="72"/>
      <c r="BF73" s="72"/>
      <c r="BG73" s="72"/>
      <c r="BH73" s="72">
        <v>1</v>
      </c>
      <c r="BI73" s="72"/>
      <c r="BJ73" s="72"/>
      <c r="BK73" s="72"/>
      <c r="BL73" s="72"/>
      <c r="BM73" s="72"/>
    </row>
    <row r="74" spans="1:66" s="953" customFormat="1">
      <c r="A74" s="944" t="s">
        <v>5831</v>
      </c>
      <c r="B74" s="954" t="s">
        <v>3120</v>
      </c>
      <c r="C74" s="960">
        <v>32</v>
      </c>
      <c r="D74" s="76"/>
      <c r="E74" s="72"/>
      <c r="F74" s="962"/>
      <c r="G74" s="72">
        <f t="shared" si="7"/>
        <v>32</v>
      </c>
      <c r="H74" s="72"/>
      <c r="I74" s="72"/>
      <c r="J74" s="72"/>
      <c r="K74" s="72">
        <v>1</v>
      </c>
      <c r="L74" s="72"/>
      <c r="M74" s="72"/>
      <c r="N74" s="72"/>
      <c r="O74" s="72"/>
      <c r="P74" s="72">
        <v>1</v>
      </c>
      <c r="Q74" s="72"/>
      <c r="R74" s="67"/>
      <c r="S74" s="952">
        <f t="shared" si="6"/>
        <v>0</v>
      </c>
      <c r="T74" s="952"/>
      <c r="U74" s="72"/>
      <c r="V74" s="72"/>
      <c r="W74" s="72"/>
      <c r="X74" s="72"/>
      <c r="Y74" s="72"/>
      <c r="Z74" s="72"/>
      <c r="AA74" s="72"/>
      <c r="AB74" s="72"/>
      <c r="AC74" s="72"/>
      <c r="AD74" s="72">
        <v>1</v>
      </c>
      <c r="AE74" s="72"/>
      <c r="AF74" s="72"/>
      <c r="AG74" s="72"/>
      <c r="AH74" s="72"/>
      <c r="AI74" s="72"/>
      <c r="AJ74" s="72">
        <v>1</v>
      </c>
      <c r="AK74" s="72"/>
      <c r="AL74" s="72"/>
      <c r="AM74" s="72"/>
      <c r="AN74" s="72"/>
      <c r="AO74" s="72"/>
      <c r="AP74" s="72"/>
      <c r="AQ74" s="72"/>
      <c r="AR74" s="72">
        <f t="shared" si="8"/>
        <v>0</v>
      </c>
      <c r="AS74" s="72">
        <f t="shared" si="9"/>
        <v>0</v>
      </c>
      <c r="AT74" s="72"/>
      <c r="AU74" s="72"/>
      <c r="AV74" s="72"/>
      <c r="AW74" s="72"/>
      <c r="AX74" s="72"/>
      <c r="AY74" s="72"/>
      <c r="AZ74" s="72"/>
      <c r="BA74" s="72"/>
      <c r="BB74" s="72"/>
      <c r="BC74" s="72"/>
      <c r="BD74" s="72"/>
      <c r="BE74" s="72"/>
      <c r="BF74" s="72"/>
      <c r="BG74" s="72"/>
      <c r="BH74" s="72">
        <v>1</v>
      </c>
      <c r="BI74" s="72"/>
      <c r="BJ74" s="72"/>
      <c r="BK74" s="72"/>
      <c r="BL74" s="72"/>
      <c r="BM74" s="72"/>
    </row>
    <row r="75" spans="1:66" s="953" customFormat="1">
      <c r="A75" s="944" t="s">
        <v>4534</v>
      </c>
      <c r="B75" s="954" t="s">
        <v>3124</v>
      </c>
      <c r="C75" s="960">
        <v>33</v>
      </c>
      <c r="D75" s="76"/>
      <c r="E75" s="72"/>
      <c r="F75" s="962"/>
      <c r="G75" s="72">
        <f t="shared" si="7"/>
        <v>33</v>
      </c>
      <c r="H75" s="72"/>
      <c r="I75" s="72"/>
      <c r="J75" s="72"/>
      <c r="K75" s="72"/>
      <c r="L75" s="72"/>
      <c r="M75" s="72"/>
      <c r="N75" s="72"/>
      <c r="O75" s="72"/>
      <c r="P75" s="72"/>
      <c r="Q75" s="72"/>
      <c r="R75" s="67"/>
      <c r="S75" s="952">
        <f t="shared" si="6"/>
        <v>0</v>
      </c>
      <c r="T75" s="952"/>
      <c r="U75" s="72"/>
      <c r="V75" s="72"/>
      <c r="W75" s="72"/>
      <c r="X75" s="72"/>
      <c r="Y75" s="72"/>
      <c r="Z75" s="72"/>
      <c r="AA75" s="72"/>
      <c r="AB75" s="72"/>
      <c r="AC75" s="72"/>
      <c r="AD75" s="72"/>
      <c r="AE75" s="72"/>
      <c r="AF75" s="72"/>
      <c r="AG75" s="72">
        <v>1</v>
      </c>
      <c r="AH75" s="72"/>
      <c r="AI75" s="72">
        <v>3</v>
      </c>
      <c r="AJ75" s="72"/>
      <c r="AK75" s="72"/>
      <c r="AL75" s="72">
        <v>1</v>
      </c>
      <c r="AM75" s="72"/>
      <c r="AN75" s="72"/>
      <c r="AO75" s="72"/>
      <c r="AP75" s="72"/>
      <c r="AQ75" s="72"/>
      <c r="AR75" s="72">
        <f t="shared" si="8"/>
        <v>0</v>
      </c>
      <c r="AS75" s="72">
        <f t="shared" si="9"/>
        <v>0</v>
      </c>
      <c r="AT75" s="72"/>
      <c r="AU75" s="72"/>
      <c r="AV75" s="72"/>
      <c r="AW75" s="72"/>
      <c r="AX75" s="72"/>
      <c r="AY75" s="72"/>
      <c r="AZ75" s="72"/>
      <c r="BA75" s="72"/>
      <c r="BB75" s="72"/>
      <c r="BC75" s="72"/>
      <c r="BD75" s="72"/>
      <c r="BE75" s="72"/>
      <c r="BF75" s="72"/>
      <c r="BG75" s="72"/>
      <c r="BH75" s="72">
        <v>1</v>
      </c>
      <c r="BI75" s="72"/>
      <c r="BJ75" s="72"/>
      <c r="BK75" s="72"/>
      <c r="BL75" s="72">
        <v>1</v>
      </c>
      <c r="BM75" s="72"/>
    </row>
    <row r="76" spans="1:66" s="953" customFormat="1">
      <c r="A76" s="944"/>
      <c r="B76" s="954"/>
      <c r="C76" s="960"/>
      <c r="D76" s="76"/>
      <c r="E76" s="72"/>
      <c r="F76" s="962"/>
      <c r="G76" s="72"/>
      <c r="H76" s="72"/>
      <c r="I76" s="72"/>
      <c r="J76" s="72"/>
      <c r="K76" s="72"/>
      <c r="L76" s="72"/>
      <c r="M76" s="72"/>
      <c r="N76" s="72"/>
      <c r="O76" s="72"/>
      <c r="P76" s="72"/>
      <c r="Q76" s="72"/>
      <c r="R76" s="67"/>
      <c r="S76" s="952"/>
      <c r="T76" s="95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f t="shared" si="8"/>
        <v>0</v>
      </c>
      <c r="AS76" s="72">
        <f t="shared" si="9"/>
        <v>0</v>
      </c>
      <c r="AT76" s="72"/>
      <c r="AU76" s="72"/>
      <c r="AV76" s="72"/>
      <c r="AW76" s="72"/>
      <c r="AX76" s="72"/>
      <c r="AY76" s="72"/>
      <c r="AZ76" s="72"/>
      <c r="BA76" s="72"/>
      <c r="BB76" s="72"/>
      <c r="BC76" s="72"/>
      <c r="BD76" s="72"/>
      <c r="BE76" s="72"/>
      <c r="BF76" s="72"/>
      <c r="BG76" s="72"/>
      <c r="BH76" s="72"/>
      <c r="BI76" s="72"/>
      <c r="BJ76" s="72"/>
      <c r="BK76" s="72"/>
      <c r="BL76" s="72"/>
      <c r="BM76" s="72"/>
    </row>
    <row r="77" spans="1:66" s="953" customFormat="1">
      <c r="A77" s="1487" t="s">
        <v>4530</v>
      </c>
      <c r="B77" s="954"/>
      <c r="C77" s="960"/>
      <c r="D77" s="72"/>
      <c r="E77" s="72"/>
      <c r="F77" s="962"/>
      <c r="G77" s="72">
        <v>10</v>
      </c>
      <c r="H77" s="72"/>
      <c r="I77" s="72"/>
      <c r="J77" s="72"/>
      <c r="K77" s="72"/>
      <c r="L77" s="72"/>
      <c r="M77" s="72"/>
      <c r="N77" s="72"/>
      <c r="O77" s="72"/>
      <c r="P77" s="72"/>
      <c r="Q77" s="72"/>
      <c r="R77" s="67"/>
      <c r="S77" s="952"/>
      <c r="T77" s="952"/>
      <c r="U77" s="72"/>
      <c r="V77" s="72"/>
      <c r="W77" s="72"/>
      <c r="X77" s="72"/>
      <c r="Y77" s="72"/>
      <c r="Z77" s="72"/>
      <c r="AA77" s="72"/>
      <c r="AB77" s="72"/>
      <c r="AC77" s="72"/>
      <c r="AD77" s="72"/>
      <c r="AE77" s="72"/>
      <c r="AF77" s="72"/>
      <c r="AG77" s="72">
        <v>1</v>
      </c>
      <c r="AH77" s="72"/>
      <c r="AI77" s="72"/>
      <c r="AJ77" s="72"/>
      <c r="AK77" s="72"/>
      <c r="AL77" s="72">
        <v>1</v>
      </c>
      <c r="AM77" s="72"/>
      <c r="AN77" s="72"/>
      <c r="AO77" s="72"/>
      <c r="AP77" s="72"/>
      <c r="AQ77" s="72"/>
      <c r="AR77" s="72">
        <f t="shared" si="8"/>
        <v>0</v>
      </c>
      <c r="AS77" s="72">
        <f t="shared" si="9"/>
        <v>0</v>
      </c>
      <c r="AT77" s="72"/>
      <c r="AU77" s="72"/>
      <c r="AV77" s="72"/>
      <c r="AW77" s="72"/>
      <c r="AX77" s="72"/>
      <c r="AY77" s="72"/>
      <c r="AZ77" s="72"/>
      <c r="BA77" s="72"/>
      <c r="BB77" s="72">
        <v>3</v>
      </c>
      <c r="BC77" s="72"/>
      <c r="BD77" s="72"/>
      <c r="BE77" s="72"/>
      <c r="BF77" s="72"/>
      <c r="BG77" s="72"/>
      <c r="BH77" s="72"/>
      <c r="BI77" s="72"/>
      <c r="BJ77" s="72"/>
      <c r="BK77" s="72"/>
      <c r="BL77" s="72"/>
      <c r="BM77" s="72" t="s">
        <v>5921</v>
      </c>
      <c r="BN77" s="38"/>
    </row>
    <row r="78" spans="1:66" s="953" customFormat="1">
      <c r="A78" s="944" t="s">
        <v>5834</v>
      </c>
      <c r="B78" s="954" t="s">
        <v>3123</v>
      </c>
      <c r="C78" s="960">
        <v>45</v>
      </c>
      <c r="D78" s="76"/>
      <c r="E78" s="72"/>
      <c r="F78" s="72"/>
      <c r="G78" s="72">
        <f>C78</f>
        <v>45</v>
      </c>
      <c r="H78" s="72"/>
      <c r="I78" s="72"/>
      <c r="J78" s="72">
        <v>2</v>
      </c>
      <c r="K78" s="72"/>
      <c r="L78" s="72"/>
      <c r="M78" s="72"/>
      <c r="N78" s="72"/>
      <c r="O78" s="72"/>
      <c r="P78" s="72"/>
      <c r="Q78" s="72">
        <v>1</v>
      </c>
      <c r="R78" s="67"/>
      <c r="S78" s="952"/>
      <c r="T78" s="952"/>
      <c r="U78" s="72"/>
      <c r="V78" s="72"/>
      <c r="W78" s="72"/>
      <c r="X78" s="72"/>
      <c r="Y78" s="72"/>
      <c r="Z78" s="72"/>
      <c r="AA78" s="72"/>
      <c r="AB78" s="72"/>
      <c r="AC78" s="72"/>
      <c r="AD78" s="72"/>
      <c r="AE78" s="72"/>
      <c r="AF78" s="72"/>
      <c r="AG78" s="72">
        <v>2</v>
      </c>
      <c r="AH78" s="72"/>
      <c r="AI78" s="72"/>
      <c r="AJ78" s="72"/>
      <c r="AK78" s="72"/>
      <c r="AL78" s="72">
        <v>1</v>
      </c>
      <c r="AM78" s="72"/>
      <c r="AN78" s="72">
        <v>1</v>
      </c>
      <c r="AO78" s="72"/>
      <c r="AP78" s="72"/>
      <c r="AQ78" s="72"/>
      <c r="AR78" s="72">
        <f t="shared" si="8"/>
        <v>0</v>
      </c>
      <c r="AS78" s="72">
        <f t="shared" si="9"/>
        <v>0</v>
      </c>
      <c r="AT78" s="72"/>
      <c r="AU78" s="72"/>
      <c r="AV78" s="72"/>
      <c r="AW78" s="72"/>
      <c r="AX78" s="72"/>
      <c r="AY78" s="72"/>
      <c r="AZ78" s="72"/>
      <c r="BA78" s="72"/>
      <c r="BB78" s="72"/>
      <c r="BC78" s="72"/>
      <c r="BD78" s="72"/>
      <c r="BE78" s="72"/>
      <c r="BF78" s="72"/>
      <c r="BG78" s="72"/>
      <c r="BH78" s="72" t="s">
        <v>5819</v>
      </c>
      <c r="BI78" s="72"/>
      <c r="BJ78" s="72"/>
      <c r="BK78" s="72">
        <f>L78</f>
        <v>0</v>
      </c>
      <c r="BL78" s="72"/>
      <c r="BM78" s="72"/>
    </row>
    <row r="79" spans="1:66" s="953" customFormat="1">
      <c r="A79" s="944" t="s">
        <v>5835</v>
      </c>
      <c r="B79" s="954" t="s">
        <v>3120</v>
      </c>
      <c r="C79" s="960">
        <v>35</v>
      </c>
      <c r="D79" s="76"/>
      <c r="E79" s="72"/>
      <c r="F79" s="72"/>
      <c r="G79" s="72">
        <f t="shared" ref="G79:G93" si="10">C79</f>
        <v>35</v>
      </c>
      <c r="H79" s="72"/>
      <c r="I79" s="72"/>
      <c r="J79" s="72"/>
      <c r="K79" s="72">
        <v>1</v>
      </c>
      <c r="L79" s="72"/>
      <c r="M79" s="72"/>
      <c r="N79" s="72"/>
      <c r="O79" s="72"/>
      <c r="P79" s="72">
        <v>1</v>
      </c>
      <c r="Q79" s="72"/>
      <c r="R79" s="67"/>
      <c r="S79" s="952"/>
      <c r="T79" s="952"/>
      <c r="U79" s="72"/>
      <c r="V79" s="72"/>
      <c r="W79" s="72"/>
      <c r="X79" s="72"/>
      <c r="Y79" s="72"/>
      <c r="Z79" s="72"/>
      <c r="AA79" s="72"/>
      <c r="AB79" s="72"/>
      <c r="AC79" s="72"/>
      <c r="AD79" s="72">
        <v>1</v>
      </c>
      <c r="AE79" s="72"/>
      <c r="AF79" s="72"/>
      <c r="AG79" s="72"/>
      <c r="AH79" s="72"/>
      <c r="AI79" s="72"/>
      <c r="AJ79" s="72">
        <v>1</v>
      </c>
      <c r="AK79" s="72"/>
      <c r="AL79" s="72"/>
      <c r="AM79" s="72"/>
      <c r="AN79" s="72"/>
      <c r="AO79" s="72"/>
      <c r="AP79" s="72"/>
      <c r="AQ79" s="72"/>
      <c r="AR79" s="72">
        <f t="shared" si="8"/>
        <v>0</v>
      </c>
      <c r="AS79" s="72">
        <f t="shared" si="9"/>
        <v>0</v>
      </c>
      <c r="AT79" s="72"/>
      <c r="AU79" s="72"/>
      <c r="AV79" s="72"/>
      <c r="AW79" s="72"/>
      <c r="AX79" s="72"/>
      <c r="AY79" s="72"/>
      <c r="AZ79" s="72"/>
      <c r="BA79" s="72"/>
      <c r="BB79" s="72"/>
      <c r="BC79" s="72"/>
      <c r="BD79" s="72"/>
      <c r="BE79" s="72"/>
      <c r="BF79" s="72"/>
      <c r="BG79" s="72"/>
      <c r="BH79" s="72">
        <v>1</v>
      </c>
      <c r="BI79" s="72"/>
      <c r="BJ79" s="72"/>
      <c r="BK79" s="72">
        <f t="shared" ref="BK79:BK93" si="11">L79</f>
        <v>0</v>
      </c>
      <c r="BL79" s="72"/>
      <c r="BM79" s="72"/>
    </row>
    <row r="80" spans="1:66" s="953" customFormat="1">
      <c r="A80" s="944" t="s">
        <v>5836</v>
      </c>
      <c r="B80" s="954" t="s">
        <v>3120</v>
      </c>
      <c r="C80" s="960">
        <v>35</v>
      </c>
      <c r="D80" s="76"/>
      <c r="E80" s="72"/>
      <c r="F80" s="72"/>
      <c r="G80" s="72">
        <f t="shared" si="10"/>
        <v>35</v>
      </c>
      <c r="H80" s="72"/>
      <c r="I80" s="72"/>
      <c r="J80" s="72"/>
      <c r="K80" s="72">
        <v>1</v>
      </c>
      <c r="L80" s="72"/>
      <c r="M80" s="72"/>
      <c r="N80" s="72"/>
      <c r="O80" s="72"/>
      <c r="P80" s="72">
        <v>1</v>
      </c>
      <c r="Q80" s="72"/>
      <c r="R80" s="67"/>
      <c r="S80" s="952"/>
      <c r="T80" s="952"/>
      <c r="U80" s="72"/>
      <c r="V80" s="72"/>
      <c r="W80" s="72"/>
      <c r="X80" s="72"/>
      <c r="Y80" s="72"/>
      <c r="Z80" s="72"/>
      <c r="AA80" s="72"/>
      <c r="AB80" s="72"/>
      <c r="AC80" s="72"/>
      <c r="AD80" s="72">
        <v>1</v>
      </c>
      <c r="AE80" s="72"/>
      <c r="AF80" s="72"/>
      <c r="AG80" s="72"/>
      <c r="AH80" s="72"/>
      <c r="AI80" s="72"/>
      <c r="AJ80" s="72">
        <v>1</v>
      </c>
      <c r="AK80" s="72"/>
      <c r="AL80" s="72"/>
      <c r="AM80" s="72"/>
      <c r="AN80" s="72"/>
      <c r="AO80" s="72"/>
      <c r="AP80" s="72"/>
      <c r="AQ80" s="72"/>
      <c r="AR80" s="72">
        <f t="shared" si="8"/>
        <v>0</v>
      </c>
      <c r="AS80" s="72">
        <f t="shared" si="9"/>
        <v>0</v>
      </c>
      <c r="AT80" s="72"/>
      <c r="AU80" s="72"/>
      <c r="AV80" s="72"/>
      <c r="AW80" s="72"/>
      <c r="AX80" s="72"/>
      <c r="AY80" s="72"/>
      <c r="AZ80" s="72"/>
      <c r="BA80" s="72"/>
      <c r="BB80" s="72"/>
      <c r="BC80" s="72"/>
      <c r="BD80" s="72"/>
      <c r="BE80" s="72"/>
      <c r="BF80" s="72"/>
      <c r="BG80" s="72"/>
      <c r="BH80" s="72">
        <v>1</v>
      </c>
      <c r="BI80" s="72"/>
      <c r="BJ80" s="72"/>
      <c r="BK80" s="72">
        <f t="shared" si="11"/>
        <v>0</v>
      </c>
      <c r="BL80" s="72"/>
      <c r="BM80" s="72"/>
    </row>
    <row r="81" spans="1:66" s="953" customFormat="1">
      <c r="A81" s="944" t="s">
        <v>5837</v>
      </c>
      <c r="B81" s="954" t="s">
        <v>3124</v>
      </c>
      <c r="C81" s="960">
        <v>35</v>
      </c>
      <c r="D81" s="76"/>
      <c r="E81" s="72"/>
      <c r="F81" s="72"/>
      <c r="G81" s="72">
        <f t="shared" si="10"/>
        <v>35</v>
      </c>
      <c r="H81" s="72"/>
      <c r="I81" s="72"/>
      <c r="J81" s="72"/>
      <c r="K81" s="72">
        <v>1</v>
      </c>
      <c r="L81" s="72"/>
      <c r="M81" s="72"/>
      <c r="N81" s="72"/>
      <c r="O81" s="72"/>
      <c r="P81" s="72"/>
      <c r="Q81" s="72"/>
      <c r="R81" s="67"/>
      <c r="S81" s="952"/>
      <c r="T81" s="952">
        <v>1</v>
      </c>
      <c r="U81" s="72"/>
      <c r="V81" s="72"/>
      <c r="W81" s="72"/>
      <c r="X81" s="72"/>
      <c r="Y81" s="72"/>
      <c r="Z81" s="72"/>
      <c r="AA81" s="72"/>
      <c r="AB81" s="72"/>
      <c r="AC81" s="72"/>
      <c r="AD81" s="72"/>
      <c r="AE81" s="72"/>
      <c r="AF81" s="72"/>
      <c r="AG81" s="72">
        <v>2</v>
      </c>
      <c r="AH81" s="72"/>
      <c r="AI81" s="72"/>
      <c r="AJ81" s="72">
        <v>2</v>
      </c>
      <c r="AK81" s="72"/>
      <c r="AL81" s="72"/>
      <c r="AM81" s="72"/>
      <c r="AN81" s="72"/>
      <c r="AO81" s="72"/>
      <c r="AP81" s="72"/>
      <c r="AQ81" s="72"/>
      <c r="AR81" s="72">
        <f t="shared" si="8"/>
        <v>0</v>
      </c>
      <c r="AS81" s="72">
        <f t="shared" si="9"/>
        <v>0</v>
      </c>
      <c r="AT81" s="72"/>
      <c r="AU81" s="72"/>
      <c r="AV81" s="72"/>
      <c r="AW81" s="72"/>
      <c r="AX81" s="72"/>
      <c r="AY81" s="72"/>
      <c r="AZ81" s="72"/>
      <c r="BA81" s="72"/>
      <c r="BB81" s="72"/>
      <c r="BC81" s="72"/>
      <c r="BD81" s="72"/>
      <c r="BE81" s="72"/>
      <c r="BF81" s="72"/>
      <c r="BG81" s="72"/>
      <c r="BH81" s="72">
        <v>1</v>
      </c>
      <c r="BI81" s="72"/>
      <c r="BJ81" s="72"/>
      <c r="BK81" s="72">
        <f t="shared" si="11"/>
        <v>0</v>
      </c>
      <c r="BL81" s="72"/>
      <c r="BM81" s="72"/>
    </row>
    <row r="82" spans="1:66" s="953" customFormat="1">
      <c r="A82" s="944" t="s">
        <v>5838</v>
      </c>
      <c r="B82" s="954" t="s">
        <v>3120</v>
      </c>
      <c r="C82" s="960">
        <v>35</v>
      </c>
      <c r="D82" s="76"/>
      <c r="E82" s="72"/>
      <c r="F82" s="72"/>
      <c r="G82" s="72">
        <f t="shared" si="10"/>
        <v>35</v>
      </c>
      <c r="H82" s="72"/>
      <c r="I82" s="72"/>
      <c r="J82" s="72"/>
      <c r="K82" s="72">
        <v>1</v>
      </c>
      <c r="L82" s="72"/>
      <c r="M82" s="72"/>
      <c r="N82" s="72"/>
      <c r="O82" s="72"/>
      <c r="P82" s="72">
        <v>1</v>
      </c>
      <c r="Q82" s="72"/>
      <c r="R82" s="67"/>
      <c r="S82" s="952"/>
      <c r="T82" s="952"/>
      <c r="U82" s="72"/>
      <c r="V82" s="72"/>
      <c r="W82" s="72"/>
      <c r="X82" s="72"/>
      <c r="Y82" s="72"/>
      <c r="Z82" s="72"/>
      <c r="AA82" s="72"/>
      <c r="AB82" s="72"/>
      <c r="AC82" s="72"/>
      <c r="AD82" s="72">
        <v>1</v>
      </c>
      <c r="AE82" s="72"/>
      <c r="AF82" s="72"/>
      <c r="AG82" s="72"/>
      <c r="AH82" s="72"/>
      <c r="AI82" s="72"/>
      <c r="AJ82" s="72">
        <v>1</v>
      </c>
      <c r="AK82" s="72"/>
      <c r="AL82" s="72"/>
      <c r="AM82" s="72"/>
      <c r="AN82" s="72"/>
      <c r="AO82" s="72"/>
      <c r="AP82" s="72"/>
      <c r="AQ82" s="72"/>
      <c r="AR82" s="72">
        <f t="shared" si="8"/>
        <v>0</v>
      </c>
      <c r="AS82" s="72">
        <f t="shared" si="9"/>
        <v>0</v>
      </c>
      <c r="AT82" s="72"/>
      <c r="AU82" s="72"/>
      <c r="AV82" s="72"/>
      <c r="AW82" s="72"/>
      <c r="AX82" s="72"/>
      <c r="AY82" s="72"/>
      <c r="AZ82" s="72"/>
      <c r="BA82" s="72"/>
      <c r="BB82" s="72"/>
      <c r="BC82" s="72"/>
      <c r="BD82" s="72"/>
      <c r="BE82" s="72"/>
      <c r="BF82" s="72"/>
      <c r="BG82" s="72"/>
      <c r="BH82" s="72">
        <v>1</v>
      </c>
      <c r="BI82" s="72"/>
      <c r="BJ82" s="72"/>
      <c r="BK82" s="72">
        <f t="shared" si="11"/>
        <v>0</v>
      </c>
      <c r="BL82" s="72"/>
      <c r="BM82" s="72"/>
    </row>
    <row r="83" spans="1:66" s="953" customFormat="1">
      <c r="A83" s="944" t="s">
        <v>5839</v>
      </c>
      <c r="B83" s="954" t="s">
        <v>3120</v>
      </c>
      <c r="C83" s="960">
        <v>35</v>
      </c>
      <c r="D83" s="76"/>
      <c r="E83" s="72"/>
      <c r="F83" s="72"/>
      <c r="G83" s="72">
        <f t="shared" si="10"/>
        <v>35</v>
      </c>
      <c r="H83" s="72"/>
      <c r="I83" s="72"/>
      <c r="J83" s="72"/>
      <c r="K83" s="72"/>
      <c r="L83" s="72">
        <v>1</v>
      </c>
      <c r="M83" s="72"/>
      <c r="N83" s="72"/>
      <c r="O83" s="72"/>
      <c r="P83" s="72">
        <v>1</v>
      </c>
      <c r="Q83" s="72"/>
      <c r="R83" s="67"/>
      <c r="S83" s="952"/>
      <c r="T83" s="952"/>
      <c r="U83" s="72"/>
      <c r="V83" s="72"/>
      <c r="W83" s="72"/>
      <c r="X83" s="72"/>
      <c r="Y83" s="72"/>
      <c r="Z83" s="72"/>
      <c r="AA83" s="72"/>
      <c r="AB83" s="72"/>
      <c r="AC83" s="72"/>
      <c r="AD83" s="72">
        <v>1</v>
      </c>
      <c r="AE83" s="72"/>
      <c r="AF83" s="72"/>
      <c r="AG83" s="72"/>
      <c r="AH83" s="72"/>
      <c r="AI83" s="72"/>
      <c r="AJ83" s="72">
        <v>1</v>
      </c>
      <c r="AK83" s="72"/>
      <c r="AL83" s="72"/>
      <c r="AM83" s="72"/>
      <c r="AN83" s="72"/>
      <c r="AO83" s="72"/>
      <c r="AP83" s="72"/>
      <c r="AQ83" s="72"/>
      <c r="AR83" s="72">
        <f t="shared" si="8"/>
        <v>0</v>
      </c>
      <c r="AS83" s="72">
        <f t="shared" si="9"/>
        <v>0</v>
      </c>
      <c r="AT83" s="72"/>
      <c r="AU83" s="72"/>
      <c r="AV83" s="72"/>
      <c r="AW83" s="72"/>
      <c r="AX83" s="72"/>
      <c r="AY83" s="72"/>
      <c r="AZ83" s="72"/>
      <c r="BA83" s="72"/>
      <c r="BB83" s="72"/>
      <c r="BC83" s="72"/>
      <c r="BD83" s="72"/>
      <c r="BE83" s="72"/>
      <c r="BF83" s="72"/>
      <c r="BG83" s="72"/>
      <c r="BH83" s="72">
        <v>1</v>
      </c>
      <c r="BI83" s="72"/>
      <c r="BJ83" s="72"/>
      <c r="BK83" s="72">
        <f t="shared" si="11"/>
        <v>1</v>
      </c>
      <c r="BL83" s="72"/>
      <c r="BM83" s="72"/>
    </row>
    <row r="84" spans="1:66" s="953" customFormat="1">
      <c r="A84" s="944" t="s">
        <v>5840</v>
      </c>
      <c r="B84" s="954" t="s">
        <v>3124</v>
      </c>
      <c r="C84" s="960">
        <v>35</v>
      </c>
      <c r="D84" s="76"/>
      <c r="E84" s="72"/>
      <c r="F84" s="72"/>
      <c r="G84" s="72">
        <f t="shared" si="10"/>
        <v>35</v>
      </c>
      <c r="H84" s="72"/>
      <c r="I84" s="72"/>
      <c r="J84" s="72"/>
      <c r="K84" s="72">
        <v>1</v>
      </c>
      <c r="L84" s="72"/>
      <c r="M84" s="72"/>
      <c r="N84" s="72"/>
      <c r="O84" s="72"/>
      <c r="P84" s="72"/>
      <c r="Q84" s="72"/>
      <c r="R84" s="67"/>
      <c r="S84" s="952"/>
      <c r="T84" s="952">
        <v>1</v>
      </c>
      <c r="U84" s="72"/>
      <c r="V84" s="72"/>
      <c r="W84" s="72"/>
      <c r="X84" s="72"/>
      <c r="Y84" s="72"/>
      <c r="Z84" s="72"/>
      <c r="AA84" s="72"/>
      <c r="AB84" s="72"/>
      <c r="AC84" s="72"/>
      <c r="AD84" s="72"/>
      <c r="AE84" s="72"/>
      <c r="AF84" s="72"/>
      <c r="AG84" s="72">
        <v>2</v>
      </c>
      <c r="AH84" s="72"/>
      <c r="AI84" s="72"/>
      <c r="AJ84" s="72">
        <v>2</v>
      </c>
      <c r="AK84" s="72"/>
      <c r="AL84" s="72"/>
      <c r="AM84" s="72"/>
      <c r="AN84" s="72"/>
      <c r="AO84" s="72"/>
      <c r="AP84" s="72"/>
      <c r="AQ84" s="72"/>
      <c r="AR84" s="72">
        <f t="shared" si="8"/>
        <v>0</v>
      </c>
      <c r="AS84" s="72">
        <f t="shared" si="9"/>
        <v>0</v>
      </c>
      <c r="AT84" s="72"/>
      <c r="AU84" s="72"/>
      <c r="AV84" s="72"/>
      <c r="AW84" s="72"/>
      <c r="AX84" s="72"/>
      <c r="AY84" s="72"/>
      <c r="AZ84" s="72"/>
      <c r="BA84" s="72"/>
      <c r="BB84" s="72"/>
      <c r="BC84" s="72"/>
      <c r="BD84" s="72"/>
      <c r="BE84" s="72"/>
      <c r="BF84" s="72"/>
      <c r="BG84" s="72"/>
      <c r="BH84" s="72">
        <v>1</v>
      </c>
      <c r="BI84" s="72"/>
      <c r="BJ84" s="72"/>
      <c r="BK84" s="72">
        <f t="shared" si="11"/>
        <v>0</v>
      </c>
      <c r="BL84" s="72"/>
      <c r="BM84" s="72"/>
    </row>
    <row r="85" spans="1:66" s="953" customFormat="1">
      <c r="A85" s="944" t="s">
        <v>5841</v>
      </c>
      <c r="B85" s="954" t="s">
        <v>3120</v>
      </c>
      <c r="C85" s="960">
        <v>35</v>
      </c>
      <c r="D85" s="76"/>
      <c r="E85" s="72"/>
      <c r="F85" s="72"/>
      <c r="G85" s="72">
        <f t="shared" si="10"/>
        <v>35</v>
      </c>
      <c r="H85" s="72"/>
      <c r="I85" s="72"/>
      <c r="J85" s="72"/>
      <c r="K85" s="72">
        <v>1</v>
      </c>
      <c r="L85" s="72"/>
      <c r="M85" s="72"/>
      <c r="N85" s="72"/>
      <c r="O85" s="72"/>
      <c r="P85" s="72">
        <v>1</v>
      </c>
      <c r="Q85" s="72"/>
      <c r="R85" s="67"/>
      <c r="S85" s="952"/>
      <c r="T85" s="952"/>
      <c r="U85" s="72"/>
      <c r="V85" s="72"/>
      <c r="W85" s="72"/>
      <c r="X85" s="72"/>
      <c r="Y85" s="72"/>
      <c r="Z85" s="72"/>
      <c r="AA85" s="72"/>
      <c r="AB85" s="72"/>
      <c r="AC85" s="72"/>
      <c r="AD85" s="72">
        <v>1</v>
      </c>
      <c r="AE85" s="72"/>
      <c r="AF85" s="72"/>
      <c r="AG85" s="72"/>
      <c r="AH85" s="72"/>
      <c r="AI85" s="72"/>
      <c r="AJ85" s="72">
        <v>1</v>
      </c>
      <c r="AK85" s="72"/>
      <c r="AL85" s="72"/>
      <c r="AM85" s="72"/>
      <c r="AN85" s="72"/>
      <c r="AO85" s="72"/>
      <c r="AP85" s="72"/>
      <c r="AQ85" s="72"/>
      <c r="AR85" s="72">
        <f t="shared" si="8"/>
        <v>0</v>
      </c>
      <c r="AS85" s="72">
        <f t="shared" si="9"/>
        <v>0</v>
      </c>
      <c r="AT85" s="72"/>
      <c r="AU85" s="72"/>
      <c r="AV85" s="72"/>
      <c r="AW85" s="72"/>
      <c r="AX85" s="72"/>
      <c r="AY85" s="72"/>
      <c r="AZ85" s="72"/>
      <c r="BA85" s="72"/>
      <c r="BB85" s="72"/>
      <c r="BC85" s="72"/>
      <c r="BD85" s="72"/>
      <c r="BE85" s="72"/>
      <c r="BF85" s="72"/>
      <c r="BG85" s="72"/>
      <c r="BH85" s="72">
        <v>1</v>
      </c>
      <c r="BI85" s="72"/>
      <c r="BJ85" s="72"/>
      <c r="BK85" s="72">
        <f t="shared" si="11"/>
        <v>0</v>
      </c>
      <c r="BL85" s="72"/>
      <c r="BM85" s="72"/>
    </row>
    <row r="86" spans="1:66" s="953" customFormat="1">
      <c r="A86" s="944" t="s">
        <v>5842</v>
      </c>
      <c r="B86" s="954" t="s">
        <v>3120</v>
      </c>
      <c r="C86" s="960">
        <v>35</v>
      </c>
      <c r="D86" s="76"/>
      <c r="E86" s="72"/>
      <c r="F86" s="72"/>
      <c r="G86" s="72">
        <f t="shared" si="10"/>
        <v>35</v>
      </c>
      <c r="H86" s="72"/>
      <c r="I86" s="72"/>
      <c r="J86" s="72"/>
      <c r="K86" s="72">
        <v>1</v>
      </c>
      <c r="L86" s="72"/>
      <c r="M86" s="72"/>
      <c r="N86" s="72"/>
      <c r="O86" s="72"/>
      <c r="P86" s="72">
        <v>1</v>
      </c>
      <c r="Q86" s="72"/>
      <c r="R86" s="67"/>
      <c r="S86" s="952"/>
      <c r="T86" s="952"/>
      <c r="U86" s="72"/>
      <c r="V86" s="72"/>
      <c r="W86" s="72"/>
      <c r="X86" s="72"/>
      <c r="Y86" s="72"/>
      <c r="Z86" s="72"/>
      <c r="AA86" s="72"/>
      <c r="AB86" s="72"/>
      <c r="AC86" s="72"/>
      <c r="AD86" s="72">
        <v>1</v>
      </c>
      <c r="AE86" s="72"/>
      <c r="AF86" s="72"/>
      <c r="AG86" s="72"/>
      <c r="AH86" s="72"/>
      <c r="AI86" s="72"/>
      <c r="AJ86" s="72">
        <v>1</v>
      </c>
      <c r="AK86" s="72"/>
      <c r="AL86" s="72"/>
      <c r="AM86" s="72"/>
      <c r="AN86" s="72"/>
      <c r="AO86" s="72"/>
      <c r="AP86" s="72"/>
      <c r="AQ86" s="72"/>
      <c r="AR86" s="72">
        <f t="shared" si="8"/>
        <v>0</v>
      </c>
      <c r="AS86" s="72">
        <f t="shared" si="9"/>
        <v>0</v>
      </c>
      <c r="AT86" s="72"/>
      <c r="AU86" s="72"/>
      <c r="AV86" s="72"/>
      <c r="AW86" s="72"/>
      <c r="AX86" s="72"/>
      <c r="AY86" s="72"/>
      <c r="AZ86" s="72"/>
      <c r="BA86" s="72"/>
      <c r="BB86" s="72"/>
      <c r="BC86" s="72"/>
      <c r="BD86" s="72"/>
      <c r="BE86" s="72"/>
      <c r="BF86" s="72"/>
      <c r="BG86" s="72"/>
      <c r="BH86" s="72">
        <v>1</v>
      </c>
      <c r="BI86" s="72"/>
      <c r="BJ86" s="72"/>
      <c r="BK86" s="72">
        <f t="shared" si="11"/>
        <v>0</v>
      </c>
      <c r="BL86" s="72"/>
      <c r="BM86" s="72"/>
    </row>
    <row r="87" spans="1:66" s="953" customFormat="1">
      <c r="A87" s="944" t="s">
        <v>5843</v>
      </c>
      <c r="B87" s="954" t="s">
        <v>3120</v>
      </c>
      <c r="C87" s="960">
        <v>35</v>
      </c>
      <c r="D87" s="76"/>
      <c r="E87" s="72"/>
      <c r="F87" s="72"/>
      <c r="G87" s="72">
        <f t="shared" si="10"/>
        <v>35</v>
      </c>
      <c r="H87" s="72"/>
      <c r="I87" s="72"/>
      <c r="J87" s="72"/>
      <c r="K87" s="72">
        <v>1</v>
      </c>
      <c r="L87" s="72"/>
      <c r="M87" s="72"/>
      <c r="N87" s="72"/>
      <c r="O87" s="72"/>
      <c r="P87" s="72">
        <v>1</v>
      </c>
      <c r="Q87" s="72"/>
      <c r="R87" s="67"/>
      <c r="S87" s="952"/>
      <c r="T87" s="952"/>
      <c r="U87" s="72"/>
      <c r="V87" s="72"/>
      <c r="W87" s="72"/>
      <c r="X87" s="72"/>
      <c r="Y87" s="72"/>
      <c r="Z87" s="72"/>
      <c r="AA87" s="72"/>
      <c r="AB87" s="72"/>
      <c r="AC87" s="72"/>
      <c r="AD87" s="72">
        <v>1</v>
      </c>
      <c r="AE87" s="72"/>
      <c r="AF87" s="72"/>
      <c r="AG87" s="72"/>
      <c r="AH87" s="72"/>
      <c r="AI87" s="72"/>
      <c r="AJ87" s="72">
        <v>1</v>
      </c>
      <c r="AK87" s="72"/>
      <c r="AL87" s="72"/>
      <c r="AM87" s="72"/>
      <c r="AN87" s="72"/>
      <c r="AO87" s="72"/>
      <c r="AP87" s="72"/>
      <c r="AQ87" s="72"/>
      <c r="AR87" s="72">
        <f t="shared" si="8"/>
        <v>0</v>
      </c>
      <c r="AS87" s="72">
        <f t="shared" si="9"/>
        <v>0</v>
      </c>
      <c r="AT87" s="72"/>
      <c r="AU87" s="72"/>
      <c r="AV87" s="72"/>
      <c r="AW87" s="72"/>
      <c r="AX87" s="72"/>
      <c r="AY87" s="72"/>
      <c r="AZ87" s="72"/>
      <c r="BA87" s="72"/>
      <c r="BB87" s="72"/>
      <c r="BC87" s="72"/>
      <c r="BD87" s="72"/>
      <c r="BE87" s="72"/>
      <c r="BF87" s="72"/>
      <c r="BG87" s="72"/>
      <c r="BH87" s="72">
        <v>1</v>
      </c>
      <c r="BI87" s="72"/>
      <c r="BJ87" s="72"/>
      <c r="BK87" s="72">
        <f t="shared" si="11"/>
        <v>0</v>
      </c>
      <c r="BL87" s="72"/>
      <c r="BM87" s="72"/>
    </row>
    <row r="88" spans="1:66" s="953" customFormat="1">
      <c r="A88" s="944" t="s">
        <v>720</v>
      </c>
      <c r="B88" s="954" t="s">
        <v>3120</v>
      </c>
      <c r="C88" s="960">
        <v>35</v>
      </c>
      <c r="D88" s="76"/>
      <c r="E88" s="72"/>
      <c r="F88" s="72"/>
      <c r="G88" s="72">
        <f t="shared" si="10"/>
        <v>35</v>
      </c>
      <c r="H88" s="72"/>
      <c r="I88" s="72"/>
      <c r="J88" s="72"/>
      <c r="K88" s="72"/>
      <c r="L88" s="72">
        <v>1</v>
      </c>
      <c r="M88" s="72"/>
      <c r="N88" s="72"/>
      <c r="O88" s="72"/>
      <c r="P88" s="72">
        <v>1</v>
      </c>
      <c r="Q88" s="72"/>
      <c r="R88" s="67"/>
      <c r="S88" s="952"/>
      <c r="T88" s="952"/>
      <c r="U88" s="72"/>
      <c r="V88" s="72"/>
      <c r="W88" s="72"/>
      <c r="X88" s="72"/>
      <c r="Y88" s="72"/>
      <c r="Z88" s="72"/>
      <c r="AA88" s="72"/>
      <c r="AB88" s="72"/>
      <c r="AC88" s="72"/>
      <c r="AD88" s="72">
        <v>1</v>
      </c>
      <c r="AE88" s="72"/>
      <c r="AF88" s="72"/>
      <c r="AG88" s="72"/>
      <c r="AH88" s="72"/>
      <c r="AI88" s="72"/>
      <c r="AJ88" s="72">
        <v>1</v>
      </c>
      <c r="AK88" s="72"/>
      <c r="AL88" s="72"/>
      <c r="AM88" s="72"/>
      <c r="AN88" s="72"/>
      <c r="AO88" s="72"/>
      <c r="AP88" s="72"/>
      <c r="AQ88" s="72"/>
      <c r="AR88" s="72">
        <f t="shared" si="8"/>
        <v>0</v>
      </c>
      <c r="AS88" s="72">
        <f t="shared" si="9"/>
        <v>0</v>
      </c>
      <c r="AT88" s="72"/>
      <c r="AU88" s="72"/>
      <c r="AV88" s="72"/>
      <c r="AW88" s="72"/>
      <c r="AX88" s="72"/>
      <c r="AY88" s="72"/>
      <c r="AZ88" s="72"/>
      <c r="BA88" s="72"/>
      <c r="BB88" s="72"/>
      <c r="BC88" s="72"/>
      <c r="BD88" s="72"/>
      <c r="BE88" s="72"/>
      <c r="BF88" s="72"/>
      <c r="BG88" s="72"/>
      <c r="BH88" s="72">
        <v>1</v>
      </c>
      <c r="BI88" s="72"/>
      <c r="BJ88" s="72"/>
      <c r="BK88" s="72">
        <f t="shared" si="11"/>
        <v>1</v>
      </c>
      <c r="BL88" s="72"/>
      <c r="BM88" s="72"/>
    </row>
    <row r="89" spans="1:66" s="953" customFormat="1">
      <c r="A89" s="944" t="s">
        <v>721</v>
      </c>
      <c r="B89" s="954" t="s">
        <v>3120</v>
      </c>
      <c r="C89" s="960">
        <v>35</v>
      </c>
      <c r="D89" s="76"/>
      <c r="E89" s="72"/>
      <c r="F89" s="72"/>
      <c r="G89" s="72">
        <f t="shared" si="10"/>
        <v>35</v>
      </c>
      <c r="H89" s="72"/>
      <c r="I89" s="72"/>
      <c r="J89" s="72"/>
      <c r="K89" s="72">
        <v>1</v>
      </c>
      <c r="L89" s="72"/>
      <c r="M89" s="72"/>
      <c r="N89" s="72"/>
      <c r="O89" s="72"/>
      <c r="P89" s="72">
        <v>1</v>
      </c>
      <c r="Q89" s="72"/>
      <c r="R89" s="67"/>
      <c r="S89" s="952"/>
      <c r="T89" s="952"/>
      <c r="U89" s="72"/>
      <c r="V89" s="72"/>
      <c r="W89" s="72"/>
      <c r="X89" s="72"/>
      <c r="Y89" s="72"/>
      <c r="Z89" s="72"/>
      <c r="AA89" s="72"/>
      <c r="AB89" s="72"/>
      <c r="AC89" s="72"/>
      <c r="AD89" s="72">
        <v>1</v>
      </c>
      <c r="AE89" s="72"/>
      <c r="AF89" s="72"/>
      <c r="AG89" s="72"/>
      <c r="AH89" s="72"/>
      <c r="AI89" s="72"/>
      <c r="AJ89" s="72">
        <v>1</v>
      </c>
      <c r="AK89" s="72"/>
      <c r="AL89" s="72"/>
      <c r="AM89" s="72"/>
      <c r="AN89" s="72"/>
      <c r="AO89" s="72"/>
      <c r="AP89" s="72"/>
      <c r="AQ89" s="72"/>
      <c r="AR89" s="72">
        <f t="shared" ref="AR89:AR94" si="12">IF(S89=1,2,0)</f>
        <v>0</v>
      </c>
      <c r="AS89" s="72">
        <f t="shared" ref="AS89:AS94" si="13">IF(S89=1,1,0)</f>
        <v>0</v>
      </c>
      <c r="AT89" s="72"/>
      <c r="AU89" s="72"/>
      <c r="AV89" s="72"/>
      <c r="AW89" s="72"/>
      <c r="AX89" s="72"/>
      <c r="AY89" s="72"/>
      <c r="AZ89" s="72"/>
      <c r="BA89" s="72"/>
      <c r="BB89" s="72"/>
      <c r="BC89" s="72"/>
      <c r="BD89" s="72"/>
      <c r="BE89" s="72"/>
      <c r="BF89" s="72"/>
      <c r="BG89" s="72"/>
      <c r="BH89" s="72">
        <v>1</v>
      </c>
      <c r="BI89" s="72"/>
      <c r="BJ89" s="72"/>
      <c r="BK89" s="72">
        <f t="shared" si="11"/>
        <v>0</v>
      </c>
      <c r="BL89" s="72"/>
      <c r="BM89" s="72"/>
    </row>
    <row r="90" spans="1:66" s="953" customFormat="1">
      <c r="A90" s="944" t="s">
        <v>722</v>
      </c>
      <c r="B90" s="954" t="s">
        <v>3122</v>
      </c>
      <c r="C90" s="960">
        <v>35</v>
      </c>
      <c r="D90" s="76"/>
      <c r="E90" s="72"/>
      <c r="F90" s="72"/>
      <c r="G90" s="72">
        <f t="shared" si="10"/>
        <v>35</v>
      </c>
      <c r="H90" s="72"/>
      <c r="I90" s="72"/>
      <c r="J90" s="72"/>
      <c r="K90" s="72">
        <v>2</v>
      </c>
      <c r="L90" s="72"/>
      <c r="M90" s="72"/>
      <c r="N90" s="72"/>
      <c r="O90" s="72"/>
      <c r="P90" s="72"/>
      <c r="Q90" s="72"/>
      <c r="R90" s="67"/>
      <c r="S90" s="952">
        <v>1</v>
      </c>
      <c r="T90" s="952"/>
      <c r="U90" s="72"/>
      <c r="V90" s="72"/>
      <c r="W90" s="72"/>
      <c r="X90" s="72"/>
      <c r="Y90" s="72"/>
      <c r="Z90" s="72"/>
      <c r="AA90" s="72"/>
      <c r="AB90" s="72"/>
      <c r="AC90" s="72"/>
      <c r="AD90" s="72"/>
      <c r="AE90" s="72"/>
      <c r="AF90" s="72"/>
      <c r="AG90" s="72">
        <v>2</v>
      </c>
      <c r="AH90" s="72"/>
      <c r="AI90" s="72"/>
      <c r="AJ90" s="72"/>
      <c r="AK90" s="72"/>
      <c r="AL90" s="72"/>
      <c r="AM90" s="72">
        <v>2</v>
      </c>
      <c r="AN90" s="72"/>
      <c r="AO90" s="72"/>
      <c r="AP90" s="72"/>
      <c r="AQ90" s="72"/>
      <c r="AR90" s="72">
        <f t="shared" si="12"/>
        <v>2</v>
      </c>
      <c r="AS90" s="72">
        <f t="shared" si="13"/>
        <v>1</v>
      </c>
      <c r="AT90" s="72"/>
      <c r="AU90" s="72"/>
      <c r="AV90" s="72"/>
      <c r="AW90" s="72"/>
      <c r="AX90" s="72"/>
      <c r="AY90" s="72"/>
      <c r="AZ90" s="72"/>
      <c r="BA90" s="72"/>
      <c r="BB90" s="72"/>
      <c r="BC90" s="72"/>
      <c r="BD90" s="72"/>
      <c r="BE90" s="72"/>
      <c r="BF90" s="72"/>
      <c r="BG90" s="72"/>
      <c r="BH90" s="72">
        <v>1</v>
      </c>
      <c r="BI90" s="72"/>
      <c r="BJ90" s="72"/>
      <c r="BK90" s="72">
        <f t="shared" si="11"/>
        <v>0</v>
      </c>
      <c r="BL90" s="72"/>
      <c r="BM90" s="72"/>
    </row>
    <row r="91" spans="1:66" s="953" customFormat="1">
      <c r="A91" s="944" t="s">
        <v>723</v>
      </c>
      <c r="B91" s="954" t="s">
        <v>3120</v>
      </c>
      <c r="C91" s="960">
        <v>35</v>
      </c>
      <c r="D91" s="76"/>
      <c r="E91" s="72"/>
      <c r="F91" s="72"/>
      <c r="G91" s="72">
        <f t="shared" si="10"/>
        <v>35</v>
      </c>
      <c r="H91" s="72"/>
      <c r="I91" s="72"/>
      <c r="J91" s="72"/>
      <c r="K91" s="72">
        <v>1</v>
      </c>
      <c r="L91" s="72"/>
      <c r="M91" s="72"/>
      <c r="N91" s="72"/>
      <c r="O91" s="72"/>
      <c r="P91" s="72">
        <v>1</v>
      </c>
      <c r="Q91" s="72"/>
      <c r="R91" s="67"/>
      <c r="S91" s="952"/>
      <c r="T91" s="952"/>
      <c r="U91" s="72"/>
      <c r="V91" s="72"/>
      <c r="W91" s="72"/>
      <c r="X91" s="72"/>
      <c r="Y91" s="72"/>
      <c r="Z91" s="72"/>
      <c r="AA91" s="72"/>
      <c r="AB91" s="72"/>
      <c r="AC91" s="72"/>
      <c r="AD91" s="72">
        <v>1</v>
      </c>
      <c r="AE91" s="72"/>
      <c r="AF91" s="72"/>
      <c r="AG91" s="72"/>
      <c r="AH91" s="72"/>
      <c r="AI91" s="72"/>
      <c r="AJ91" s="72">
        <v>1</v>
      </c>
      <c r="AK91" s="72"/>
      <c r="AL91" s="72"/>
      <c r="AM91" s="72"/>
      <c r="AN91" s="72"/>
      <c r="AO91" s="72"/>
      <c r="AP91" s="72"/>
      <c r="AQ91" s="72"/>
      <c r="AR91" s="72">
        <f t="shared" si="12"/>
        <v>0</v>
      </c>
      <c r="AS91" s="72">
        <f t="shared" si="13"/>
        <v>0</v>
      </c>
      <c r="AT91" s="72"/>
      <c r="AU91" s="72"/>
      <c r="AV91" s="72"/>
      <c r="AW91" s="72"/>
      <c r="AX91" s="72"/>
      <c r="AY91" s="72"/>
      <c r="AZ91" s="72"/>
      <c r="BA91" s="72"/>
      <c r="BB91" s="72"/>
      <c r="BC91" s="72"/>
      <c r="BD91" s="72"/>
      <c r="BE91" s="72"/>
      <c r="BF91" s="72"/>
      <c r="BG91" s="72"/>
      <c r="BH91" s="72">
        <v>1</v>
      </c>
      <c r="BI91" s="72"/>
      <c r="BJ91" s="72"/>
      <c r="BK91" s="72">
        <f t="shared" si="11"/>
        <v>0</v>
      </c>
      <c r="BL91" s="72"/>
      <c r="BM91" s="72"/>
    </row>
    <row r="92" spans="1:66" s="953" customFormat="1">
      <c r="A92" s="944" t="s">
        <v>724</v>
      </c>
      <c r="B92" s="954" t="s">
        <v>3120</v>
      </c>
      <c r="C92" s="960">
        <v>35</v>
      </c>
      <c r="D92" s="76"/>
      <c r="E92" s="72"/>
      <c r="F92" s="72"/>
      <c r="G92" s="72">
        <f t="shared" si="10"/>
        <v>35</v>
      </c>
      <c r="H92" s="72"/>
      <c r="I92" s="72"/>
      <c r="J92" s="72"/>
      <c r="K92" s="72">
        <v>1</v>
      </c>
      <c r="L92" s="72"/>
      <c r="M92" s="72"/>
      <c r="N92" s="72"/>
      <c r="O92" s="72"/>
      <c r="P92" s="72">
        <v>1</v>
      </c>
      <c r="Q92" s="72"/>
      <c r="R92" s="67"/>
      <c r="S92" s="952"/>
      <c r="T92" s="952"/>
      <c r="U92" s="72"/>
      <c r="V92" s="72"/>
      <c r="W92" s="72"/>
      <c r="X92" s="72"/>
      <c r="Y92" s="72"/>
      <c r="Z92" s="72"/>
      <c r="AA92" s="72"/>
      <c r="AB92" s="72"/>
      <c r="AC92" s="72"/>
      <c r="AD92" s="72">
        <v>1</v>
      </c>
      <c r="AE92" s="72"/>
      <c r="AF92" s="72"/>
      <c r="AG92" s="72"/>
      <c r="AH92" s="72"/>
      <c r="AI92" s="72"/>
      <c r="AJ92" s="72">
        <v>1</v>
      </c>
      <c r="AK92" s="72"/>
      <c r="AL92" s="72"/>
      <c r="AM92" s="72"/>
      <c r="AN92" s="72"/>
      <c r="AO92" s="72"/>
      <c r="AP92" s="72"/>
      <c r="AQ92" s="72"/>
      <c r="AR92" s="72">
        <f t="shared" si="12"/>
        <v>0</v>
      </c>
      <c r="AS92" s="72">
        <f t="shared" si="13"/>
        <v>0</v>
      </c>
      <c r="AT92" s="72"/>
      <c r="AU92" s="72"/>
      <c r="AV92" s="72"/>
      <c r="AW92" s="72"/>
      <c r="AX92" s="72"/>
      <c r="AY92" s="72"/>
      <c r="AZ92" s="72"/>
      <c r="BA92" s="72"/>
      <c r="BB92" s="72"/>
      <c r="BC92" s="72"/>
      <c r="BD92" s="72"/>
      <c r="BE92" s="72"/>
      <c r="BF92" s="72"/>
      <c r="BG92" s="72"/>
      <c r="BH92" s="72">
        <v>1</v>
      </c>
      <c r="BI92" s="72"/>
      <c r="BJ92" s="72"/>
      <c r="BK92" s="72">
        <f t="shared" si="11"/>
        <v>0</v>
      </c>
      <c r="BL92" s="72"/>
      <c r="BM92" s="72"/>
    </row>
    <row r="93" spans="1:66" s="953" customFormat="1">
      <c r="A93" s="944" t="s">
        <v>725</v>
      </c>
      <c r="B93" s="954" t="s">
        <v>3124</v>
      </c>
      <c r="C93" s="960">
        <v>35</v>
      </c>
      <c r="D93" s="76"/>
      <c r="E93" s="72"/>
      <c r="F93" s="72"/>
      <c r="G93" s="72">
        <f t="shared" si="10"/>
        <v>35</v>
      </c>
      <c r="H93" s="72"/>
      <c r="I93" s="72"/>
      <c r="J93" s="72"/>
      <c r="K93" s="72">
        <v>1</v>
      </c>
      <c r="L93" s="72">
        <v>1</v>
      </c>
      <c r="M93" s="72"/>
      <c r="N93" s="72"/>
      <c r="O93" s="72"/>
      <c r="P93" s="72"/>
      <c r="Q93" s="72"/>
      <c r="R93" s="67"/>
      <c r="S93" s="952">
        <v>1</v>
      </c>
      <c r="T93" s="952"/>
      <c r="U93" s="72"/>
      <c r="V93" s="72"/>
      <c r="W93" s="72"/>
      <c r="X93" s="72"/>
      <c r="Y93" s="72"/>
      <c r="Z93" s="72"/>
      <c r="AA93" s="72"/>
      <c r="AB93" s="72"/>
      <c r="AC93" s="72"/>
      <c r="AD93" s="72"/>
      <c r="AE93" s="72"/>
      <c r="AF93" s="72"/>
      <c r="AG93" s="72">
        <v>1</v>
      </c>
      <c r="AH93" s="72"/>
      <c r="AI93" s="72">
        <v>3</v>
      </c>
      <c r="AJ93" s="72"/>
      <c r="AK93" s="72"/>
      <c r="AL93" s="72"/>
      <c r="AM93" s="72">
        <v>1</v>
      </c>
      <c r="AN93" s="72"/>
      <c r="AO93" s="72"/>
      <c r="AP93" s="72"/>
      <c r="AQ93" s="72"/>
      <c r="AR93" s="72">
        <f t="shared" si="12"/>
        <v>2</v>
      </c>
      <c r="AS93" s="72">
        <f t="shared" si="13"/>
        <v>1</v>
      </c>
      <c r="AT93" s="72"/>
      <c r="AU93" s="72"/>
      <c r="AV93" s="72"/>
      <c r="AW93" s="72"/>
      <c r="AX93" s="72"/>
      <c r="AY93" s="72"/>
      <c r="AZ93" s="72"/>
      <c r="BA93" s="72"/>
      <c r="BB93" s="72"/>
      <c r="BC93" s="72"/>
      <c r="BD93" s="72"/>
      <c r="BE93" s="72"/>
      <c r="BF93" s="72"/>
      <c r="BG93" s="72"/>
      <c r="BH93" s="72">
        <v>1</v>
      </c>
      <c r="BI93" s="72"/>
      <c r="BJ93" s="72"/>
      <c r="BK93" s="72">
        <f t="shared" si="11"/>
        <v>1</v>
      </c>
      <c r="BL93" s="72"/>
      <c r="BM93" s="72"/>
    </row>
    <row r="94" spans="1:66" s="953" customFormat="1">
      <c r="A94" s="944"/>
      <c r="B94" s="952"/>
      <c r="C94" s="961"/>
      <c r="D94" s="1485"/>
      <c r="E94" s="67"/>
      <c r="F94" s="72"/>
      <c r="G94" s="67"/>
      <c r="H94" s="67"/>
      <c r="I94" s="67"/>
      <c r="J94" s="67"/>
      <c r="K94" s="67"/>
      <c r="L94" s="67"/>
      <c r="M94" s="67"/>
      <c r="N94" s="67"/>
      <c r="O94" s="67"/>
      <c r="P94" s="67"/>
      <c r="Q94" s="67"/>
      <c r="R94" s="67"/>
      <c r="S94" s="952"/>
      <c r="T94" s="952"/>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72">
        <f t="shared" si="12"/>
        <v>0</v>
      </c>
      <c r="AS94" s="72">
        <f t="shared" si="13"/>
        <v>0</v>
      </c>
      <c r="AT94" s="67"/>
      <c r="AU94" s="67"/>
      <c r="AV94" s="67"/>
      <c r="AW94" s="67"/>
      <c r="AX94" s="67"/>
      <c r="AY94" s="67"/>
      <c r="AZ94" s="67"/>
      <c r="BA94" s="67"/>
      <c r="BB94" s="67"/>
      <c r="BC94" s="67"/>
      <c r="BD94" s="67"/>
      <c r="BE94" s="67"/>
      <c r="BF94" s="67"/>
      <c r="BG94" s="72"/>
      <c r="BH94" s="67"/>
      <c r="BI94" s="67"/>
      <c r="BJ94" s="67"/>
      <c r="BK94" s="72"/>
      <c r="BL94" s="67"/>
      <c r="BM94" s="67"/>
    </row>
    <row r="95" spans="1:66">
      <c r="A95" s="959" t="s">
        <v>717</v>
      </c>
      <c r="B95" s="952"/>
      <c r="C95" s="961"/>
      <c r="D95" s="962"/>
      <c r="E95" s="962"/>
      <c r="F95" s="962"/>
      <c r="G95" s="962"/>
      <c r="H95" s="952"/>
      <c r="I95" s="952"/>
      <c r="J95" s="952"/>
      <c r="K95" s="952"/>
      <c r="L95" s="952"/>
      <c r="M95" s="952"/>
      <c r="N95" s="952"/>
      <c r="O95" s="952"/>
      <c r="P95" s="952"/>
      <c r="Q95" s="952"/>
      <c r="R95" s="952"/>
      <c r="S95" s="952">
        <f>IF(SUM(K95:L95)=2,1,0)</f>
        <v>0</v>
      </c>
      <c r="T95" s="952">
        <f>IF(SUM(K95:L95)=1,1,0)</f>
        <v>0</v>
      </c>
      <c r="U95" s="952"/>
      <c r="V95" s="952"/>
      <c r="W95" s="952"/>
      <c r="X95" s="952"/>
      <c r="Y95" s="952"/>
      <c r="Z95" s="952"/>
      <c r="AA95" s="952"/>
      <c r="AB95" s="952"/>
      <c r="AC95" s="952"/>
      <c r="AD95" s="952"/>
      <c r="AE95" s="952"/>
      <c r="AF95" s="952"/>
      <c r="AG95" s="952"/>
      <c r="AH95" s="952"/>
      <c r="AI95" s="952"/>
      <c r="AJ95" s="952"/>
      <c r="AK95" s="952"/>
      <c r="AL95" s="952"/>
      <c r="AM95" s="952"/>
      <c r="AN95" s="952"/>
      <c r="AO95" s="952"/>
      <c r="AP95" s="952"/>
      <c r="AQ95" s="952"/>
      <c r="AR95" s="72">
        <f t="shared" ref="AR95:AR105" si="14">IF(S95=1,2,0)</f>
        <v>0</v>
      </c>
      <c r="AS95" s="72">
        <f t="shared" ref="AS95:AS105" si="15">IF(S95=1,1,0)</f>
        <v>0</v>
      </c>
      <c r="AT95" s="952"/>
      <c r="AU95" s="952"/>
      <c r="AV95" s="952"/>
      <c r="AW95" s="952"/>
      <c r="AX95" s="952"/>
      <c r="AY95" s="952"/>
      <c r="AZ95" s="952"/>
      <c r="BA95" s="952"/>
      <c r="BB95" s="952"/>
      <c r="BC95" s="952"/>
      <c r="BD95" s="952"/>
      <c r="BE95" s="952"/>
      <c r="BF95" s="952"/>
      <c r="BG95" s="72">
        <v>0</v>
      </c>
      <c r="BH95" s="67"/>
      <c r="BI95" s="952"/>
      <c r="BJ95" s="952"/>
      <c r="BK95" s="952"/>
      <c r="BL95" s="952"/>
      <c r="BM95" s="952"/>
    </row>
    <row r="96" spans="1:66" s="953" customFormat="1">
      <c r="A96" s="1487" t="s">
        <v>4541</v>
      </c>
      <c r="B96" s="954"/>
      <c r="C96" s="960"/>
      <c r="D96" s="72"/>
      <c r="E96" s="72"/>
      <c r="F96" s="962"/>
      <c r="G96" s="72">
        <v>10</v>
      </c>
      <c r="H96" s="72"/>
      <c r="I96" s="72"/>
      <c r="J96" s="72"/>
      <c r="K96" s="72"/>
      <c r="L96" s="72"/>
      <c r="M96" s="72"/>
      <c r="N96" s="72"/>
      <c r="O96" s="72"/>
      <c r="P96" s="72"/>
      <c r="Q96" s="72"/>
      <c r="R96" s="67"/>
      <c r="S96" s="952">
        <f t="shared" ref="S96:S102" si="16">IF(SUM(K96:L96)=2,1,0)</f>
        <v>0</v>
      </c>
      <c r="T96" s="952">
        <f>IF(SUM(K96:L96)=1,1,0)</f>
        <v>0</v>
      </c>
      <c r="U96" s="72"/>
      <c r="V96" s="72"/>
      <c r="W96" s="72"/>
      <c r="X96" s="72"/>
      <c r="Y96" s="72"/>
      <c r="Z96" s="72"/>
      <c r="AA96" s="72"/>
      <c r="AB96" s="72"/>
      <c r="AC96" s="72"/>
      <c r="AD96" s="72"/>
      <c r="AE96" s="72"/>
      <c r="AF96" s="72"/>
      <c r="AG96" s="72">
        <v>1</v>
      </c>
      <c r="AH96" s="72"/>
      <c r="AI96" s="72"/>
      <c r="AJ96" s="72"/>
      <c r="AK96" s="72"/>
      <c r="AL96" s="72"/>
      <c r="AM96" s="72"/>
      <c r="AN96" s="72">
        <v>1</v>
      </c>
      <c r="AO96" s="72"/>
      <c r="AP96" s="72"/>
      <c r="AQ96" s="72"/>
      <c r="AR96" s="72">
        <f t="shared" si="14"/>
        <v>0</v>
      </c>
      <c r="AS96" s="72">
        <f t="shared" si="15"/>
        <v>0</v>
      </c>
      <c r="AT96" s="72"/>
      <c r="AU96" s="72"/>
      <c r="AV96" s="72"/>
      <c r="AW96" s="72"/>
      <c r="AX96" s="72"/>
      <c r="AY96" s="72">
        <v>2</v>
      </c>
      <c r="AZ96" s="72"/>
      <c r="BA96" s="72"/>
      <c r="BB96" s="72">
        <v>3</v>
      </c>
      <c r="BC96" s="72"/>
      <c r="BD96" s="72"/>
      <c r="BE96" s="72"/>
      <c r="BF96" s="72"/>
      <c r="BG96" s="72"/>
      <c r="BH96" s="72">
        <v>1</v>
      </c>
      <c r="BI96" s="72"/>
      <c r="BJ96" s="72"/>
      <c r="BK96" s="72"/>
      <c r="BL96" s="72" t="s">
        <v>5819</v>
      </c>
      <c r="BM96" s="72" t="s">
        <v>5921</v>
      </c>
      <c r="BN96" s="38"/>
    </row>
    <row r="97" spans="1:66" s="953" customFormat="1">
      <c r="A97" s="944" t="s">
        <v>5512</v>
      </c>
      <c r="B97" s="954" t="s">
        <v>3120</v>
      </c>
      <c r="C97" s="960">
        <v>32</v>
      </c>
      <c r="D97" s="76"/>
      <c r="E97" s="72"/>
      <c r="F97" s="962"/>
      <c r="G97" s="72">
        <f t="shared" ref="G97:G102" si="17">C97</f>
        <v>32</v>
      </c>
      <c r="H97" s="72"/>
      <c r="I97" s="72"/>
      <c r="J97" s="72"/>
      <c r="K97" s="72">
        <v>1</v>
      </c>
      <c r="L97" s="72"/>
      <c r="M97" s="72"/>
      <c r="N97" s="72"/>
      <c r="O97" s="72"/>
      <c r="P97" s="72">
        <v>1</v>
      </c>
      <c r="Q97" s="72"/>
      <c r="R97" s="67"/>
      <c r="S97" s="952">
        <f t="shared" si="16"/>
        <v>0</v>
      </c>
      <c r="T97" s="952"/>
      <c r="U97" s="72"/>
      <c r="V97" s="72"/>
      <c r="W97" s="72"/>
      <c r="X97" s="72"/>
      <c r="Y97" s="72"/>
      <c r="Z97" s="72"/>
      <c r="AA97" s="72"/>
      <c r="AB97" s="72"/>
      <c r="AC97" s="72"/>
      <c r="AD97" s="72">
        <v>1</v>
      </c>
      <c r="AE97" s="72"/>
      <c r="AF97" s="72"/>
      <c r="AG97" s="72"/>
      <c r="AH97" s="72"/>
      <c r="AI97" s="72"/>
      <c r="AJ97" s="72">
        <v>1</v>
      </c>
      <c r="AK97" s="72"/>
      <c r="AL97" s="72"/>
      <c r="AM97" s="72"/>
      <c r="AN97" s="72"/>
      <c r="AO97" s="72"/>
      <c r="AP97" s="72"/>
      <c r="AQ97" s="72"/>
      <c r="AR97" s="72">
        <f t="shared" si="14"/>
        <v>0</v>
      </c>
      <c r="AS97" s="72">
        <f t="shared" si="15"/>
        <v>0</v>
      </c>
      <c r="AT97" s="72"/>
      <c r="AU97" s="72"/>
      <c r="AV97" s="72"/>
      <c r="AW97" s="72"/>
      <c r="AX97" s="72"/>
      <c r="AY97" s="72"/>
      <c r="AZ97" s="72"/>
      <c r="BA97" s="72"/>
      <c r="BB97" s="72"/>
      <c r="BC97" s="72"/>
      <c r="BD97" s="72"/>
      <c r="BE97" s="72"/>
      <c r="BF97" s="72"/>
      <c r="BG97" s="72"/>
      <c r="BH97" s="72">
        <v>1</v>
      </c>
      <c r="BI97" s="72"/>
      <c r="BJ97" s="72"/>
      <c r="BK97" s="72"/>
      <c r="BL97" s="72"/>
      <c r="BM97" s="72"/>
    </row>
    <row r="98" spans="1:66" s="953" customFormat="1">
      <c r="A98" s="944" t="s">
        <v>4540</v>
      </c>
      <c r="B98" s="954" t="s">
        <v>3120</v>
      </c>
      <c r="C98" s="960">
        <v>33</v>
      </c>
      <c r="D98" s="76"/>
      <c r="E98" s="72"/>
      <c r="F98" s="962"/>
      <c r="G98" s="72">
        <f t="shared" si="17"/>
        <v>33</v>
      </c>
      <c r="H98" s="72"/>
      <c r="I98" s="72"/>
      <c r="J98" s="72"/>
      <c r="K98" s="72"/>
      <c r="L98" s="72"/>
      <c r="M98" s="72"/>
      <c r="N98" s="72"/>
      <c r="O98" s="72"/>
      <c r="P98" s="72"/>
      <c r="Q98" s="72"/>
      <c r="R98" s="67"/>
      <c r="S98" s="952">
        <f t="shared" si="16"/>
        <v>0</v>
      </c>
      <c r="T98" s="952"/>
      <c r="U98" s="72"/>
      <c r="V98" s="72"/>
      <c r="W98" s="72"/>
      <c r="X98" s="72"/>
      <c r="Y98" s="72"/>
      <c r="Z98" s="72"/>
      <c r="AA98" s="72"/>
      <c r="AB98" s="72"/>
      <c r="AC98" s="72"/>
      <c r="AD98" s="72">
        <v>1</v>
      </c>
      <c r="AE98" s="72"/>
      <c r="AF98" s="72"/>
      <c r="AG98" s="72"/>
      <c r="AH98" s="72"/>
      <c r="AI98" s="72"/>
      <c r="AJ98" s="72"/>
      <c r="AK98" s="72"/>
      <c r="AL98" s="72">
        <v>1</v>
      </c>
      <c r="AM98" s="72"/>
      <c r="AN98" s="72"/>
      <c r="AO98" s="72"/>
      <c r="AP98" s="72"/>
      <c r="AQ98" s="72"/>
      <c r="AR98" s="72">
        <f t="shared" si="14"/>
        <v>0</v>
      </c>
      <c r="AS98" s="72">
        <f t="shared" si="15"/>
        <v>0</v>
      </c>
      <c r="AT98" s="72"/>
      <c r="AU98" s="72"/>
      <c r="AV98" s="72"/>
      <c r="AW98" s="72"/>
      <c r="AX98" s="72"/>
      <c r="AY98" s="72"/>
      <c r="AZ98" s="72"/>
      <c r="BA98" s="72"/>
      <c r="BB98" s="72"/>
      <c r="BC98" s="72"/>
      <c r="BD98" s="72"/>
      <c r="BE98" s="72"/>
      <c r="BF98" s="72"/>
      <c r="BG98" s="72"/>
      <c r="BH98" s="72">
        <v>1</v>
      </c>
      <c r="BI98" s="72"/>
      <c r="BJ98" s="72"/>
      <c r="BK98" s="72"/>
      <c r="BL98" s="72"/>
      <c r="BM98" s="72"/>
    </row>
    <row r="99" spans="1:66" s="953" customFormat="1">
      <c r="A99" s="944" t="s">
        <v>5833</v>
      </c>
      <c r="B99" s="954" t="s">
        <v>3120</v>
      </c>
      <c r="C99" s="960">
        <v>32</v>
      </c>
      <c r="D99" s="76"/>
      <c r="E99" s="72"/>
      <c r="F99" s="962"/>
      <c r="G99" s="72">
        <f t="shared" si="17"/>
        <v>32</v>
      </c>
      <c r="H99" s="72"/>
      <c r="I99" s="72"/>
      <c r="J99" s="72"/>
      <c r="K99" s="72">
        <v>1</v>
      </c>
      <c r="L99" s="72"/>
      <c r="M99" s="72"/>
      <c r="N99" s="72"/>
      <c r="O99" s="72"/>
      <c r="P99" s="72">
        <v>1</v>
      </c>
      <c r="Q99" s="72"/>
      <c r="R99" s="67"/>
      <c r="S99" s="952">
        <f t="shared" si="16"/>
        <v>0</v>
      </c>
      <c r="T99" s="952"/>
      <c r="U99" s="72"/>
      <c r="V99" s="72"/>
      <c r="W99" s="72"/>
      <c r="X99" s="72"/>
      <c r="Y99" s="72"/>
      <c r="Z99" s="72"/>
      <c r="AA99" s="72"/>
      <c r="AB99" s="72"/>
      <c r="AC99" s="72"/>
      <c r="AD99" s="72">
        <v>1</v>
      </c>
      <c r="AE99" s="72"/>
      <c r="AF99" s="72"/>
      <c r="AG99" s="72"/>
      <c r="AH99" s="72"/>
      <c r="AI99" s="72"/>
      <c r="AJ99" s="72">
        <v>1</v>
      </c>
      <c r="AK99" s="72"/>
      <c r="AL99" s="72"/>
      <c r="AM99" s="72"/>
      <c r="AN99" s="72"/>
      <c r="AO99" s="72"/>
      <c r="AP99" s="72"/>
      <c r="AQ99" s="72"/>
      <c r="AR99" s="72">
        <f t="shared" si="14"/>
        <v>0</v>
      </c>
      <c r="AS99" s="72">
        <f t="shared" si="15"/>
        <v>0</v>
      </c>
      <c r="AT99" s="72"/>
      <c r="AU99" s="72"/>
      <c r="AV99" s="72"/>
      <c r="AW99" s="72"/>
      <c r="AX99" s="72"/>
      <c r="AY99" s="72"/>
      <c r="AZ99" s="72"/>
      <c r="BA99" s="72"/>
      <c r="BB99" s="72"/>
      <c r="BC99" s="72"/>
      <c r="BD99" s="72"/>
      <c r="BE99" s="72"/>
      <c r="BF99" s="72"/>
      <c r="BG99" s="72"/>
      <c r="BH99" s="72">
        <v>1</v>
      </c>
      <c r="BI99" s="72"/>
      <c r="BJ99" s="72"/>
      <c r="BK99" s="72"/>
      <c r="BL99" s="72"/>
      <c r="BM99" s="72"/>
      <c r="BN99" s="38"/>
    </row>
    <row r="100" spans="1:66" s="953" customFormat="1">
      <c r="A100" s="944" t="s">
        <v>4535</v>
      </c>
      <c r="B100" s="954" t="s">
        <v>3120</v>
      </c>
      <c r="C100" s="960">
        <v>33</v>
      </c>
      <c r="D100" s="76"/>
      <c r="E100" s="72"/>
      <c r="F100" s="962"/>
      <c r="G100" s="72">
        <f t="shared" si="17"/>
        <v>33</v>
      </c>
      <c r="H100" s="72"/>
      <c r="I100" s="72"/>
      <c r="J100" s="72"/>
      <c r="K100" s="72"/>
      <c r="L100" s="72"/>
      <c r="M100" s="72"/>
      <c r="N100" s="72"/>
      <c r="O100" s="72"/>
      <c r="P100" s="72"/>
      <c r="Q100" s="72"/>
      <c r="R100" s="67"/>
      <c r="S100" s="952">
        <f t="shared" si="16"/>
        <v>0</v>
      </c>
      <c r="T100" s="952"/>
      <c r="U100" s="72"/>
      <c r="V100" s="72"/>
      <c r="W100" s="72"/>
      <c r="X100" s="72"/>
      <c r="Y100" s="72"/>
      <c r="Z100" s="72"/>
      <c r="AA100" s="72"/>
      <c r="AB100" s="72"/>
      <c r="AC100" s="72"/>
      <c r="AD100" s="72">
        <v>1</v>
      </c>
      <c r="AE100" s="72"/>
      <c r="AF100" s="72"/>
      <c r="AG100" s="72"/>
      <c r="AH100" s="72"/>
      <c r="AI100" s="72"/>
      <c r="AJ100" s="72"/>
      <c r="AK100" s="72"/>
      <c r="AL100" s="72">
        <v>1</v>
      </c>
      <c r="AM100" s="72"/>
      <c r="AN100" s="72"/>
      <c r="AO100" s="72"/>
      <c r="AP100" s="72"/>
      <c r="AQ100" s="72"/>
      <c r="AR100" s="72">
        <f t="shared" si="14"/>
        <v>0</v>
      </c>
      <c r="AS100" s="72">
        <f t="shared" si="15"/>
        <v>0</v>
      </c>
      <c r="AT100" s="72"/>
      <c r="AU100" s="72"/>
      <c r="AV100" s="72"/>
      <c r="AW100" s="72"/>
      <c r="AX100" s="72"/>
      <c r="AY100" s="72"/>
      <c r="AZ100" s="72"/>
      <c r="BA100" s="72"/>
      <c r="BB100" s="72"/>
      <c r="BC100" s="72"/>
      <c r="BD100" s="72"/>
      <c r="BE100" s="72"/>
      <c r="BF100" s="72"/>
      <c r="BG100" s="72"/>
      <c r="BH100" s="72">
        <v>1</v>
      </c>
      <c r="BI100" s="72"/>
      <c r="BJ100" s="72"/>
      <c r="BK100" s="72"/>
      <c r="BL100" s="72">
        <v>1</v>
      </c>
      <c r="BM100" s="72"/>
    </row>
    <row r="101" spans="1:66" s="953" customFormat="1">
      <c r="A101" s="944" t="s">
        <v>5832</v>
      </c>
      <c r="B101" s="954" t="s">
        <v>3120</v>
      </c>
      <c r="C101" s="960">
        <v>32</v>
      </c>
      <c r="D101" s="76"/>
      <c r="E101" s="72"/>
      <c r="F101" s="962"/>
      <c r="G101" s="72">
        <f t="shared" si="17"/>
        <v>32</v>
      </c>
      <c r="H101" s="72"/>
      <c r="I101" s="72"/>
      <c r="J101" s="72"/>
      <c r="K101" s="72">
        <v>1</v>
      </c>
      <c r="L101" s="72"/>
      <c r="M101" s="72"/>
      <c r="N101" s="72"/>
      <c r="O101" s="72"/>
      <c r="P101" s="72">
        <v>1</v>
      </c>
      <c r="Q101" s="72"/>
      <c r="R101" s="67"/>
      <c r="S101" s="952">
        <f t="shared" si="16"/>
        <v>0</v>
      </c>
      <c r="T101" s="952"/>
      <c r="U101" s="72"/>
      <c r="V101" s="72"/>
      <c r="W101" s="72"/>
      <c r="X101" s="72"/>
      <c r="Y101" s="72"/>
      <c r="Z101" s="72"/>
      <c r="AA101" s="72"/>
      <c r="AB101" s="72"/>
      <c r="AC101" s="72"/>
      <c r="AD101" s="72"/>
      <c r="AE101" s="72"/>
      <c r="AF101" s="72"/>
      <c r="AG101" s="72">
        <v>2</v>
      </c>
      <c r="AH101" s="72"/>
      <c r="AI101" s="72">
        <v>3</v>
      </c>
      <c r="AJ101" s="72">
        <v>2</v>
      </c>
      <c r="AK101" s="72"/>
      <c r="AL101" s="72"/>
      <c r="AM101" s="72"/>
      <c r="AN101" s="72"/>
      <c r="AO101" s="72"/>
      <c r="AP101" s="72"/>
      <c r="AQ101" s="72"/>
      <c r="AR101" s="72">
        <f t="shared" si="14"/>
        <v>0</v>
      </c>
      <c r="AS101" s="72">
        <f t="shared" si="15"/>
        <v>0</v>
      </c>
      <c r="AT101" s="72"/>
      <c r="AU101" s="72"/>
      <c r="AV101" s="72"/>
      <c r="AW101" s="72"/>
      <c r="AX101" s="72"/>
      <c r="AY101" s="72"/>
      <c r="AZ101" s="72"/>
      <c r="BA101" s="72"/>
      <c r="BB101" s="72"/>
      <c r="BC101" s="72"/>
      <c r="BD101" s="72"/>
      <c r="BE101" s="72"/>
      <c r="BF101" s="72"/>
      <c r="BG101" s="72"/>
      <c r="BH101" s="72">
        <v>1</v>
      </c>
      <c r="BI101" s="72"/>
      <c r="BJ101" s="72"/>
      <c r="BK101" s="72"/>
      <c r="BL101" s="72"/>
      <c r="BM101" s="72"/>
    </row>
    <row r="102" spans="1:66" s="953" customFormat="1">
      <c r="A102" s="944" t="s">
        <v>4534</v>
      </c>
      <c r="B102" s="954" t="s">
        <v>3124</v>
      </c>
      <c r="C102" s="960">
        <v>33</v>
      </c>
      <c r="D102" s="76"/>
      <c r="E102" s="72"/>
      <c r="F102" s="962"/>
      <c r="G102" s="72">
        <f t="shared" si="17"/>
        <v>33</v>
      </c>
      <c r="H102" s="72"/>
      <c r="I102" s="72"/>
      <c r="J102" s="72"/>
      <c r="K102" s="72"/>
      <c r="L102" s="72"/>
      <c r="M102" s="72"/>
      <c r="N102" s="72"/>
      <c r="O102" s="72"/>
      <c r="P102" s="72"/>
      <c r="Q102" s="72"/>
      <c r="R102" s="67"/>
      <c r="S102" s="952">
        <f t="shared" si="16"/>
        <v>0</v>
      </c>
      <c r="T102" s="952">
        <f>IF(SUM(K102:L102)=1,1,0)</f>
        <v>0</v>
      </c>
      <c r="U102" s="72"/>
      <c r="V102" s="72"/>
      <c r="W102" s="72"/>
      <c r="X102" s="72"/>
      <c r="Y102" s="72"/>
      <c r="Z102" s="72"/>
      <c r="AA102" s="72"/>
      <c r="AB102" s="72"/>
      <c r="AC102" s="72"/>
      <c r="AD102" s="72"/>
      <c r="AE102" s="72"/>
      <c r="AF102" s="72"/>
      <c r="AG102" s="72">
        <v>1</v>
      </c>
      <c r="AH102" s="72"/>
      <c r="AI102" s="72"/>
      <c r="AJ102" s="72"/>
      <c r="AK102" s="72"/>
      <c r="AL102" s="72">
        <v>1</v>
      </c>
      <c r="AM102" s="72"/>
      <c r="AN102" s="72"/>
      <c r="AO102" s="72"/>
      <c r="AP102" s="72"/>
      <c r="AQ102" s="72"/>
      <c r="AR102" s="72">
        <f t="shared" si="14"/>
        <v>0</v>
      </c>
      <c r="AS102" s="72">
        <f t="shared" si="15"/>
        <v>0</v>
      </c>
      <c r="AT102" s="72"/>
      <c r="AU102" s="72"/>
      <c r="AV102" s="72"/>
      <c r="AW102" s="72"/>
      <c r="AX102" s="72"/>
      <c r="AY102" s="72"/>
      <c r="AZ102" s="72"/>
      <c r="BA102" s="72"/>
      <c r="BB102" s="72"/>
      <c r="BC102" s="72"/>
      <c r="BD102" s="72"/>
      <c r="BE102" s="72"/>
      <c r="BF102" s="72"/>
      <c r="BG102" s="72"/>
      <c r="BH102" s="72" t="s">
        <v>5819</v>
      </c>
      <c r="BI102" s="72"/>
      <c r="BJ102" s="72"/>
      <c r="BK102" s="72"/>
      <c r="BL102" s="72" t="s">
        <v>5819</v>
      </c>
      <c r="BM102" s="72"/>
      <c r="BN102" s="38"/>
    </row>
    <row r="103" spans="1:66" s="953" customFormat="1">
      <c r="A103" s="944"/>
      <c r="B103" s="954"/>
      <c r="C103" s="960"/>
      <c r="D103" s="76"/>
      <c r="E103" s="72"/>
      <c r="F103" s="962"/>
      <c r="G103" s="72"/>
      <c r="H103" s="72"/>
      <c r="I103" s="72"/>
      <c r="J103" s="72"/>
      <c r="K103" s="72"/>
      <c r="L103" s="72"/>
      <c r="M103" s="72"/>
      <c r="N103" s="72"/>
      <c r="O103" s="72"/>
      <c r="P103" s="72"/>
      <c r="Q103" s="72"/>
      <c r="R103" s="67"/>
      <c r="S103" s="952"/>
      <c r="T103" s="95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f t="shared" si="14"/>
        <v>0</v>
      </c>
      <c r="AS103" s="72">
        <f t="shared" si="15"/>
        <v>0</v>
      </c>
      <c r="AT103" s="72"/>
      <c r="AU103" s="72"/>
      <c r="AV103" s="72"/>
      <c r="AW103" s="72"/>
      <c r="AX103" s="72"/>
      <c r="AY103" s="72"/>
      <c r="AZ103" s="72"/>
      <c r="BA103" s="72"/>
      <c r="BB103" s="72"/>
      <c r="BC103" s="72"/>
      <c r="BD103" s="72"/>
      <c r="BE103" s="72"/>
      <c r="BF103" s="72"/>
      <c r="BG103" s="72"/>
      <c r="BH103" s="72"/>
      <c r="BI103" s="72"/>
      <c r="BJ103" s="72"/>
      <c r="BK103" s="72"/>
      <c r="BL103" s="72"/>
      <c r="BM103" s="72"/>
      <c r="BN103" s="38"/>
    </row>
    <row r="104" spans="1:66" s="953" customFormat="1">
      <c r="A104" s="1487" t="s">
        <v>4541</v>
      </c>
      <c r="B104" s="954"/>
      <c r="C104" s="960"/>
      <c r="D104" s="72"/>
      <c r="E104" s="72"/>
      <c r="F104" s="962"/>
      <c r="G104" s="72">
        <v>10</v>
      </c>
      <c r="H104" s="72"/>
      <c r="I104" s="72"/>
      <c r="J104" s="72"/>
      <c r="K104" s="72"/>
      <c r="L104" s="72"/>
      <c r="M104" s="72"/>
      <c r="N104" s="72"/>
      <c r="O104" s="72"/>
      <c r="P104" s="72"/>
      <c r="Q104" s="72"/>
      <c r="R104" s="67"/>
      <c r="S104" s="952"/>
      <c r="T104" s="952"/>
      <c r="U104" s="72"/>
      <c r="V104" s="72"/>
      <c r="W104" s="72"/>
      <c r="X104" s="72"/>
      <c r="Y104" s="72"/>
      <c r="Z104" s="72"/>
      <c r="AA104" s="72"/>
      <c r="AB104" s="72"/>
      <c r="AC104" s="72"/>
      <c r="AD104" s="72"/>
      <c r="AE104" s="72"/>
      <c r="AF104" s="72"/>
      <c r="AG104" s="72">
        <v>1</v>
      </c>
      <c r="AH104" s="72"/>
      <c r="AI104" s="72"/>
      <c r="AJ104" s="72"/>
      <c r="AK104" s="72"/>
      <c r="AL104" s="72">
        <v>1</v>
      </c>
      <c r="AM104" s="72"/>
      <c r="AN104" s="72"/>
      <c r="AO104" s="72"/>
      <c r="AP104" s="72"/>
      <c r="AQ104" s="72"/>
      <c r="AR104" s="72">
        <f t="shared" si="14"/>
        <v>0</v>
      </c>
      <c r="AS104" s="72">
        <f t="shared" si="15"/>
        <v>0</v>
      </c>
      <c r="AT104" s="72"/>
      <c r="AU104" s="72"/>
      <c r="AV104" s="72"/>
      <c r="AW104" s="72"/>
      <c r="AX104" s="72"/>
      <c r="AY104" s="72"/>
      <c r="AZ104" s="72"/>
      <c r="BA104" s="72"/>
      <c r="BB104" s="72">
        <v>3</v>
      </c>
      <c r="BC104" s="72"/>
      <c r="BD104" s="72"/>
      <c r="BE104" s="72"/>
      <c r="BF104" s="72"/>
      <c r="BG104" s="72"/>
      <c r="BH104" s="72" t="s">
        <v>5819</v>
      </c>
      <c r="BI104" s="72"/>
      <c r="BJ104" s="72"/>
      <c r="BK104" s="72"/>
      <c r="BL104" s="72"/>
      <c r="BM104" s="72" t="s">
        <v>5921</v>
      </c>
      <c r="BN104" s="38"/>
    </row>
    <row r="105" spans="1:66" s="953" customFormat="1">
      <c r="A105" s="944" t="s">
        <v>5887</v>
      </c>
      <c r="B105" s="954" t="s">
        <v>3122</v>
      </c>
      <c r="C105" s="960">
        <v>45</v>
      </c>
      <c r="D105" s="76"/>
      <c r="E105" s="72"/>
      <c r="F105" s="72"/>
      <c r="G105" s="72">
        <f>C105</f>
        <v>45</v>
      </c>
      <c r="H105" s="72"/>
      <c r="I105" s="72"/>
      <c r="J105" s="72"/>
      <c r="K105" s="72">
        <v>1</v>
      </c>
      <c r="L105" s="72"/>
      <c r="M105" s="72"/>
      <c r="N105" s="72"/>
      <c r="O105" s="72"/>
      <c r="P105" s="72"/>
      <c r="Q105" s="72"/>
      <c r="R105" s="67"/>
      <c r="S105" s="952"/>
      <c r="T105" s="952">
        <v>1</v>
      </c>
      <c r="U105" s="72"/>
      <c r="V105" s="72"/>
      <c r="W105" s="72"/>
      <c r="X105" s="72"/>
      <c r="Y105" s="72"/>
      <c r="Z105" s="72"/>
      <c r="AA105" s="72"/>
      <c r="AB105" s="72"/>
      <c r="AC105" s="72"/>
      <c r="AD105" s="72"/>
      <c r="AE105" s="72"/>
      <c r="AF105" s="72"/>
      <c r="AG105" s="72">
        <v>2</v>
      </c>
      <c r="AH105" s="72"/>
      <c r="AI105" s="72"/>
      <c r="AJ105" s="72">
        <v>2</v>
      </c>
      <c r="AK105" s="72"/>
      <c r="AL105" s="72"/>
      <c r="AM105" s="72"/>
      <c r="AN105" s="72"/>
      <c r="AO105" s="72"/>
      <c r="AP105" s="72"/>
      <c r="AQ105" s="72"/>
      <c r="AR105" s="72">
        <f t="shared" si="14"/>
        <v>0</v>
      </c>
      <c r="AS105" s="72">
        <f t="shared" si="15"/>
        <v>0</v>
      </c>
      <c r="AT105" s="72"/>
      <c r="AU105" s="72"/>
      <c r="AV105" s="72"/>
      <c r="AW105" s="72"/>
      <c r="AX105" s="72"/>
      <c r="AY105" s="72"/>
      <c r="AZ105" s="72"/>
      <c r="BA105" s="72"/>
      <c r="BB105" s="72"/>
      <c r="BC105" s="72"/>
      <c r="BD105" s="72"/>
      <c r="BE105" s="72"/>
      <c r="BF105" s="72"/>
      <c r="BG105" s="72"/>
      <c r="BH105" s="72">
        <v>1</v>
      </c>
      <c r="BI105" s="72"/>
      <c r="BJ105" s="72"/>
      <c r="BK105" s="72">
        <f>L105</f>
        <v>0</v>
      </c>
      <c r="BL105" s="72"/>
      <c r="BM105" s="72"/>
    </row>
    <row r="106" spans="1:66" s="953" customFormat="1">
      <c r="A106" s="944" t="s">
        <v>5888</v>
      </c>
      <c r="B106" s="954" t="s">
        <v>3120</v>
      </c>
      <c r="C106" s="960">
        <v>35</v>
      </c>
      <c r="D106" s="76"/>
      <c r="E106" s="72"/>
      <c r="F106" s="72"/>
      <c r="G106" s="72">
        <f t="shared" ref="G106:G112" si="18">C106</f>
        <v>35</v>
      </c>
      <c r="H106" s="72"/>
      <c r="I106" s="72"/>
      <c r="J106" s="72"/>
      <c r="K106" s="72">
        <v>1</v>
      </c>
      <c r="L106" s="72"/>
      <c r="M106" s="72"/>
      <c r="N106" s="72"/>
      <c r="O106" s="72"/>
      <c r="P106" s="72">
        <v>1</v>
      </c>
      <c r="Q106" s="72"/>
      <c r="R106" s="67"/>
      <c r="S106" s="952"/>
      <c r="T106" s="952"/>
      <c r="U106" s="72"/>
      <c r="V106" s="72"/>
      <c r="W106" s="72"/>
      <c r="X106" s="72"/>
      <c r="Y106" s="72"/>
      <c r="Z106" s="72"/>
      <c r="AA106" s="72"/>
      <c r="AB106" s="72"/>
      <c r="AC106" s="72"/>
      <c r="AD106" s="72">
        <v>1</v>
      </c>
      <c r="AE106" s="72"/>
      <c r="AF106" s="72"/>
      <c r="AG106" s="72"/>
      <c r="AH106" s="72"/>
      <c r="AI106" s="72"/>
      <c r="AJ106" s="72">
        <v>1</v>
      </c>
      <c r="AK106" s="72"/>
      <c r="AL106" s="72"/>
      <c r="AM106" s="72"/>
      <c r="AN106" s="72"/>
      <c r="AO106" s="72"/>
      <c r="AP106" s="72"/>
      <c r="AQ106" s="72"/>
      <c r="AR106" s="72">
        <f>IF(S106=1,2,0)</f>
        <v>0</v>
      </c>
      <c r="AS106" s="72">
        <f>IF(S106=1,1,0)</f>
        <v>0</v>
      </c>
      <c r="AT106" s="72"/>
      <c r="AU106" s="72"/>
      <c r="AV106" s="72"/>
      <c r="AW106" s="72"/>
      <c r="AX106" s="72"/>
      <c r="AY106" s="72"/>
      <c r="AZ106" s="72"/>
      <c r="BA106" s="72"/>
      <c r="BB106" s="72"/>
      <c r="BC106" s="72"/>
      <c r="BD106" s="72"/>
      <c r="BE106" s="72"/>
      <c r="BF106" s="72"/>
      <c r="BG106" s="72"/>
      <c r="BH106" s="72">
        <v>1</v>
      </c>
      <c r="BI106" s="72"/>
      <c r="BJ106" s="72"/>
      <c r="BK106" s="72">
        <f t="shared" ref="BK106:BK112" si="19">L106</f>
        <v>0</v>
      </c>
      <c r="BL106" s="72"/>
      <c r="BM106" s="72"/>
    </row>
    <row r="107" spans="1:66" s="953" customFormat="1">
      <c r="A107" s="944" t="s">
        <v>5889</v>
      </c>
      <c r="B107" s="954" t="s">
        <v>3120</v>
      </c>
      <c r="C107" s="960">
        <v>35</v>
      </c>
      <c r="D107" s="76"/>
      <c r="E107" s="72"/>
      <c r="F107" s="72"/>
      <c r="G107" s="72">
        <f t="shared" si="18"/>
        <v>35</v>
      </c>
      <c r="H107" s="72"/>
      <c r="I107" s="72"/>
      <c r="J107" s="72"/>
      <c r="K107" s="72">
        <v>1</v>
      </c>
      <c r="L107" s="72"/>
      <c r="M107" s="72"/>
      <c r="N107" s="72"/>
      <c r="O107" s="72"/>
      <c r="P107" s="72">
        <v>1</v>
      </c>
      <c r="Q107" s="72"/>
      <c r="R107" s="67"/>
      <c r="S107" s="952"/>
      <c r="T107" s="952"/>
      <c r="U107" s="72"/>
      <c r="V107" s="72"/>
      <c r="W107" s="72"/>
      <c r="X107" s="72"/>
      <c r="Y107" s="72"/>
      <c r="Z107" s="72"/>
      <c r="AA107" s="72"/>
      <c r="AB107" s="72"/>
      <c r="AC107" s="72"/>
      <c r="AD107" s="72">
        <v>1</v>
      </c>
      <c r="AE107" s="72"/>
      <c r="AF107" s="72"/>
      <c r="AG107" s="72"/>
      <c r="AH107" s="72"/>
      <c r="AI107" s="72"/>
      <c r="AJ107" s="72">
        <v>1</v>
      </c>
      <c r="AK107" s="72"/>
      <c r="AL107" s="72"/>
      <c r="AM107" s="72"/>
      <c r="AN107" s="72"/>
      <c r="AO107" s="72"/>
      <c r="AP107" s="72"/>
      <c r="AQ107" s="72"/>
      <c r="AR107" s="72">
        <f t="shared" ref="AR107:AR119" si="20">IF(S107=1,2,0)</f>
        <v>0</v>
      </c>
      <c r="AS107" s="72">
        <f t="shared" ref="AS107:AS119" si="21">IF(S107=1,1,0)</f>
        <v>0</v>
      </c>
      <c r="AT107" s="72"/>
      <c r="AU107" s="72"/>
      <c r="AV107" s="72"/>
      <c r="AW107" s="72"/>
      <c r="AX107" s="72"/>
      <c r="AY107" s="72"/>
      <c r="AZ107" s="72"/>
      <c r="BA107" s="72"/>
      <c r="BB107" s="72"/>
      <c r="BC107" s="72"/>
      <c r="BD107" s="72"/>
      <c r="BE107" s="72"/>
      <c r="BF107" s="72"/>
      <c r="BG107" s="72"/>
      <c r="BH107" s="72">
        <v>1</v>
      </c>
      <c r="BI107" s="72"/>
      <c r="BJ107" s="72"/>
      <c r="BK107" s="72">
        <f t="shared" si="19"/>
        <v>0</v>
      </c>
      <c r="BL107" s="72"/>
      <c r="BM107" s="72"/>
    </row>
    <row r="108" spans="1:66" s="953" customFormat="1">
      <c r="A108" s="944" t="s">
        <v>5890</v>
      </c>
      <c r="B108" s="954" t="s">
        <v>3120</v>
      </c>
      <c r="C108" s="960">
        <v>30</v>
      </c>
      <c r="D108" s="76"/>
      <c r="E108" s="72"/>
      <c r="F108" s="72"/>
      <c r="G108" s="72">
        <f t="shared" si="18"/>
        <v>30</v>
      </c>
      <c r="H108" s="72"/>
      <c r="I108" s="72"/>
      <c r="J108" s="72"/>
      <c r="K108" s="72"/>
      <c r="L108" s="72">
        <v>1</v>
      </c>
      <c r="M108" s="72"/>
      <c r="N108" s="72"/>
      <c r="O108" s="72"/>
      <c r="P108" s="72">
        <v>1</v>
      </c>
      <c r="Q108" s="72"/>
      <c r="R108" s="67"/>
      <c r="S108" s="952"/>
      <c r="T108" s="952"/>
      <c r="U108" s="72"/>
      <c r="V108" s="72"/>
      <c r="W108" s="72"/>
      <c r="X108" s="72"/>
      <c r="Y108" s="72"/>
      <c r="Z108" s="72"/>
      <c r="AA108" s="72"/>
      <c r="AB108" s="72"/>
      <c r="AC108" s="72"/>
      <c r="AD108" s="72">
        <v>1</v>
      </c>
      <c r="AE108" s="72"/>
      <c r="AF108" s="72"/>
      <c r="AG108" s="72"/>
      <c r="AH108" s="72"/>
      <c r="AI108" s="72"/>
      <c r="AJ108" s="72">
        <v>1</v>
      </c>
      <c r="AK108" s="72"/>
      <c r="AL108" s="72"/>
      <c r="AM108" s="72"/>
      <c r="AN108" s="72"/>
      <c r="AO108" s="72"/>
      <c r="AP108" s="72"/>
      <c r="AQ108" s="72"/>
      <c r="AR108" s="72">
        <f t="shared" si="20"/>
        <v>0</v>
      </c>
      <c r="AS108" s="72">
        <f t="shared" si="21"/>
        <v>0</v>
      </c>
      <c r="AT108" s="72"/>
      <c r="AU108" s="72"/>
      <c r="AV108" s="72"/>
      <c r="AW108" s="72"/>
      <c r="AX108" s="72"/>
      <c r="AY108" s="72"/>
      <c r="AZ108" s="72"/>
      <c r="BA108" s="72"/>
      <c r="BB108" s="72"/>
      <c r="BC108" s="72"/>
      <c r="BD108" s="72"/>
      <c r="BE108" s="72"/>
      <c r="BF108" s="72"/>
      <c r="BG108" s="72"/>
      <c r="BH108" s="72">
        <v>1</v>
      </c>
      <c r="BI108" s="72"/>
      <c r="BJ108" s="72"/>
      <c r="BK108" s="72">
        <f t="shared" si="19"/>
        <v>1</v>
      </c>
      <c r="BL108" s="72"/>
      <c r="BM108" s="72"/>
    </row>
    <row r="109" spans="1:66" s="953" customFormat="1">
      <c r="A109" s="944" t="s">
        <v>5809</v>
      </c>
      <c r="B109" s="954" t="s">
        <v>3120</v>
      </c>
      <c r="C109" s="960">
        <v>31</v>
      </c>
      <c r="D109" s="76"/>
      <c r="E109" s="72"/>
      <c r="F109" s="72"/>
      <c r="G109" s="72">
        <f t="shared" si="18"/>
        <v>31</v>
      </c>
      <c r="H109" s="72"/>
      <c r="I109" s="72"/>
      <c r="J109" s="72"/>
      <c r="K109" s="72">
        <v>1</v>
      </c>
      <c r="L109" s="72"/>
      <c r="M109" s="72"/>
      <c r="N109" s="72"/>
      <c r="O109" s="72"/>
      <c r="P109" s="72">
        <v>1</v>
      </c>
      <c r="Q109" s="72"/>
      <c r="R109" s="67"/>
      <c r="S109" s="952"/>
      <c r="T109" s="952"/>
      <c r="U109" s="72"/>
      <c r="V109" s="72"/>
      <c r="W109" s="72"/>
      <c r="X109" s="72"/>
      <c r="Y109" s="72"/>
      <c r="Z109" s="72"/>
      <c r="AA109" s="72"/>
      <c r="AB109" s="72"/>
      <c r="AC109" s="72"/>
      <c r="AD109" s="72">
        <v>1</v>
      </c>
      <c r="AE109" s="72"/>
      <c r="AF109" s="72"/>
      <c r="AG109" s="72"/>
      <c r="AH109" s="72"/>
      <c r="AI109" s="72"/>
      <c r="AJ109" s="72">
        <v>1</v>
      </c>
      <c r="AK109" s="72"/>
      <c r="AL109" s="72"/>
      <c r="AM109" s="72"/>
      <c r="AN109" s="72"/>
      <c r="AO109" s="72"/>
      <c r="AP109" s="72"/>
      <c r="AQ109" s="72"/>
      <c r="AR109" s="72">
        <f t="shared" si="20"/>
        <v>0</v>
      </c>
      <c r="AS109" s="72">
        <f t="shared" si="21"/>
        <v>0</v>
      </c>
      <c r="AT109" s="72"/>
      <c r="AU109" s="72"/>
      <c r="AV109" s="72"/>
      <c r="AW109" s="72"/>
      <c r="AX109" s="72"/>
      <c r="AY109" s="72"/>
      <c r="AZ109" s="72"/>
      <c r="BA109" s="72"/>
      <c r="BB109" s="72"/>
      <c r="BC109" s="72"/>
      <c r="BD109" s="72"/>
      <c r="BE109" s="72"/>
      <c r="BF109" s="72"/>
      <c r="BG109" s="72"/>
      <c r="BH109" s="72">
        <v>1</v>
      </c>
      <c r="BI109" s="72"/>
      <c r="BJ109" s="72"/>
      <c r="BK109" s="72">
        <f>L109</f>
        <v>0</v>
      </c>
      <c r="BL109" s="72"/>
      <c r="BM109" s="72"/>
    </row>
    <row r="110" spans="1:66" s="953" customFormat="1">
      <c r="A110" s="944" t="s">
        <v>5810</v>
      </c>
      <c r="B110" s="954" t="s">
        <v>3120</v>
      </c>
      <c r="C110" s="960">
        <v>30</v>
      </c>
      <c r="D110" s="76"/>
      <c r="E110" s="72"/>
      <c r="F110" s="72"/>
      <c r="G110" s="72">
        <f t="shared" si="18"/>
        <v>30</v>
      </c>
      <c r="H110" s="72"/>
      <c r="I110" s="72"/>
      <c r="J110" s="72"/>
      <c r="K110" s="72">
        <v>1</v>
      </c>
      <c r="L110" s="72"/>
      <c r="M110" s="72"/>
      <c r="N110" s="72"/>
      <c r="O110" s="72"/>
      <c r="P110" s="72">
        <v>1</v>
      </c>
      <c r="Q110" s="72"/>
      <c r="R110" s="67"/>
      <c r="S110" s="952"/>
      <c r="T110" s="952"/>
      <c r="U110" s="72"/>
      <c r="V110" s="72"/>
      <c r="W110" s="72"/>
      <c r="X110" s="72"/>
      <c r="Y110" s="72"/>
      <c r="Z110" s="72"/>
      <c r="AA110" s="72"/>
      <c r="AB110" s="72"/>
      <c r="AC110" s="72"/>
      <c r="AD110" s="72">
        <v>1</v>
      </c>
      <c r="AE110" s="72"/>
      <c r="AF110" s="72"/>
      <c r="AG110" s="72"/>
      <c r="AH110" s="72"/>
      <c r="AI110" s="72"/>
      <c r="AJ110" s="72">
        <v>1</v>
      </c>
      <c r="AK110" s="72"/>
      <c r="AL110" s="72"/>
      <c r="AM110" s="72"/>
      <c r="AN110" s="72"/>
      <c r="AO110" s="72"/>
      <c r="AP110" s="72"/>
      <c r="AQ110" s="72"/>
      <c r="AR110" s="72">
        <f t="shared" si="20"/>
        <v>0</v>
      </c>
      <c r="AS110" s="72">
        <f t="shared" si="21"/>
        <v>0</v>
      </c>
      <c r="AT110" s="72"/>
      <c r="AU110" s="72"/>
      <c r="AV110" s="72"/>
      <c r="AW110" s="72"/>
      <c r="AX110" s="72"/>
      <c r="AY110" s="72"/>
      <c r="AZ110" s="72"/>
      <c r="BA110" s="72"/>
      <c r="BB110" s="72"/>
      <c r="BC110" s="72"/>
      <c r="BD110" s="72"/>
      <c r="BE110" s="72"/>
      <c r="BF110" s="72"/>
      <c r="BG110" s="72"/>
      <c r="BH110" s="72">
        <v>1</v>
      </c>
      <c r="BI110" s="72"/>
      <c r="BJ110" s="72"/>
      <c r="BK110" s="72">
        <f t="shared" si="19"/>
        <v>0</v>
      </c>
      <c r="BL110" s="72"/>
      <c r="BM110" s="72"/>
    </row>
    <row r="111" spans="1:66" s="953" customFormat="1">
      <c r="A111" s="944" t="s">
        <v>5811</v>
      </c>
      <c r="B111" s="954" t="s">
        <v>3120</v>
      </c>
      <c r="C111" s="960">
        <v>32</v>
      </c>
      <c r="D111" s="76"/>
      <c r="E111" s="72"/>
      <c r="F111" s="72"/>
      <c r="G111" s="72">
        <f t="shared" si="18"/>
        <v>32</v>
      </c>
      <c r="H111" s="72"/>
      <c r="I111" s="72"/>
      <c r="J111" s="72"/>
      <c r="K111" s="72">
        <v>1</v>
      </c>
      <c r="L111" s="72"/>
      <c r="M111" s="72"/>
      <c r="N111" s="72"/>
      <c r="O111" s="72"/>
      <c r="P111" s="72">
        <v>1</v>
      </c>
      <c r="Q111" s="72"/>
      <c r="R111" s="67"/>
      <c r="S111" s="952"/>
      <c r="T111" s="952"/>
      <c r="U111" s="72"/>
      <c r="V111" s="72"/>
      <c r="W111" s="72"/>
      <c r="X111" s="72"/>
      <c r="Y111" s="72"/>
      <c r="Z111" s="72"/>
      <c r="AA111" s="72"/>
      <c r="AB111" s="72"/>
      <c r="AC111" s="72"/>
      <c r="AD111" s="72">
        <v>1</v>
      </c>
      <c r="AE111" s="72"/>
      <c r="AF111" s="72"/>
      <c r="AG111" s="72"/>
      <c r="AH111" s="72"/>
      <c r="AI111" s="72"/>
      <c r="AJ111" s="72">
        <v>1</v>
      </c>
      <c r="AK111" s="72"/>
      <c r="AL111" s="72"/>
      <c r="AM111" s="72"/>
      <c r="AN111" s="72"/>
      <c r="AO111" s="72"/>
      <c r="AP111" s="72"/>
      <c r="AQ111" s="72"/>
      <c r="AR111" s="72">
        <f t="shared" si="20"/>
        <v>0</v>
      </c>
      <c r="AS111" s="72">
        <f t="shared" si="21"/>
        <v>0</v>
      </c>
      <c r="AT111" s="72"/>
      <c r="AU111" s="72"/>
      <c r="AV111" s="72"/>
      <c r="AW111" s="72"/>
      <c r="AX111" s="72"/>
      <c r="AY111" s="72"/>
      <c r="AZ111" s="72"/>
      <c r="BA111" s="72"/>
      <c r="BB111" s="72"/>
      <c r="BC111" s="72"/>
      <c r="BD111" s="72"/>
      <c r="BE111" s="72"/>
      <c r="BF111" s="72"/>
      <c r="BG111" s="72"/>
      <c r="BH111" s="72">
        <v>1</v>
      </c>
      <c r="BI111" s="72"/>
      <c r="BJ111" s="72"/>
      <c r="BK111" s="72">
        <f t="shared" si="19"/>
        <v>0</v>
      </c>
      <c r="BL111" s="72"/>
      <c r="BM111" s="72"/>
    </row>
    <row r="112" spans="1:66" s="953" customFormat="1">
      <c r="A112" s="944" t="s">
        <v>5812</v>
      </c>
      <c r="B112" s="954" t="s">
        <v>3124</v>
      </c>
      <c r="C112" s="960">
        <v>32</v>
      </c>
      <c r="D112" s="76"/>
      <c r="E112" s="72"/>
      <c r="F112" s="72"/>
      <c r="G112" s="72">
        <f t="shared" si="18"/>
        <v>32</v>
      </c>
      <c r="H112" s="72"/>
      <c r="I112" s="72"/>
      <c r="J112" s="72"/>
      <c r="K112" s="72">
        <v>1</v>
      </c>
      <c r="L112" s="72">
        <v>1</v>
      </c>
      <c r="M112" s="72"/>
      <c r="N112" s="72"/>
      <c r="O112" s="72"/>
      <c r="P112" s="72"/>
      <c r="Q112" s="72"/>
      <c r="R112" s="67"/>
      <c r="S112" s="952">
        <v>1</v>
      </c>
      <c r="T112" s="952"/>
      <c r="U112" s="72"/>
      <c r="V112" s="72"/>
      <c r="W112" s="72"/>
      <c r="X112" s="72"/>
      <c r="Y112" s="72"/>
      <c r="Z112" s="72"/>
      <c r="AA112" s="72"/>
      <c r="AB112" s="72"/>
      <c r="AC112" s="72"/>
      <c r="AD112" s="72"/>
      <c r="AE112" s="72"/>
      <c r="AF112" s="72"/>
      <c r="AG112" s="72">
        <v>1</v>
      </c>
      <c r="AH112" s="72"/>
      <c r="AI112" s="72">
        <v>3</v>
      </c>
      <c r="AJ112" s="72"/>
      <c r="AK112" s="72"/>
      <c r="AL112" s="72"/>
      <c r="AM112" s="72">
        <v>1</v>
      </c>
      <c r="AN112" s="72"/>
      <c r="AO112" s="72"/>
      <c r="AP112" s="72"/>
      <c r="AQ112" s="72"/>
      <c r="AR112" s="72">
        <f t="shared" si="20"/>
        <v>2</v>
      </c>
      <c r="AS112" s="72">
        <f t="shared" si="21"/>
        <v>1</v>
      </c>
      <c r="AT112" s="72"/>
      <c r="AU112" s="72"/>
      <c r="AV112" s="72"/>
      <c r="AW112" s="72"/>
      <c r="AX112" s="72"/>
      <c r="AY112" s="72"/>
      <c r="AZ112" s="72"/>
      <c r="BA112" s="72"/>
      <c r="BB112" s="72"/>
      <c r="BC112" s="72"/>
      <c r="BD112" s="72"/>
      <c r="BE112" s="72"/>
      <c r="BF112" s="72"/>
      <c r="BG112" s="72"/>
      <c r="BH112" s="72">
        <v>1</v>
      </c>
      <c r="BI112" s="72"/>
      <c r="BJ112" s="72"/>
      <c r="BK112" s="72">
        <f t="shared" si="19"/>
        <v>1</v>
      </c>
      <c r="BL112" s="72"/>
      <c r="BM112" s="72"/>
    </row>
    <row r="113" spans="1:66" s="953" customFormat="1">
      <c r="A113" s="944"/>
      <c r="B113" s="952"/>
      <c r="C113" s="961"/>
      <c r="D113" s="1485"/>
      <c r="E113" s="67"/>
      <c r="F113" s="72"/>
      <c r="G113" s="67"/>
      <c r="H113" s="67"/>
      <c r="I113" s="67"/>
      <c r="J113" s="67"/>
      <c r="K113" s="67"/>
      <c r="L113" s="67"/>
      <c r="M113" s="67"/>
      <c r="N113" s="67"/>
      <c r="O113" s="67"/>
      <c r="P113" s="67"/>
      <c r="Q113" s="67"/>
      <c r="R113" s="67"/>
      <c r="S113" s="952"/>
      <c r="T113" s="952"/>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72">
        <f t="shared" si="20"/>
        <v>0</v>
      </c>
      <c r="AS113" s="72">
        <f t="shared" si="21"/>
        <v>0</v>
      </c>
      <c r="AT113" s="67"/>
      <c r="AU113" s="67"/>
      <c r="AV113" s="67"/>
      <c r="AW113" s="67"/>
      <c r="AX113" s="67"/>
      <c r="AY113" s="67"/>
      <c r="AZ113" s="67"/>
      <c r="BA113" s="67"/>
      <c r="BB113" s="67"/>
      <c r="BC113" s="67"/>
      <c r="BD113" s="67"/>
      <c r="BE113" s="67"/>
      <c r="BF113" s="67"/>
      <c r="BG113" s="72"/>
      <c r="BH113" s="67"/>
      <c r="BI113" s="67"/>
      <c r="BJ113" s="67"/>
      <c r="BK113" s="72"/>
      <c r="BL113" s="67"/>
      <c r="BM113" s="67"/>
    </row>
    <row r="114" spans="1:66" s="953" customFormat="1">
      <c r="A114" s="1487" t="s">
        <v>4541</v>
      </c>
      <c r="B114" s="954"/>
      <c r="C114" s="960"/>
      <c r="D114" s="72"/>
      <c r="E114" s="72"/>
      <c r="F114" s="962"/>
      <c r="G114" s="72">
        <v>10</v>
      </c>
      <c r="H114" s="72"/>
      <c r="I114" s="72"/>
      <c r="J114" s="72"/>
      <c r="K114" s="72"/>
      <c r="L114" s="72"/>
      <c r="M114" s="72"/>
      <c r="N114" s="72"/>
      <c r="O114" s="72"/>
      <c r="P114" s="72"/>
      <c r="Q114" s="72"/>
      <c r="R114" s="67"/>
      <c r="S114" s="952"/>
      <c r="T114" s="952"/>
      <c r="U114" s="72"/>
      <c r="V114" s="72"/>
      <c r="W114" s="72"/>
      <c r="X114" s="72"/>
      <c r="Y114" s="72"/>
      <c r="Z114" s="72"/>
      <c r="AA114" s="72"/>
      <c r="AB114" s="72"/>
      <c r="AC114" s="72"/>
      <c r="AD114" s="72"/>
      <c r="AE114" s="72"/>
      <c r="AF114" s="72"/>
      <c r="AG114" s="72">
        <v>1</v>
      </c>
      <c r="AH114" s="72"/>
      <c r="AI114" s="72"/>
      <c r="AJ114" s="72"/>
      <c r="AK114" s="72"/>
      <c r="AL114" s="72">
        <v>1</v>
      </c>
      <c r="AM114" s="72"/>
      <c r="AN114" s="72"/>
      <c r="AO114" s="72"/>
      <c r="AP114" s="72"/>
      <c r="AQ114" s="72"/>
      <c r="AR114" s="72">
        <f t="shared" si="20"/>
        <v>0</v>
      </c>
      <c r="AS114" s="72">
        <f t="shared" si="21"/>
        <v>0</v>
      </c>
      <c r="AT114" s="72"/>
      <c r="AU114" s="72"/>
      <c r="AV114" s="72"/>
      <c r="AW114" s="72"/>
      <c r="AX114" s="72"/>
      <c r="AY114" s="72"/>
      <c r="AZ114" s="72"/>
      <c r="BA114" s="72"/>
      <c r="BB114" s="72">
        <v>3</v>
      </c>
      <c r="BC114" s="72"/>
      <c r="BD114" s="72"/>
      <c r="BE114" s="72"/>
      <c r="BF114" s="72"/>
      <c r="BG114" s="72"/>
      <c r="BH114" s="72"/>
      <c r="BI114" s="72"/>
      <c r="BJ114" s="72"/>
      <c r="BK114" s="72"/>
      <c r="BL114" s="72"/>
      <c r="BM114" s="72" t="s">
        <v>5921</v>
      </c>
      <c r="BN114" s="38"/>
    </row>
    <row r="115" spans="1:66" s="953" customFormat="1">
      <c r="A115" s="944" t="s">
        <v>5834</v>
      </c>
      <c r="B115" s="954" t="s">
        <v>3123</v>
      </c>
      <c r="C115" s="960">
        <v>47</v>
      </c>
      <c r="D115" s="76"/>
      <c r="E115" s="72"/>
      <c r="F115" s="72"/>
      <c r="G115" s="72">
        <f>C115</f>
        <v>47</v>
      </c>
      <c r="H115" s="72"/>
      <c r="I115" s="72"/>
      <c r="J115" s="72"/>
      <c r="K115" s="72">
        <v>2</v>
      </c>
      <c r="L115" s="72"/>
      <c r="M115" s="72"/>
      <c r="N115" s="72"/>
      <c r="O115" s="72"/>
      <c r="P115" s="952">
        <f>IF(SUM(K115:L115)=1,1,0)</f>
        <v>0</v>
      </c>
      <c r="Q115" s="72"/>
      <c r="R115" s="67"/>
      <c r="S115" s="952">
        <f>IF(SUM(K115:L115)=2,1,0)</f>
        <v>1</v>
      </c>
      <c r="T115" s="952"/>
      <c r="U115" s="72"/>
      <c r="V115" s="72"/>
      <c r="W115" s="72"/>
      <c r="X115" s="72"/>
      <c r="Y115" s="72"/>
      <c r="Z115" s="72"/>
      <c r="AA115" s="72"/>
      <c r="AB115" s="72"/>
      <c r="AC115" s="72"/>
      <c r="AD115" s="72"/>
      <c r="AE115" s="72"/>
      <c r="AF115" s="72"/>
      <c r="AG115" s="72">
        <v>2</v>
      </c>
      <c r="AH115" s="72"/>
      <c r="AI115" s="72"/>
      <c r="AJ115" s="72"/>
      <c r="AK115" s="72">
        <v>1</v>
      </c>
      <c r="AL115" s="72"/>
      <c r="AM115" s="72">
        <v>1</v>
      </c>
      <c r="AN115" s="72"/>
      <c r="AO115" s="72"/>
      <c r="AP115" s="72"/>
      <c r="AQ115" s="72"/>
      <c r="AR115" s="72">
        <f t="shared" si="20"/>
        <v>2</v>
      </c>
      <c r="AS115" s="72">
        <f t="shared" si="21"/>
        <v>1</v>
      </c>
      <c r="AT115" s="72"/>
      <c r="AU115" s="72"/>
      <c r="AV115" s="72"/>
      <c r="AW115" s="72"/>
      <c r="AX115" s="72"/>
      <c r="AY115" s="72"/>
      <c r="AZ115" s="72"/>
      <c r="BA115" s="72"/>
      <c r="BB115" s="72"/>
      <c r="BC115" s="72"/>
      <c r="BD115" s="72"/>
      <c r="BE115" s="72"/>
      <c r="BF115" s="72"/>
      <c r="BG115" s="72"/>
      <c r="BH115" s="72">
        <v>1</v>
      </c>
      <c r="BI115" s="72"/>
      <c r="BJ115" s="72"/>
      <c r="BK115" s="72">
        <f t="shared" ref="BK115:BK126" si="22">L115</f>
        <v>0</v>
      </c>
      <c r="BL115" s="72"/>
      <c r="BM115" s="72"/>
    </row>
    <row r="116" spans="1:66" s="953" customFormat="1">
      <c r="A116" s="944" t="s">
        <v>5835</v>
      </c>
      <c r="B116" s="954" t="s">
        <v>3120</v>
      </c>
      <c r="C116" s="960">
        <v>35</v>
      </c>
      <c r="D116" s="76"/>
      <c r="E116" s="72"/>
      <c r="F116" s="72"/>
      <c r="G116" s="72">
        <f t="shared" ref="G116:G139" si="23">C116</f>
        <v>35</v>
      </c>
      <c r="H116" s="72"/>
      <c r="I116" s="72"/>
      <c r="J116" s="72"/>
      <c r="K116" s="72">
        <v>1</v>
      </c>
      <c r="L116" s="72"/>
      <c r="M116" s="72"/>
      <c r="N116" s="72"/>
      <c r="O116" s="72"/>
      <c r="P116" s="952">
        <f t="shared" ref="P116:P139" si="24">IF(SUM(K116:L116)=1,1,0)</f>
        <v>1</v>
      </c>
      <c r="Q116" s="72"/>
      <c r="R116" s="67"/>
      <c r="S116" s="952">
        <f t="shared" ref="S116:S139" si="25">IF(SUM(K116:L116)=2,1,0)</f>
        <v>0</v>
      </c>
      <c r="T116" s="952"/>
      <c r="U116" s="72"/>
      <c r="V116" s="72"/>
      <c r="W116" s="72"/>
      <c r="X116" s="72"/>
      <c r="Y116" s="72"/>
      <c r="Z116" s="72"/>
      <c r="AA116" s="72"/>
      <c r="AB116" s="72"/>
      <c r="AC116" s="72"/>
      <c r="AD116" s="72">
        <v>1</v>
      </c>
      <c r="AE116" s="72"/>
      <c r="AF116" s="72"/>
      <c r="AG116" s="72"/>
      <c r="AH116" s="72">
        <f>IF(AD116=2,1,0)</f>
        <v>0</v>
      </c>
      <c r="AI116" s="72"/>
      <c r="AJ116" s="72">
        <v>1</v>
      </c>
      <c r="AK116" s="72"/>
      <c r="AL116" s="72"/>
      <c r="AM116" s="72"/>
      <c r="AN116" s="72"/>
      <c r="AO116" s="72"/>
      <c r="AP116" s="72"/>
      <c r="AQ116" s="72"/>
      <c r="AR116" s="72">
        <f t="shared" si="20"/>
        <v>0</v>
      </c>
      <c r="AS116" s="72">
        <f t="shared" si="21"/>
        <v>0</v>
      </c>
      <c r="AT116" s="72"/>
      <c r="AU116" s="72"/>
      <c r="AV116" s="72"/>
      <c r="AW116" s="72"/>
      <c r="AX116" s="72"/>
      <c r="AY116" s="72"/>
      <c r="AZ116" s="72"/>
      <c r="BA116" s="72"/>
      <c r="BB116" s="72"/>
      <c r="BC116" s="72"/>
      <c r="BD116" s="72"/>
      <c r="BE116" s="72"/>
      <c r="BF116" s="72"/>
      <c r="BG116" s="72"/>
      <c r="BH116" s="72">
        <v>1</v>
      </c>
      <c r="BI116" s="72"/>
      <c r="BJ116" s="72"/>
      <c r="BK116" s="72">
        <f t="shared" si="22"/>
        <v>0</v>
      </c>
      <c r="BL116" s="72"/>
      <c r="BM116" s="72"/>
    </row>
    <row r="117" spans="1:66" s="953" customFormat="1">
      <c r="A117" s="944" t="s">
        <v>5836</v>
      </c>
      <c r="B117" s="954" t="s">
        <v>3120</v>
      </c>
      <c r="C117" s="960">
        <v>35</v>
      </c>
      <c r="D117" s="76"/>
      <c r="E117" s="72"/>
      <c r="F117" s="72"/>
      <c r="G117" s="72">
        <f t="shared" si="23"/>
        <v>35</v>
      </c>
      <c r="H117" s="72"/>
      <c r="I117" s="72"/>
      <c r="J117" s="72"/>
      <c r="K117" s="72">
        <v>1</v>
      </c>
      <c r="L117" s="72"/>
      <c r="M117" s="72"/>
      <c r="N117" s="72"/>
      <c r="O117" s="72"/>
      <c r="P117" s="952">
        <f t="shared" si="24"/>
        <v>1</v>
      </c>
      <c r="Q117" s="72"/>
      <c r="R117" s="67"/>
      <c r="S117" s="952">
        <f t="shared" si="25"/>
        <v>0</v>
      </c>
      <c r="T117" s="952"/>
      <c r="U117" s="72"/>
      <c r="V117" s="72"/>
      <c r="W117" s="72"/>
      <c r="X117" s="72"/>
      <c r="Y117" s="72"/>
      <c r="Z117" s="72"/>
      <c r="AA117" s="72"/>
      <c r="AB117" s="72"/>
      <c r="AC117" s="72"/>
      <c r="AD117" s="72">
        <v>1</v>
      </c>
      <c r="AE117" s="72"/>
      <c r="AF117" s="72"/>
      <c r="AG117" s="72"/>
      <c r="AH117" s="72">
        <f t="shared" ref="AH117:AH139" si="26">IF(AD117=2,1,0)</f>
        <v>0</v>
      </c>
      <c r="AI117" s="72"/>
      <c r="AJ117" s="72">
        <v>1</v>
      </c>
      <c r="AK117" s="72"/>
      <c r="AL117" s="72"/>
      <c r="AM117" s="72"/>
      <c r="AN117" s="72"/>
      <c r="AO117" s="72"/>
      <c r="AP117" s="72"/>
      <c r="AQ117" s="72"/>
      <c r="AR117" s="72">
        <f t="shared" si="20"/>
        <v>0</v>
      </c>
      <c r="AS117" s="72">
        <f t="shared" si="21"/>
        <v>0</v>
      </c>
      <c r="AT117" s="72"/>
      <c r="AU117" s="72"/>
      <c r="AV117" s="72"/>
      <c r="AW117" s="72"/>
      <c r="AX117" s="72"/>
      <c r="AY117" s="72"/>
      <c r="AZ117" s="72"/>
      <c r="BA117" s="72"/>
      <c r="BB117" s="72"/>
      <c r="BC117" s="72"/>
      <c r="BD117" s="72"/>
      <c r="BE117" s="72"/>
      <c r="BF117" s="72"/>
      <c r="BG117" s="72"/>
      <c r="BH117" s="72">
        <v>1</v>
      </c>
      <c r="BI117" s="72"/>
      <c r="BJ117" s="72"/>
      <c r="BK117" s="72">
        <f t="shared" si="22"/>
        <v>0</v>
      </c>
      <c r="BL117" s="72"/>
      <c r="BM117" s="72"/>
    </row>
    <row r="118" spans="1:66" s="953" customFormat="1">
      <c r="A118" s="944" t="s">
        <v>5837</v>
      </c>
      <c r="B118" s="954" t="s">
        <v>3121</v>
      </c>
      <c r="C118" s="960">
        <v>35</v>
      </c>
      <c r="D118" s="76"/>
      <c r="E118" s="72"/>
      <c r="F118" s="72"/>
      <c r="G118" s="72">
        <f>C118+1</f>
        <v>36</v>
      </c>
      <c r="H118" s="72"/>
      <c r="I118" s="72"/>
      <c r="J118" s="72"/>
      <c r="K118" s="72">
        <v>1</v>
      </c>
      <c r="L118" s="72"/>
      <c r="M118" s="72"/>
      <c r="N118" s="72"/>
      <c r="O118" s="72"/>
      <c r="P118" s="952">
        <f t="shared" si="24"/>
        <v>1</v>
      </c>
      <c r="Q118" s="72"/>
      <c r="R118" s="67"/>
      <c r="S118" s="952">
        <f t="shared" si="25"/>
        <v>0</v>
      </c>
      <c r="T118" s="952"/>
      <c r="U118" s="72"/>
      <c r="V118" s="72"/>
      <c r="W118" s="72"/>
      <c r="X118" s="72">
        <v>1</v>
      </c>
      <c r="Y118" s="72"/>
      <c r="Z118" s="72"/>
      <c r="AA118" s="72"/>
      <c r="AB118" s="72"/>
      <c r="AC118" s="72"/>
      <c r="AD118" s="72">
        <v>2</v>
      </c>
      <c r="AE118" s="72"/>
      <c r="AF118" s="72"/>
      <c r="AG118" s="72"/>
      <c r="AH118" s="72">
        <f t="shared" si="26"/>
        <v>1</v>
      </c>
      <c r="AI118" s="72"/>
      <c r="AJ118" s="72">
        <v>1</v>
      </c>
      <c r="AK118" s="72"/>
      <c r="AL118" s="72"/>
      <c r="AM118" s="72">
        <v>1</v>
      </c>
      <c r="AN118" s="72"/>
      <c r="AO118" s="72"/>
      <c r="AP118" s="72"/>
      <c r="AQ118" s="72"/>
      <c r="AR118" s="72">
        <f t="shared" si="20"/>
        <v>0</v>
      </c>
      <c r="AS118" s="72">
        <f t="shared" si="21"/>
        <v>0</v>
      </c>
      <c r="AT118" s="72"/>
      <c r="AU118" s="72"/>
      <c r="AV118" s="72"/>
      <c r="AW118" s="72"/>
      <c r="AX118" s="72"/>
      <c r="AY118" s="72"/>
      <c r="AZ118" s="72"/>
      <c r="BA118" s="72"/>
      <c r="BB118" s="72"/>
      <c r="BC118" s="72"/>
      <c r="BD118" s="72"/>
      <c r="BE118" s="72"/>
      <c r="BF118" s="72"/>
      <c r="BG118" s="72"/>
      <c r="BH118" s="72">
        <v>1</v>
      </c>
      <c r="BI118" s="72"/>
      <c r="BJ118" s="72"/>
      <c r="BK118" s="72">
        <f t="shared" si="22"/>
        <v>0</v>
      </c>
      <c r="BL118" s="72"/>
      <c r="BM118" s="72"/>
    </row>
    <row r="119" spans="1:66" s="953" customFormat="1">
      <c r="A119" s="944" t="s">
        <v>5838</v>
      </c>
      <c r="B119" s="954" t="s">
        <v>3120</v>
      </c>
      <c r="C119" s="960">
        <v>35</v>
      </c>
      <c r="D119" s="76"/>
      <c r="E119" s="72"/>
      <c r="F119" s="72"/>
      <c r="G119" s="72">
        <f t="shared" si="23"/>
        <v>35</v>
      </c>
      <c r="H119" s="72"/>
      <c r="I119" s="72"/>
      <c r="J119" s="72"/>
      <c r="K119" s="72"/>
      <c r="L119" s="72">
        <v>1</v>
      </c>
      <c r="M119" s="72"/>
      <c r="N119" s="72"/>
      <c r="O119" s="72"/>
      <c r="P119" s="952">
        <f t="shared" si="24"/>
        <v>1</v>
      </c>
      <c r="Q119" s="72"/>
      <c r="R119" s="67"/>
      <c r="S119" s="952">
        <f t="shared" si="25"/>
        <v>0</v>
      </c>
      <c r="T119" s="952"/>
      <c r="U119" s="72"/>
      <c r="V119" s="72"/>
      <c r="W119" s="72"/>
      <c r="X119" s="72"/>
      <c r="Y119" s="72"/>
      <c r="Z119" s="72"/>
      <c r="AA119" s="72"/>
      <c r="AB119" s="72"/>
      <c r="AC119" s="72"/>
      <c r="AD119" s="72">
        <v>1</v>
      </c>
      <c r="AE119" s="72"/>
      <c r="AF119" s="72"/>
      <c r="AG119" s="72"/>
      <c r="AH119" s="72">
        <f t="shared" si="26"/>
        <v>0</v>
      </c>
      <c r="AI119" s="72"/>
      <c r="AJ119" s="72">
        <v>1</v>
      </c>
      <c r="AK119" s="72"/>
      <c r="AL119" s="72"/>
      <c r="AM119" s="72"/>
      <c r="AN119" s="72"/>
      <c r="AO119" s="72"/>
      <c r="AP119" s="72"/>
      <c r="AQ119" s="72"/>
      <c r="AR119" s="72">
        <f t="shared" si="20"/>
        <v>0</v>
      </c>
      <c r="AS119" s="72">
        <f t="shared" si="21"/>
        <v>0</v>
      </c>
      <c r="AT119" s="72"/>
      <c r="AU119" s="72"/>
      <c r="AV119" s="72"/>
      <c r="AW119" s="72"/>
      <c r="AX119" s="72"/>
      <c r="AY119" s="72"/>
      <c r="AZ119" s="72"/>
      <c r="BA119" s="72"/>
      <c r="BB119" s="72"/>
      <c r="BC119" s="72"/>
      <c r="BD119" s="72"/>
      <c r="BE119" s="72"/>
      <c r="BF119" s="72"/>
      <c r="BG119" s="72"/>
      <c r="BH119" s="72">
        <v>1</v>
      </c>
      <c r="BI119" s="72"/>
      <c r="BJ119" s="72"/>
      <c r="BK119" s="72">
        <f t="shared" si="22"/>
        <v>1</v>
      </c>
      <c r="BL119" s="72"/>
      <c r="BM119" s="72"/>
    </row>
    <row r="120" spans="1:66" s="953" customFormat="1">
      <c r="A120" s="944" t="s">
        <v>5839</v>
      </c>
      <c r="B120" s="954" t="s">
        <v>3120</v>
      </c>
      <c r="C120" s="960">
        <v>30</v>
      </c>
      <c r="D120" s="76"/>
      <c r="E120" s="72"/>
      <c r="F120" s="72"/>
      <c r="G120" s="72">
        <f t="shared" si="23"/>
        <v>30</v>
      </c>
      <c r="H120" s="72"/>
      <c r="I120" s="72"/>
      <c r="J120" s="72"/>
      <c r="K120" s="72">
        <v>1</v>
      </c>
      <c r="L120" s="72"/>
      <c r="M120" s="72"/>
      <c r="N120" s="72"/>
      <c r="O120" s="72"/>
      <c r="P120" s="952">
        <f t="shared" si="24"/>
        <v>1</v>
      </c>
      <c r="Q120" s="72"/>
      <c r="R120" s="67"/>
      <c r="S120" s="952">
        <f t="shared" si="25"/>
        <v>0</v>
      </c>
      <c r="T120" s="952"/>
      <c r="U120" s="72"/>
      <c r="V120" s="72"/>
      <c r="W120" s="72"/>
      <c r="X120" s="72"/>
      <c r="Y120" s="72"/>
      <c r="Z120" s="72"/>
      <c r="AA120" s="72"/>
      <c r="AB120" s="72"/>
      <c r="AC120" s="72"/>
      <c r="AD120" s="72">
        <v>1</v>
      </c>
      <c r="AE120" s="72"/>
      <c r="AF120" s="72"/>
      <c r="AG120" s="72"/>
      <c r="AH120" s="72">
        <f t="shared" si="26"/>
        <v>0</v>
      </c>
      <c r="AI120" s="72"/>
      <c r="AJ120" s="72">
        <v>1</v>
      </c>
      <c r="AK120" s="72"/>
      <c r="AL120" s="72"/>
      <c r="AM120" s="72"/>
      <c r="AN120" s="72"/>
      <c r="AO120" s="72"/>
      <c r="AP120" s="72"/>
      <c r="AQ120" s="72"/>
      <c r="AR120" s="72">
        <f>IF(S120=1,2,0)</f>
        <v>0</v>
      </c>
      <c r="AS120" s="72">
        <f>IF(S120=1,1,0)</f>
        <v>0</v>
      </c>
      <c r="AT120" s="72"/>
      <c r="AU120" s="72"/>
      <c r="AV120" s="72"/>
      <c r="AW120" s="72"/>
      <c r="AX120" s="72"/>
      <c r="AY120" s="72"/>
      <c r="AZ120" s="72"/>
      <c r="BA120" s="72"/>
      <c r="BB120" s="72"/>
      <c r="BC120" s="72"/>
      <c r="BD120" s="72"/>
      <c r="BE120" s="72"/>
      <c r="BF120" s="72"/>
      <c r="BG120" s="72"/>
      <c r="BH120" s="72">
        <v>1</v>
      </c>
      <c r="BI120" s="72"/>
      <c r="BJ120" s="72"/>
      <c r="BK120" s="72">
        <f t="shared" si="22"/>
        <v>0</v>
      </c>
      <c r="BL120" s="72"/>
      <c r="BM120" s="72"/>
    </row>
    <row r="121" spans="1:66" s="953" customFormat="1">
      <c r="A121" s="944" t="s">
        <v>5840</v>
      </c>
      <c r="B121" s="954" t="s">
        <v>3123</v>
      </c>
      <c r="C121" s="960">
        <v>30</v>
      </c>
      <c r="D121" s="76"/>
      <c r="E121" s="72"/>
      <c r="F121" s="72"/>
      <c r="G121" s="72">
        <f>C121+1</f>
        <v>31</v>
      </c>
      <c r="H121" s="72"/>
      <c r="I121" s="72"/>
      <c r="J121" s="72"/>
      <c r="K121" s="72">
        <v>2</v>
      </c>
      <c r="L121" s="72"/>
      <c r="M121" s="72"/>
      <c r="N121" s="72"/>
      <c r="O121" s="72"/>
      <c r="P121" s="952">
        <f t="shared" si="24"/>
        <v>0</v>
      </c>
      <c r="Q121" s="72"/>
      <c r="R121" s="67"/>
      <c r="S121" s="952">
        <f t="shared" si="25"/>
        <v>1</v>
      </c>
      <c r="T121" s="952"/>
      <c r="U121" s="72"/>
      <c r="V121" s="72"/>
      <c r="W121" s="72"/>
      <c r="X121" s="72"/>
      <c r="Y121" s="72"/>
      <c r="Z121" s="72"/>
      <c r="AA121" s="72"/>
      <c r="AB121" s="72"/>
      <c r="AC121" s="72"/>
      <c r="AD121" s="72"/>
      <c r="AE121" s="72"/>
      <c r="AF121" s="72"/>
      <c r="AG121" s="72">
        <v>2</v>
      </c>
      <c r="AH121" s="72">
        <f t="shared" si="26"/>
        <v>0</v>
      </c>
      <c r="AI121" s="72"/>
      <c r="AJ121" s="72">
        <v>1</v>
      </c>
      <c r="AK121" s="72"/>
      <c r="AL121" s="72"/>
      <c r="AM121" s="72">
        <v>1</v>
      </c>
      <c r="AN121" s="72"/>
      <c r="AO121" s="72"/>
      <c r="AP121" s="72"/>
      <c r="AQ121" s="72"/>
      <c r="AR121" s="72">
        <f t="shared" ref="AR121:AR133" si="27">IF(S121=1,2,0)</f>
        <v>2</v>
      </c>
      <c r="AS121" s="72">
        <f t="shared" ref="AS121:AS133" si="28">IF(S121=1,1,0)</f>
        <v>1</v>
      </c>
      <c r="AT121" s="72"/>
      <c r="AU121" s="72"/>
      <c r="AV121" s="72"/>
      <c r="AW121" s="72"/>
      <c r="AX121" s="72"/>
      <c r="AY121" s="72"/>
      <c r="AZ121" s="72"/>
      <c r="BA121" s="72"/>
      <c r="BB121" s="72"/>
      <c r="BC121" s="72"/>
      <c r="BD121" s="72"/>
      <c r="BE121" s="72"/>
      <c r="BF121" s="72"/>
      <c r="BG121" s="72"/>
      <c r="BH121" s="72">
        <v>1</v>
      </c>
      <c r="BI121" s="72"/>
      <c r="BJ121" s="72"/>
      <c r="BK121" s="72">
        <f t="shared" si="22"/>
        <v>0</v>
      </c>
      <c r="BL121" s="72"/>
      <c r="BM121" s="72"/>
    </row>
    <row r="122" spans="1:66" s="953" customFormat="1">
      <c r="A122" s="944" t="s">
        <v>5841</v>
      </c>
      <c r="B122" s="954" t="s">
        <v>3120</v>
      </c>
      <c r="C122" s="960">
        <v>30</v>
      </c>
      <c r="D122" s="76"/>
      <c r="E122" s="72"/>
      <c r="F122" s="72"/>
      <c r="G122" s="72">
        <f t="shared" si="23"/>
        <v>30</v>
      </c>
      <c r="H122" s="72"/>
      <c r="I122" s="72"/>
      <c r="J122" s="72"/>
      <c r="K122" s="72">
        <v>1</v>
      </c>
      <c r="L122" s="72"/>
      <c r="M122" s="72"/>
      <c r="N122" s="72"/>
      <c r="O122" s="72"/>
      <c r="P122" s="952">
        <f t="shared" si="24"/>
        <v>1</v>
      </c>
      <c r="Q122" s="72"/>
      <c r="R122" s="67"/>
      <c r="S122" s="952">
        <f t="shared" si="25"/>
        <v>0</v>
      </c>
      <c r="T122" s="952"/>
      <c r="U122" s="72"/>
      <c r="V122" s="72"/>
      <c r="W122" s="72"/>
      <c r="X122" s="72"/>
      <c r="Y122" s="72"/>
      <c r="Z122" s="72"/>
      <c r="AA122" s="72"/>
      <c r="AB122" s="72"/>
      <c r="AC122" s="72"/>
      <c r="AD122" s="72">
        <v>1</v>
      </c>
      <c r="AE122" s="72"/>
      <c r="AF122" s="72"/>
      <c r="AG122" s="72"/>
      <c r="AH122" s="72">
        <f t="shared" si="26"/>
        <v>0</v>
      </c>
      <c r="AI122" s="72"/>
      <c r="AJ122" s="72">
        <v>1</v>
      </c>
      <c r="AK122" s="72"/>
      <c r="AL122" s="72"/>
      <c r="AM122" s="72"/>
      <c r="AN122" s="72"/>
      <c r="AO122" s="72"/>
      <c r="AP122" s="72"/>
      <c r="AQ122" s="72"/>
      <c r="AR122" s="72">
        <f t="shared" si="27"/>
        <v>0</v>
      </c>
      <c r="AS122" s="72">
        <f t="shared" si="28"/>
        <v>0</v>
      </c>
      <c r="AT122" s="72"/>
      <c r="AU122" s="72"/>
      <c r="AV122" s="72"/>
      <c r="AW122" s="72"/>
      <c r="AX122" s="72"/>
      <c r="AY122" s="72"/>
      <c r="AZ122" s="72"/>
      <c r="BA122" s="72"/>
      <c r="BB122" s="72"/>
      <c r="BC122" s="72"/>
      <c r="BD122" s="72"/>
      <c r="BE122" s="72"/>
      <c r="BF122" s="72"/>
      <c r="BG122" s="72"/>
      <c r="BH122" s="72">
        <v>1</v>
      </c>
      <c r="BI122" s="72"/>
      <c r="BJ122" s="72"/>
      <c r="BK122" s="72">
        <f>L122</f>
        <v>0</v>
      </c>
      <c r="BL122" s="72"/>
      <c r="BM122" s="72"/>
    </row>
    <row r="123" spans="1:66" s="953" customFormat="1">
      <c r="A123" s="944" t="s">
        <v>5842</v>
      </c>
      <c r="B123" s="954" t="s">
        <v>3121</v>
      </c>
      <c r="C123" s="960">
        <v>30</v>
      </c>
      <c r="D123" s="76"/>
      <c r="E123" s="72"/>
      <c r="F123" s="72"/>
      <c r="G123" s="72">
        <f t="shared" si="23"/>
        <v>30</v>
      </c>
      <c r="H123" s="72"/>
      <c r="I123" s="72"/>
      <c r="J123" s="72"/>
      <c r="K123" s="72">
        <v>1</v>
      </c>
      <c r="L123" s="72"/>
      <c r="M123" s="72"/>
      <c r="N123" s="72"/>
      <c r="O123" s="72"/>
      <c r="P123" s="952">
        <f t="shared" si="24"/>
        <v>1</v>
      </c>
      <c r="Q123" s="72"/>
      <c r="R123" s="67"/>
      <c r="S123" s="952">
        <f t="shared" si="25"/>
        <v>0</v>
      </c>
      <c r="T123" s="952"/>
      <c r="U123" s="72"/>
      <c r="V123" s="72"/>
      <c r="W123" s="72"/>
      <c r="X123" s="72">
        <v>1</v>
      </c>
      <c r="Y123" s="72"/>
      <c r="Z123" s="72"/>
      <c r="AA123" s="72"/>
      <c r="AB123" s="72"/>
      <c r="AC123" s="72"/>
      <c r="AD123" s="72">
        <v>2</v>
      </c>
      <c r="AE123" s="72"/>
      <c r="AF123" s="72"/>
      <c r="AG123" s="72"/>
      <c r="AH123" s="72">
        <f t="shared" si="26"/>
        <v>1</v>
      </c>
      <c r="AI123" s="72"/>
      <c r="AJ123" s="72">
        <v>1</v>
      </c>
      <c r="AK123" s="72"/>
      <c r="AL123" s="72"/>
      <c r="AM123" s="72"/>
      <c r="AN123" s="72"/>
      <c r="AO123" s="72"/>
      <c r="AP123" s="72"/>
      <c r="AQ123" s="72"/>
      <c r="AR123" s="72">
        <f t="shared" si="27"/>
        <v>0</v>
      </c>
      <c r="AS123" s="72">
        <f t="shared" si="28"/>
        <v>0</v>
      </c>
      <c r="AT123" s="72"/>
      <c r="AU123" s="72"/>
      <c r="AV123" s="72"/>
      <c r="AW123" s="72"/>
      <c r="AX123" s="72"/>
      <c r="AY123" s="72"/>
      <c r="AZ123" s="72"/>
      <c r="BA123" s="72"/>
      <c r="BB123" s="72"/>
      <c r="BC123" s="72"/>
      <c r="BD123" s="72"/>
      <c r="BE123" s="72"/>
      <c r="BF123" s="72"/>
      <c r="BG123" s="72"/>
      <c r="BH123" s="72">
        <v>1</v>
      </c>
      <c r="BI123" s="72"/>
      <c r="BJ123" s="72"/>
      <c r="BK123" s="72">
        <f>L123</f>
        <v>0</v>
      </c>
      <c r="BL123" s="72"/>
      <c r="BM123" s="72"/>
    </row>
    <row r="124" spans="1:66" s="953" customFormat="1">
      <c r="A124" s="944" t="s">
        <v>5843</v>
      </c>
      <c r="B124" s="954" t="s">
        <v>3120</v>
      </c>
      <c r="C124" s="960">
        <v>30</v>
      </c>
      <c r="D124" s="76"/>
      <c r="E124" s="72"/>
      <c r="F124" s="72"/>
      <c r="G124" s="72">
        <f t="shared" si="23"/>
        <v>30</v>
      </c>
      <c r="H124" s="72"/>
      <c r="I124" s="72"/>
      <c r="J124" s="72"/>
      <c r="K124" s="72"/>
      <c r="L124" s="72">
        <v>1</v>
      </c>
      <c r="M124" s="72"/>
      <c r="N124" s="72"/>
      <c r="O124" s="72"/>
      <c r="P124" s="952">
        <f t="shared" si="24"/>
        <v>1</v>
      </c>
      <c r="Q124" s="72"/>
      <c r="R124" s="67"/>
      <c r="S124" s="952">
        <f t="shared" si="25"/>
        <v>0</v>
      </c>
      <c r="T124" s="952"/>
      <c r="U124" s="72"/>
      <c r="V124" s="72"/>
      <c r="W124" s="72"/>
      <c r="X124" s="72"/>
      <c r="Y124" s="72"/>
      <c r="Z124" s="72"/>
      <c r="AA124" s="72"/>
      <c r="AB124" s="72"/>
      <c r="AC124" s="72"/>
      <c r="AD124" s="72">
        <v>1</v>
      </c>
      <c r="AE124" s="72"/>
      <c r="AF124" s="72"/>
      <c r="AG124" s="72"/>
      <c r="AH124" s="72">
        <f t="shared" si="26"/>
        <v>0</v>
      </c>
      <c r="AI124" s="72"/>
      <c r="AJ124" s="72">
        <v>1</v>
      </c>
      <c r="AK124" s="72"/>
      <c r="AL124" s="72"/>
      <c r="AM124" s="72"/>
      <c r="AN124" s="72"/>
      <c r="AO124" s="72"/>
      <c r="AP124" s="72"/>
      <c r="AQ124" s="72"/>
      <c r="AR124" s="72">
        <f t="shared" si="27"/>
        <v>0</v>
      </c>
      <c r="AS124" s="72">
        <f t="shared" si="28"/>
        <v>0</v>
      </c>
      <c r="AT124" s="72"/>
      <c r="AU124" s="72"/>
      <c r="AV124" s="72"/>
      <c r="AW124" s="72"/>
      <c r="AX124" s="72"/>
      <c r="AY124" s="72"/>
      <c r="AZ124" s="72"/>
      <c r="BA124" s="72"/>
      <c r="BB124" s="72"/>
      <c r="BC124" s="72"/>
      <c r="BD124" s="72"/>
      <c r="BE124" s="72"/>
      <c r="BF124" s="72"/>
      <c r="BG124" s="72"/>
      <c r="BH124" s="72">
        <v>1</v>
      </c>
      <c r="BI124" s="72"/>
      <c r="BJ124" s="72"/>
      <c r="BK124" s="72">
        <f>L124</f>
        <v>1</v>
      </c>
      <c r="BL124" s="72"/>
      <c r="BM124" s="72"/>
    </row>
    <row r="125" spans="1:66" s="953" customFormat="1">
      <c r="A125" s="944" t="s">
        <v>720</v>
      </c>
      <c r="B125" s="954" t="s">
        <v>3120</v>
      </c>
      <c r="C125" s="960">
        <v>30</v>
      </c>
      <c r="D125" s="76"/>
      <c r="E125" s="72"/>
      <c r="F125" s="72"/>
      <c r="G125" s="72">
        <f t="shared" si="23"/>
        <v>30</v>
      </c>
      <c r="H125" s="72"/>
      <c r="I125" s="72"/>
      <c r="J125" s="72"/>
      <c r="K125" s="72">
        <v>1</v>
      </c>
      <c r="L125" s="72"/>
      <c r="M125" s="72"/>
      <c r="N125" s="72"/>
      <c r="O125" s="72"/>
      <c r="P125" s="952">
        <f t="shared" si="24"/>
        <v>1</v>
      </c>
      <c r="Q125" s="72"/>
      <c r="R125" s="67"/>
      <c r="S125" s="952">
        <f t="shared" si="25"/>
        <v>0</v>
      </c>
      <c r="T125" s="952"/>
      <c r="U125" s="72"/>
      <c r="V125" s="72"/>
      <c r="W125" s="72"/>
      <c r="X125" s="72"/>
      <c r="Y125" s="72"/>
      <c r="Z125" s="72"/>
      <c r="AA125" s="72"/>
      <c r="AB125" s="72"/>
      <c r="AC125" s="72"/>
      <c r="AD125" s="72">
        <v>1</v>
      </c>
      <c r="AE125" s="72"/>
      <c r="AF125" s="72"/>
      <c r="AG125" s="72"/>
      <c r="AH125" s="72">
        <f t="shared" si="26"/>
        <v>0</v>
      </c>
      <c r="AI125" s="72"/>
      <c r="AJ125" s="72">
        <v>1</v>
      </c>
      <c r="AK125" s="72"/>
      <c r="AL125" s="72"/>
      <c r="AM125" s="72"/>
      <c r="AN125" s="72"/>
      <c r="AO125" s="72"/>
      <c r="AP125" s="72"/>
      <c r="AQ125" s="72"/>
      <c r="AR125" s="72">
        <f t="shared" si="27"/>
        <v>0</v>
      </c>
      <c r="AS125" s="72">
        <f t="shared" si="28"/>
        <v>0</v>
      </c>
      <c r="AT125" s="72"/>
      <c r="AU125" s="72"/>
      <c r="AV125" s="72"/>
      <c r="AW125" s="72"/>
      <c r="AX125" s="72"/>
      <c r="AY125" s="72"/>
      <c r="AZ125" s="72"/>
      <c r="BA125" s="72"/>
      <c r="BB125" s="72"/>
      <c r="BC125" s="72"/>
      <c r="BD125" s="72"/>
      <c r="BE125" s="72"/>
      <c r="BF125" s="72"/>
      <c r="BG125" s="72"/>
      <c r="BH125" s="72">
        <v>1</v>
      </c>
      <c r="BI125" s="72"/>
      <c r="BJ125" s="72"/>
      <c r="BK125" s="72">
        <f t="shared" si="22"/>
        <v>0</v>
      </c>
      <c r="BL125" s="72"/>
      <c r="BM125" s="72"/>
    </row>
    <row r="126" spans="1:66" s="953" customFormat="1">
      <c r="A126" s="944" t="s">
        <v>721</v>
      </c>
      <c r="B126" s="954" t="s">
        <v>3123</v>
      </c>
      <c r="C126" s="960">
        <v>30</v>
      </c>
      <c r="D126" s="76"/>
      <c r="E126" s="72"/>
      <c r="F126" s="72"/>
      <c r="G126" s="72">
        <f>C126+1</f>
        <v>31</v>
      </c>
      <c r="H126" s="72"/>
      <c r="I126" s="72"/>
      <c r="J126" s="72"/>
      <c r="K126" s="72">
        <v>2</v>
      </c>
      <c r="L126" s="72"/>
      <c r="M126" s="72"/>
      <c r="N126" s="72"/>
      <c r="O126" s="72"/>
      <c r="P126" s="952">
        <f t="shared" si="24"/>
        <v>0</v>
      </c>
      <c r="Q126" s="72"/>
      <c r="R126" s="67"/>
      <c r="S126" s="952">
        <f t="shared" si="25"/>
        <v>1</v>
      </c>
      <c r="T126" s="952"/>
      <c r="U126" s="72"/>
      <c r="V126" s="72"/>
      <c r="W126" s="72"/>
      <c r="X126" s="72"/>
      <c r="Y126" s="72"/>
      <c r="Z126" s="72"/>
      <c r="AA126" s="72"/>
      <c r="AB126" s="72"/>
      <c r="AC126" s="72"/>
      <c r="AD126" s="72"/>
      <c r="AE126" s="72"/>
      <c r="AF126" s="72"/>
      <c r="AG126" s="72">
        <v>2</v>
      </c>
      <c r="AH126" s="72">
        <f t="shared" si="26"/>
        <v>0</v>
      </c>
      <c r="AI126" s="72"/>
      <c r="AJ126" s="72">
        <v>1</v>
      </c>
      <c r="AK126" s="72"/>
      <c r="AL126" s="72"/>
      <c r="AM126" s="72">
        <v>1</v>
      </c>
      <c r="AN126" s="72"/>
      <c r="AO126" s="72"/>
      <c r="AP126" s="72"/>
      <c r="AQ126" s="72"/>
      <c r="AR126" s="72">
        <f t="shared" si="27"/>
        <v>2</v>
      </c>
      <c r="AS126" s="72">
        <f t="shared" si="28"/>
        <v>1</v>
      </c>
      <c r="AT126" s="72"/>
      <c r="AU126" s="72"/>
      <c r="AV126" s="72"/>
      <c r="AW126" s="72"/>
      <c r="AX126" s="72"/>
      <c r="AY126" s="72"/>
      <c r="AZ126" s="72"/>
      <c r="BA126" s="72"/>
      <c r="BB126" s="72"/>
      <c r="BC126" s="72"/>
      <c r="BD126" s="72"/>
      <c r="BE126" s="72"/>
      <c r="BF126" s="72"/>
      <c r="BG126" s="72"/>
      <c r="BH126" s="72">
        <v>1</v>
      </c>
      <c r="BI126" s="72"/>
      <c r="BJ126" s="72"/>
      <c r="BK126" s="72">
        <f t="shared" si="22"/>
        <v>0</v>
      </c>
      <c r="BL126" s="72"/>
      <c r="BM126" s="72"/>
    </row>
    <row r="127" spans="1:66" s="953" customFormat="1">
      <c r="A127" s="944" t="s">
        <v>722</v>
      </c>
      <c r="B127" s="954" t="s">
        <v>3120</v>
      </c>
      <c r="C127" s="960">
        <v>35</v>
      </c>
      <c r="D127" s="76"/>
      <c r="E127" s="72"/>
      <c r="F127" s="72"/>
      <c r="G127" s="72">
        <f t="shared" si="23"/>
        <v>35</v>
      </c>
      <c r="H127" s="72"/>
      <c r="I127" s="72"/>
      <c r="J127" s="72"/>
      <c r="K127" s="72">
        <v>1</v>
      </c>
      <c r="L127" s="72"/>
      <c r="M127" s="72"/>
      <c r="N127" s="72"/>
      <c r="O127" s="72"/>
      <c r="P127" s="952">
        <f t="shared" si="24"/>
        <v>1</v>
      </c>
      <c r="Q127" s="72"/>
      <c r="R127" s="67"/>
      <c r="S127" s="952">
        <f t="shared" si="25"/>
        <v>0</v>
      </c>
      <c r="T127" s="952"/>
      <c r="U127" s="72"/>
      <c r="V127" s="72"/>
      <c r="W127" s="72"/>
      <c r="X127" s="72"/>
      <c r="Y127" s="72"/>
      <c r="Z127" s="72"/>
      <c r="AA127" s="72"/>
      <c r="AB127" s="72"/>
      <c r="AC127" s="72"/>
      <c r="AD127" s="72">
        <v>1</v>
      </c>
      <c r="AE127" s="72"/>
      <c r="AF127" s="72"/>
      <c r="AG127" s="72"/>
      <c r="AH127" s="72">
        <f t="shared" si="26"/>
        <v>0</v>
      </c>
      <c r="AI127" s="72"/>
      <c r="AJ127" s="72">
        <v>1</v>
      </c>
      <c r="AK127" s="72"/>
      <c r="AL127" s="72"/>
      <c r="AM127" s="72"/>
      <c r="AN127" s="72"/>
      <c r="AO127" s="72"/>
      <c r="AP127" s="72"/>
      <c r="AQ127" s="72"/>
      <c r="AR127" s="72">
        <f t="shared" si="27"/>
        <v>0</v>
      </c>
      <c r="AS127" s="72">
        <f t="shared" si="28"/>
        <v>0</v>
      </c>
      <c r="AT127" s="72"/>
      <c r="AU127" s="72"/>
      <c r="AV127" s="72"/>
      <c r="AW127" s="72"/>
      <c r="AX127" s="72"/>
      <c r="AY127" s="72"/>
      <c r="AZ127" s="72"/>
      <c r="BA127" s="72"/>
      <c r="BB127" s="72"/>
      <c r="BC127" s="72"/>
      <c r="BD127" s="72"/>
      <c r="BE127" s="72"/>
      <c r="BF127" s="72"/>
      <c r="BG127" s="72"/>
      <c r="BH127" s="72">
        <v>1</v>
      </c>
      <c r="BI127" s="72"/>
      <c r="BJ127" s="72"/>
      <c r="BK127" s="72">
        <f t="shared" ref="BK127:BK132" si="29">L127</f>
        <v>0</v>
      </c>
      <c r="BL127" s="72"/>
      <c r="BM127" s="72"/>
    </row>
    <row r="128" spans="1:66" s="953" customFormat="1">
      <c r="A128" s="944" t="s">
        <v>723</v>
      </c>
      <c r="B128" s="954" t="s">
        <v>3120</v>
      </c>
      <c r="C128" s="960">
        <v>35</v>
      </c>
      <c r="D128" s="76"/>
      <c r="E128" s="72"/>
      <c r="F128" s="72"/>
      <c r="G128" s="72">
        <f t="shared" si="23"/>
        <v>35</v>
      </c>
      <c r="H128" s="72"/>
      <c r="I128" s="72"/>
      <c r="J128" s="72"/>
      <c r="K128" s="72">
        <v>1</v>
      </c>
      <c r="L128" s="72"/>
      <c r="M128" s="72"/>
      <c r="N128" s="72"/>
      <c r="O128" s="72"/>
      <c r="P128" s="952">
        <f t="shared" si="24"/>
        <v>1</v>
      </c>
      <c r="Q128" s="72"/>
      <c r="R128" s="67"/>
      <c r="S128" s="952">
        <f t="shared" si="25"/>
        <v>0</v>
      </c>
      <c r="T128" s="952"/>
      <c r="U128" s="72"/>
      <c r="V128" s="72"/>
      <c r="W128" s="72"/>
      <c r="X128" s="72"/>
      <c r="Y128" s="72"/>
      <c r="Z128" s="72"/>
      <c r="AA128" s="72"/>
      <c r="AB128" s="72"/>
      <c r="AC128" s="72"/>
      <c r="AD128" s="72">
        <v>1</v>
      </c>
      <c r="AE128" s="72"/>
      <c r="AF128" s="72"/>
      <c r="AG128" s="72"/>
      <c r="AH128" s="72">
        <f t="shared" si="26"/>
        <v>0</v>
      </c>
      <c r="AI128" s="72"/>
      <c r="AJ128" s="72">
        <v>1</v>
      </c>
      <c r="AK128" s="72"/>
      <c r="AL128" s="72"/>
      <c r="AM128" s="72"/>
      <c r="AN128" s="72"/>
      <c r="AO128" s="72"/>
      <c r="AP128" s="72"/>
      <c r="AQ128" s="72"/>
      <c r="AR128" s="72">
        <f t="shared" si="27"/>
        <v>0</v>
      </c>
      <c r="AS128" s="72">
        <f t="shared" si="28"/>
        <v>0</v>
      </c>
      <c r="AT128" s="72"/>
      <c r="AU128" s="72"/>
      <c r="AV128" s="72"/>
      <c r="AW128" s="72"/>
      <c r="AX128" s="72"/>
      <c r="AY128" s="72"/>
      <c r="AZ128" s="72"/>
      <c r="BA128" s="72"/>
      <c r="BB128" s="72"/>
      <c r="BC128" s="72"/>
      <c r="BD128" s="72"/>
      <c r="BE128" s="72"/>
      <c r="BF128" s="72"/>
      <c r="BG128" s="72"/>
      <c r="BH128" s="72">
        <v>1</v>
      </c>
      <c r="BI128" s="72"/>
      <c r="BJ128" s="72"/>
      <c r="BK128" s="72">
        <f t="shared" si="29"/>
        <v>0</v>
      </c>
      <c r="BL128" s="72"/>
      <c r="BM128" s="72"/>
    </row>
    <row r="129" spans="1:66" s="953" customFormat="1">
      <c r="A129" s="944" t="s">
        <v>724</v>
      </c>
      <c r="B129" s="954" t="s">
        <v>3120</v>
      </c>
      <c r="C129" s="960">
        <v>35</v>
      </c>
      <c r="D129" s="76"/>
      <c r="E129" s="72"/>
      <c r="F129" s="72"/>
      <c r="G129" s="72">
        <f t="shared" si="23"/>
        <v>35</v>
      </c>
      <c r="H129" s="72"/>
      <c r="I129" s="72"/>
      <c r="J129" s="72"/>
      <c r="K129" s="72"/>
      <c r="L129" s="72">
        <v>1</v>
      </c>
      <c r="M129" s="72"/>
      <c r="N129" s="72"/>
      <c r="O129" s="72"/>
      <c r="P129" s="952">
        <f t="shared" si="24"/>
        <v>1</v>
      </c>
      <c r="Q129" s="72"/>
      <c r="R129" s="67"/>
      <c r="S129" s="952">
        <f t="shared" si="25"/>
        <v>0</v>
      </c>
      <c r="T129" s="952"/>
      <c r="U129" s="72"/>
      <c r="V129" s="72"/>
      <c r="W129" s="72"/>
      <c r="X129" s="72"/>
      <c r="Y129" s="72"/>
      <c r="Z129" s="72"/>
      <c r="AA129" s="72"/>
      <c r="AB129" s="72"/>
      <c r="AC129" s="72"/>
      <c r="AD129" s="72">
        <v>1</v>
      </c>
      <c r="AE129" s="72"/>
      <c r="AF129" s="72"/>
      <c r="AG129" s="72"/>
      <c r="AH129" s="72">
        <f t="shared" si="26"/>
        <v>0</v>
      </c>
      <c r="AI129" s="72"/>
      <c r="AJ129" s="72">
        <v>1</v>
      </c>
      <c r="AK129" s="72"/>
      <c r="AL129" s="72"/>
      <c r="AM129" s="72"/>
      <c r="AN129" s="72"/>
      <c r="AO129" s="72"/>
      <c r="AP129" s="72"/>
      <c r="AQ129" s="72"/>
      <c r="AR129" s="72">
        <f t="shared" si="27"/>
        <v>0</v>
      </c>
      <c r="AS129" s="72">
        <f t="shared" si="28"/>
        <v>0</v>
      </c>
      <c r="AT129" s="72"/>
      <c r="AU129" s="72"/>
      <c r="AV129" s="72"/>
      <c r="AW129" s="72"/>
      <c r="AX129" s="72"/>
      <c r="AY129" s="72"/>
      <c r="AZ129" s="72"/>
      <c r="BA129" s="72"/>
      <c r="BB129" s="72"/>
      <c r="BC129" s="72"/>
      <c r="BD129" s="72"/>
      <c r="BE129" s="72"/>
      <c r="BF129" s="72"/>
      <c r="BG129" s="72"/>
      <c r="BH129" s="72">
        <v>1</v>
      </c>
      <c r="BI129" s="72"/>
      <c r="BJ129" s="72"/>
      <c r="BK129" s="72">
        <f t="shared" si="29"/>
        <v>1</v>
      </c>
      <c r="BL129" s="72"/>
      <c r="BM129" s="72"/>
    </row>
    <row r="130" spans="1:66" s="953" customFormat="1">
      <c r="A130" s="944" t="s">
        <v>725</v>
      </c>
      <c r="B130" s="954" t="s">
        <v>3120</v>
      </c>
      <c r="C130" s="960">
        <v>30</v>
      </c>
      <c r="D130" s="76"/>
      <c r="E130" s="72"/>
      <c r="F130" s="72"/>
      <c r="G130" s="72">
        <f t="shared" si="23"/>
        <v>30</v>
      </c>
      <c r="H130" s="72"/>
      <c r="I130" s="72"/>
      <c r="J130" s="72"/>
      <c r="K130" s="72">
        <v>1</v>
      </c>
      <c r="L130" s="72"/>
      <c r="M130" s="72"/>
      <c r="N130" s="72"/>
      <c r="O130" s="72"/>
      <c r="P130" s="952">
        <f t="shared" si="24"/>
        <v>1</v>
      </c>
      <c r="Q130" s="72"/>
      <c r="R130" s="67"/>
      <c r="S130" s="952">
        <f t="shared" si="25"/>
        <v>0</v>
      </c>
      <c r="T130" s="952"/>
      <c r="U130" s="72"/>
      <c r="V130" s="72"/>
      <c r="W130" s="72"/>
      <c r="X130" s="72"/>
      <c r="Y130" s="72"/>
      <c r="Z130" s="72"/>
      <c r="AA130" s="72"/>
      <c r="AB130" s="72"/>
      <c r="AC130" s="72"/>
      <c r="AD130" s="72">
        <v>1</v>
      </c>
      <c r="AE130" s="72"/>
      <c r="AF130" s="72"/>
      <c r="AG130" s="72"/>
      <c r="AH130" s="72">
        <f t="shared" si="26"/>
        <v>0</v>
      </c>
      <c r="AI130" s="72"/>
      <c r="AJ130" s="72">
        <v>1</v>
      </c>
      <c r="AK130" s="72"/>
      <c r="AL130" s="72"/>
      <c r="AM130" s="72"/>
      <c r="AN130" s="72"/>
      <c r="AO130" s="72"/>
      <c r="AP130" s="72"/>
      <c r="AQ130" s="72"/>
      <c r="AR130" s="72">
        <f t="shared" si="27"/>
        <v>0</v>
      </c>
      <c r="AS130" s="72">
        <f t="shared" si="28"/>
        <v>0</v>
      </c>
      <c r="AT130" s="72"/>
      <c r="AU130" s="72"/>
      <c r="AV130" s="72"/>
      <c r="AW130" s="72"/>
      <c r="AX130" s="72"/>
      <c r="AY130" s="72"/>
      <c r="AZ130" s="72"/>
      <c r="BA130" s="72"/>
      <c r="BB130" s="72"/>
      <c r="BC130" s="72"/>
      <c r="BD130" s="72"/>
      <c r="BE130" s="72"/>
      <c r="BF130" s="72"/>
      <c r="BG130" s="72"/>
      <c r="BH130" s="72">
        <v>1</v>
      </c>
      <c r="BI130" s="72"/>
      <c r="BJ130" s="72"/>
      <c r="BK130" s="72">
        <f t="shared" si="29"/>
        <v>0</v>
      </c>
      <c r="BL130" s="72"/>
      <c r="BM130" s="72"/>
    </row>
    <row r="131" spans="1:66" s="953" customFormat="1">
      <c r="A131" s="944" t="s">
        <v>726</v>
      </c>
      <c r="B131" s="954" t="s">
        <v>3121</v>
      </c>
      <c r="C131" s="960">
        <v>30</v>
      </c>
      <c r="D131" s="76"/>
      <c r="E131" s="72"/>
      <c r="F131" s="72"/>
      <c r="G131" s="72">
        <f>C131+1</f>
        <v>31</v>
      </c>
      <c r="H131" s="72"/>
      <c r="I131" s="72"/>
      <c r="J131" s="72"/>
      <c r="K131" s="72">
        <v>1</v>
      </c>
      <c r="L131" s="72"/>
      <c r="M131" s="72"/>
      <c r="N131" s="72"/>
      <c r="O131" s="72"/>
      <c r="P131" s="952">
        <f t="shared" si="24"/>
        <v>1</v>
      </c>
      <c r="Q131" s="72"/>
      <c r="R131" s="67"/>
      <c r="S131" s="952">
        <f t="shared" si="25"/>
        <v>0</v>
      </c>
      <c r="T131" s="952"/>
      <c r="U131" s="72"/>
      <c r="V131" s="72"/>
      <c r="W131" s="72"/>
      <c r="X131" s="72">
        <v>1</v>
      </c>
      <c r="Y131" s="72"/>
      <c r="Z131" s="72"/>
      <c r="AA131" s="72"/>
      <c r="AB131" s="72"/>
      <c r="AC131" s="72"/>
      <c r="AD131" s="72">
        <v>2</v>
      </c>
      <c r="AE131" s="72"/>
      <c r="AF131" s="72"/>
      <c r="AG131" s="72"/>
      <c r="AH131" s="72">
        <f t="shared" si="26"/>
        <v>1</v>
      </c>
      <c r="AI131" s="72"/>
      <c r="AJ131" s="72">
        <v>1</v>
      </c>
      <c r="AK131" s="72"/>
      <c r="AL131" s="72"/>
      <c r="AM131" s="72">
        <v>1</v>
      </c>
      <c r="AN131" s="72"/>
      <c r="AO131" s="72"/>
      <c r="AP131" s="72"/>
      <c r="AQ131" s="72"/>
      <c r="AR131" s="72">
        <f t="shared" si="27"/>
        <v>0</v>
      </c>
      <c r="AS131" s="72">
        <f t="shared" si="28"/>
        <v>0</v>
      </c>
      <c r="AT131" s="72"/>
      <c r="AU131" s="72"/>
      <c r="AV131" s="72"/>
      <c r="AW131" s="72"/>
      <c r="AX131" s="72"/>
      <c r="AY131" s="72"/>
      <c r="AZ131" s="72"/>
      <c r="BA131" s="72"/>
      <c r="BB131" s="72"/>
      <c r="BC131" s="72"/>
      <c r="BD131" s="72"/>
      <c r="BE131" s="72"/>
      <c r="BF131" s="72"/>
      <c r="BG131" s="72"/>
      <c r="BH131" s="72">
        <v>1</v>
      </c>
      <c r="BI131" s="72"/>
      <c r="BJ131" s="72"/>
      <c r="BK131" s="72">
        <f t="shared" si="29"/>
        <v>0</v>
      </c>
      <c r="BL131" s="72"/>
      <c r="BM131" s="72"/>
    </row>
    <row r="132" spans="1:66" s="953" customFormat="1">
      <c r="A132" s="944" t="s">
        <v>727</v>
      </c>
      <c r="B132" s="954" t="s">
        <v>3120</v>
      </c>
      <c r="C132" s="960">
        <v>30</v>
      </c>
      <c r="D132" s="76"/>
      <c r="E132" s="72"/>
      <c r="F132" s="72"/>
      <c r="G132" s="72">
        <f t="shared" si="23"/>
        <v>30</v>
      </c>
      <c r="H132" s="72"/>
      <c r="I132" s="72"/>
      <c r="J132" s="72"/>
      <c r="K132" s="72">
        <v>1</v>
      </c>
      <c r="L132" s="72"/>
      <c r="M132" s="72"/>
      <c r="N132" s="72"/>
      <c r="O132" s="72"/>
      <c r="P132" s="952">
        <f t="shared" si="24"/>
        <v>1</v>
      </c>
      <c r="Q132" s="72"/>
      <c r="R132" s="67"/>
      <c r="S132" s="952">
        <f t="shared" si="25"/>
        <v>0</v>
      </c>
      <c r="T132" s="952"/>
      <c r="U132" s="72"/>
      <c r="V132" s="72"/>
      <c r="W132" s="72"/>
      <c r="X132" s="72"/>
      <c r="Y132" s="72"/>
      <c r="Z132" s="72"/>
      <c r="AA132" s="72"/>
      <c r="AB132" s="72"/>
      <c r="AC132" s="72"/>
      <c r="AD132" s="72">
        <v>1</v>
      </c>
      <c r="AE132" s="72"/>
      <c r="AF132" s="72"/>
      <c r="AG132" s="72"/>
      <c r="AH132" s="72">
        <f t="shared" si="26"/>
        <v>0</v>
      </c>
      <c r="AI132" s="72"/>
      <c r="AJ132" s="72">
        <v>1</v>
      </c>
      <c r="AK132" s="72"/>
      <c r="AL132" s="72"/>
      <c r="AM132" s="72"/>
      <c r="AN132" s="72"/>
      <c r="AO132" s="72"/>
      <c r="AP132" s="72"/>
      <c r="AQ132" s="72"/>
      <c r="AR132" s="72">
        <f t="shared" si="27"/>
        <v>0</v>
      </c>
      <c r="AS132" s="72">
        <f t="shared" si="28"/>
        <v>0</v>
      </c>
      <c r="AT132" s="72"/>
      <c r="AU132" s="72"/>
      <c r="AV132" s="72"/>
      <c r="AW132" s="72"/>
      <c r="AX132" s="72"/>
      <c r="AY132" s="72"/>
      <c r="AZ132" s="72"/>
      <c r="BA132" s="72"/>
      <c r="BB132" s="72"/>
      <c r="BC132" s="72"/>
      <c r="BD132" s="72"/>
      <c r="BE132" s="72"/>
      <c r="BF132" s="72"/>
      <c r="BG132" s="72"/>
      <c r="BH132" s="72">
        <v>1</v>
      </c>
      <c r="BI132" s="72"/>
      <c r="BJ132" s="72"/>
      <c r="BK132" s="72">
        <f t="shared" si="29"/>
        <v>0</v>
      </c>
      <c r="BL132" s="72"/>
      <c r="BM132" s="72"/>
    </row>
    <row r="133" spans="1:66" s="953" customFormat="1">
      <c r="A133" s="944" t="s">
        <v>728</v>
      </c>
      <c r="B133" s="954" t="s">
        <v>3122</v>
      </c>
      <c r="C133" s="960">
        <v>30</v>
      </c>
      <c r="D133" s="76"/>
      <c r="E133" s="72"/>
      <c r="F133" s="72"/>
      <c r="G133" s="72">
        <f t="shared" si="23"/>
        <v>30</v>
      </c>
      <c r="H133" s="72"/>
      <c r="I133" s="72"/>
      <c r="J133" s="72"/>
      <c r="K133" s="72">
        <v>2</v>
      </c>
      <c r="L133" s="72"/>
      <c r="M133" s="72"/>
      <c r="N133" s="72"/>
      <c r="O133" s="72"/>
      <c r="P133" s="952">
        <f t="shared" si="24"/>
        <v>0</v>
      </c>
      <c r="Q133" s="72"/>
      <c r="R133" s="67"/>
      <c r="S133" s="952">
        <f t="shared" si="25"/>
        <v>1</v>
      </c>
      <c r="T133" s="952"/>
      <c r="U133" s="72"/>
      <c r="V133" s="72"/>
      <c r="W133" s="72"/>
      <c r="X133" s="72"/>
      <c r="Y133" s="72"/>
      <c r="Z133" s="72"/>
      <c r="AA133" s="72"/>
      <c r="AB133" s="72"/>
      <c r="AC133" s="72"/>
      <c r="AD133" s="72"/>
      <c r="AE133" s="72"/>
      <c r="AF133" s="72"/>
      <c r="AG133" s="72">
        <v>2</v>
      </c>
      <c r="AH133" s="72">
        <f t="shared" si="26"/>
        <v>0</v>
      </c>
      <c r="AI133" s="72"/>
      <c r="AJ133" s="72">
        <v>1</v>
      </c>
      <c r="AK133" s="72"/>
      <c r="AL133" s="72"/>
      <c r="AM133" s="72">
        <v>1</v>
      </c>
      <c r="AN133" s="72"/>
      <c r="AO133" s="72"/>
      <c r="AP133" s="72"/>
      <c r="AQ133" s="72"/>
      <c r="AR133" s="72">
        <f t="shared" si="27"/>
        <v>2</v>
      </c>
      <c r="AS133" s="72">
        <f t="shared" si="28"/>
        <v>1</v>
      </c>
      <c r="AT133" s="72"/>
      <c r="AU133" s="72"/>
      <c r="AV133" s="72"/>
      <c r="AW133" s="72"/>
      <c r="AX133" s="72"/>
      <c r="AY133" s="72"/>
      <c r="AZ133" s="72"/>
      <c r="BA133" s="72"/>
      <c r="BB133" s="72"/>
      <c r="BC133" s="72"/>
      <c r="BD133" s="72"/>
      <c r="BE133" s="72"/>
      <c r="BF133" s="72"/>
      <c r="BG133" s="72"/>
      <c r="BH133" s="72">
        <v>1</v>
      </c>
      <c r="BI133" s="72"/>
      <c r="BJ133" s="72"/>
      <c r="BK133" s="72">
        <f>L133</f>
        <v>0</v>
      </c>
      <c r="BL133" s="72"/>
      <c r="BM133" s="72"/>
    </row>
    <row r="134" spans="1:66" s="953" customFormat="1">
      <c r="A134" s="944" t="s">
        <v>729</v>
      </c>
      <c r="B134" s="954" t="s">
        <v>3120</v>
      </c>
      <c r="C134" s="960">
        <v>35</v>
      </c>
      <c r="D134" s="76"/>
      <c r="E134" s="72"/>
      <c r="F134" s="72"/>
      <c r="G134" s="72">
        <f t="shared" si="23"/>
        <v>35</v>
      </c>
      <c r="H134" s="72"/>
      <c r="I134" s="72"/>
      <c r="J134" s="72"/>
      <c r="K134" s="72">
        <v>1</v>
      </c>
      <c r="L134" s="72"/>
      <c r="M134" s="72"/>
      <c r="N134" s="72"/>
      <c r="O134" s="72"/>
      <c r="P134" s="952">
        <f t="shared" si="24"/>
        <v>1</v>
      </c>
      <c r="Q134" s="72"/>
      <c r="R134" s="67"/>
      <c r="S134" s="952">
        <f t="shared" si="25"/>
        <v>0</v>
      </c>
      <c r="T134" s="952"/>
      <c r="U134" s="72"/>
      <c r="V134" s="72"/>
      <c r="W134" s="72"/>
      <c r="X134" s="72"/>
      <c r="Y134" s="72"/>
      <c r="Z134" s="72"/>
      <c r="AA134" s="72"/>
      <c r="AB134" s="72"/>
      <c r="AC134" s="72"/>
      <c r="AD134" s="72">
        <v>1</v>
      </c>
      <c r="AE134" s="72"/>
      <c r="AF134" s="72"/>
      <c r="AG134" s="72"/>
      <c r="AH134" s="72">
        <f t="shared" si="26"/>
        <v>0</v>
      </c>
      <c r="AI134" s="72"/>
      <c r="AJ134" s="72">
        <v>1</v>
      </c>
      <c r="AK134" s="72"/>
      <c r="AL134" s="72"/>
      <c r="AM134" s="72"/>
      <c r="AN134" s="72"/>
      <c r="AO134" s="72"/>
      <c r="AP134" s="72"/>
      <c r="AQ134" s="72"/>
      <c r="AR134" s="72">
        <f t="shared" ref="AR134:AR139" si="30">IF(S134=1,2,0)</f>
        <v>0</v>
      </c>
      <c r="AS134" s="72">
        <f t="shared" ref="AS134:AS139" si="31">IF(S134=1,1,0)</f>
        <v>0</v>
      </c>
      <c r="AT134" s="72"/>
      <c r="AU134" s="72"/>
      <c r="AV134" s="72"/>
      <c r="AW134" s="72"/>
      <c r="AX134" s="72"/>
      <c r="AY134" s="72"/>
      <c r="AZ134" s="72"/>
      <c r="BA134" s="72"/>
      <c r="BB134" s="72"/>
      <c r="BC134" s="72"/>
      <c r="BD134" s="72"/>
      <c r="BE134" s="72"/>
      <c r="BF134" s="72"/>
      <c r="BG134" s="72"/>
      <c r="BH134" s="72">
        <v>1</v>
      </c>
      <c r="BI134" s="72"/>
      <c r="BJ134" s="72"/>
      <c r="BK134" s="72">
        <f t="shared" ref="BK134:BK139" si="32">L134</f>
        <v>0</v>
      </c>
      <c r="BL134" s="72"/>
      <c r="BM134" s="72"/>
    </row>
    <row r="135" spans="1:66" s="953" customFormat="1">
      <c r="A135" s="944" t="s">
        <v>730</v>
      </c>
      <c r="B135" s="954" t="s">
        <v>3120</v>
      </c>
      <c r="C135" s="960">
        <v>35</v>
      </c>
      <c r="D135" s="76"/>
      <c r="E135" s="72"/>
      <c r="F135" s="72"/>
      <c r="G135" s="72">
        <f t="shared" si="23"/>
        <v>35</v>
      </c>
      <c r="H135" s="72"/>
      <c r="I135" s="72"/>
      <c r="J135" s="72"/>
      <c r="K135" s="72"/>
      <c r="L135" s="72">
        <v>1</v>
      </c>
      <c r="M135" s="72"/>
      <c r="N135" s="72"/>
      <c r="O135" s="72"/>
      <c r="P135" s="952">
        <f t="shared" si="24"/>
        <v>1</v>
      </c>
      <c r="Q135" s="72"/>
      <c r="R135" s="67"/>
      <c r="S135" s="952">
        <f t="shared" si="25"/>
        <v>0</v>
      </c>
      <c r="T135" s="952"/>
      <c r="U135" s="72"/>
      <c r="V135" s="72"/>
      <c r="W135" s="72"/>
      <c r="X135" s="72"/>
      <c r="Y135" s="72"/>
      <c r="Z135" s="72"/>
      <c r="AA135" s="72"/>
      <c r="AB135" s="72"/>
      <c r="AC135" s="72"/>
      <c r="AD135" s="72">
        <v>1</v>
      </c>
      <c r="AE135" s="72"/>
      <c r="AF135" s="72"/>
      <c r="AG135" s="72"/>
      <c r="AH135" s="72">
        <f t="shared" si="26"/>
        <v>0</v>
      </c>
      <c r="AI135" s="72"/>
      <c r="AJ135" s="72">
        <v>1</v>
      </c>
      <c r="AK135" s="72"/>
      <c r="AL135" s="72"/>
      <c r="AM135" s="72"/>
      <c r="AN135" s="72"/>
      <c r="AO135" s="72"/>
      <c r="AP135" s="72"/>
      <c r="AQ135" s="72"/>
      <c r="AR135" s="72">
        <f t="shared" si="30"/>
        <v>0</v>
      </c>
      <c r="AS135" s="72">
        <f t="shared" si="31"/>
        <v>0</v>
      </c>
      <c r="AT135" s="72"/>
      <c r="AU135" s="72"/>
      <c r="AV135" s="72"/>
      <c r="AW135" s="72"/>
      <c r="AX135" s="72"/>
      <c r="AY135" s="72"/>
      <c r="AZ135" s="72"/>
      <c r="BA135" s="72"/>
      <c r="BB135" s="72"/>
      <c r="BC135" s="72"/>
      <c r="BD135" s="72"/>
      <c r="BE135" s="72"/>
      <c r="BF135" s="72"/>
      <c r="BG135" s="72"/>
      <c r="BH135" s="72">
        <v>1</v>
      </c>
      <c r="BI135" s="72"/>
      <c r="BJ135" s="72"/>
      <c r="BK135" s="72">
        <f t="shared" si="32"/>
        <v>1</v>
      </c>
      <c r="BL135" s="72"/>
      <c r="BM135" s="72"/>
    </row>
    <row r="136" spans="1:66" s="953" customFormat="1">
      <c r="A136" s="944" t="s">
        <v>731</v>
      </c>
      <c r="B136" s="954" t="s">
        <v>3121</v>
      </c>
      <c r="C136" s="960">
        <v>35</v>
      </c>
      <c r="D136" s="76"/>
      <c r="E136" s="72"/>
      <c r="F136" s="72"/>
      <c r="G136" s="72">
        <f t="shared" si="23"/>
        <v>35</v>
      </c>
      <c r="H136" s="72"/>
      <c r="I136" s="72"/>
      <c r="J136" s="72"/>
      <c r="K136" s="72">
        <v>1</v>
      </c>
      <c r="L136" s="72"/>
      <c r="M136" s="72"/>
      <c r="N136" s="72"/>
      <c r="O136" s="72"/>
      <c r="P136" s="952">
        <f t="shared" si="24"/>
        <v>1</v>
      </c>
      <c r="Q136" s="72"/>
      <c r="R136" s="67"/>
      <c r="S136" s="952">
        <f t="shared" si="25"/>
        <v>0</v>
      </c>
      <c r="T136" s="952"/>
      <c r="U136" s="72"/>
      <c r="V136" s="72"/>
      <c r="W136" s="72"/>
      <c r="X136" s="72">
        <v>1</v>
      </c>
      <c r="Y136" s="72"/>
      <c r="Z136" s="72"/>
      <c r="AA136" s="72"/>
      <c r="AB136" s="72"/>
      <c r="AC136" s="72"/>
      <c r="AD136" s="72">
        <v>2</v>
      </c>
      <c r="AE136" s="72"/>
      <c r="AF136" s="72"/>
      <c r="AG136" s="72"/>
      <c r="AH136" s="72">
        <f t="shared" si="26"/>
        <v>1</v>
      </c>
      <c r="AI136" s="72"/>
      <c r="AJ136" s="72">
        <v>1</v>
      </c>
      <c r="AK136" s="72"/>
      <c r="AL136" s="72"/>
      <c r="AM136" s="72"/>
      <c r="AN136" s="72"/>
      <c r="AO136" s="72"/>
      <c r="AP136" s="72"/>
      <c r="AQ136" s="72"/>
      <c r="AR136" s="72">
        <f t="shared" si="30"/>
        <v>0</v>
      </c>
      <c r="AS136" s="72">
        <f t="shared" si="31"/>
        <v>0</v>
      </c>
      <c r="AT136" s="72"/>
      <c r="AU136" s="72"/>
      <c r="AV136" s="72"/>
      <c r="AW136" s="72"/>
      <c r="AX136" s="72"/>
      <c r="AY136" s="72"/>
      <c r="AZ136" s="72"/>
      <c r="BA136" s="72"/>
      <c r="BB136" s="72"/>
      <c r="BC136" s="72"/>
      <c r="BD136" s="72"/>
      <c r="BE136" s="72"/>
      <c r="BF136" s="72"/>
      <c r="BG136" s="72"/>
      <c r="BH136" s="72">
        <v>1</v>
      </c>
      <c r="BI136" s="72"/>
      <c r="BJ136" s="72"/>
      <c r="BK136" s="72">
        <f t="shared" si="32"/>
        <v>0</v>
      </c>
      <c r="BL136" s="72"/>
      <c r="BM136" s="72"/>
    </row>
    <row r="137" spans="1:66" s="953" customFormat="1">
      <c r="A137" s="944" t="s">
        <v>732</v>
      </c>
      <c r="B137" s="954" t="s">
        <v>3120</v>
      </c>
      <c r="C137" s="960">
        <v>35</v>
      </c>
      <c r="D137" s="76"/>
      <c r="E137" s="72"/>
      <c r="F137" s="72"/>
      <c r="G137" s="72">
        <f t="shared" si="23"/>
        <v>35</v>
      </c>
      <c r="H137" s="72"/>
      <c r="I137" s="72"/>
      <c r="J137" s="72"/>
      <c r="K137" s="72">
        <v>1</v>
      </c>
      <c r="L137" s="72"/>
      <c r="M137" s="72"/>
      <c r="N137" s="72"/>
      <c r="O137" s="72"/>
      <c r="P137" s="952">
        <f t="shared" si="24"/>
        <v>1</v>
      </c>
      <c r="Q137" s="72"/>
      <c r="R137" s="67"/>
      <c r="S137" s="952">
        <f t="shared" si="25"/>
        <v>0</v>
      </c>
      <c r="T137" s="952"/>
      <c r="U137" s="72"/>
      <c r="V137" s="72"/>
      <c r="W137" s="72"/>
      <c r="X137" s="72"/>
      <c r="Y137" s="72"/>
      <c r="Z137" s="72"/>
      <c r="AA137" s="72"/>
      <c r="AB137" s="72"/>
      <c r="AC137" s="72"/>
      <c r="AD137" s="72">
        <v>1</v>
      </c>
      <c r="AE137" s="72"/>
      <c r="AF137" s="72"/>
      <c r="AG137" s="72"/>
      <c r="AH137" s="72">
        <f t="shared" si="26"/>
        <v>0</v>
      </c>
      <c r="AI137" s="72"/>
      <c r="AJ137" s="72">
        <v>1</v>
      </c>
      <c r="AK137" s="72"/>
      <c r="AL137" s="72"/>
      <c r="AM137" s="72"/>
      <c r="AN137" s="72"/>
      <c r="AO137" s="72"/>
      <c r="AP137" s="72"/>
      <c r="AQ137" s="72"/>
      <c r="AR137" s="72">
        <f t="shared" si="30"/>
        <v>0</v>
      </c>
      <c r="AS137" s="72">
        <f t="shared" si="31"/>
        <v>0</v>
      </c>
      <c r="AT137" s="72"/>
      <c r="AU137" s="72"/>
      <c r="AV137" s="72"/>
      <c r="AW137" s="72"/>
      <c r="AX137" s="72"/>
      <c r="AY137" s="72"/>
      <c r="AZ137" s="72"/>
      <c r="BA137" s="72"/>
      <c r="BB137" s="72"/>
      <c r="BC137" s="72"/>
      <c r="BD137" s="72"/>
      <c r="BE137" s="72"/>
      <c r="BF137" s="72"/>
      <c r="BG137" s="72"/>
      <c r="BH137" s="72">
        <v>1</v>
      </c>
      <c r="BI137" s="72"/>
      <c r="BJ137" s="72"/>
      <c r="BK137" s="72">
        <f t="shared" si="32"/>
        <v>0</v>
      </c>
      <c r="BL137" s="72"/>
      <c r="BM137" s="72"/>
    </row>
    <row r="138" spans="1:66" s="953" customFormat="1">
      <c r="A138" s="944" t="s">
        <v>733</v>
      </c>
      <c r="B138" s="954" t="s">
        <v>3120</v>
      </c>
      <c r="C138" s="960">
        <v>30</v>
      </c>
      <c r="D138" s="76"/>
      <c r="E138" s="72"/>
      <c r="F138" s="72"/>
      <c r="G138" s="72">
        <f t="shared" si="23"/>
        <v>30</v>
      </c>
      <c r="H138" s="72"/>
      <c r="I138" s="72"/>
      <c r="J138" s="72"/>
      <c r="K138" s="72">
        <v>1</v>
      </c>
      <c r="L138" s="72"/>
      <c r="M138" s="72"/>
      <c r="N138" s="72"/>
      <c r="O138" s="72"/>
      <c r="P138" s="952">
        <f t="shared" si="24"/>
        <v>1</v>
      </c>
      <c r="Q138" s="72"/>
      <c r="R138" s="67"/>
      <c r="S138" s="952">
        <f t="shared" si="25"/>
        <v>0</v>
      </c>
      <c r="T138" s="952"/>
      <c r="U138" s="72"/>
      <c r="V138" s="72"/>
      <c r="W138" s="72"/>
      <c r="X138" s="72"/>
      <c r="Y138" s="72"/>
      <c r="Z138" s="72"/>
      <c r="AA138" s="72"/>
      <c r="AB138" s="72"/>
      <c r="AC138" s="72"/>
      <c r="AD138" s="72">
        <v>1</v>
      </c>
      <c r="AE138" s="72"/>
      <c r="AF138" s="72"/>
      <c r="AG138" s="72"/>
      <c r="AH138" s="72">
        <f t="shared" si="26"/>
        <v>0</v>
      </c>
      <c r="AI138" s="72"/>
      <c r="AJ138" s="72">
        <v>1</v>
      </c>
      <c r="AK138" s="72"/>
      <c r="AL138" s="72"/>
      <c r="AM138" s="72"/>
      <c r="AN138" s="72"/>
      <c r="AO138" s="72"/>
      <c r="AP138" s="72"/>
      <c r="AQ138" s="72"/>
      <c r="AR138" s="72">
        <f t="shared" si="30"/>
        <v>0</v>
      </c>
      <c r="AS138" s="72">
        <f t="shared" si="31"/>
        <v>0</v>
      </c>
      <c r="AT138" s="72"/>
      <c r="AU138" s="72"/>
      <c r="AV138" s="72"/>
      <c r="AW138" s="72"/>
      <c r="AX138" s="72"/>
      <c r="AY138" s="72"/>
      <c r="AZ138" s="72"/>
      <c r="BA138" s="72"/>
      <c r="BB138" s="72"/>
      <c r="BC138" s="72"/>
      <c r="BD138" s="72"/>
      <c r="BE138" s="72"/>
      <c r="BF138" s="72"/>
      <c r="BG138" s="72"/>
      <c r="BH138" s="72">
        <v>1</v>
      </c>
      <c r="BI138" s="72"/>
      <c r="BJ138" s="72"/>
      <c r="BK138" s="72">
        <f t="shared" si="32"/>
        <v>0</v>
      </c>
      <c r="BL138" s="72"/>
      <c r="BM138" s="72"/>
    </row>
    <row r="139" spans="1:66" s="953" customFormat="1">
      <c r="A139" s="944" t="s">
        <v>734</v>
      </c>
      <c r="B139" s="954" t="s">
        <v>3124</v>
      </c>
      <c r="C139" s="960">
        <v>30</v>
      </c>
      <c r="D139" s="76"/>
      <c r="E139" s="72"/>
      <c r="F139" s="72"/>
      <c r="G139" s="72">
        <f t="shared" si="23"/>
        <v>30</v>
      </c>
      <c r="H139" s="72"/>
      <c r="I139" s="72"/>
      <c r="J139" s="72"/>
      <c r="K139" s="72">
        <v>1</v>
      </c>
      <c r="L139" s="72">
        <v>1</v>
      </c>
      <c r="M139" s="72"/>
      <c r="N139" s="72"/>
      <c r="O139" s="72"/>
      <c r="P139" s="952">
        <f t="shared" si="24"/>
        <v>0</v>
      </c>
      <c r="Q139" s="72"/>
      <c r="R139" s="67"/>
      <c r="S139" s="952">
        <f t="shared" si="25"/>
        <v>1</v>
      </c>
      <c r="T139" s="952"/>
      <c r="U139" s="72"/>
      <c r="V139" s="72"/>
      <c r="W139" s="72"/>
      <c r="X139" s="72"/>
      <c r="Y139" s="72"/>
      <c r="Z139" s="72"/>
      <c r="AA139" s="72"/>
      <c r="AB139" s="72"/>
      <c r="AC139" s="72"/>
      <c r="AD139" s="72"/>
      <c r="AE139" s="72"/>
      <c r="AF139" s="72"/>
      <c r="AG139" s="72">
        <v>1</v>
      </c>
      <c r="AH139" s="72">
        <f t="shared" si="26"/>
        <v>0</v>
      </c>
      <c r="AI139" s="72">
        <v>3</v>
      </c>
      <c r="AJ139" s="72">
        <v>1</v>
      </c>
      <c r="AK139" s="72"/>
      <c r="AL139" s="72"/>
      <c r="AM139" s="72"/>
      <c r="AN139" s="72"/>
      <c r="AO139" s="72"/>
      <c r="AP139" s="72"/>
      <c r="AQ139" s="72"/>
      <c r="AR139" s="72">
        <f t="shared" si="30"/>
        <v>2</v>
      </c>
      <c r="AS139" s="72">
        <f t="shared" si="31"/>
        <v>1</v>
      </c>
      <c r="AT139" s="72"/>
      <c r="AU139" s="72"/>
      <c r="AV139" s="72"/>
      <c r="AW139" s="72"/>
      <c r="AX139" s="72"/>
      <c r="AY139" s="72"/>
      <c r="AZ139" s="72"/>
      <c r="BA139" s="72"/>
      <c r="BB139" s="72"/>
      <c r="BC139" s="72"/>
      <c r="BD139" s="72"/>
      <c r="BE139" s="72"/>
      <c r="BF139" s="72"/>
      <c r="BG139" s="72"/>
      <c r="BH139" s="72">
        <v>1</v>
      </c>
      <c r="BI139" s="72"/>
      <c r="BJ139" s="72"/>
      <c r="BK139" s="72">
        <f t="shared" si="32"/>
        <v>1</v>
      </c>
      <c r="BL139" s="72"/>
      <c r="BM139" s="72"/>
    </row>
    <row r="140" spans="1:66" s="588" customFormat="1" ht="20.100000000000001" customHeight="1">
      <c r="A140" s="1398" t="s">
        <v>5816</v>
      </c>
      <c r="B140" s="1399"/>
      <c r="C140" s="1400">
        <f>ROUND(SUM(C51:C139),0)</f>
        <v>2547</v>
      </c>
      <c r="D140" s="1400">
        <f t="shared" ref="D140:BM140" si="33">ROUND(SUM(D51:D139),0)</f>
        <v>0</v>
      </c>
      <c r="E140" s="1400">
        <f t="shared" si="33"/>
        <v>0</v>
      </c>
      <c r="F140" s="1400">
        <f t="shared" si="33"/>
        <v>0</v>
      </c>
      <c r="G140" s="1400">
        <f t="shared" si="33"/>
        <v>2611</v>
      </c>
      <c r="H140" s="1400">
        <f t="shared" si="33"/>
        <v>0</v>
      </c>
      <c r="I140" s="1400">
        <f t="shared" si="33"/>
        <v>0</v>
      </c>
      <c r="J140" s="1400">
        <f t="shared" si="33"/>
        <v>2</v>
      </c>
      <c r="K140" s="1400">
        <f t="shared" si="33"/>
        <v>60</v>
      </c>
      <c r="L140" s="1400">
        <f t="shared" si="33"/>
        <v>10</v>
      </c>
      <c r="M140" s="1400">
        <f t="shared" si="33"/>
        <v>0</v>
      </c>
      <c r="N140" s="1400">
        <f t="shared" si="33"/>
        <v>0</v>
      </c>
      <c r="O140" s="1400">
        <f t="shared" si="33"/>
        <v>0</v>
      </c>
      <c r="P140" s="1400">
        <f t="shared" si="33"/>
        <v>51</v>
      </c>
      <c r="Q140" s="1400">
        <f t="shared" si="33"/>
        <v>1</v>
      </c>
      <c r="R140" s="1400">
        <f t="shared" si="33"/>
        <v>0</v>
      </c>
      <c r="S140" s="1400">
        <f t="shared" si="33"/>
        <v>8</v>
      </c>
      <c r="T140" s="1400">
        <f t="shared" si="33"/>
        <v>3</v>
      </c>
      <c r="U140" s="1400">
        <f t="shared" si="33"/>
        <v>0</v>
      </c>
      <c r="V140" s="1400">
        <f t="shared" si="33"/>
        <v>0</v>
      </c>
      <c r="W140" s="1400">
        <f t="shared" si="33"/>
        <v>0</v>
      </c>
      <c r="X140" s="1400">
        <f t="shared" si="33"/>
        <v>4</v>
      </c>
      <c r="Y140" s="1400">
        <f t="shared" si="33"/>
        <v>0</v>
      </c>
      <c r="Z140" s="1400">
        <f t="shared" si="33"/>
        <v>0</v>
      </c>
      <c r="AA140" s="1400">
        <f t="shared" si="33"/>
        <v>0</v>
      </c>
      <c r="AB140" s="1400">
        <f t="shared" si="33"/>
        <v>0</v>
      </c>
      <c r="AC140" s="1400">
        <f t="shared" si="33"/>
        <v>0</v>
      </c>
      <c r="AD140" s="1400">
        <f t="shared" si="33"/>
        <v>65</v>
      </c>
      <c r="AE140" s="1400">
        <f t="shared" si="33"/>
        <v>0</v>
      </c>
      <c r="AF140" s="1400">
        <f t="shared" si="33"/>
        <v>0</v>
      </c>
      <c r="AG140" s="1400">
        <f t="shared" si="33"/>
        <v>34</v>
      </c>
      <c r="AH140" s="1400">
        <f t="shared" si="33"/>
        <v>5</v>
      </c>
      <c r="AI140" s="1400">
        <f t="shared" si="33"/>
        <v>18</v>
      </c>
      <c r="AJ140" s="1400">
        <f t="shared" si="33"/>
        <v>62</v>
      </c>
      <c r="AK140" s="1400">
        <f t="shared" si="33"/>
        <v>1</v>
      </c>
      <c r="AL140" s="1400">
        <f t="shared" si="33"/>
        <v>17</v>
      </c>
      <c r="AM140" s="1400">
        <f t="shared" si="33"/>
        <v>10</v>
      </c>
      <c r="AN140" s="1400">
        <f t="shared" si="33"/>
        <v>5</v>
      </c>
      <c r="AO140" s="1400">
        <f t="shared" si="33"/>
        <v>0</v>
      </c>
      <c r="AP140" s="1400">
        <f t="shared" si="33"/>
        <v>0</v>
      </c>
      <c r="AQ140" s="1400">
        <f t="shared" si="33"/>
        <v>0</v>
      </c>
      <c r="AR140" s="1400">
        <f t="shared" si="33"/>
        <v>16</v>
      </c>
      <c r="AS140" s="1400">
        <f t="shared" si="33"/>
        <v>8</v>
      </c>
      <c r="AT140" s="1400">
        <f t="shared" si="33"/>
        <v>0</v>
      </c>
      <c r="AU140" s="1400">
        <f t="shared" si="33"/>
        <v>0</v>
      </c>
      <c r="AV140" s="1400">
        <f t="shared" si="33"/>
        <v>0</v>
      </c>
      <c r="AW140" s="1400">
        <f t="shared" si="33"/>
        <v>0</v>
      </c>
      <c r="AX140" s="1400">
        <f t="shared" si="33"/>
        <v>0</v>
      </c>
      <c r="AY140" s="1400">
        <f t="shared" si="33"/>
        <v>4</v>
      </c>
      <c r="AZ140" s="1400">
        <f t="shared" si="33"/>
        <v>0</v>
      </c>
      <c r="BA140" s="1400">
        <f t="shared" si="33"/>
        <v>0</v>
      </c>
      <c r="BB140" s="1400">
        <f t="shared" si="33"/>
        <v>15</v>
      </c>
      <c r="BC140" s="1400">
        <f t="shared" si="33"/>
        <v>0</v>
      </c>
      <c r="BD140" s="1400">
        <f t="shared" si="33"/>
        <v>0</v>
      </c>
      <c r="BE140" s="1400">
        <f t="shared" si="33"/>
        <v>0</v>
      </c>
      <c r="BF140" s="1400">
        <f t="shared" si="33"/>
        <v>0</v>
      </c>
      <c r="BG140" s="1400">
        <f t="shared" si="33"/>
        <v>0</v>
      </c>
      <c r="BH140" s="1400">
        <f t="shared" si="33"/>
        <v>77</v>
      </c>
      <c r="BI140" s="1400">
        <f t="shared" si="33"/>
        <v>0</v>
      </c>
      <c r="BJ140" s="1400">
        <f t="shared" si="33"/>
        <v>0</v>
      </c>
      <c r="BK140" s="1400">
        <f t="shared" si="33"/>
        <v>10</v>
      </c>
      <c r="BL140" s="1400">
        <f t="shared" si="33"/>
        <v>6</v>
      </c>
      <c r="BM140" s="1400">
        <f t="shared" si="33"/>
        <v>0</v>
      </c>
    </row>
    <row r="141" spans="1:66">
      <c r="A141" s="959" t="s">
        <v>4440</v>
      </c>
      <c r="B141" s="952"/>
      <c r="C141" s="961"/>
      <c r="D141" s="962"/>
      <c r="E141" s="962"/>
      <c r="F141" s="962"/>
      <c r="G141" s="962"/>
      <c r="H141" s="952"/>
      <c r="I141" s="952"/>
      <c r="J141" s="952"/>
      <c r="K141" s="952"/>
      <c r="L141" s="952"/>
      <c r="M141" s="952"/>
      <c r="N141" s="952"/>
      <c r="O141" s="952"/>
      <c r="P141" s="952"/>
      <c r="Q141" s="952"/>
      <c r="R141" s="952"/>
      <c r="S141" s="952"/>
      <c r="T141" s="952"/>
      <c r="U141" s="952"/>
      <c r="V141" s="952"/>
      <c r="W141" s="952"/>
      <c r="X141" s="952"/>
      <c r="Y141" s="952"/>
      <c r="Z141" s="952"/>
      <c r="AA141" s="952"/>
      <c r="AB141" s="952"/>
      <c r="AC141" s="952"/>
      <c r="AD141" s="952"/>
      <c r="AE141" s="952"/>
      <c r="AF141" s="952"/>
      <c r="AG141" s="952"/>
      <c r="AH141" s="952"/>
      <c r="AI141" s="952"/>
      <c r="AJ141" s="952"/>
      <c r="AK141" s="952"/>
      <c r="AL141" s="952"/>
      <c r="AM141" s="952"/>
      <c r="AN141" s="952"/>
      <c r="AO141" s="952"/>
      <c r="AP141" s="952"/>
      <c r="AQ141" s="952"/>
      <c r="AR141" s="952"/>
      <c r="AS141" s="952"/>
      <c r="AT141" s="952"/>
      <c r="AU141" s="952"/>
      <c r="AV141" s="952"/>
      <c r="AW141" s="952"/>
      <c r="AX141" s="952"/>
      <c r="AY141" s="952"/>
      <c r="AZ141" s="952"/>
      <c r="BA141" s="952"/>
      <c r="BB141" s="952"/>
      <c r="BC141" s="952"/>
      <c r="BD141" s="952"/>
      <c r="BE141" s="952"/>
      <c r="BF141" s="952"/>
      <c r="BG141" s="72">
        <v>0</v>
      </c>
      <c r="BH141" s="67"/>
      <c r="BI141" s="952"/>
      <c r="BJ141" s="952"/>
      <c r="BK141" s="952"/>
      <c r="BL141" s="952"/>
      <c r="BM141" s="952"/>
    </row>
    <row r="142" spans="1:66">
      <c r="A142" s="959" t="s">
        <v>745</v>
      </c>
      <c r="B142" s="952"/>
      <c r="C142" s="961"/>
      <c r="D142" s="962"/>
      <c r="E142" s="962"/>
      <c r="F142" s="962"/>
      <c r="G142" s="962"/>
      <c r="H142" s="952"/>
      <c r="I142" s="952"/>
      <c r="J142" s="952"/>
      <c r="K142" s="952"/>
      <c r="L142" s="952"/>
      <c r="M142" s="952"/>
      <c r="N142" s="952"/>
      <c r="O142" s="952"/>
      <c r="P142" s="952"/>
      <c r="Q142" s="952"/>
      <c r="R142" s="952"/>
      <c r="S142" s="952">
        <f>IF(SUM(K142:L142)=2,1,0)</f>
        <v>0</v>
      </c>
      <c r="T142" s="952">
        <f>IF(SUM(K142:L142)=1,1,0)</f>
        <v>0</v>
      </c>
      <c r="U142" s="952"/>
      <c r="V142" s="952"/>
      <c r="W142" s="952"/>
      <c r="X142" s="952"/>
      <c r="Y142" s="952"/>
      <c r="Z142" s="952"/>
      <c r="AA142" s="952"/>
      <c r="AB142" s="952"/>
      <c r="AC142" s="952"/>
      <c r="AD142" s="952"/>
      <c r="AE142" s="952"/>
      <c r="AF142" s="952"/>
      <c r="AG142" s="952"/>
      <c r="AH142" s="952"/>
      <c r="AI142" s="952"/>
      <c r="AJ142" s="952"/>
      <c r="AK142" s="952"/>
      <c r="AL142" s="952"/>
      <c r="AM142" s="952"/>
      <c r="AN142" s="952"/>
      <c r="AO142" s="952"/>
      <c r="AP142" s="952"/>
      <c r="AQ142" s="952"/>
      <c r="AR142" s="952"/>
      <c r="AS142" s="952"/>
      <c r="AT142" s="952"/>
      <c r="AU142" s="952"/>
      <c r="AV142" s="952"/>
      <c r="AW142" s="952"/>
      <c r="AX142" s="952"/>
      <c r="AY142" s="952"/>
      <c r="AZ142" s="952"/>
      <c r="BA142" s="952"/>
      <c r="BB142" s="952"/>
      <c r="BC142" s="952"/>
      <c r="BD142" s="952"/>
      <c r="BE142" s="952"/>
      <c r="BF142" s="952"/>
      <c r="BG142" s="72">
        <v>0</v>
      </c>
      <c r="BH142" s="67"/>
      <c r="BI142" s="952"/>
      <c r="BJ142" s="952"/>
      <c r="BK142" s="952"/>
      <c r="BL142" s="952"/>
      <c r="BM142" s="952"/>
    </row>
    <row r="143" spans="1:66" s="953" customFormat="1">
      <c r="A143" s="944" t="s">
        <v>4425</v>
      </c>
      <c r="B143" s="954" t="s">
        <v>3124</v>
      </c>
      <c r="C143" s="960"/>
      <c r="D143" s="72"/>
      <c r="E143" s="72"/>
      <c r="F143" s="962"/>
      <c r="G143" s="72">
        <v>10</v>
      </c>
      <c r="H143" s="72"/>
      <c r="I143" s="72"/>
      <c r="J143" s="72"/>
      <c r="K143" s="72"/>
      <c r="L143" s="72"/>
      <c r="M143" s="72"/>
      <c r="N143" s="72"/>
      <c r="O143" s="72"/>
      <c r="P143" s="72"/>
      <c r="Q143" s="72"/>
      <c r="R143" s="67"/>
      <c r="S143" s="952">
        <f t="shared" ref="S143:S155" si="34">IF(SUM(K143:L143)=2,1,0)</f>
        <v>0</v>
      </c>
      <c r="T143" s="952">
        <f>IF(SUM(K143:L143)=1,1,0)</f>
        <v>0</v>
      </c>
      <c r="U143" s="72"/>
      <c r="V143" s="72"/>
      <c r="W143" s="72"/>
      <c r="X143" s="72"/>
      <c r="Y143" s="72"/>
      <c r="Z143" s="72"/>
      <c r="AA143" s="72"/>
      <c r="AB143" s="72"/>
      <c r="AC143" s="72"/>
      <c r="AD143" s="72"/>
      <c r="AE143" s="72"/>
      <c r="AF143" s="72"/>
      <c r="AG143" s="72">
        <v>1</v>
      </c>
      <c r="AH143" s="72"/>
      <c r="AI143" s="72">
        <v>3</v>
      </c>
      <c r="AJ143" s="72"/>
      <c r="AK143" s="72"/>
      <c r="AL143" s="72"/>
      <c r="AM143" s="72"/>
      <c r="AN143" s="72">
        <v>1</v>
      </c>
      <c r="AO143" s="72"/>
      <c r="AP143" s="72"/>
      <c r="AQ143" s="72"/>
      <c r="AR143" s="72"/>
      <c r="AS143" s="72"/>
      <c r="AT143" s="72"/>
      <c r="AU143" s="72"/>
      <c r="AV143" s="72"/>
      <c r="AW143" s="72"/>
      <c r="AX143" s="72"/>
      <c r="AY143" s="72">
        <v>2</v>
      </c>
      <c r="AZ143" s="72"/>
      <c r="BA143" s="72"/>
      <c r="BB143" s="72">
        <v>3</v>
      </c>
      <c r="BC143" s="72"/>
      <c r="BD143" s="72"/>
      <c r="BE143" s="72"/>
      <c r="BF143" s="72"/>
      <c r="BG143" s="72"/>
      <c r="BH143" s="72">
        <v>1</v>
      </c>
      <c r="BI143" s="72"/>
      <c r="BJ143" s="72"/>
      <c r="BK143" s="72"/>
      <c r="BL143" s="72" t="s">
        <v>4926</v>
      </c>
      <c r="BM143" s="72" t="s">
        <v>5921</v>
      </c>
      <c r="BN143" s="38"/>
    </row>
    <row r="144" spans="1:66" s="953" customFormat="1">
      <c r="A144" s="944" t="s">
        <v>4426</v>
      </c>
      <c r="B144" s="954"/>
      <c r="C144" s="960">
        <v>45</v>
      </c>
      <c r="D144" s="76"/>
      <c r="E144" s="72"/>
      <c r="F144" s="962"/>
      <c r="G144" s="72">
        <f t="shared" ref="G144:G157" si="35">C144</f>
        <v>45</v>
      </c>
      <c r="H144" s="72"/>
      <c r="I144" s="72"/>
      <c r="J144" s="72"/>
      <c r="K144" s="72"/>
      <c r="L144" s="72"/>
      <c r="M144" s="72"/>
      <c r="N144" s="72"/>
      <c r="O144" s="72"/>
      <c r="P144" s="72"/>
      <c r="Q144" s="72"/>
      <c r="R144" s="67"/>
      <c r="S144" s="952">
        <f t="shared" si="34"/>
        <v>0</v>
      </c>
      <c r="T144" s="952"/>
      <c r="U144" s="72"/>
      <c r="V144" s="72"/>
      <c r="W144" s="72"/>
      <c r="X144" s="72"/>
      <c r="Y144" s="72"/>
      <c r="Z144" s="72"/>
      <c r="AA144" s="72"/>
      <c r="AB144" s="72"/>
      <c r="AC144" s="72"/>
      <c r="AD144" s="72">
        <v>1</v>
      </c>
      <c r="AE144" s="72"/>
      <c r="AF144" s="72"/>
      <c r="AG144" s="72"/>
      <c r="AH144" s="72"/>
      <c r="AI144" s="72"/>
      <c r="AJ144" s="72"/>
      <c r="AK144" s="72"/>
      <c r="AL144" s="72">
        <v>1</v>
      </c>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v>1</v>
      </c>
      <c r="BI144" s="72"/>
      <c r="BJ144" s="72"/>
      <c r="BK144" s="72"/>
      <c r="BL144" s="72"/>
      <c r="BM144" s="72"/>
    </row>
    <row r="145" spans="1:66" s="953" customFormat="1">
      <c r="A145" s="944" t="s">
        <v>4424</v>
      </c>
      <c r="B145" s="954" t="s">
        <v>3122</v>
      </c>
      <c r="C145" s="960">
        <v>45</v>
      </c>
      <c r="D145" s="76"/>
      <c r="E145" s="72"/>
      <c r="F145" s="962"/>
      <c r="G145" s="72">
        <f t="shared" si="35"/>
        <v>45</v>
      </c>
      <c r="H145" s="72"/>
      <c r="I145" s="72"/>
      <c r="J145" s="72"/>
      <c r="K145" s="72"/>
      <c r="L145" s="72"/>
      <c r="M145" s="72"/>
      <c r="N145" s="72"/>
      <c r="O145" s="72"/>
      <c r="P145" s="72"/>
      <c r="Q145" s="72"/>
      <c r="R145" s="67"/>
      <c r="S145" s="952">
        <f t="shared" si="34"/>
        <v>0</v>
      </c>
      <c r="T145" s="952"/>
      <c r="U145" s="72"/>
      <c r="V145" s="72"/>
      <c r="W145" s="72"/>
      <c r="X145" s="72"/>
      <c r="Y145" s="72"/>
      <c r="Z145" s="72"/>
      <c r="AA145" s="72"/>
      <c r="AB145" s="72"/>
      <c r="AC145" s="72"/>
      <c r="AD145" s="72"/>
      <c r="AE145" s="72"/>
      <c r="AF145" s="72"/>
      <c r="AG145" s="72">
        <v>2</v>
      </c>
      <c r="AH145" s="72"/>
      <c r="AI145" s="72"/>
      <c r="AJ145" s="72"/>
      <c r="AK145" s="72"/>
      <c r="AL145" s="72">
        <v>2</v>
      </c>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v>1</v>
      </c>
      <c r="BI145" s="72"/>
      <c r="BJ145" s="72"/>
      <c r="BK145" s="72"/>
      <c r="BL145" s="72">
        <v>1</v>
      </c>
      <c r="BM145" s="72"/>
    </row>
    <row r="146" spans="1:66" s="953" customFormat="1">
      <c r="A146" s="944" t="s">
        <v>5887</v>
      </c>
      <c r="B146" s="954"/>
      <c r="C146" s="960">
        <v>34</v>
      </c>
      <c r="D146" s="76"/>
      <c r="E146" s="72"/>
      <c r="F146" s="962"/>
      <c r="G146" s="72">
        <f t="shared" si="35"/>
        <v>34</v>
      </c>
      <c r="H146" s="72"/>
      <c r="I146" s="72"/>
      <c r="J146" s="72"/>
      <c r="K146" s="72">
        <v>1</v>
      </c>
      <c r="L146" s="72"/>
      <c r="M146" s="72"/>
      <c r="N146" s="72"/>
      <c r="O146" s="72"/>
      <c r="P146" s="72">
        <v>1</v>
      </c>
      <c r="Q146" s="72"/>
      <c r="R146" s="67"/>
      <c r="S146" s="952">
        <f t="shared" si="34"/>
        <v>0</v>
      </c>
      <c r="T146" s="952"/>
      <c r="U146" s="72"/>
      <c r="V146" s="72"/>
      <c r="W146" s="72"/>
      <c r="X146" s="72"/>
      <c r="Y146" s="72"/>
      <c r="Z146" s="72"/>
      <c r="AA146" s="72"/>
      <c r="AB146" s="72"/>
      <c r="AC146" s="72"/>
      <c r="AD146" s="72">
        <v>1</v>
      </c>
      <c r="AE146" s="72"/>
      <c r="AF146" s="72"/>
      <c r="AG146" s="72"/>
      <c r="AH146" s="72"/>
      <c r="AI146" s="72"/>
      <c r="AJ146" s="72">
        <v>1</v>
      </c>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v>1</v>
      </c>
      <c r="BI146" s="72"/>
      <c r="BJ146" s="72"/>
      <c r="BK146" s="72"/>
      <c r="BL146" s="72"/>
      <c r="BM146" s="72"/>
    </row>
    <row r="147" spans="1:66" s="953" customFormat="1">
      <c r="A147" s="944" t="s">
        <v>4423</v>
      </c>
      <c r="B147" s="954"/>
      <c r="C147" s="960">
        <v>33</v>
      </c>
      <c r="D147" s="76"/>
      <c r="E147" s="72"/>
      <c r="F147" s="962"/>
      <c r="G147" s="72">
        <f t="shared" si="35"/>
        <v>33</v>
      </c>
      <c r="H147" s="72"/>
      <c r="I147" s="72"/>
      <c r="J147" s="72"/>
      <c r="K147" s="72"/>
      <c r="L147" s="72"/>
      <c r="M147" s="72"/>
      <c r="N147" s="72"/>
      <c r="O147" s="72"/>
      <c r="P147" s="72"/>
      <c r="Q147" s="72"/>
      <c r="R147" s="67"/>
      <c r="S147" s="952">
        <f t="shared" si="34"/>
        <v>0</v>
      </c>
      <c r="T147" s="952"/>
      <c r="U147" s="72"/>
      <c r="V147" s="72"/>
      <c r="W147" s="72"/>
      <c r="X147" s="72"/>
      <c r="Y147" s="72"/>
      <c r="Z147" s="72"/>
      <c r="AA147" s="72"/>
      <c r="AB147" s="72"/>
      <c r="AC147" s="72"/>
      <c r="AD147" s="72">
        <v>1</v>
      </c>
      <c r="AE147" s="72"/>
      <c r="AF147" s="72"/>
      <c r="AG147" s="72"/>
      <c r="AH147" s="72"/>
      <c r="AI147" s="72"/>
      <c r="AJ147" s="72"/>
      <c r="AK147" s="72"/>
      <c r="AL147" s="72">
        <v>1</v>
      </c>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v>1</v>
      </c>
      <c r="BI147" s="72"/>
      <c r="BJ147" s="72"/>
      <c r="BK147" s="72"/>
      <c r="BL147" s="72"/>
      <c r="BM147" s="72"/>
    </row>
    <row r="148" spans="1:66" s="953" customFormat="1">
      <c r="A148" s="944" t="s">
        <v>5888</v>
      </c>
      <c r="B148" s="954"/>
      <c r="C148" s="960">
        <v>34</v>
      </c>
      <c r="D148" s="76"/>
      <c r="E148" s="72"/>
      <c r="F148" s="962"/>
      <c r="G148" s="72">
        <f t="shared" si="35"/>
        <v>34</v>
      </c>
      <c r="H148" s="72"/>
      <c r="I148" s="72"/>
      <c r="J148" s="72"/>
      <c r="K148" s="72">
        <v>1</v>
      </c>
      <c r="L148" s="72"/>
      <c r="M148" s="72"/>
      <c r="N148" s="72"/>
      <c r="O148" s="72"/>
      <c r="P148" s="72">
        <v>1</v>
      </c>
      <c r="Q148" s="72"/>
      <c r="R148" s="67"/>
      <c r="S148" s="952">
        <f t="shared" si="34"/>
        <v>0</v>
      </c>
      <c r="T148" s="952"/>
      <c r="U148" s="72"/>
      <c r="V148" s="72"/>
      <c r="W148" s="72"/>
      <c r="X148" s="72"/>
      <c r="Y148" s="72"/>
      <c r="Z148" s="72"/>
      <c r="AA148" s="72"/>
      <c r="AB148" s="72"/>
      <c r="AC148" s="72"/>
      <c r="AD148" s="72">
        <v>1</v>
      </c>
      <c r="AE148" s="72"/>
      <c r="AF148" s="72"/>
      <c r="AG148" s="72"/>
      <c r="AH148" s="72"/>
      <c r="AI148" s="72"/>
      <c r="AJ148" s="72">
        <v>1</v>
      </c>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v>1</v>
      </c>
      <c r="BI148" s="72"/>
      <c r="BJ148" s="72"/>
      <c r="BK148" s="72"/>
      <c r="BL148" s="72"/>
      <c r="BM148" s="72"/>
    </row>
    <row r="149" spans="1:66" s="953" customFormat="1">
      <c r="A149" s="944" t="s">
        <v>4422</v>
      </c>
      <c r="B149" s="954"/>
      <c r="C149" s="960">
        <v>33</v>
      </c>
      <c r="D149" s="76"/>
      <c r="E149" s="72"/>
      <c r="F149" s="962"/>
      <c r="G149" s="72">
        <f t="shared" si="35"/>
        <v>33</v>
      </c>
      <c r="H149" s="72"/>
      <c r="I149" s="72"/>
      <c r="J149" s="72"/>
      <c r="K149" s="72"/>
      <c r="L149" s="72"/>
      <c r="M149" s="72"/>
      <c r="N149" s="72"/>
      <c r="O149" s="72"/>
      <c r="P149" s="72"/>
      <c r="Q149" s="72"/>
      <c r="R149" s="67"/>
      <c r="S149" s="952">
        <f t="shared" si="34"/>
        <v>0</v>
      </c>
      <c r="T149" s="952"/>
      <c r="U149" s="72"/>
      <c r="V149" s="72"/>
      <c r="W149" s="72"/>
      <c r="X149" s="72"/>
      <c r="Y149" s="72"/>
      <c r="Z149" s="72"/>
      <c r="AA149" s="72"/>
      <c r="AB149" s="72"/>
      <c r="AC149" s="72"/>
      <c r="AD149" s="72">
        <v>1</v>
      </c>
      <c r="AE149" s="72"/>
      <c r="AF149" s="72"/>
      <c r="AG149" s="72"/>
      <c r="AH149" s="72"/>
      <c r="AI149" s="72"/>
      <c r="AJ149" s="72"/>
      <c r="AK149" s="72"/>
      <c r="AL149" s="72">
        <v>1</v>
      </c>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v>1</v>
      </c>
      <c r="BI149" s="72"/>
      <c r="BJ149" s="72"/>
      <c r="BK149" s="72"/>
      <c r="BL149" s="72">
        <v>1</v>
      </c>
      <c r="BM149" s="72"/>
    </row>
    <row r="150" spans="1:66" s="953" customFormat="1">
      <c r="A150" s="944" t="s">
        <v>5889</v>
      </c>
      <c r="B150" s="954"/>
      <c r="C150" s="960">
        <v>34</v>
      </c>
      <c r="D150" s="76"/>
      <c r="E150" s="72"/>
      <c r="F150" s="962"/>
      <c r="G150" s="72">
        <f t="shared" si="35"/>
        <v>34</v>
      </c>
      <c r="H150" s="72"/>
      <c r="I150" s="72"/>
      <c r="J150" s="72"/>
      <c r="K150" s="72">
        <v>1</v>
      </c>
      <c r="L150" s="72"/>
      <c r="M150" s="72"/>
      <c r="N150" s="72"/>
      <c r="O150" s="72"/>
      <c r="P150" s="72">
        <v>1</v>
      </c>
      <c r="Q150" s="72"/>
      <c r="R150" s="67"/>
      <c r="S150" s="952">
        <f t="shared" si="34"/>
        <v>0</v>
      </c>
      <c r="T150" s="952"/>
      <c r="U150" s="72"/>
      <c r="V150" s="72"/>
      <c r="W150" s="72"/>
      <c r="X150" s="72"/>
      <c r="Y150" s="72"/>
      <c r="Z150" s="72"/>
      <c r="AA150" s="72"/>
      <c r="AB150" s="72"/>
      <c r="AC150" s="72"/>
      <c r="AD150" s="72">
        <v>1</v>
      </c>
      <c r="AE150" s="72"/>
      <c r="AF150" s="72"/>
      <c r="AG150" s="72"/>
      <c r="AH150" s="72"/>
      <c r="AI150" s="72"/>
      <c r="AJ150" s="72">
        <v>1</v>
      </c>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v>1</v>
      </c>
      <c r="BI150" s="72"/>
      <c r="BJ150" s="72"/>
      <c r="BK150" s="72"/>
      <c r="BL150" s="72"/>
      <c r="BM150" s="72"/>
    </row>
    <row r="151" spans="1:66" s="953" customFormat="1">
      <c r="A151" s="944" t="s">
        <v>4421</v>
      </c>
      <c r="B151" s="954" t="s">
        <v>3121</v>
      </c>
      <c r="C151" s="960">
        <v>33</v>
      </c>
      <c r="D151" s="76"/>
      <c r="E151" s="72"/>
      <c r="F151" s="962"/>
      <c r="G151" s="72">
        <f t="shared" si="35"/>
        <v>33</v>
      </c>
      <c r="H151" s="72"/>
      <c r="I151" s="72"/>
      <c r="J151" s="72"/>
      <c r="K151" s="72"/>
      <c r="L151" s="72"/>
      <c r="M151" s="72"/>
      <c r="N151" s="72"/>
      <c r="O151" s="72"/>
      <c r="P151" s="72"/>
      <c r="Q151" s="72"/>
      <c r="R151" s="67"/>
      <c r="S151" s="952">
        <f t="shared" si="34"/>
        <v>0</v>
      </c>
      <c r="T151" s="952"/>
      <c r="U151" s="72"/>
      <c r="V151" s="72"/>
      <c r="W151" s="72"/>
      <c r="X151" s="72"/>
      <c r="Y151" s="72"/>
      <c r="Z151" s="72"/>
      <c r="AA151" s="72"/>
      <c r="AB151" s="72"/>
      <c r="AC151" s="72"/>
      <c r="AD151" s="72">
        <v>2</v>
      </c>
      <c r="AE151" s="72"/>
      <c r="AF151" s="72"/>
      <c r="AG151" s="72"/>
      <c r="AH151" s="72">
        <v>1</v>
      </c>
      <c r="AI151" s="72"/>
      <c r="AJ151" s="72"/>
      <c r="AK151" s="72"/>
      <c r="AL151" s="72">
        <v>1</v>
      </c>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v>1</v>
      </c>
      <c r="BI151" s="72"/>
      <c r="BJ151" s="72"/>
      <c r="BK151" s="72"/>
      <c r="BL151" s="72"/>
      <c r="BM151" s="72"/>
      <c r="BN151" s="38"/>
    </row>
    <row r="152" spans="1:66" s="953" customFormat="1">
      <c r="A152" s="944" t="s">
        <v>5890</v>
      </c>
      <c r="B152" s="954"/>
      <c r="C152" s="960">
        <v>32</v>
      </c>
      <c r="D152" s="76"/>
      <c r="E152" s="72"/>
      <c r="F152" s="962"/>
      <c r="G152" s="72">
        <f t="shared" si="35"/>
        <v>32</v>
      </c>
      <c r="H152" s="72"/>
      <c r="I152" s="72"/>
      <c r="J152" s="72"/>
      <c r="K152" s="72">
        <v>1</v>
      </c>
      <c r="L152" s="72"/>
      <c r="M152" s="72"/>
      <c r="N152" s="72"/>
      <c r="O152" s="72"/>
      <c r="P152" s="72">
        <v>1</v>
      </c>
      <c r="Q152" s="72"/>
      <c r="R152" s="67"/>
      <c r="S152" s="952">
        <f t="shared" si="34"/>
        <v>0</v>
      </c>
      <c r="T152" s="952"/>
      <c r="U152" s="72"/>
      <c r="V152" s="72"/>
      <c r="W152" s="72"/>
      <c r="X152" s="72"/>
      <c r="Y152" s="72"/>
      <c r="Z152" s="72"/>
      <c r="AA152" s="72"/>
      <c r="AB152" s="72"/>
      <c r="AC152" s="72"/>
      <c r="AD152" s="72">
        <v>1</v>
      </c>
      <c r="AE152" s="72"/>
      <c r="AF152" s="72"/>
      <c r="AG152" s="72"/>
      <c r="AH152" s="72"/>
      <c r="AI152" s="72"/>
      <c r="AJ152" s="72">
        <v>1</v>
      </c>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v>1</v>
      </c>
      <c r="BI152" s="72"/>
      <c r="BJ152" s="72"/>
      <c r="BK152" s="72"/>
      <c r="BL152" s="72"/>
      <c r="BM152" s="72"/>
    </row>
    <row r="153" spans="1:66" s="953" customFormat="1">
      <c r="A153" s="944" t="s">
        <v>4420</v>
      </c>
      <c r="B153" s="954" t="s">
        <v>3121</v>
      </c>
      <c r="C153" s="960">
        <v>33</v>
      </c>
      <c r="D153" s="76"/>
      <c r="E153" s="72"/>
      <c r="F153" s="962"/>
      <c r="G153" s="72">
        <f t="shared" si="35"/>
        <v>33</v>
      </c>
      <c r="H153" s="72"/>
      <c r="I153" s="72"/>
      <c r="J153" s="72"/>
      <c r="K153" s="72"/>
      <c r="L153" s="72"/>
      <c r="M153" s="72"/>
      <c r="N153" s="72"/>
      <c r="O153" s="72"/>
      <c r="P153" s="72"/>
      <c r="Q153" s="72"/>
      <c r="R153" s="67"/>
      <c r="S153" s="952">
        <f t="shared" si="34"/>
        <v>0</v>
      </c>
      <c r="T153" s="952"/>
      <c r="U153" s="72"/>
      <c r="V153" s="72"/>
      <c r="W153" s="72"/>
      <c r="X153" s="72"/>
      <c r="Y153" s="72"/>
      <c r="Z153" s="72"/>
      <c r="AA153" s="72"/>
      <c r="AB153" s="72"/>
      <c r="AC153" s="72"/>
      <c r="AD153" s="72">
        <v>2</v>
      </c>
      <c r="AE153" s="72"/>
      <c r="AF153" s="72"/>
      <c r="AG153" s="72"/>
      <c r="AH153" s="72">
        <v>1</v>
      </c>
      <c r="AI153" s="72"/>
      <c r="AJ153" s="72"/>
      <c r="AK153" s="72"/>
      <c r="AL153" s="72">
        <v>1</v>
      </c>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v>1</v>
      </c>
      <c r="BI153" s="72"/>
      <c r="BJ153" s="72"/>
      <c r="BK153" s="72"/>
      <c r="BL153" s="72">
        <v>1</v>
      </c>
      <c r="BM153" s="72"/>
    </row>
    <row r="154" spans="1:66" s="953" customFormat="1">
      <c r="A154" s="944" t="s">
        <v>5809</v>
      </c>
      <c r="B154" s="954"/>
      <c r="C154" s="960">
        <v>32</v>
      </c>
      <c r="D154" s="76"/>
      <c r="E154" s="72"/>
      <c r="F154" s="962"/>
      <c r="G154" s="72">
        <f t="shared" si="35"/>
        <v>32</v>
      </c>
      <c r="H154" s="72"/>
      <c r="I154" s="72"/>
      <c r="J154" s="72"/>
      <c r="K154" s="72">
        <v>1</v>
      </c>
      <c r="L154" s="72"/>
      <c r="M154" s="72"/>
      <c r="N154" s="72"/>
      <c r="O154" s="72"/>
      <c r="P154" s="72">
        <v>1</v>
      </c>
      <c r="Q154" s="72"/>
      <c r="R154" s="67"/>
      <c r="S154" s="952">
        <f t="shared" si="34"/>
        <v>0</v>
      </c>
      <c r="T154" s="952"/>
      <c r="U154" s="72"/>
      <c r="V154" s="72"/>
      <c r="W154" s="72"/>
      <c r="X154" s="72"/>
      <c r="Y154" s="72"/>
      <c r="Z154" s="72"/>
      <c r="AA154" s="72"/>
      <c r="AB154" s="72"/>
      <c r="AC154" s="72"/>
      <c r="AD154" s="72">
        <v>1</v>
      </c>
      <c r="AE154" s="72"/>
      <c r="AF154" s="72"/>
      <c r="AG154" s="72"/>
      <c r="AH154" s="72"/>
      <c r="AI154" s="72"/>
      <c r="AJ154" s="72">
        <v>1</v>
      </c>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v>1</v>
      </c>
      <c r="BI154" s="72"/>
      <c r="BJ154" s="72"/>
      <c r="BK154" s="72"/>
      <c r="BL154" s="72"/>
      <c r="BM154" s="72"/>
    </row>
    <row r="155" spans="1:66" s="953" customFormat="1">
      <c r="A155" s="944" t="s">
        <v>4419</v>
      </c>
      <c r="B155" s="954"/>
      <c r="C155" s="960">
        <v>33</v>
      </c>
      <c r="D155" s="76"/>
      <c r="E155" s="72"/>
      <c r="F155" s="962"/>
      <c r="G155" s="72">
        <f t="shared" si="35"/>
        <v>33</v>
      </c>
      <c r="H155" s="72"/>
      <c r="I155" s="72"/>
      <c r="J155" s="72"/>
      <c r="K155" s="72"/>
      <c r="L155" s="72"/>
      <c r="M155" s="72"/>
      <c r="N155" s="72"/>
      <c r="O155" s="72"/>
      <c r="P155" s="72"/>
      <c r="Q155" s="72"/>
      <c r="R155" s="67"/>
      <c r="S155" s="952">
        <f t="shared" si="34"/>
        <v>0</v>
      </c>
      <c r="T155" s="952">
        <f>IF(SUM(K155:L155)=1,1,0)</f>
        <v>0</v>
      </c>
      <c r="U155" s="72"/>
      <c r="V155" s="72"/>
      <c r="W155" s="72"/>
      <c r="X155" s="72"/>
      <c r="Y155" s="72"/>
      <c r="Z155" s="72"/>
      <c r="AA155" s="72"/>
      <c r="AB155" s="72"/>
      <c r="AC155" s="72"/>
      <c r="AD155" s="72"/>
      <c r="AE155" s="72"/>
      <c r="AF155" s="72"/>
      <c r="AG155" s="72"/>
      <c r="AH155" s="72"/>
      <c r="AI155" s="72"/>
      <c r="AJ155" s="72"/>
      <c r="AK155" s="72"/>
      <c r="AL155" s="72">
        <v>1</v>
      </c>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v>1</v>
      </c>
      <c r="BI155" s="72"/>
      <c r="BJ155" s="72"/>
      <c r="BK155" s="72"/>
      <c r="BL155" s="72"/>
      <c r="BM155" s="72"/>
      <c r="BN155" s="38"/>
    </row>
    <row r="156" spans="1:66" s="953" customFormat="1">
      <c r="A156" s="944" t="s">
        <v>5810</v>
      </c>
      <c r="B156" s="954"/>
      <c r="C156" s="960">
        <v>32</v>
      </c>
      <c r="D156" s="76"/>
      <c r="E156" s="72"/>
      <c r="F156" s="962"/>
      <c r="G156" s="72">
        <f t="shared" si="35"/>
        <v>32</v>
      </c>
      <c r="H156" s="72"/>
      <c r="I156" s="72"/>
      <c r="J156" s="72"/>
      <c r="K156" s="72">
        <v>1</v>
      </c>
      <c r="L156" s="72"/>
      <c r="M156" s="72"/>
      <c r="N156" s="72"/>
      <c r="O156" s="72"/>
      <c r="P156" s="72">
        <v>1</v>
      </c>
      <c r="Q156" s="72"/>
      <c r="R156" s="67"/>
      <c r="S156" s="952">
        <f>IF(SUM(K156:L156)=2,1,0)</f>
        <v>0</v>
      </c>
      <c r="T156" s="952"/>
      <c r="U156" s="72"/>
      <c r="V156" s="72"/>
      <c r="W156" s="72"/>
      <c r="X156" s="72"/>
      <c r="Y156" s="72"/>
      <c r="Z156" s="72"/>
      <c r="AA156" s="72"/>
      <c r="AB156" s="72"/>
      <c r="AC156" s="72"/>
      <c r="AD156" s="72">
        <v>1</v>
      </c>
      <c r="AE156" s="72"/>
      <c r="AF156" s="72"/>
      <c r="AG156" s="72"/>
      <c r="AH156" s="72"/>
      <c r="AI156" s="72"/>
      <c r="AJ156" s="72">
        <v>1</v>
      </c>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v>1</v>
      </c>
      <c r="BI156" s="72"/>
      <c r="BJ156" s="72"/>
      <c r="BK156" s="72"/>
      <c r="BL156" s="72"/>
      <c r="BM156" s="72"/>
    </row>
    <row r="157" spans="1:66" s="953" customFormat="1">
      <c r="A157" s="944" t="s">
        <v>4418</v>
      </c>
      <c r="B157" s="954" t="s">
        <v>3124</v>
      </c>
      <c r="C157" s="960">
        <v>33</v>
      </c>
      <c r="D157" s="76"/>
      <c r="E157" s="72"/>
      <c r="F157" s="962"/>
      <c r="G157" s="72">
        <f t="shared" si="35"/>
        <v>33</v>
      </c>
      <c r="H157" s="72"/>
      <c r="I157" s="72"/>
      <c r="J157" s="72"/>
      <c r="K157" s="72"/>
      <c r="L157" s="72"/>
      <c r="M157" s="72"/>
      <c r="N157" s="72"/>
      <c r="O157" s="72"/>
      <c r="P157" s="72"/>
      <c r="Q157" s="72"/>
      <c r="R157" s="67"/>
      <c r="S157" s="952">
        <f>IF(SUM(K157:L157)=2,1,0)</f>
        <v>0</v>
      </c>
      <c r="T157" s="952">
        <f>IF(SUM(K157:L157)=1,1,0)</f>
        <v>0</v>
      </c>
      <c r="U157" s="72"/>
      <c r="V157" s="72"/>
      <c r="W157" s="72"/>
      <c r="X157" s="72"/>
      <c r="Y157" s="72"/>
      <c r="Z157" s="72"/>
      <c r="AA157" s="72"/>
      <c r="AB157" s="72"/>
      <c r="AC157" s="72"/>
      <c r="AD157" s="72"/>
      <c r="AE157" s="72"/>
      <c r="AF157" s="72"/>
      <c r="AG157" s="72">
        <v>1</v>
      </c>
      <c r="AH157" s="72"/>
      <c r="AI157" s="72"/>
      <c r="AJ157" s="72"/>
      <c r="AK157" s="72"/>
      <c r="AL157" s="72"/>
      <c r="AM157" s="72"/>
      <c r="AN157" s="72">
        <v>1</v>
      </c>
      <c r="AO157" s="72"/>
      <c r="AP157" s="72"/>
      <c r="AQ157" s="72"/>
      <c r="AR157" s="72"/>
      <c r="AS157" s="72"/>
      <c r="AT157" s="72"/>
      <c r="AU157" s="72"/>
      <c r="AV157" s="72"/>
      <c r="AW157" s="72"/>
      <c r="AX157" s="72"/>
      <c r="AY157" s="72"/>
      <c r="AZ157" s="72"/>
      <c r="BA157" s="72"/>
      <c r="BB157" s="72"/>
      <c r="BC157" s="72"/>
      <c r="BD157" s="72"/>
      <c r="BE157" s="72"/>
      <c r="BF157" s="72"/>
      <c r="BG157" s="72"/>
      <c r="BH157" s="72">
        <v>1</v>
      </c>
      <c r="BI157" s="72"/>
      <c r="BJ157" s="72"/>
      <c r="BK157" s="72"/>
      <c r="BL157" s="72">
        <v>1</v>
      </c>
      <c r="BM157" s="72"/>
      <c r="BN157" s="38"/>
    </row>
    <row r="158" spans="1:66" s="953" customFormat="1">
      <c r="A158" s="944"/>
      <c r="B158" s="952"/>
      <c r="C158" s="961"/>
      <c r="D158" s="1485"/>
      <c r="E158" s="67"/>
      <c r="F158" s="72"/>
      <c r="G158" s="67"/>
      <c r="H158" s="67"/>
      <c r="I158" s="67"/>
      <c r="J158" s="67"/>
      <c r="K158" s="67"/>
      <c r="L158" s="67"/>
      <c r="M158" s="67"/>
      <c r="N158" s="67"/>
      <c r="O158" s="67"/>
      <c r="P158" s="67"/>
      <c r="Q158" s="67"/>
      <c r="R158" s="67"/>
      <c r="S158" s="952"/>
      <c r="T158" s="952"/>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72"/>
      <c r="BH158" s="67"/>
      <c r="BI158" s="67"/>
      <c r="BJ158" s="67"/>
      <c r="BK158" s="72"/>
      <c r="BL158" s="67"/>
      <c r="BM158" s="67"/>
      <c r="BN158" s="38"/>
    </row>
    <row r="159" spans="1:66" s="953" customFormat="1">
      <c r="A159" s="1487" t="s">
        <v>4425</v>
      </c>
      <c r="B159" s="954"/>
      <c r="C159" s="960"/>
      <c r="D159" s="72"/>
      <c r="E159" s="72"/>
      <c r="F159" s="962"/>
      <c r="G159" s="72">
        <v>10</v>
      </c>
      <c r="H159" s="72"/>
      <c r="I159" s="72"/>
      <c r="J159" s="72"/>
      <c r="K159" s="72"/>
      <c r="L159" s="72"/>
      <c r="M159" s="72"/>
      <c r="N159" s="72"/>
      <c r="O159" s="72"/>
      <c r="P159" s="72"/>
      <c r="Q159" s="72"/>
      <c r="R159" s="67"/>
      <c r="S159" s="952"/>
      <c r="T159" s="952"/>
      <c r="U159" s="72"/>
      <c r="V159" s="72"/>
      <c r="W159" s="72"/>
      <c r="X159" s="72"/>
      <c r="Y159" s="72"/>
      <c r="Z159" s="72"/>
      <c r="AA159" s="72"/>
      <c r="AB159" s="72"/>
      <c r="AC159" s="72"/>
      <c r="AD159" s="72"/>
      <c r="AE159" s="72"/>
      <c r="AF159" s="72"/>
      <c r="AG159" s="72">
        <v>1</v>
      </c>
      <c r="AH159" s="72"/>
      <c r="AI159" s="72"/>
      <c r="AJ159" s="72"/>
      <c r="AK159" s="72"/>
      <c r="AL159" s="72">
        <v>1</v>
      </c>
      <c r="AM159" s="72"/>
      <c r="AN159" s="72"/>
      <c r="AO159" s="72"/>
      <c r="AP159" s="72"/>
      <c r="AQ159" s="72"/>
      <c r="AR159" s="72"/>
      <c r="AS159" s="72"/>
      <c r="AT159" s="72"/>
      <c r="AU159" s="72"/>
      <c r="AV159" s="72"/>
      <c r="AW159" s="72"/>
      <c r="AX159" s="72"/>
      <c r="AY159" s="72"/>
      <c r="AZ159" s="72"/>
      <c r="BA159" s="72"/>
      <c r="BB159" s="72">
        <v>3</v>
      </c>
      <c r="BC159" s="72"/>
      <c r="BD159" s="72"/>
      <c r="BE159" s="72"/>
      <c r="BF159" s="72"/>
      <c r="BG159" s="72"/>
      <c r="BH159" s="72"/>
      <c r="BI159" s="72"/>
      <c r="BJ159" s="72"/>
      <c r="BK159" s="72"/>
      <c r="BL159" s="72"/>
      <c r="BM159" s="72" t="s">
        <v>5921</v>
      </c>
      <c r="BN159" s="38"/>
    </row>
    <row r="160" spans="1:66" s="953" customFormat="1">
      <c r="A160" s="944" t="s">
        <v>5828</v>
      </c>
      <c r="B160" s="954" t="s">
        <v>3123</v>
      </c>
      <c r="C160" s="960">
        <v>35</v>
      </c>
      <c r="D160" s="76"/>
      <c r="E160" s="72"/>
      <c r="F160" s="72"/>
      <c r="G160" s="72">
        <f>C160+1</f>
        <v>36</v>
      </c>
      <c r="H160" s="72"/>
      <c r="I160" s="72"/>
      <c r="J160" s="72"/>
      <c r="K160" s="72">
        <v>2</v>
      </c>
      <c r="L160" s="72"/>
      <c r="M160" s="72"/>
      <c r="N160" s="72"/>
      <c r="O160" s="72"/>
      <c r="P160" s="952">
        <f>IF(SUM(K160:L160)=1,1,0)</f>
        <v>0</v>
      </c>
      <c r="Q160" s="72"/>
      <c r="R160" s="67"/>
      <c r="S160" s="952">
        <f>IF(SUM(K160:L160)=2,1,0)</f>
        <v>1</v>
      </c>
      <c r="T160" s="952"/>
      <c r="U160" s="72"/>
      <c r="V160" s="72"/>
      <c r="W160" s="72"/>
      <c r="X160" s="72"/>
      <c r="Y160" s="72"/>
      <c r="Z160" s="72"/>
      <c r="AA160" s="72"/>
      <c r="AB160" s="72"/>
      <c r="AC160" s="72"/>
      <c r="AD160" s="72"/>
      <c r="AE160" s="72"/>
      <c r="AF160" s="72"/>
      <c r="AG160" s="72">
        <v>2</v>
      </c>
      <c r="AH160" s="72"/>
      <c r="AI160" s="72"/>
      <c r="AJ160" s="72">
        <v>1</v>
      </c>
      <c r="AK160" s="72"/>
      <c r="AL160" s="72"/>
      <c r="AM160" s="72">
        <v>1</v>
      </c>
      <c r="AN160" s="72"/>
      <c r="AO160" s="72"/>
      <c r="AP160" s="72"/>
      <c r="AQ160" s="72"/>
      <c r="AR160" s="72">
        <f>IF(S160=1,2,0)</f>
        <v>2</v>
      </c>
      <c r="AS160" s="72">
        <f>IF(S160=1,1,0)</f>
        <v>1</v>
      </c>
      <c r="AT160" s="72"/>
      <c r="AU160" s="72"/>
      <c r="AV160" s="72"/>
      <c r="AW160" s="72"/>
      <c r="AX160" s="72"/>
      <c r="AY160" s="72"/>
      <c r="AZ160" s="72"/>
      <c r="BA160" s="72"/>
      <c r="BB160" s="72"/>
      <c r="BC160" s="72"/>
      <c r="BD160" s="72"/>
      <c r="BE160" s="72"/>
      <c r="BF160" s="72"/>
      <c r="BG160" s="72"/>
      <c r="BH160" s="72">
        <v>1</v>
      </c>
      <c r="BI160" s="72"/>
      <c r="BJ160" s="72"/>
      <c r="BK160" s="72">
        <f>L160</f>
        <v>0</v>
      </c>
      <c r="BL160" s="72"/>
      <c r="BM160" s="72"/>
    </row>
    <row r="161" spans="1:65" s="953" customFormat="1">
      <c r="A161" s="944" t="s">
        <v>5829</v>
      </c>
      <c r="B161" s="954"/>
      <c r="C161" s="960">
        <v>35</v>
      </c>
      <c r="D161" s="76"/>
      <c r="E161" s="72"/>
      <c r="F161" s="72"/>
      <c r="G161" s="72">
        <f t="shared" ref="G161:G179" si="36">C161</f>
        <v>35</v>
      </c>
      <c r="H161" s="72"/>
      <c r="I161" s="72"/>
      <c r="J161" s="72"/>
      <c r="K161" s="72">
        <v>1</v>
      </c>
      <c r="L161" s="72"/>
      <c r="M161" s="72"/>
      <c r="N161" s="72"/>
      <c r="O161" s="72"/>
      <c r="P161" s="72">
        <v>1</v>
      </c>
      <c r="Q161" s="72"/>
      <c r="R161" s="67"/>
      <c r="S161" s="952"/>
      <c r="T161" s="952"/>
      <c r="U161" s="72"/>
      <c r="V161" s="72"/>
      <c r="W161" s="72"/>
      <c r="X161" s="72"/>
      <c r="Y161" s="72"/>
      <c r="Z161" s="72"/>
      <c r="AA161" s="72"/>
      <c r="AB161" s="72"/>
      <c r="AC161" s="72"/>
      <c r="AD161" s="72">
        <v>1</v>
      </c>
      <c r="AE161" s="72"/>
      <c r="AF161" s="72"/>
      <c r="AG161" s="72"/>
      <c r="AH161" s="72"/>
      <c r="AI161" s="72"/>
      <c r="AJ161" s="72">
        <v>1</v>
      </c>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v>1</v>
      </c>
      <c r="BI161" s="72"/>
      <c r="BJ161" s="72"/>
      <c r="BK161" s="72">
        <f>L161</f>
        <v>0</v>
      </c>
      <c r="BL161" s="72"/>
      <c r="BM161" s="72"/>
    </row>
    <row r="162" spans="1:65" s="953" customFormat="1">
      <c r="A162" s="944" t="s">
        <v>5830</v>
      </c>
      <c r="B162" s="954" t="s">
        <v>3123</v>
      </c>
      <c r="C162" s="960">
        <v>30</v>
      </c>
      <c r="D162" s="76"/>
      <c r="E162" s="72"/>
      <c r="F162" s="72"/>
      <c r="G162" s="72">
        <f>C162+1</f>
        <v>31</v>
      </c>
      <c r="H162" s="72"/>
      <c r="I162" s="72"/>
      <c r="J162" s="72"/>
      <c r="K162" s="72">
        <v>2</v>
      </c>
      <c r="L162" s="72"/>
      <c r="M162" s="72"/>
      <c r="N162" s="72"/>
      <c r="O162" s="72"/>
      <c r="P162" s="952">
        <f>IF(SUM(K162:L162)=1,1,0)</f>
        <v>0</v>
      </c>
      <c r="Q162" s="72"/>
      <c r="R162" s="67"/>
      <c r="S162" s="952">
        <f>IF(SUM(K162:L162)=2,1,0)</f>
        <v>1</v>
      </c>
      <c r="T162" s="952"/>
      <c r="U162" s="72"/>
      <c r="V162" s="72"/>
      <c r="W162" s="72"/>
      <c r="X162" s="72"/>
      <c r="Y162" s="72"/>
      <c r="Z162" s="72"/>
      <c r="AA162" s="72"/>
      <c r="AB162" s="72"/>
      <c r="AC162" s="72"/>
      <c r="AD162" s="72"/>
      <c r="AE162" s="72"/>
      <c r="AF162" s="72"/>
      <c r="AG162" s="72">
        <v>2</v>
      </c>
      <c r="AH162" s="72"/>
      <c r="AI162" s="72"/>
      <c r="AJ162" s="72">
        <v>1</v>
      </c>
      <c r="AK162" s="72"/>
      <c r="AL162" s="72"/>
      <c r="AM162" s="72">
        <v>1</v>
      </c>
      <c r="AN162" s="72"/>
      <c r="AO162" s="72"/>
      <c r="AP162" s="72"/>
      <c r="AQ162" s="72"/>
      <c r="AR162" s="72">
        <f>IF(S162=1,2,0)</f>
        <v>2</v>
      </c>
      <c r="AS162" s="72">
        <f>IF(S162=1,1,0)</f>
        <v>1</v>
      </c>
      <c r="AT162" s="72"/>
      <c r="AU162" s="72"/>
      <c r="AV162" s="72"/>
      <c r="AW162" s="72"/>
      <c r="AX162" s="72"/>
      <c r="AY162" s="72"/>
      <c r="AZ162" s="72"/>
      <c r="BA162" s="72"/>
      <c r="BB162" s="72"/>
      <c r="BC162" s="72"/>
      <c r="BD162" s="72"/>
      <c r="BE162" s="72"/>
      <c r="BF162" s="72"/>
      <c r="BG162" s="72"/>
      <c r="BH162" s="72">
        <v>1</v>
      </c>
      <c r="BI162" s="72"/>
      <c r="BJ162" s="72"/>
      <c r="BK162" s="72">
        <f>L162</f>
        <v>0</v>
      </c>
      <c r="BL162" s="72"/>
      <c r="BM162" s="72"/>
    </row>
    <row r="163" spans="1:65" s="953" customFormat="1">
      <c r="A163" s="944" t="s">
        <v>5831</v>
      </c>
      <c r="B163" s="954"/>
      <c r="C163" s="960">
        <v>35</v>
      </c>
      <c r="D163" s="76"/>
      <c r="E163" s="72"/>
      <c r="F163" s="72"/>
      <c r="G163" s="72">
        <f t="shared" si="36"/>
        <v>35</v>
      </c>
      <c r="H163" s="72"/>
      <c r="I163" s="72"/>
      <c r="J163" s="72"/>
      <c r="K163" s="72">
        <v>1</v>
      </c>
      <c r="L163" s="72"/>
      <c r="M163" s="72"/>
      <c r="N163" s="72"/>
      <c r="O163" s="72"/>
      <c r="P163" s="72">
        <v>1</v>
      </c>
      <c r="Q163" s="72"/>
      <c r="R163" s="67"/>
      <c r="S163" s="952"/>
      <c r="T163" s="952"/>
      <c r="U163" s="72"/>
      <c r="V163" s="72"/>
      <c r="W163" s="72"/>
      <c r="X163" s="72"/>
      <c r="Y163" s="72"/>
      <c r="Z163" s="72"/>
      <c r="AA163" s="72"/>
      <c r="AB163" s="72"/>
      <c r="AC163" s="72"/>
      <c r="AD163" s="72">
        <v>1</v>
      </c>
      <c r="AE163" s="72"/>
      <c r="AF163" s="72"/>
      <c r="AG163" s="72"/>
      <c r="AH163" s="72"/>
      <c r="AI163" s="72"/>
      <c r="AJ163" s="72">
        <v>1</v>
      </c>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v>1</v>
      </c>
      <c r="BI163" s="72"/>
      <c r="BJ163" s="72"/>
      <c r="BK163" s="72">
        <f>L163</f>
        <v>0</v>
      </c>
      <c r="BL163" s="72"/>
      <c r="BM163" s="72"/>
    </row>
    <row r="164" spans="1:65" s="953" customFormat="1">
      <c r="A164" s="944" t="s">
        <v>5832</v>
      </c>
      <c r="B164" s="954"/>
      <c r="C164" s="960">
        <v>35</v>
      </c>
      <c r="D164" s="76"/>
      <c r="E164" s="72"/>
      <c r="F164" s="72"/>
      <c r="G164" s="72">
        <f t="shared" si="36"/>
        <v>35</v>
      </c>
      <c r="H164" s="72"/>
      <c r="I164" s="72"/>
      <c r="J164" s="72"/>
      <c r="K164" s="72"/>
      <c r="L164" s="72">
        <v>1</v>
      </c>
      <c r="M164" s="72"/>
      <c r="N164" s="72"/>
      <c r="O164" s="72"/>
      <c r="P164" s="72">
        <v>1</v>
      </c>
      <c r="Q164" s="72"/>
      <c r="R164" s="67"/>
      <c r="S164" s="952"/>
      <c r="T164" s="952"/>
      <c r="U164" s="72"/>
      <c r="V164" s="72"/>
      <c r="W164" s="72"/>
      <c r="X164" s="72"/>
      <c r="Y164" s="72"/>
      <c r="Z164" s="72"/>
      <c r="AA164" s="72"/>
      <c r="AB164" s="72"/>
      <c r="AC164" s="72"/>
      <c r="AD164" s="72">
        <v>1</v>
      </c>
      <c r="AE164" s="72"/>
      <c r="AF164" s="72"/>
      <c r="AG164" s="72"/>
      <c r="AH164" s="72"/>
      <c r="AI164" s="72"/>
      <c r="AJ164" s="72">
        <v>1</v>
      </c>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v>1</v>
      </c>
      <c r="BI164" s="72"/>
      <c r="BJ164" s="72"/>
      <c r="BK164" s="72">
        <f t="shared" ref="BK164:BK174" si="37">L164</f>
        <v>1</v>
      </c>
      <c r="BL164" s="72"/>
      <c r="BM164" s="72"/>
    </row>
    <row r="165" spans="1:65" s="953" customFormat="1">
      <c r="A165" s="944" t="s">
        <v>5833</v>
      </c>
      <c r="B165" s="954"/>
      <c r="C165" s="960">
        <v>35</v>
      </c>
      <c r="D165" s="76"/>
      <c r="E165" s="72"/>
      <c r="F165" s="72"/>
      <c r="G165" s="72">
        <f t="shared" si="36"/>
        <v>35</v>
      </c>
      <c r="H165" s="72"/>
      <c r="I165" s="72"/>
      <c r="J165" s="72"/>
      <c r="K165" s="72">
        <v>1</v>
      </c>
      <c r="L165" s="72"/>
      <c r="M165" s="72"/>
      <c r="N165" s="72"/>
      <c r="O165" s="72"/>
      <c r="P165" s="72">
        <v>1</v>
      </c>
      <c r="Q165" s="72"/>
      <c r="R165" s="67"/>
      <c r="S165" s="952"/>
      <c r="T165" s="952"/>
      <c r="U165" s="72"/>
      <c r="V165" s="72"/>
      <c r="W165" s="72"/>
      <c r="X165" s="72"/>
      <c r="Y165" s="72"/>
      <c r="Z165" s="72"/>
      <c r="AA165" s="72"/>
      <c r="AB165" s="72"/>
      <c r="AC165" s="72"/>
      <c r="AD165" s="72">
        <v>1</v>
      </c>
      <c r="AE165" s="72"/>
      <c r="AF165" s="72"/>
      <c r="AG165" s="72"/>
      <c r="AH165" s="72"/>
      <c r="AI165" s="72"/>
      <c r="AJ165" s="72">
        <v>1</v>
      </c>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v>1</v>
      </c>
      <c r="BI165" s="72"/>
      <c r="BJ165" s="72"/>
      <c r="BK165" s="72">
        <f t="shared" si="37"/>
        <v>0</v>
      </c>
      <c r="BL165" s="72"/>
      <c r="BM165" s="72"/>
    </row>
    <row r="166" spans="1:65" s="953" customFormat="1">
      <c r="A166" s="944" t="s">
        <v>5512</v>
      </c>
      <c r="B166" s="954"/>
      <c r="C166" s="960">
        <v>35</v>
      </c>
      <c r="D166" s="76"/>
      <c r="E166" s="72"/>
      <c r="F166" s="72"/>
      <c r="G166" s="72">
        <f t="shared" si="36"/>
        <v>35</v>
      </c>
      <c r="H166" s="72"/>
      <c r="I166" s="72"/>
      <c r="J166" s="72"/>
      <c r="K166" s="72">
        <v>1</v>
      </c>
      <c r="L166" s="72"/>
      <c r="M166" s="72"/>
      <c r="N166" s="72"/>
      <c r="O166" s="72"/>
      <c r="P166" s="72">
        <v>1</v>
      </c>
      <c r="Q166" s="72"/>
      <c r="R166" s="67"/>
      <c r="S166" s="952"/>
      <c r="T166" s="952"/>
      <c r="U166" s="72"/>
      <c r="V166" s="72"/>
      <c r="W166" s="72"/>
      <c r="X166" s="72"/>
      <c r="Y166" s="72"/>
      <c r="Z166" s="72"/>
      <c r="AA166" s="72"/>
      <c r="AB166" s="72"/>
      <c r="AC166" s="72"/>
      <c r="AD166" s="72">
        <v>1</v>
      </c>
      <c r="AE166" s="72"/>
      <c r="AF166" s="72"/>
      <c r="AG166" s="72"/>
      <c r="AH166" s="72"/>
      <c r="AI166" s="72"/>
      <c r="AJ166" s="72">
        <v>1</v>
      </c>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v>1</v>
      </c>
      <c r="BI166" s="72"/>
      <c r="BJ166" s="72"/>
      <c r="BK166" s="72">
        <f t="shared" si="37"/>
        <v>0</v>
      </c>
      <c r="BL166" s="72"/>
      <c r="BM166" s="72"/>
    </row>
    <row r="167" spans="1:65" s="953" customFormat="1">
      <c r="A167" s="944" t="s">
        <v>4427</v>
      </c>
      <c r="B167" s="954"/>
      <c r="C167" s="960">
        <v>35</v>
      </c>
      <c r="D167" s="76"/>
      <c r="E167" s="72"/>
      <c r="F167" s="72"/>
      <c r="G167" s="72">
        <f t="shared" si="36"/>
        <v>35</v>
      </c>
      <c r="H167" s="72"/>
      <c r="I167" s="72"/>
      <c r="J167" s="72"/>
      <c r="K167" s="72">
        <v>1</v>
      </c>
      <c r="L167" s="72"/>
      <c r="M167" s="72"/>
      <c r="N167" s="72"/>
      <c r="O167" s="72"/>
      <c r="P167" s="72">
        <v>1</v>
      </c>
      <c r="Q167" s="72"/>
      <c r="R167" s="67"/>
      <c r="S167" s="952"/>
      <c r="T167" s="952"/>
      <c r="U167" s="72"/>
      <c r="V167" s="72"/>
      <c r="W167" s="72"/>
      <c r="X167" s="72"/>
      <c r="Y167" s="72"/>
      <c r="Z167" s="72"/>
      <c r="AA167" s="72"/>
      <c r="AB167" s="72"/>
      <c r="AC167" s="72"/>
      <c r="AD167" s="72">
        <v>1</v>
      </c>
      <c r="AE167" s="72"/>
      <c r="AF167" s="72"/>
      <c r="AG167" s="72"/>
      <c r="AH167" s="72"/>
      <c r="AI167" s="72"/>
      <c r="AJ167" s="72">
        <v>1</v>
      </c>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v>1</v>
      </c>
      <c r="BI167" s="72"/>
      <c r="BJ167" s="72"/>
      <c r="BK167" s="72">
        <f t="shared" si="37"/>
        <v>0</v>
      </c>
      <c r="BL167" s="72"/>
      <c r="BM167" s="72"/>
    </row>
    <row r="168" spans="1:65" s="953" customFormat="1">
      <c r="A168" s="944" t="s">
        <v>4428</v>
      </c>
      <c r="B168" s="954"/>
      <c r="C168" s="960">
        <v>35</v>
      </c>
      <c r="D168" s="76"/>
      <c r="E168" s="72"/>
      <c r="F168" s="72"/>
      <c r="G168" s="72">
        <f t="shared" si="36"/>
        <v>35</v>
      </c>
      <c r="H168" s="72"/>
      <c r="I168" s="72"/>
      <c r="J168" s="72"/>
      <c r="K168" s="72">
        <v>1</v>
      </c>
      <c r="L168" s="72"/>
      <c r="M168" s="72"/>
      <c r="N168" s="72"/>
      <c r="O168" s="72"/>
      <c r="P168" s="72">
        <v>1</v>
      </c>
      <c r="Q168" s="72"/>
      <c r="R168" s="67"/>
      <c r="S168" s="952"/>
      <c r="T168" s="952"/>
      <c r="U168" s="72"/>
      <c r="V168" s="72"/>
      <c r="W168" s="72"/>
      <c r="X168" s="72"/>
      <c r="Y168" s="72"/>
      <c r="Z168" s="72"/>
      <c r="AA168" s="72"/>
      <c r="AB168" s="72"/>
      <c r="AC168" s="72"/>
      <c r="AD168" s="72">
        <v>1</v>
      </c>
      <c r="AE168" s="72"/>
      <c r="AF168" s="72"/>
      <c r="AG168" s="72"/>
      <c r="AH168" s="72"/>
      <c r="AI168" s="72"/>
      <c r="AJ168" s="72">
        <v>1</v>
      </c>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v>1</v>
      </c>
      <c r="BI168" s="72"/>
      <c r="BJ168" s="72"/>
      <c r="BK168" s="72">
        <f t="shared" si="37"/>
        <v>0</v>
      </c>
      <c r="BL168" s="72"/>
      <c r="BM168" s="72"/>
    </row>
    <row r="169" spans="1:65" s="953" customFormat="1">
      <c r="A169" s="944" t="s">
        <v>4429</v>
      </c>
      <c r="B169" s="954"/>
      <c r="C169" s="960">
        <v>35</v>
      </c>
      <c r="D169" s="76"/>
      <c r="E169" s="72"/>
      <c r="F169" s="72"/>
      <c r="G169" s="72">
        <f t="shared" si="36"/>
        <v>35</v>
      </c>
      <c r="H169" s="72"/>
      <c r="I169" s="72"/>
      <c r="J169" s="72"/>
      <c r="K169" s="72"/>
      <c r="L169" s="72">
        <v>1</v>
      </c>
      <c r="M169" s="72"/>
      <c r="N169" s="72"/>
      <c r="O169" s="72"/>
      <c r="P169" s="72">
        <v>1</v>
      </c>
      <c r="Q169" s="72"/>
      <c r="R169" s="67"/>
      <c r="S169" s="952"/>
      <c r="T169" s="952"/>
      <c r="U169" s="72"/>
      <c r="V169" s="72"/>
      <c r="W169" s="72"/>
      <c r="X169" s="72"/>
      <c r="Y169" s="72"/>
      <c r="Z169" s="72"/>
      <c r="AA169" s="72"/>
      <c r="AB169" s="72"/>
      <c r="AC169" s="72"/>
      <c r="AD169" s="72">
        <v>1</v>
      </c>
      <c r="AE169" s="72"/>
      <c r="AF169" s="72"/>
      <c r="AG169" s="72"/>
      <c r="AH169" s="72"/>
      <c r="AI169" s="72"/>
      <c r="AJ169" s="72">
        <v>1</v>
      </c>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v>1</v>
      </c>
      <c r="BI169" s="72"/>
      <c r="BJ169" s="72"/>
      <c r="BK169" s="72">
        <f t="shared" si="37"/>
        <v>1</v>
      </c>
      <c r="BL169" s="72"/>
      <c r="BM169" s="72"/>
    </row>
    <row r="170" spans="1:65" s="953" customFormat="1">
      <c r="A170" s="944" t="s">
        <v>4430</v>
      </c>
      <c r="B170" s="954"/>
      <c r="C170" s="960">
        <v>35</v>
      </c>
      <c r="D170" s="76"/>
      <c r="E170" s="72"/>
      <c r="F170" s="72"/>
      <c r="G170" s="72">
        <f t="shared" si="36"/>
        <v>35</v>
      </c>
      <c r="H170" s="72"/>
      <c r="I170" s="72"/>
      <c r="J170" s="72"/>
      <c r="K170" s="72">
        <v>1</v>
      </c>
      <c r="L170" s="72"/>
      <c r="M170" s="72"/>
      <c r="N170" s="72"/>
      <c r="O170" s="72"/>
      <c r="P170" s="72">
        <v>1</v>
      </c>
      <c r="Q170" s="72"/>
      <c r="R170" s="67"/>
      <c r="S170" s="952"/>
      <c r="T170" s="952"/>
      <c r="U170" s="72"/>
      <c r="V170" s="72"/>
      <c r="W170" s="72"/>
      <c r="X170" s="72"/>
      <c r="Y170" s="72"/>
      <c r="Z170" s="72"/>
      <c r="AA170" s="72"/>
      <c r="AB170" s="72"/>
      <c r="AC170" s="72"/>
      <c r="AD170" s="72">
        <v>1</v>
      </c>
      <c r="AE170" s="72"/>
      <c r="AF170" s="72"/>
      <c r="AG170" s="72"/>
      <c r="AH170" s="72"/>
      <c r="AI170" s="72"/>
      <c r="AJ170" s="72">
        <v>1</v>
      </c>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v>1</v>
      </c>
      <c r="BI170" s="72"/>
      <c r="BJ170" s="72"/>
      <c r="BK170" s="72">
        <f t="shared" si="37"/>
        <v>0</v>
      </c>
      <c r="BL170" s="72"/>
      <c r="BM170" s="72"/>
    </row>
    <row r="171" spans="1:65" s="953" customFormat="1">
      <c r="A171" s="944" t="s">
        <v>4431</v>
      </c>
      <c r="B171" s="954"/>
      <c r="C171" s="960">
        <v>35</v>
      </c>
      <c r="D171" s="76"/>
      <c r="E171" s="72"/>
      <c r="F171" s="72"/>
      <c r="G171" s="72">
        <f t="shared" si="36"/>
        <v>35</v>
      </c>
      <c r="H171" s="72"/>
      <c r="I171" s="72"/>
      <c r="J171" s="72"/>
      <c r="K171" s="72">
        <v>1</v>
      </c>
      <c r="L171" s="72"/>
      <c r="M171" s="72"/>
      <c r="N171" s="72"/>
      <c r="O171" s="72"/>
      <c r="P171" s="72">
        <v>1</v>
      </c>
      <c r="Q171" s="72"/>
      <c r="R171" s="67"/>
      <c r="S171" s="952"/>
      <c r="T171" s="952"/>
      <c r="U171" s="72"/>
      <c r="V171" s="72"/>
      <c r="W171" s="72"/>
      <c r="X171" s="72"/>
      <c r="Y171" s="72"/>
      <c r="Z171" s="72"/>
      <c r="AA171" s="72"/>
      <c r="AB171" s="72"/>
      <c r="AC171" s="72"/>
      <c r="AD171" s="72">
        <v>1</v>
      </c>
      <c r="AE171" s="72"/>
      <c r="AF171" s="72"/>
      <c r="AG171" s="72"/>
      <c r="AH171" s="72"/>
      <c r="AI171" s="72"/>
      <c r="AJ171" s="72">
        <v>1</v>
      </c>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v>1</v>
      </c>
      <c r="BI171" s="72"/>
      <c r="BJ171" s="72"/>
      <c r="BK171" s="72">
        <f t="shared" si="37"/>
        <v>0</v>
      </c>
      <c r="BL171" s="72"/>
      <c r="BM171" s="72"/>
    </row>
    <row r="172" spans="1:65" s="953" customFormat="1">
      <c r="A172" s="944" t="s">
        <v>4432</v>
      </c>
      <c r="B172" s="954"/>
      <c r="C172" s="960">
        <v>35</v>
      </c>
      <c r="D172" s="76"/>
      <c r="E172" s="72"/>
      <c r="F172" s="72"/>
      <c r="G172" s="72">
        <f t="shared" si="36"/>
        <v>35</v>
      </c>
      <c r="H172" s="72"/>
      <c r="I172" s="72"/>
      <c r="J172" s="72"/>
      <c r="K172" s="72">
        <v>1</v>
      </c>
      <c r="L172" s="72"/>
      <c r="M172" s="72"/>
      <c r="N172" s="72"/>
      <c r="O172" s="72"/>
      <c r="P172" s="72">
        <v>1</v>
      </c>
      <c r="Q172" s="72"/>
      <c r="R172" s="67"/>
      <c r="S172" s="952"/>
      <c r="T172" s="952"/>
      <c r="U172" s="72"/>
      <c r="V172" s="72"/>
      <c r="W172" s="72"/>
      <c r="X172" s="72"/>
      <c r="Y172" s="72"/>
      <c r="Z172" s="72"/>
      <c r="AA172" s="72"/>
      <c r="AB172" s="72"/>
      <c r="AC172" s="72"/>
      <c r="AD172" s="72">
        <v>1</v>
      </c>
      <c r="AE172" s="72"/>
      <c r="AF172" s="72"/>
      <c r="AG172" s="72"/>
      <c r="AH172" s="72"/>
      <c r="AI172" s="72"/>
      <c r="AJ172" s="72">
        <v>1</v>
      </c>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v>1</v>
      </c>
      <c r="BI172" s="72"/>
      <c r="BJ172" s="72"/>
      <c r="BK172" s="72">
        <f t="shared" si="37"/>
        <v>0</v>
      </c>
      <c r="BL172" s="72"/>
      <c r="BM172" s="72"/>
    </row>
    <row r="173" spans="1:65" s="953" customFormat="1">
      <c r="A173" s="944" t="s">
        <v>4433</v>
      </c>
      <c r="B173" s="954"/>
      <c r="C173" s="960">
        <v>35</v>
      </c>
      <c r="D173" s="76"/>
      <c r="E173" s="72"/>
      <c r="F173" s="72"/>
      <c r="G173" s="72">
        <f t="shared" si="36"/>
        <v>35</v>
      </c>
      <c r="H173" s="72"/>
      <c r="I173" s="72"/>
      <c r="J173" s="72"/>
      <c r="K173" s="72">
        <v>1</v>
      </c>
      <c r="L173" s="72"/>
      <c r="M173" s="72"/>
      <c r="N173" s="72"/>
      <c r="O173" s="72"/>
      <c r="P173" s="72">
        <v>1</v>
      </c>
      <c r="Q173" s="72"/>
      <c r="R173" s="67"/>
      <c r="S173" s="952"/>
      <c r="T173" s="952"/>
      <c r="U173" s="72"/>
      <c r="V173" s="72"/>
      <c r="W173" s="72"/>
      <c r="X173" s="72"/>
      <c r="Y173" s="72"/>
      <c r="Z173" s="72"/>
      <c r="AA173" s="72"/>
      <c r="AB173" s="72"/>
      <c r="AC173" s="72"/>
      <c r="AD173" s="72">
        <v>1</v>
      </c>
      <c r="AE173" s="72"/>
      <c r="AF173" s="72"/>
      <c r="AG173" s="72"/>
      <c r="AH173" s="72"/>
      <c r="AI173" s="72"/>
      <c r="AJ173" s="72">
        <v>1</v>
      </c>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v>1</v>
      </c>
      <c r="BI173" s="72"/>
      <c r="BJ173" s="72"/>
      <c r="BK173" s="72">
        <f t="shared" si="37"/>
        <v>0</v>
      </c>
      <c r="BL173" s="72"/>
      <c r="BM173" s="72"/>
    </row>
    <row r="174" spans="1:65" s="953" customFormat="1">
      <c r="A174" s="944" t="s">
        <v>4434</v>
      </c>
      <c r="B174" s="954"/>
      <c r="C174" s="960">
        <v>35</v>
      </c>
      <c r="D174" s="76"/>
      <c r="E174" s="72"/>
      <c r="F174" s="72"/>
      <c r="G174" s="72">
        <f t="shared" si="36"/>
        <v>35</v>
      </c>
      <c r="H174" s="72"/>
      <c r="I174" s="72"/>
      <c r="J174" s="72"/>
      <c r="K174" s="72"/>
      <c r="L174" s="72">
        <v>1</v>
      </c>
      <c r="M174" s="72"/>
      <c r="N174" s="72"/>
      <c r="O174" s="72"/>
      <c r="P174" s="72">
        <v>1</v>
      </c>
      <c r="Q174" s="72"/>
      <c r="R174" s="67"/>
      <c r="S174" s="952"/>
      <c r="T174" s="952"/>
      <c r="U174" s="72"/>
      <c r="V174" s="72"/>
      <c r="W174" s="72"/>
      <c r="X174" s="72"/>
      <c r="Y174" s="72"/>
      <c r="Z174" s="72"/>
      <c r="AA174" s="72"/>
      <c r="AB174" s="72"/>
      <c r="AC174" s="72"/>
      <c r="AD174" s="72">
        <v>1</v>
      </c>
      <c r="AE174" s="72"/>
      <c r="AF174" s="72"/>
      <c r="AG174" s="72"/>
      <c r="AH174" s="72"/>
      <c r="AI174" s="72"/>
      <c r="AJ174" s="72">
        <v>1</v>
      </c>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v>1</v>
      </c>
      <c r="BI174" s="72"/>
      <c r="BJ174" s="72"/>
      <c r="BK174" s="72">
        <f t="shared" si="37"/>
        <v>1</v>
      </c>
      <c r="BL174" s="72"/>
      <c r="BM174" s="72"/>
    </row>
    <row r="175" spans="1:65" s="953" customFormat="1">
      <c r="A175" s="944" t="s">
        <v>4435</v>
      </c>
      <c r="B175" s="954"/>
      <c r="C175" s="960">
        <v>35</v>
      </c>
      <c r="D175" s="76"/>
      <c r="E175" s="72"/>
      <c r="F175" s="72"/>
      <c r="G175" s="72">
        <f t="shared" si="36"/>
        <v>35</v>
      </c>
      <c r="H175" s="72"/>
      <c r="I175" s="72"/>
      <c r="J175" s="72"/>
      <c r="K175" s="72">
        <v>1</v>
      </c>
      <c r="L175" s="72"/>
      <c r="M175" s="72"/>
      <c r="N175" s="72"/>
      <c r="O175" s="72"/>
      <c r="P175" s="72">
        <v>1</v>
      </c>
      <c r="Q175" s="72"/>
      <c r="R175" s="67"/>
      <c r="S175" s="952"/>
      <c r="T175" s="952"/>
      <c r="U175" s="72"/>
      <c r="V175" s="72"/>
      <c r="W175" s="72"/>
      <c r="X175" s="72"/>
      <c r="Y175" s="72"/>
      <c r="Z175" s="72"/>
      <c r="AA175" s="72"/>
      <c r="AB175" s="72"/>
      <c r="AC175" s="72"/>
      <c r="AD175" s="72">
        <v>1</v>
      </c>
      <c r="AE175" s="72"/>
      <c r="AF175" s="72"/>
      <c r="AG175" s="72"/>
      <c r="AH175" s="72"/>
      <c r="AI175" s="72"/>
      <c r="AJ175" s="72">
        <v>1</v>
      </c>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v>1</v>
      </c>
      <c r="BI175" s="72"/>
      <c r="BJ175" s="72"/>
      <c r="BK175" s="72">
        <f>L175</f>
        <v>0</v>
      </c>
      <c r="BL175" s="72"/>
      <c r="BM175" s="72"/>
    </row>
    <row r="176" spans="1:65" s="953" customFormat="1">
      <c r="A176" s="944" t="s">
        <v>4436</v>
      </c>
      <c r="B176" s="954"/>
      <c r="C176" s="960">
        <v>35</v>
      </c>
      <c r="D176" s="76"/>
      <c r="E176" s="72"/>
      <c r="F176" s="72"/>
      <c r="G176" s="72">
        <f t="shared" si="36"/>
        <v>35</v>
      </c>
      <c r="H176" s="72"/>
      <c r="I176" s="72"/>
      <c r="J176" s="72"/>
      <c r="K176" s="72">
        <v>1</v>
      </c>
      <c r="L176" s="72"/>
      <c r="M176" s="72"/>
      <c r="N176" s="72"/>
      <c r="O176" s="72"/>
      <c r="P176" s="72">
        <v>1</v>
      </c>
      <c r="Q176" s="72"/>
      <c r="R176" s="67"/>
      <c r="S176" s="952"/>
      <c r="T176" s="952"/>
      <c r="U176" s="72"/>
      <c r="V176" s="72"/>
      <c r="W176" s="72"/>
      <c r="X176" s="72"/>
      <c r="Y176" s="72"/>
      <c r="Z176" s="72"/>
      <c r="AA176" s="72"/>
      <c r="AB176" s="72"/>
      <c r="AC176" s="72"/>
      <c r="AD176" s="72">
        <v>1</v>
      </c>
      <c r="AE176" s="72"/>
      <c r="AF176" s="72"/>
      <c r="AG176" s="72"/>
      <c r="AH176" s="72"/>
      <c r="AI176" s="72"/>
      <c r="AJ176" s="72">
        <v>1</v>
      </c>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v>1</v>
      </c>
      <c r="BI176" s="72"/>
      <c r="BJ176" s="72"/>
      <c r="BK176" s="72">
        <f>L176</f>
        <v>0</v>
      </c>
      <c r="BL176" s="72"/>
      <c r="BM176" s="72"/>
    </row>
    <row r="177" spans="1:66" s="953" customFormat="1">
      <c r="A177" s="944" t="s">
        <v>4437</v>
      </c>
      <c r="B177" s="954"/>
      <c r="C177" s="960">
        <v>35</v>
      </c>
      <c r="D177" s="76"/>
      <c r="E177" s="72"/>
      <c r="F177" s="72"/>
      <c r="G177" s="72">
        <f t="shared" si="36"/>
        <v>35</v>
      </c>
      <c r="H177" s="72"/>
      <c r="I177" s="72"/>
      <c r="J177" s="72"/>
      <c r="K177" s="72">
        <v>1</v>
      </c>
      <c r="L177" s="72"/>
      <c r="M177" s="72"/>
      <c r="N177" s="72"/>
      <c r="O177" s="72"/>
      <c r="P177" s="72">
        <v>1</v>
      </c>
      <c r="Q177" s="72"/>
      <c r="R177" s="67"/>
      <c r="S177" s="952"/>
      <c r="T177" s="952"/>
      <c r="U177" s="72"/>
      <c r="V177" s="72"/>
      <c r="W177" s="72"/>
      <c r="X177" s="72"/>
      <c r="Y177" s="72"/>
      <c r="Z177" s="72"/>
      <c r="AA177" s="72"/>
      <c r="AB177" s="72"/>
      <c r="AC177" s="72"/>
      <c r="AD177" s="72">
        <v>1</v>
      </c>
      <c r="AE177" s="72"/>
      <c r="AF177" s="72"/>
      <c r="AG177" s="72"/>
      <c r="AH177" s="72"/>
      <c r="AI177" s="72"/>
      <c r="AJ177" s="72">
        <v>1</v>
      </c>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v>1</v>
      </c>
      <c r="BI177" s="72"/>
      <c r="BJ177" s="72"/>
      <c r="BK177" s="72">
        <f>L177</f>
        <v>0</v>
      </c>
      <c r="BL177" s="72"/>
      <c r="BM177" s="72"/>
    </row>
    <row r="178" spans="1:66" s="953" customFormat="1">
      <c r="A178" s="944" t="s">
        <v>5786</v>
      </c>
      <c r="B178" s="954"/>
      <c r="C178" s="960">
        <v>35</v>
      </c>
      <c r="D178" s="76"/>
      <c r="E178" s="72"/>
      <c r="F178" s="72"/>
      <c r="G178" s="72">
        <f t="shared" si="36"/>
        <v>35</v>
      </c>
      <c r="H178" s="72"/>
      <c r="I178" s="72"/>
      <c r="J178" s="72"/>
      <c r="K178" s="72">
        <v>1</v>
      </c>
      <c r="L178" s="72"/>
      <c r="M178" s="72"/>
      <c r="N178" s="72"/>
      <c r="O178" s="72"/>
      <c r="P178" s="72">
        <v>1</v>
      </c>
      <c r="Q178" s="72"/>
      <c r="R178" s="67"/>
      <c r="S178" s="952"/>
      <c r="T178" s="952"/>
      <c r="U178" s="72"/>
      <c r="V178" s="72"/>
      <c r="W178" s="72"/>
      <c r="X178" s="72"/>
      <c r="Y178" s="72"/>
      <c r="Z178" s="72"/>
      <c r="AA178" s="72"/>
      <c r="AB178" s="72"/>
      <c r="AC178" s="72"/>
      <c r="AD178" s="72">
        <v>1</v>
      </c>
      <c r="AE178" s="72"/>
      <c r="AF178" s="72"/>
      <c r="AG178" s="72"/>
      <c r="AH178" s="72"/>
      <c r="AI178" s="72"/>
      <c r="AJ178" s="72">
        <v>1</v>
      </c>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v>1</v>
      </c>
      <c r="BI178" s="72"/>
      <c r="BJ178" s="72"/>
      <c r="BK178" s="72">
        <f>L178</f>
        <v>0</v>
      </c>
      <c r="BL178" s="72"/>
      <c r="BM178" s="72"/>
    </row>
    <row r="179" spans="1:66" s="953" customFormat="1">
      <c r="A179" s="944" t="s">
        <v>2729</v>
      </c>
      <c r="B179" s="954" t="s">
        <v>3124</v>
      </c>
      <c r="C179" s="960">
        <v>35</v>
      </c>
      <c r="D179" s="76"/>
      <c r="E179" s="72"/>
      <c r="F179" s="72"/>
      <c r="G179" s="72">
        <f t="shared" si="36"/>
        <v>35</v>
      </c>
      <c r="H179" s="72"/>
      <c r="I179" s="72"/>
      <c r="J179" s="72"/>
      <c r="K179" s="72">
        <v>1</v>
      </c>
      <c r="L179" s="72">
        <v>1</v>
      </c>
      <c r="M179" s="72"/>
      <c r="N179" s="72"/>
      <c r="O179" s="72"/>
      <c r="P179" s="952">
        <f>IF(SUM(K179:L179)=1,1,0)</f>
        <v>0</v>
      </c>
      <c r="Q179" s="72"/>
      <c r="R179" s="67"/>
      <c r="S179" s="952">
        <f>IF(SUM(K179:L179)=2,1,0)</f>
        <v>1</v>
      </c>
      <c r="T179" s="952"/>
      <c r="U179" s="72"/>
      <c r="V179" s="72"/>
      <c r="W179" s="72"/>
      <c r="X179" s="72"/>
      <c r="Y179" s="72"/>
      <c r="Z179" s="72"/>
      <c r="AA179" s="72"/>
      <c r="AB179" s="72"/>
      <c r="AC179" s="72"/>
      <c r="AD179" s="72"/>
      <c r="AE179" s="72"/>
      <c r="AF179" s="72"/>
      <c r="AG179" s="72">
        <v>1</v>
      </c>
      <c r="AH179" s="72"/>
      <c r="AI179" s="72"/>
      <c r="AJ179" s="72"/>
      <c r="AK179" s="72"/>
      <c r="AL179" s="72"/>
      <c r="AM179" s="72">
        <v>1</v>
      </c>
      <c r="AN179" s="72"/>
      <c r="AO179" s="72"/>
      <c r="AP179" s="72"/>
      <c r="AQ179" s="72"/>
      <c r="AR179" s="72">
        <f>IF(S179=1,2,0)</f>
        <v>2</v>
      </c>
      <c r="AS179" s="72">
        <f>IF(S179=1,1,0)</f>
        <v>1</v>
      </c>
      <c r="AT179" s="72"/>
      <c r="AU179" s="72"/>
      <c r="AV179" s="72"/>
      <c r="AW179" s="72"/>
      <c r="AX179" s="72"/>
      <c r="AY179" s="72"/>
      <c r="AZ179" s="72"/>
      <c r="BA179" s="72"/>
      <c r="BB179" s="72"/>
      <c r="BC179" s="72"/>
      <c r="BD179" s="72"/>
      <c r="BE179" s="72"/>
      <c r="BF179" s="72"/>
      <c r="BG179" s="72"/>
      <c r="BH179" s="72">
        <v>1</v>
      </c>
      <c r="BI179" s="72"/>
      <c r="BJ179" s="72"/>
      <c r="BK179" s="72">
        <f>L179</f>
        <v>1</v>
      </c>
      <c r="BL179" s="72"/>
      <c r="BM179" s="72"/>
    </row>
    <row r="180" spans="1:66" s="588" customFormat="1" ht="20.100000000000001" customHeight="1">
      <c r="A180" s="1323" t="s">
        <v>5817</v>
      </c>
      <c r="B180" s="1330"/>
      <c r="C180" s="1313">
        <f>ROUND(SUM(C142:C179),0)</f>
        <v>1181</v>
      </c>
      <c r="D180" s="1313">
        <f t="shared" ref="D180:BM180" si="38">ROUND(SUM(D142:D179),0)</f>
        <v>0</v>
      </c>
      <c r="E180" s="1313">
        <f t="shared" si="38"/>
        <v>0</v>
      </c>
      <c r="F180" s="1313">
        <f t="shared" si="38"/>
        <v>0</v>
      </c>
      <c r="G180" s="1313">
        <f t="shared" si="38"/>
        <v>1203</v>
      </c>
      <c r="H180" s="1313">
        <f t="shared" si="38"/>
        <v>0</v>
      </c>
      <c r="I180" s="1313">
        <f t="shared" si="38"/>
        <v>0</v>
      </c>
      <c r="J180" s="1313">
        <f t="shared" si="38"/>
        <v>0</v>
      </c>
      <c r="K180" s="1313">
        <f t="shared" si="38"/>
        <v>25</v>
      </c>
      <c r="L180" s="1313">
        <f t="shared" si="38"/>
        <v>4</v>
      </c>
      <c r="M180" s="1313">
        <f t="shared" si="38"/>
        <v>0</v>
      </c>
      <c r="N180" s="1313">
        <f t="shared" si="38"/>
        <v>0</v>
      </c>
      <c r="O180" s="1313">
        <f t="shared" si="38"/>
        <v>0</v>
      </c>
      <c r="P180" s="1313">
        <f t="shared" si="38"/>
        <v>23</v>
      </c>
      <c r="Q180" s="1313">
        <f t="shared" si="38"/>
        <v>0</v>
      </c>
      <c r="R180" s="1313">
        <f>ROUND(SUM(R142:R179),0)</f>
        <v>0</v>
      </c>
      <c r="S180" s="1313">
        <f>ROUND(SUM(S142:S179),0)</f>
        <v>3</v>
      </c>
      <c r="T180" s="1313">
        <f>ROUND(SUM(T142:T179),0)</f>
        <v>0</v>
      </c>
      <c r="U180" s="1313">
        <f t="shared" si="38"/>
        <v>0</v>
      </c>
      <c r="V180" s="1313">
        <f t="shared" si="38"/>
        <v>0</v>
      </c>
      <c r="W180" s="1313">
        <f t="shared" si="38"/>
        <v>0</v>
      </c>
      <c r="X180" s="1313">
        <f t="shared" si="38"/>
        <v>0</v>
      </c>
      <c r="Y180" s="1313">
        <f t="shared" si="38"/>
        <v>0</v>
      </c>
      <c r="Z180" s="1313">
        <f t="shared" si="38"/>
        <v>0</v>
      </c>
      <c r="AA180" s="1313">
        <f t="shared" si="38"/>
        <v>0</v>
      </c>
      <c r="AB180" s="1313">
        <f t="shared" si="38"/>
        <v>0</v>
      </c>
      <c r="AC180" s="1313">
        <f t="shared" si="38"/>
        <v>0</v>
      </c>
      <c r="AD180" s="1313">
        <f t="shared" si="38"/>
        <v>30</v>
      </c>
      <c r="AE180" s="1313">
        <f t="shared" si="38"/>
        <v>0</v>
      </c>
      <c r="AF180" s="1313">
        <f t="shared" si="38"/>
        <v>0</v>
      </c>
      <c r="AG180" s="1313">
        <f t="shared" si="38"/>
        <v>10</v>
      </c>
      <c r="AH180" s="1313">
        <f t="shared" si="38"/>
        <v>2</v>
      </c>
      <c r="AI180" s="1313">
        <f t="shared" si="38"/>
        <v>3</v>
      </c>
      <c r="AJ180" s="1313">
        <f t="shared" si="38"/>
        <v>25</v>
      </c>
      <c r="AK180" s="1313">
        <f t="shared" si="38"/>
        <v>0</v>
      </c>
      <c r="AL180" s="1313">
        <f t="shared" si="38"/>
        <v>9</v>
      </c>
      <c r="AM180" s="1313">
        <f t="shared" si="38"/>
        <v>3</v>
      </c>
      <c r="AN180" s="1313">
        <f t="shared" si="38"/>
        <v>2</v>
      </c>
      <c r="AO180" s="1313">
        <f t="shared" si="38"/>
        <v>0</v>
      </c>
      <c r="AP180" s="1313">
        <f t="shared" si="38"/>
        <v>0</v>
      </c>
      <c r="AQ180" s="1313">
        <f t="shared" si="38"/>
        <v>0</v>
      </c>
      <c r="AR180" s="1313">
        <f t="shared" si="38"/>
        <v>6</v>
      </c>
      <c r="AS180" s="1313">
        <f t="shared" si="38"/>
        <v>3</v>
      </c>
      <c r="AT180" s="1313">
        <f t="shared" si="38"/>
        <v>0</v>
      </c>
      <c r="AU180" s="1313">
        <f t="shared" si="38"/>
        <v>0</v>
      </c>
      <c r="AV180" s="1313">
        <f t="shared" si="38"/>
        <v>0</v>
      </c>
      <c r="AW180" s="1313">
        <f t="shared" si="38"/>
        <v>0</v>
      </c>
      <c r="AX180" s="1313">
        <f t="shared" si="38"/>
        <v>0</v>
      </c>
      <c r="AY180" s="1313">
        <f t="shared" si="38"/>
        <v>2</v>
      </c>
      <c r="AZ180" s="1313">
        <f t="shared" si="38"/>
        <v>0</v>
      </c>
      <c r="BA180" s="1313">
        <f t="shared" si="38"/>
        <v>0</v>
      </c>
      <c r="BB180" s="1313">
        <f t="shared" si="38"/>
        <v>6</v>
      </c>
      <c r="BC180" s="1313">
        <f t="shared" si="38"/>
        <v>0</v>
      </c>
      <c r="BD180" s="1313">
        <f t="shared" si="38"/>
        <v>0</v>
      </c>
      <c r="BE180" s="1313">
        <f t="shared" si="38"/>
        <v>0</v>
      </c>
      <c r="BF180" s="1313">
        <f t="shared" si="38"/>
        <v>0</v>
      </c>
      <c r="BG180" s="1313">
        <f t="shared" si="38"/>
        <v>0</v>
      </c>
      <c r="BH180" s="1313">
        <f t="shared" si="38"/>
        <v>35</v>
      </c>
      <c r="BI180" s="1313">
        <f t="shared" si="38"/>
        <v>0</v>
      </c>
      <c r="BJ180" s="1313">
        <f t="shared" si="38"/>
        <v>0</v>
      </c>
      <c r="BK180" s="1313">
        <f t="shared" si="38"/>
        <v>4</v>
      </c>
      <c r="BL180" s="1313">
        <f t="shared" si="38"/>
        <v>4</v>
      </c>
      <c r="BM180" s="1313">
        <f t="shared" si="38"/>
        <v>0</v>
      </c>
    </row>
    <row r="181" spans="1:66" hidden="1">
      <c r="A181" s="959" t="s">
        <v>747</v>
      </c>
      <c r="B181" s="952"/>
      <c r="C181" s="961"/>
      <c r="D181" s="962"/>
      <c r="E181" s="962"/>
      <c r="F181" s="962"/>
      <c r="G181" s="962"/>
      <c r="H181" s="952"/>
      <c r="I181" s="952"/>
      <c r="J181" s="952"/>
      <c r="K181" s="952"/>
      <c r="L181" s="952"/>
      <c r="M181" s="952"/>
      <c r="N181" s="952"/>
      <c r="O181" s="952"/>
      <c r="P181" s="952"/>
      <c r="Q181" s="952"/>
      <c r="R181" s="952"/>
      <c r="S181" s="952"/>
      <c r="T181" s="952"/>
      <c r="U181" s="952"/>
      <c r="V181" s="952"/>
      <c r="W181" s="952"/>
      <c r="X181" s="952"/>
      <c r="Y181" s="952"/>
      <c r="Z181" s="952"/>
      <c r="AA181" s="952"/>
      <c r="AB181" s="952"/>
      <c r="AC181" s="952"/>
      <c r="AD181" s="952"/>
      <c r="AE181" s="952"/>
      <c r="AF181" s="952"/>
      <c r="AG181" s="952"/>
      <c r="AH181" s="952"/>
      <c r="AI181" s="952"/>
      <c r="AJ181" s="952"/>
      <c r="AK181" s="952"/>
      <c r="AL181" s="952"/>
      <c r="AM181" s="952"/>
      <c r="AN181" s="952"/>
      <c r="AO181" s="952"/>
      <c r="AP181" s="952"/>
      <c r="AQ181" s="952"/>
      <c r="AR181" s="952"/>
      <c r="AS181" s="952"/>
      <c r="AT181" s="952"/>
      <c r="AU181" s="952"/>
      <c r="AV181" s="952"/>
      <c r="AW181" s="952"/>
      <c r="AX181" s="952"/>
      <c r="AY181" s="952"/>
      <c r="AZ181" s="952"/>
      <c r="BA181" s="952"/>
      <c r="BB181" s="952"/>
      <c r="BC181" s="952"/>
      <c r="BD181" s="952"/>
      <c r="BE181" s="952"/>
      <c r="BF181" s="952"/>
      <c r="BG181" s="72">
        <v>0</v>
      </c>
      <c r="BH181" s="67"/>
      <c r="BI181" s="952"/>
      <c r="BJ181" s="952"/>
      <c r="BK181" s="952"/>
      <c r="BL181" s="952"/>
      <c r="BM181" s="952"/>
    </row>
    <row r="182" spans="1:66" hidden="1">
      <c r="A182" s="959" t="s">
        <v>746</v>
      </c>
      <c r="B182" s="952"/>
      <c r="C182" s="961"/>
      <c r="D182" s="962"/>
      <c r="E182" s="962"/>
      <c r="F182" s="962"/>
      <c r="G182" s="962"/>
      <c r="H182" s="952"/>
      <c r="I182" s="952"/>
      <c r="J182" s="952"/>
      <c r="K182" s="952"/>
      <c r="L182" s="952"/>
      <c r="M182" s="952"/>
      <c r="N182" s="952"/>
      <c r="O182" s="952"/>
      <c r="P182" s="952"/>
      <c r="Q182" s="952"/>
      <c r="R182" s="952"/>
      <c r="S182" s="952">
        <f>IF(SUM(K182:L182)=2,1,0)</f>
        <v>0</v>
      </c>
      <c r="T182" s="952">
        <f>IF(SUM(K182:L182)=1,1,0)</f>
        <v>0</v>
      </c>
      <c r="U182" s="952"/>
      <c r="V182" s="952"/>
      <c r="W182" s="952"/>
      <c r="X182" s="952"/>
      <c r="Y182" s="952"/>
      <c r="Z182" s="952"/>
      <c r="AA182" s="952"/>
      <c r="AB182" s="952"/>
      <c r="AC182" s="952"/>
      <c r="AD182" s="952"/>
      <c r="AE182" s="952"/>
      <c r="AF182" s="952"/>
      <c r="AG182" s="952"/>
      <c r="AH182" s="952"/>
      <c r="AI182" s="952"/>
      <c r="AJ182" s="952"/>
      <c r="AK182" s="952"/>
      <c r="AL182" s="952"/>
      <c r="AM182" s="952"/>
      <c r="AN182" s="952"/>
      <c r="AO182" s="952"/>
      <c r="AP182" s="952"/>
      <c r="AQ182" s="952"/>
      <c r="AR182" s="952"/>
      <c r="AS182" s="952"/>
      <c r="AT182" s="952"/>
      <c r="AU182" s="952"/>
      <c r="AV182" s="952"/>
      <c r="AW182" s="952"/>
      <c r="AX182" s="952"/>
      <c r="AY182" s="952"/>
      <c r="AZ182" s="952"/>
      <c r="BA182" s="952"/>
      <c r="BB182" s="952"/>
      <c r="BC182" s="952"/>
      <c r="BD182" s="952"/>
      <c r="BE182" s="952"/>
      <c r="BF182" s="952"/>
      <c r="BG182" s="72">
        <v>0</v>
      </c>
      <c r="BH182" s="67"/>
      <c r="BI182" s="952"/>
      <c r="BJ182" s="952"/>
      <c r="BK182" s="952"/>
      <c r="BL182" s="952"/>
      <c r="BM182" s="952"/>
    </row>
    <row r="183" spans="1:66" s="953" customFormat="1" hidden="1">
      <c r="A183" s="1487" t="s">
        <v>1960</v>
      </c>
      <c r="B183" s="954"/>
      <c r="C183" s="960"/>
      <c r="D183" s="72"/>
      <c r="E183" s="72"/>
      <c r="F183" s="962"/>
      <c r="G183" s="72">
        <v>10</v>
      </c>
      <c r="H183" s="72"/>
      <c r="I183" s="72"/>
      <c r="J183" s="72"/>
      <c r="K183" s="72"/>
      <c r="L183" s="72"/>
      <c r="M183" s="72"/>
      <c r="N183" s="72"/>
      <c r="O183" s="72"/>
      <c r="P183" s="72"/>
      <c r="Q183" s="72"/>
      <c r="R183" s="67"/>
      <c r="S183" s="952">
        <f t="shared" ref="S183:S194" si="39">IF(SUM(K183:L183)=2,1,0)</f>
        <v>0</v>
      </c>
      <c r="T183" s="952">
        <f>IF(SUM(K183:L183)=1,1,0)</f>
        <v>0</v>
      </c>
      <c r="U183" s="72"/>
      <c r="V183" s="72"/>
      <c r="W183" s="72"/>
      <c r="X183" s="72"/>
      <c r="Y183" s="72"/>
      <c r="Z183" s="72"/>
      <c r="AA183" s="72"/>
      <c r="AB183" s="72"/>
      <c r="AC183" s="72"/>
      <c r="AD183" s="72"/>
      <c r="AE183" s="72"/>
      <c r="AF183" s="72"/>
      <c r="AG183" s="72">
        <v>1</v>
      </c>
      <c r="AH183" s="72"/>
      <c r="AI183" s="72">
        <v>3</v>
      </c>
      <c r="AJ183" s="72"/>
      <c r="AK183" s="72"/>
      <c r="AL183" s="72"/>
      <c r="AM183" s="72"/>
      <c r="AN183" s="72">
        <v>1</v>
      </c>
      <c r="AO183" s="72"/>
      <c r="AP183" s="72"/>
      <c r="AQ183" s="72"/>
      <c r="AR183" s="72"/>
      <c r="AS183" s="72"/>
      <c r="AT183" s="72"/>
      <c r="AU183" s="72"/>
      <c r="AV183" s="72"/>
      <c r="AW183" s="72"/>
      <c r="AX183" s="72"/>
      <c r="AY183" s="72">
        <v>2</v>
      </c>
      <c r="AZ183" s="72"/>
      <c r="BA183" s="72"/>
      <c r="BB183" s="72">
        <v>3</v>
      </c>
      <c r="BC183" s="72"/>
      <c r="BD183" s="72"/>
      <c r="BE183" s="72"/>
      <c r="BF183" s="72"/>
      <c r="BG183" s="72"/>
      <c r="BH183" s="72">
        <v>1</v>
      </c>
      <c r="BI183" s="72"/>
      <c r="BJ183" s="72"/>
      <c r="BK183" s="72"/>
      <c r="BL183" s="72" t="s">
        <v>4926</v>
      </c>
      <c r="BM183" s="72" t="s">
        <v>5921</v>
      </c>
      <c r="BN183" s="38"/>
    </row>
    <row r="184" spans="1:66" s="953" customFormat="1" hidden="1">
      <c r="A184" s="944" t="s">
        <v>5887</v>
      </c>
      <c r="B184" s="954"/>
      <c r="C184" s="960">
        <v>32</v>
      </c>
      <c r="D184" s="76"/>
      <c r="E184" s="72"/>
      <c r="F184" s="962"/>
      <c r="G184" s="72">
        <f t="shared" ref="G184:G194" si="40">C184</f>
        <v>32</v>
      </c>
      <c r="H184" s="72"/>
      <c r="I184" s="72"/>
      <c r="J184" s="72"/>
      <c r="K184" s="72">
        <v>1</v>
      </c>
      <c r="L184" s="72"/>
      <c r="M184" s="72"/>
      <c r="N184" s="72"/>
      <c r="O184" s="72"/>
      <c r="P184" s="72">
        <v>1</v>
      </c>
      <c r="Q184" s="72"/>
      <c r="R184" s="67"/>
      <c r="S184" s="952">
        <f t="shared" si="39"/>
        <v>0</v>
      </c>
      <c r="T184" s="952"/>
      <c r="U184" s="72"/>
      <c r="V184" s="72"/>
      <c r="W184" s="72"/>
      <c r="X184" s="72"/>
      <c r="Y184" s="72"/>
      <c r="Z184" s="72"/>
      <c r="AA184" s="72"/>
      <c r="AB184" s="72"/>
      <c r="AC184" s="72"/>
      <c r="AD184" s="72">
        <v>1</v>
      </c>
      <c r="AE184" s="72"/>
      <c r="AF184" s="72"/>
      <c r="AG184" s="72"/>
      <c r="AH184" s="72"/>
      <c r="AI184" s="72"/>
      <c r="AJ184" s="72">
        <v>1</v>
      </c>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v>1</v>
      </c>
      <c r="BI184" s="72"/>
      <c r="BJ184" s="72"/>
      <c r="BK184" s="72"/>
      <c r="BL184" s="72"/>
      <c r="BM184" s="72"/>
    </row>
    <row r="185" spans="1:66" s="953" customFormat="1" hidden="1">
      <c r="A185" s="1487" t="s">
        <v>1959</v>
      </c>
      <c r="B185" s="954"/>
      <c r="C185" s="960">
        <v>32</v>
      </c>
      <c r="D185" s="76"/>
      <c r="E185" s="72"/>
      <c r="F185" s="962"/>
      <c r="G185" s="72">
        <f t="shared" si="40"/>
        <v>32</v>
      </c>
      <c r="H185" s="72"/>
      <c r="I185" s="72"/>
      <c r="J185" s="72"/>
      <c r="K185" s="72"/>
      <c r="L185" s="72"/>
      <c r="M185" s="72"/>
      <c r="N185" s="72"/>
      <c r="O185" s="72"/>
      <c r="P185" s="72"/>
      <c r="Q185" s="72"/>
      <c r="R185" s="67"/>
      <c r="S185" s="952">
        <f t="shared" si="39"/>
        <v>0</v>
      </c>
      <c r="T185" s="952"/>
      <c r="U185" s="72"/>
      <c r="V185" s="72"/>
      <c r="W185" s="72"/>
      <c r="X185" s="72"/>
      <c r="Y185" s="72"/>
      <c r="Z185" s="72"/>
      <c r="AA185" s="72"/>
      <c r="AB185" s="72"/>
      <c r="AC185" s="72"/>
      <c r="AD185" s="72">
        <v>1</v>
      </c>
      <c r="AE185" s="72"/>
      <c r="AF185" s="72"/>
      <c r="AG185" s="72"/>
      <c r="AH185" s="72"/>
      <c r="AI185" s="72"/>
      <c r="AJ185" s="72"/>
      <c r="AK185" s="72"/>
      <c r="AL185" s="72">
        <v>1</v>
      </c>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v>1</v>
      </c>
      <c r="BI185" s="72"/>
      <c r="BJ185" s="72"/>
      <c r="BK185" s="72"/>
      <c r="BL185" s="72"/>
      <c r="BM185" s="72"/>
    </row>
    <row r="186" spans="1:66" s="953" customFormat="1" hidden="1">
      <c r="A186" s="944" t="s">
        <v>5888</v>
      </c>
      <c r="B186" s="954"/>
      <c r="C186" s="960">
        <v>32</v>
      </c>
      <c r="D186" s="76"/>
      <c r="E186" s="72"/>
      <c r="F186" s="962"/>
      <c r="G186" s="72">
        <f t="shared" si="40"/>
        <v>32</v>
      </c>
      <c r="H186" s="72"/>
      <c r="I186" s="72"/>
      <c r="J186" s="72"/>
      <c r="K186" s="72">
        <v>1</v>
      </c>
      <c r="L186" s="72"/>
      <c r="M186" s="72"/>
      <c r="N186" s="72"/>
      <c r="O186" s="72"/>
      <c r="P186" s="72">
        <v>1</v>
      </c>
      <c r="Q186" s="72"/>
      <c r="R186" s="67"/>
      <c r="S186" s="952">
        <f t="shared" si="39"/>
        <v>0</v>
      </c>
      <c r="T186" s="952"/>
      <c r="U186" s="72"/>
      <c r="V186" s="72"/>
      <c r="W186" s="72"/>
      <c r="X186" s="72"/>
      <c r="Y186" s="72"/>
      <c r="Z186" s="72"/>
      <c r="AA186" s="72"/>
      <c r="AB186" s="72"/>
      <c r="AC186" s="72"/>
      <c r="AD186" s="72">
        <v>1</v>
      </c>
      <c r="AE186" s="72"/>
      <c r="AF186" s="72"/>
      <c r="AG186" s="72"/>
      <c r="AH186" s="72"/>
      <c r="AI186" s="72"/>
      <c r="AJ186" s="72">
        <v>1</v>
      </c>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v>1</v>
      </c>
      <c r="BI186" s="72"/>
      <c r="BJ186" s="72"/>
      <c r="BK186" s="72"/>
      <c r="BL186" s="72"/>
      <c r="BM186" s="72"/>
      <c r="BN186" s="38"/>
    </row>
    <row r="187" spans="1:66" s="953" customFormat="1" hidden="1">
      <c r="A187" s="1487" t="s">
        <v>1958</v>
      </c>
      <c r="B187" s="954"/>
      <c r="C187" s="960">
        <v>32</v>
      </c>
      <c r="D187" s="76"/>
      <c r="E187" s="72"/>
      <c r="F187" s="962"/>
      <c r="G187" s="72">
        <f t="shared" si="40"/>
        <v>32</v>
      </c>
      <c r="H187" s="72"/>
      <c r="I187" s="72"/>
      <c r="J187" s="72"/>
      <c r="K187" s="72"/>
      <c r="L187" s="72"/>
      <c r="M187" s="72"/>
      <c r="N187" s="72"/>
      <c r="O187" s="72"/>
      <c r="P187" s="72"/>
      <c r="Q187" s="72"/>
      <c r="R187" s="67"/>
      <c r="S187" s="952">
        <f t="shared" si="39"/>
        <v>0</v>
      </c>
      <c r="T187" s="952"/>
      <c r="U187" s="72"/>
      <c r="V187" s="72"/>
      <c r="W187" s="72"/>
      <c r="X187" s="72"/>
      <c r="Y187" s="72"/>
      <c r="Z187" s="72"/>
      <c r="AA187" s="72"/>
      <c r="AB187" s="72"/>
      <c r="AC187" s="72"/>
      <c r="AD187" s="72">
        <v>1</v>
      </c>
      <c r="AE187" s="72"/>
      <c r="AF187" s="72"/>
      <c r="AG187" s="72"/>
      <c r="AH187" s="72"/>
      <c r="AI187" s="72"/>
      <c r="AJ187" s="72"/>
      <c r="AK187" s="72"/>
      <c r="AL187" s="72">
        <v>1</v>
      </c>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v>1</v>
      </c>
      <c r="BI187" s="72"/>
      <c r="BJ187" s="72"/>
      <c r="BK187" s="72"/>
      <c r="BL187" s="72"/>
      <c r="BM187" s="72"/>
    </row>
    <row r="188" spans="1:66" s="953" customFormat="1" hidden="1">
      <c r="A188" s="944" t="s">
        <v>5889</v>
      </c>
      <c r="B188" s="954"/>
      <c r="C188" s="960">
        <v>32</v>
      </c>
      <c r="D188" s="76"/>
      <c r="E188" s="72"/>
      <c r="F188" s="962"/>
      <c r="G188" s="72">
        <f t="shared" si="40"/>
        <v>32</v>
      </c>
      <c r="H188" s="72"/>
      <c r="I188" s="72"/>
      <c r="J188" s="72"/>
      <c r="K188" s="72">
        <v>1</v>
      </c>
      <c r="L188" s="72"/>
      <c r="M188" s="72"/>
      <c r="N188" s="72"/>
      <c r="O188" s="72"/>
      <c r="P188" s="72">
        <v>1</v>
      </c>
      <c r="Q188" s="72"/>
      <c r="R188" s="67"/>
      <c r="S188" s="952">
        <f t="shared" si="39"/>
        <v>0</v>
      </c>
      <c r="T188" s="952"/>
      <c r="U188" s="72"/>
      <c r="V188" s="72"/>
      <c r="W188" s="72"/>
      <c r="X188" s="72"/>
      <c r="Y188" s="72"/>
      <c r="Z188" s="72"/>
      <c r="AA188" s="72"/>
      <c r="AB188" s="72"/>
      <c r="AC188" s="72"/>
      <c r="AD188" s="72">
        <v>1</v>
      </c>
      <c r="AE188" s="72"/>
      <c r="AF188" s="72"/>
      <c r="AG188" s="72"/>
      <c r="AH188" s="72"/>
      <c r="AI188" s="72"/>
      <c r="AJ188" s="72">
        <v>1</v>
      </c>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v>1</v>
      </c>
      <c r="BI188" s="72"/>
      <c r="BJ188" s="72"/>
      <c r="BK188" s="72"/>
      <c r="BL188" s="72"/>
      <c r="BM188" s="72"/>
    </row>
    <row r="189" spans="1:66" s="953" customFormat="1" hidden="1">
      <c r="A189" s="1487" t="s">
        <v>1957</v>
      </c>
      <c r="B189" s="954"/>
      <c r="C189" s="960">
        <v>32</v>
      </c>
      <c r="D189" s="76"/>
      <c r="E189" s="72"/>
      <c r="F189" s="962"/>
      <c r="G189" s="72">
        <f t="shared" si="40"/>
        <v>32</v>
      </c>
      <c r="H189" s="72"/>
      <c r="I189" s="72"/>
      <c r="J189" s="72"/>
      <c r="K189" s="72"/>
      <c r="L189" s="72"/>
      <c r="M189" s="72"/>
      <c r="N189" s="72"/>
      <c r="O189" s="72"/>
      <c r="P189" s="72"/>
      <c r="Q189" s="72"/>
      <c r="R189" s="67"/>
      <c r="S189" s="952">
        <f t="shared" si="39"/>
        <v>0</v>
      </c>
      <c r="T189" s="952"/>
      <c r="U189" s="72"/>
      <c r="V189" s="72"/>
      <c r="W189" s="72"/>
      <c r="X189" s="72"/>
      <c r="Y189" s="72"/>
      <c r="Z189" s="72"/>
      <c r="AA189" s="72"/>
      <c r="AB189" s="72"/>
      <c r="AC189" s="72"/>
      <c r="AD189" s="72">
        <v>2</v>
      </c>
      <c r="AE189" s="72"/>
      <c r="AF189" s="72"/>
      <c r="AG189" s="72"/>
      <c r="AH189" s="72">
        <v>1</v>
      </c>
      <c r="AI189" s="72"/>
      <c r="AJ189" s="72"/>
      <c r="AK189" s="72"/>
      <c r="AL189" s="72">
        <v>1</v>
      </c>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v>1</v>
      </c>
      <c r="BI189" s="72"/>
      <c r="BJ189" s="72"/>
      <c r="BK189" s="72"/>
      <c r="BL189" s="72">
        <v>1</v>
      </c>
      <c r="BM189" s="72"/>
    </row>
    <row r="190" spans="1:66" s="953" customFormat="1" hidden="1">
      <c r="A190" s="944" t="s">
        <v>5890</v>
      </c>
      <c r="B190" s="954"/>
      <c r="C190" s="960">
        <v>32</v>
      </c>
      <c r="D190" s="76"/>
      <c r="E190" s="72"/>
      <c r="F190" s="962"/>
      <c r="G190" s="72">
        <f t="shared" si="40"/>
        <v>32</v>
      </c>
      <c r="H190" s="72"/>
      <c r="I190" s="72"/>
      <c r="J190" s="72"/>
      <c r="K190" s="72">
        <v>1</v>
      </c>
      <c r="L190" s="72"/>
      <c r="M190" s="72"/>
      <c r="N190" s="72"/>
      <c r="O190" s="72"/>
      <c r="P190" s="72">
        <v>1</v>
      </c>
      <c r="Q190" s="72"/>
      <c r="R190" s="67"/>
      <c r="S190" s="952">
        <f t="shared" si="39"/>
        <v>0</v>
      </c>
      <c r="T190" s="952"/>
      <c r="U190" s="72"/>
      <c r="V190" s="72"/>
      <c r="W190" s="72"/>
      <c r="X190" s="72"/>
      <c r="Y190" s="72"/>
      <c r="Z190" s="72"/>
      <c r="AA190" s="72"/>
      <c r="AB190" s="72"/>
      <c r="AC190" s="72"/>
      <c r="AD190" s="72">
        <v>1</v>
      </c>
      <c r="AE190" s="72"/>
      <c r="AF190" s="72"/>
      <c r="AG190" s="72"/>
      <c r="AH190" s="72"/>
      <c r="AI190" s="72"/>
      <c r="AJ190" s="72">
        <v>1</v>
      </c>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v>1</v>
      </c>
      <c r="BI190" s="72"/>
      <c r="BJ190" s="72"/>
      <c r="BK190" s="72"/>
      <c r="BL190" s="72"/>
      <c r="BM190" s="72"/>
    </row>
    <row r="191" spans="1:66" s="953" customFormat="1" hidden="1">
      <c r="A191" s="1487" t="s">
        <v>1956</v>
      </c>
      <c r="B191" s="954"/>
      <c r="C191" s="960">
        <v>32</v>
      </c>
      <c r="D191" s="76"/>
      <c r="E191" s="72"/>
      <c r="F191" s="962"/>
      <c r="G191" s="72">
        <f t="shared" si="40"/>
        <v>32</v>
      </c>
      <c r="H191" s="72"/>
      <c r="I191" s="72"/>
      <c r="J191" s="72"/>
      <c r="K191" s="72"/>
      <c r="L191" s="72"/>
      <c r="M191" s="72"/>
      <c r="N191" s="72"/>
      <c r="O191" s="72"/>
      <c r="P191" s="72"/>
      <c r="Q191" s="72"/>
      <c r="R191" s="67"/>
      <c r="S191" s="952">
        <f t="shared" si="39"/>
        <v>0</v>
      </c>
      <c r="T191" s="952"/>
      <c r="U191" s="72"/>
      <c r="V191" s="72"/>
      <c r="W191" s="72"/>
      <c r="X191" s="72"/>
      <c r="Y191" s="72"/>
      <c r="Z191" s="72"/>
      <c r="AA191" s="72"/>
      <c r="AB191" s="72"/>
      <c r="AC191" s="72"/>
      <c r="AD191" s="72">
        <v>2</v>
      </c>
      <c r="AE191" s="72"/>
      <c r="AF191" s="72"/>
      <c r="AG191" s="72"/>
      <c r="AH191" s="72">
        <v>1</v>
      </c>
      <c r="AI191" s="72"/>
      <c r="AJ191" s="72"/>
      <c r="AK191" s="72"/>
      <c r="AL191" s="72">
        <v>1</v>
      </c>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v>1</v>
      </c>
      <c r="BI191" s="72"/>
      <c r="BJ191" s="72"/>
      <c r="BK191" s="72"/>
      <c r="BL191" s="72"/>
      <c r="BM191" s="72"/>
    </row>
    <row r="192" spans="1:66" s="953" customFormat="1" hidden="1">
      <c r="A192" s="944" t="s">
        <v>5809</v>
      </c>
      <c r="B192" s="954"/>
      <c r="C192" s="960">
        <v>32</v>
      </c>
      <c r="D192" s="76"/>
      <c r="E192" s="72"/>
      <c r="F192" s="962"/>
      <c r="G192" s="72">
        <f t="shared" si="40"/>
        <v>32</v>
      </c>
      <c r="H192" s="72"/>
      <c r="I192" s="72"/>
      <c r="J192" s="72"/>
      <c r="K192" s="72">
        <v>1</v>
      </c>
      <c r="L192" s="72"/>
      <c r="M192" s="72"/>
      <c r="N192" s="72"/>
      <c r="O192" s="72"/>
      <c r="P192" s="72">
        <v>1</v>
      </c>
      <c r="Q192" s="72"/>
      <c r="R192" s="67"/>
      <c r="S192" s="952">
        <f t="shared" si="39"/>
        <v>0</v>
      </c>
      <c r="T192" s="952"/>
      <c r="U192" s="72"/>
      <c r="V192" s="72"/>
      <c r="W192" s="72"/>
      <c r="X192" s="72"/>
      <c r="Y192" s="72"/>
      <c r="Z192" s="72"/>
      <c r="AA192" s="72"/>
      <c r="AB192" s="72"/>
      <c r="AC192" s="72"/>
      <c r="AD192" s="72">
        <v>1</v>
      </c>
      <c r="AE192" s="72"/>
      <c r="AF192" s="72"/>
      <c r="AG192" s="72"/>
      <c r="AH192" s="72"/>
      <c r="AI192" s="72"/>
      <c r="AJ192" s="72">
        <v>1</v>
      </c>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v>1</v>
      </c>
      <c r="BI192" s="72"/>
      <c r="BJ192" s="72"/>
      <c r="BK192" s="72"/>
      <c r="BL192" s="72"/>
      <c r="BM192" s="72"/>
    </row>
    <row r="193" spans="1:66" s="953" customFormat="1" hidden="1">
      <c r="A193" s="1487" t="s">
        <v>1955</v>
      </c>
      <c r="B193" s="954"/>
      <c r="C193" s="960">
        <v>32</v>
      </c>
      <c r="D193" s="76"/>
      <c r="E193" s="72"/>
      <c r="F193" s="962"/>
      <c r="G193" s="72">
        <f t="shared" si="40"/>
        <v>32</v>
      </c>
      <c r="H193" s="72"/>
      <c r="I193" s="72"/>
      <c r="J193" s="72"/>
      <c r="K193" s="72"/>
      <c r="L193" s="72"/>
      <c r="M193" s="72"/>
      <c r="N193" s="72"/>
      <c r="O193" s="72"/>
      <c r="P193" s="72"/>
      <c r="Q193" s="72"/>
      <c r="R193" s="67"/>
      <c r="S193" s="952">
        <f t="shared" si="39"/>
        <v>0</v>
      </c>
      <c r="T193" s="952"/>
      <c r="U193" s="72"/>
      <c r="V193" s="72"/>
      <c r="W193" s="72"/>
      <c r="X193" s="72"/>
      <c r="Y193" s="72"/>
      <c r="Z193" s="72"/>
      <c r="AA193" s="72"/>
      <c r="AB193" s="72"/>
      <c r="AC193" s="72"/>
      <c r="AD193" s="72">
        <v>1</v>
      </c>
      <c r="AE193" s="72"/>
      <c r="AF193" s="72"/>
      <c r="AG193" s="72"/>
      <c r="AH193" s="72"/>
      <c r="AI193" s="72"/>
      <c r="AJ193" s="72"/>
      <c r="AK193" s="72"/>
      <c r="AL193" s="72">
        <v>1</v>
      </c>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v>1</v>
      </c>
      <c r="BI193" s="72"/>
      <c r="BJ193" s="72"/>
      <c r="BK193" s="72"/>
      <c r="BL193" s="72">
        <v>1</v>
      </c>
      <c r="BM193" s="72"/>
      <c r="BN193" s="38"/>
    </row>
    <row r="194" spans="1:66" s="953" customFormat="1" hidden="1">
      <c r="A194" s="1487" t="s">
        <v>1954</v>
      </c>
      <c r="B194" s="954"/>
      <c r="C194" s="960">
        <v>30</v>
      </c>
      <c r="D194" s="76"/>
      <c r="E194" s="72"/>
      <c r="F194" s="962"/>
      <c r="G194" s="72">
        <f t="shared" si="40"/>
        <v>30</v>
      </c>
      <c r="H194" s="72"/>
      <c r="I194" s="72"/>
      <c r="J194" s="72"/>
      <c r="K194" s="72"/>
      <c r="L194" s="72"/>
      <c r="M194" s="72"/>
      <c r="N194" s="72"/>
      <c r="O194" s="72"/>
      <c r="P194" s="72"/>
      <c r="Q194" s="72"/>
      <c r="R194" s="67"/>
      <c r="S194" s="952">
        <f t="shared" si="39"/>
        <v>0</v>
      </c>
      <c r="T194" s="952">
        <f>IF(SUM(K194:L194)=1,1,0)</f>
        <v>0</v>
      </c>
      <c r="U194" s="72"/>
      <c r="V194" s="72"/>
      <c r="W194" s="72"/>
      <c r="X194" s="72"/>
      <c r="Y194" s="72"/>
      <c r="Z194" s="72"/>
      <c r="AA194" s="72"/>
      <c r="AB194" s="72"/>
      <c r="AC194" s="72"/>
      <c r="AD194" s="72"/>
      <c r="AE194" s="72"/>
      <c r="AF194" s="72"/>
      <c r="AG194" s="72">
        <v>1</v>
      </c>
      <c r="AH194" s="72"/>
      <c r="AI194" s="72"/>
      <c r="AJ194" s="72"/>
      <c r="AK194" s="72"/>
      <c r="AL194" s="72">
        <v>1</v>
      </c>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v>1</v>
      </c>
      <c r="BI194" s="72"/>
      <c r="BJ194" s="72"/>
      <c r="BK194" s="72"/>
      <c r="BL194" s="72">
        <v>1</v>
      </c>
      <c r="BM194" s="72"/>
      <c r="BN194" s="38"/>
    </row>
    <row r="195" spans="1:66" s="953" customFormat="1" hidden="1">
      <c r="A195" s="944"/>
      <c r="B195" s="952"/>
      <c r="C195" s="961"/>
      <c r="D195" s="1485"/>
      <c r="E195" s="67"/>
      <c r="F195" s="72"/>
      <c r="G195" s="67"/>
      <c r="H195" s="67"/>
      <c r="I195" s="67"/>
      <c r="J195" s="67"/>
      <c r="K195" s="67"/>
      <c r="L195" s="67"/>
      <c r="M195" s="67"/>
      <c r="N195" s="67"/>
      <c r="O195" s="67"/>
      <c r="P195" s="67"/>
      <c r="Q195" s="67"/>
      <c r="R195" s="67"/>
      <c r="S195" s="952"/>
      <c r="T195" s="952"/>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72"/>
      <c r="BH195" s="67"/>
      <c r="BI195" s="67"/>
      <c r="BJ195" s="67"/>
      <c r="BK195" s="72"/>
      <c r="BL195" s="67"/>
      <c r="BM195" s="67"/>
      <c r="BN195" s="38"/>
    </row>
    <row r="196" spans="1:66" s="953" customFormat="1" hidden="1">
      <c r="A196" s="1487" t="s">
        <v>1960</v>
      </c>
      <c r="B196" s="954"/>
      <c r="C196" s="960"/>
      <c r="D196" s="72"/>
      <c r="E196" s="72"/>
      <c r="F196" s="962"/>
      <c r="G196" s="72">
        <v>10</v>
      </c>
      <c r="H196" s="72"/>
      <c r="I196" s="72"/>
      <c r="J196" s="72"/>
      <c r="K196" s="72"/>
      <c r="L196" s="72"/>
      <c r="M196" s="72"/>
      <c r="N196" s="72"/>
      <c r="O196" s="72"/>
      <c r="P196" s="72"/>
      <c r="Q196" s="72"/>
      <c r="R196" s="67"/>
      <c r="S196" s="952"/>
      <c r="T196" s="952"/>
      <c r="U196" s="72"/>
      <c r="V196" s="72"/>
      <c r="W196" s="72"/>
      <c r="X196" s="72"/>
      <c r="Y196" s="72"/>
      <c r="Z196" s="72"/>
      <c r="AA196" s="72"/>
      <c r="AB196" s="72"/>
      <c r="AC196" s="72"/>
      <c r="AD196" s="72"/>
      <c r="AE196" s="72"/>
      <c r="AF196" s="72"/>
      <c r="AG196" s="72">
        <v>1</v>
      </c>
      <c r="AH196" s="72"/>
      <c r="AI196" s="72"/>
      <c r="AJ196" s="72"/>
      <c r="AK196" s="72"/>
      <c r="AL196" s="72">
        <v>1</v>
      </c>
      <c r="AM196" s="72"/>
      <c r="AN196" s="72"/>
      <c r="AO196" s="72"/>
      <c r="AP196" s="72"/>
      <c r="AQ196" s="72"/>
      <c r="AR196" s="72"/>
      <c r="AS196" s="72"/>
      <c r="AT196" s="72"/>
      <c r="AU196" s="72"/>
      <c r="AV196" s="72"/>
      <c r="AW196" s="72"/>
      <c r="AX196" s="72"/>
      <c r="AY196" s="72"/>
      <c r="AZ196" s="72"/>
      <c r="BA196" s="72"/>
      <c r="BB196" s="72">
        <v>3</v>
      </c>
      <c r="BC196" s="72"/>
      <c r="BD196" s="72"/>
      <c r="BE196" s="72"/>
      <c r="BF196" s="72"/>
      <c r="BG196" s="72"/>
      <c r="BH196" s="72"/>
      <c r="BI196" s="72"/>
      <c r="BJ196" s="72"/>
      <c r="BK196" s="72"/>
      <c r="BL196" s="72"/>
      <c r="BM196" s="72" t="s">
        <v>5921</v>
      </c>
      <c r="BN196" s="38"/>
    </row>
    <row r="197" spans="1:66" s="953" customFormat="1" hidden="1">
      <c r="A197" s="944" t="s">
        <v>5828</v>
      </c>
      <c r="B197" s="954" t="s">
        <v>3123</v>
      </c>
      <c r="C197" s="960">
        <v>34</v>
      </c>
      <c r="D197" s="76"/>
      <c r="E197" s="72"/>
      <c r="F197" s="72"/>
      <c r="G197" s="72">
        <f>C197</f>
        <v>34</v>
      </c>
      <c r="H197" s="72"/>
      <c r="I197" s="72"/>
      <c r="J197" s="72"/>
      <c r="K197" s="72">
        <v>2</v>
      </c>
      <c r="L197" s="72"/>
      <c r="M197" s="72"/>
      <c r="N197" s="72"/>
      <c r="O197" s="72"/>
      <c r="P197" s="72"/>
      <c r="Q197" s="72"/>
      <c r="R197" s="67"/>
      <c r="S197" s="952">
        <v>1</v>
      </c>
      <c r="T197" s="952"/>
      <c r="U197" s="72"/>
      <c r="V197" s="72"/>
      <c r="W197" s="72"/>
      <c r="X197" s="72"/>
      <c r="Y197" s="72"/>
      <c r="Z197" s="72"/>
      <c r="AA197" s="72"/>
      <c r="AB197" s="72"/>
      <c r="AC197" s="72"/>
      <c r="AD197" s="72"/>
      <c r="AE197" s="72"/>
      <c r="AF197" s="72"/>
      <c r="AG197" s="72">
        <v>2</v>
      </c>
      <c r="AH197" s="72"/>
      <c r="AI197" s="72"/>
      <c r="AJ197" s="72">
        <v>1</v>
      </c>
      <c r="AK197" s="72"/>
      <c r="AL197" s="72"/>
      <c r="AM197" s="72">
        <v>1</v>
      </c>
      <c r="AN197" s="72"/>
      <c r="AO197" s="72"/>
      <c r="AP197" s="72"/>
      <c r="AQ197" s="72"/>
      <c r="AR197" s="72">
        <v>2</v>
      </c>
      <c r="AS197" s="72">
        <v>1</v>
      </c>
      <c r="AT197" s="72"/>
      <c r="AU197" s="72"/>
      <c r="AV197" s="72"/>
      <c r="AW197" s="72"/>
      <c r="AX197" s="72"/>
      <c r="AY197" s="72"/>
      <c r="AZ197" s="72"/>
      <c r="BA197" s="72"/>
      <c r="BB197" s="72"/>
      <c r="BC197" s="72"/>
      <c r="BD197" s="72"/>
      <c r="BE197" s="72"/>
      <c r="BF197" s="72"/>
      <c r="BG197" s="72"/>
      <c r="BH197" s="72">
        <v>1</v>
      </c>
      <c r="BI197" s="72"/>
      <c r="BJ197" s="72"/>
      <c r="BK197" s="72">
        <f>L197</f>
        <v>0</v>
      </c>
      <c r="BL197" s="72"/>
      <c r="BM197" s="72"/>
    </row>
    <row r="198" spans="1:66" s="953" customFormat="1" hidden="1">
      <c r="A198" s="944" t="s">
        <v>5829</v>
      </c>
      <c r="B198" s="954"/>
      <c r="C198" s="960">
        <v>35</v>
      </c>
      <c r="D198" s="76"/>
      <c r="E198" s="72"/>
      <c r="F198" s="72"/>
      <c r="G198" s="72">
        <f t="shared" ref="G198:G209" si="41">C198</f>
        <v>35</v>
      </c>
      <c r="H198" s="72"/>
      <c r="I198" s="72"/>
      <c r="J198" s="72"/>
      <c r="K198" s="72">
        <v>1</v>
      </c>
      <c r="L198" s="72"/>
      <c r="M198" s="72"/>
      <c r="N198" s="72"/>
      <c r="O198" s="72"/>
      <c r="P198" s="72">
        <v>1</v>
      </c>
      <c r="Q198" s="72"/>
      <c r="R198" s="67"/>
      <c r="S198" s="952"/>
      <c r="T198" s="952"/>
      <c r="U198" s="72"/>
      <c r="V198" s="72"/>
      <c r="W198" s="72"/>
      <c r="X198" s="72"/>
      <c r="Y198" s="72"/>
      <c r="Z198" s="72"/>
      <c r="AA198" s="72"/>
      <c r="AB198" s="72"/>
      <c r="AC198" s="72"/>
      <c r="AD198" s="72">
        <v>1</v>
      </c>
      <c r="AE198" s="72"/>
      <c r="AF198" s="72"/>
      <c r="AG198" s="72"/>
      <c r="AH198" s="72"/>
      <c r="AI198" s="72"/>
      <c r="AJ198" s="72">
        <v>1</v>
      </c>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v>1</v>
      </c>
      <c r="BI198" s="72"/>
      <c r="BJ198" s="72"/>
      <c r="BK198" s="72">
        <f t="shared" ref="BK198:BK209" si="42">L198</f>
        <v>0</v>
      </c>
      <c r="BL198" s="72"/>
      <c r="BM198" s="72"/>
    </row>
    <row r="199" spans="1:66" s="953" customFormat="1" hidden="1">
      <c r="A199" s="944" t="s">
        <v>5836</v>
      </c>
      <c r="B199" s="954"/>
      <c r="C199" s="960">
        <v>35</v>
      </c>
      <c r="D199" s="76"/>
      <c r="E199" s="72"/>
      <c r="F199" s="72"/>
      <c r="G199" s="72">
        <f t="shared" si="41"/>
        <v>35</v>
      </c>
      <c r="H199" s="72"/>
      <c r="I199" s="72"/>
      <c r="J199" s="72"/>
      <c r="K199" s="72">
        <v>1</v>
      </c>
      <c r="L199" s="72"/>
      <c r="M199" s="72"/>
      <c r="N199" s="72"/>
      <c r="O199" s="72"/>
      <c r="P199" s="72">
        <v>1</v>
      </c>
      <c r="Q199" s="72"/>
      <c r="R199" s="67"/>
      <c r="S199" s="952"/>
      <c r="T199" s="952"/>
      <c r="U199" s="72"/>
      <c r="V199" s="72"/>
      <c r="W199" s="72"/>
      <c r="X199" s="72"/>
      <c r="Y199" s="72"/>
      <c r="Z199" s="72"/>
      <c r="AA199" s="72"/>
      <c r="AB199" s="72"/>
      <c r="AC199" s="72"/>
      <c r="AD199" s="72">
        <v>1</v>
      </c>
      <c r="AE199" s="72"/>
      <c r="AF199" s="72"/>
      <c r="AG199" s="72"/>
      <c r="AH199" s="72"/>
      <c r="AI199" s="72"/>
      <c r="AJ199" s="72">
        <v>1</v>
      </c>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v>1</v>
      </c>
      <c r="BI199" s="72"/>
      <c r="BJ199" s="72"/>
      <c r="BK199" s="72">
        <f>L199</f>
        <v>0</v>
      </c>
      <c r="BL199" s="72"/>
      <c r="BM199" s="72"/>
    </row>
    <row r="200" spans="1:66" s="953" customFormat="1" hidden="1">
      <c r="A200" s="944" t="s">
        <v>5837</v>
      </c>
      <c r="B200" s="954"/>
      <c r="C200" s="960">
        <v>35</v>
      </c>
      <c r="D200" s="76"/>
      <c r="E200" s="72"/>
      <c r="F200" s="72"/>
      <c r="G200" s="72">
        <f t="shared" si="41"/>
        <v>35</v>
      </c>
      <c r="H200" s="72"/>
      <c r="I200" s="72"/>
      <c r="J200" s="72"/>
      <c r="K200" s="72">
        <v>1</v>
      </c>
      <c r="L200" s="72"/>
      <c r="M200" s="72"/>
      <c r="N200" s="72"/>
      <c r="O200" s="72"/>
      <c r="P200" s="72">
        <v>1</v>
      </c>
      <c r="Q200" s="72"/>
      <c r="R200" s="67"/>
      <c r="S200" s="952"/>
      <c r="T200" s="952"/>
      <c r="U200" s="72"/>
      <c r="V200" s="72"/>
      <c r="W200" s="72"/>
      <c r="X200" s="72"/>
      <c r="Y200" s="72"/>
      <c r="Z200" s="72"/>
      <c r="AA200" s="72"/>
      <c r="AB200" s="72"/>
      <c r="AC200" s="72"/>
      <c r="AD200" s="72">
        <v>1</v>
      </c>
      <c r="AE200" s="72"/>
      <c r="AF200" s="72"/>
      <c r="AG200" s="72"/>
      <c r="AH200" s="72"/>
      <c r="AI200" s="72"/>
      <c r="AJ200" s="72">
        <v>1</v>
      </c>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v>1</v>
      </c>
      <c r="BI200" s="72"/>
      <c r="BJ200" s="72"/>
      <c r="BK200" s="72">
        <f>L200</f>
        <v>0</v>
      </c>
      <c r="BL200" s="72"/>
      <c r="BM200" s="72"/>
    </row>
    <row r="201" spans="1:66" s="953" customFormat="1" hidden="1">
      <c r="A201" s="944" t="s">
        <v>5838</v>
      </c>
      <c r="B201" s="954"/>
      <c r="C201" s="960">
        <v>35</v>
      </c>
      <c r="D201" s="76"/>
      <c r="E201" s="72"/>
      <c r="F201" s="72"/>
      <c r="G201" s="72">
        <f t="shared" si="41"/>
        <v>35</v>
      </c>
      <c r="H201" s="72"/>
      <c r="I201" s="72"/>
      <c r="J201" s="72"/>
      <c r="K201" s="72">
        <v>1</v>
      </c>
      <c r="L201" s="72"/>
      <c r="M201" s="72"/>
      <c r="N201" s="72"/>
      <c r="O201" s="72"/>
      <c r="P201" s="72">
        <v>1</v>
      </c>
      <c r="Q201" s="72"/>
      <c r="R201" s="67"/>
      <c r="S201" s="952"/>
      <c r="T201" s="952"/>
      <c r="U201" s="72"/>
      <c r="V201" s="72"/>
      <c r="W201" s="72"/>
      <c r="X201" s="72"/>
      <c r="Y201" s="72"/>
      <c r="Z201" s="72"/>
      <c r="AA201" s="72"/>
      <c r="AB201" s="72"/>
      <c r="AC201" s="72"/>
      <c r="AD201" s="72">
        <v>1</v>
      </c>
      <c r="AE201" s="72"/>
      <c r="AF201" s="72"/>
      <c r="AG201" s="72"/>
      <c r="AH201" s="72"/>
      <c r="AI201" s="72"/>
      <c r="AJ201" s="72">
        <v>1</v>
      </c>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v>1</v>
      </c>
      <c r="BI201" s="72"/>
      <c r="BJ201" s="72"/>
      <c r="BK201" s="72">
        <f>L201</f>
        <v>0</v>
      </c>
      <c r="BL201" s="72"/>
      <c r="BM201" s="72"/>
    </row>
    <row r="202" spans="1:66" s="953" customFormat="1" hidden="1">
      <c r="A202" s="944" t="s">
        <v>5839</v>
      </c>
      <c r="B202" s="954"/>
      <c r="C202" s="960">
        <v>35</v>
      </c>
      <c r="D202" s="76"/>
      <c r="E202" s="72"/>
      <c r="F202" s="72"/>
      <c r="G202" s="72">
        <f t="shared" si="41"/>
        <v>35</v>
      </c>
      <c r="H202" s="72"/>
      <c r="I202" s="72"/>
      <c r="J202" s="72"/>
      <c r="K202" s="72"/>
      <c r="L202" s="72">
        <v>1</v>
      </c>
      <c r="M202" s="72"/>
      <c r="N202" s="72"/>
      <c r="O202" s="72"/>
      <c r="P202" s="72">
        <v>1</v>
      </c>
      <c r="Q202" s="72"/>
      <c r="R202" s="67"/>
      <c r="S202" s="952"/>
      <c r="T202" s="952"/>
      <c r="U202" s="72"/>
      <c r="V202" s="72"/>
      <c r="W202" s="72"/>
      <c r="X202" s="72"/>
      <c r="Y202" s="72"/>
      <c r="Z202" s="72"/>
      <c r="AA202" s="72"/>
      <c r="AB202" s="72"/>
      <c r="AC202" s="72"/>
      <c r="AD202" s="72">
        <v>1</v>
      </c>
      <c r="AE202" s="72"/>
      <c r="AF202" s="72"/>
      <c r="AG202" s="72"/>
      <c r="AH202" s="72"/>
      <c r="AI202" s="72"/>
      <c r="AJ202" s="72">
        <v>1</v>
      </c>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v>1</v>
      </c>
      <c r="BI202" s="72"/>
      <c r="BJ202" s="72"/>
      <c r="BK202" s="72">
        <f>L202</f>
        <v>1</v>
      </c>
      <c r="BL202" s="72"/>
      <c r="BM202" s="72"/>
    </row>
    <row r="203" spans="1:66" s="953" customFormat="1" hidden="1">
      <c r="A203" s="944" t="s">
        <v>5840</v>
      </c>
      <c r="B203" s="954"/>
      <c r="C203" s="960">
        <v>35</v>
      </c>
      <c r="D203" s="76"/>
      <c r="E203" s="72"/>
      <c r="F203" s="72"/>
      <c r="G203" s="72">
        <f t="shared" si="41"/>
        <v>35</v>
      </c>
      <c r="H203" s="72"/>
      <c r="I203" s="72"/>
      <c r="J203" s="72"/>
      <c r="K203" s="72">
        <v>1</v>
      </c>
      <c r="L203" s="72"/>
      <c r="M203" s="72"/>
      <c r="N203" s="72"/>
      <c r="O203" s="72"/>
      <c r="P203" s="72">
        <v>1</v>
      </c>
      <c r="Q203" s="72"/>
      <c r="R203" s="67"/>
      <c r="S203" s="952"/>
      <c r="T203" s="952"/>
      <c r="U203" s="72"/>
      <c r="V203" s="72"/>
      <c r="W203" s="72"/>
      <c r="X203" s="72"/>
      <c r="Y203" s="72"/>
      <c r="Z203" s="72"/>
      <c r="AA203" s="72"/>
      <c r="AB203" s="72"/>
      <c r="AC203" s="72"/>
      <c r="AD203" s="72">
        <v>1</v>
      </c>
      <c r="AE203" s="72"/>
      <c r="AF203" s="72"/>
      <c r="AG203" s="72"/>
      <c r="AH203" s="72"/>
      <c r="AI203" s="72"/>
      <c r="AJ203" s="72">
        <v>1</v>
      </c>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v>1</v>
      </c>
      <c r="BI203" s="72"/>
      <c r="BJ203" s="72"/>
      <c r="BK203" s="72">
        <f>L203</f>
        <v>0</v>
      </c>
      <c r="BL203" s="72"/>
      <c r="BM203" s="72"/>
    </row>
    <row r="204" spans="1:66" s="953" customFormat="1" hidden="1">
      <c r="A204" s="944" t="s">
        <v>5841</v>
      </c>
      <c r="B204" s="954"/>
      <c r="C204" s="960">
        <v>35</v>
      </c>
      <c r="D204" s="76"/>
      <c r="E204" s="72"/>
      <c r="F204" s="72"/>
      <c r="G204" s="72">
        <f t="shared" si="41"/>
        <v>35</v>
      </c>
      <c r="H204" s="72"/>
      <c r="I204" s="72"/>
      <c r="J204" s="72"/>
      <c r="K204" s="72">
        <v>1</v>
      </c>
      <c r="L204" s="72"/>
      <c r="M204" s="72"/>
      <c r="N204" s="72"/>
      <c r="O204" s="72"/>
      <c r="P204" s="72">
        <v>1</v>
      </c>
      <c r="Q204" s="72"/>
      <c r="R204" s="67"/>
      <c r="S204" s="952"/>
      <c r="T204" s="952"/>
      <c r="U204" s="72"/>
      <c r="V204" s="72"/>
      <c r="W204" s="72"/>
      <c r="X204" s="72"/>
      <c r="Y204" s="72"/>
      <c r="Z204" s="72"/>
      <c r="AA204" s="72"/>
      <c r="AB204" s="72"/>
      <c r="AC204" s="72"/>
      <c r="AD204" s="72">
        <v>1</v>
      </c>
      <c r="AE204" s="72"/>
      <c r="AF204" s="72"/>
      <c r="AG204" s="72"/>
      <c r="AH204" s="72"/>
      <c r="AI204" s="72"/>
      <c r="AJ204" s="72">
        <v>1</v>
      </c>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v>1</v>
      </c>
      <c r="BI204" s="72"/>
      <c r="BJ204" s="72"/>
      <c r="BK204" s="72">
        <f t="shared" si="42"/>
        <v>0</v>
      </c>
      <c r="BL204" s="72"/>
      <c r="BM204" s="72"/>
    </row>
    <row r="205" spans="1:66" s="953" customFormat="1" hidden="1">
      <c r="A205" s="944" t="s">
        <v>5842</v>
      </c>
      <c r="B205" s="954"/>
      <c r="C205" s="960">
        <v>35</v>
      </c>
      <c r="D205" s="76"/>
      <c r="E205" s="72"/>
      <c r="F205" s="72"/>
      <c r="G205" s="72">
        <f t="shared" si="41"/>
        <v>35</v>
      </c>
      <c r="H205" s="72"/>
      <c r="I205" s="72"/>
      <c r="J205" s="72"/>
      <c r="K205" s="72">
        <v>1</v>
      </c>
      <c r="L205" s="72"/>
      <c r="M205" s="72"/>
      <c r="N205" s="72"/>
      <c r="O205" s="72"/>
      <c r="P205" s="72">
        <v>1</v>
      </c>
      <c r="Q205" s="72"/>
      <c r="R205" s="67"/>
      <c r="S205" s="952"/>
      <c r="T205" s="952"/>
      <c r="U205" s="72"/>
      <c r="V205" s="72"/>
      <c r="W205" s="72"/>
      <c r="X205" s="72"/>
      <c r="Y205" s="72"/>
      <c r="Z205" s="72"/>
      <c r="AA205" s="72"/>
      <c r="AB205" s="72"/>
      <c r="AC205" s="72"/>
      <c r="AD205" s="72">
        <v>1</v>
      </c>
      <c r="AE205" s="72"/>
      <c r="AF205" s="72"/>
      <c r="AG205" s="72"/>
      <c r="AH205" s="72"/>
      <c r="AI205" s="72"/>
      <c r="AJ205" s="72">
        <v>1</v>
      </c>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v>1</v>
      </c>
      <c r="BI205" s="72"/>
      <c r="BJ205" s="72"/>
      <c r="BK205" s="72">
        <f t="shared" si="42"/>
        <v>0</v>
      </c>
      <c r="BL205" s="72"/>
      <c r="BM205" s="72"/>
    </row>
    <row r="206" spans="1:66" s="953" customFormat="1" hidden="1">
      <c r="A206" s="944" t="s">
        <v>5843</v>
      </c>
      <c r="B206" s="954"/>
      <c r="C206" s="960">
        <v>35</v>
      </c>
      <c r="D206" s="76"/>
      <c r="E206" s="72"/>
      <c r="F206" s="72"/>
      <c r="G206" s="72">
        <f t="shared" si="41"/>
        <v>35</v>
      </c>
      <c r="H206" s="72"/>
      <c r="I206" s="72"/>
      <c r="J206" s="72"/>
      <c r="K206" s="72">
        <v>1</v>
      </c>
      <c r="L206" s="72"/>
      <c r="M206" s="72"/>
      <c r="N206" s="72"/>
      <c r="O206" s="72"/>
      <c r="P206" s="72">
        <v>1</v>
      </c>
      <c r="Q206" s="72"/>
      <c r="R206" s="67"/>
      <c r="S206" s="952"/>
      <c r="T206" s="952"/>
      <c r="U206" s="72"/>
      <c r="V206" s="72"/>
      <c r="W206" s="72"/>
      <c r="X206" s="72"/>
      <c r="Y206" s="72"/>
      <c r="Z206" s="72"/>
      <c r="AA206" s="72"/>
      <c r="AB206" s="72"/>
      <c r="AC206" s="72"/>
      <c r="AD206" s="72">
        <v>1</v>
      </c>
      <c r="AE206" s="72"/>
      <c r="AF206" s="72"/>
      <c r="AG206" s="72"/>
      <c r="AH206" s="72"/>
      <c r="AI206" s="72"/>
      <c r="AJ206" s="72">
        <v>1</v>
      </c>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v>1</v>
      </c>
      <c r="BI206" s="72"/>
      <c r="BJ206" s="72"/>
      <c r="BK206" s="72">
        <f t="shared" si="42"/>
        <v>0</v>
      </c>
      <c r="BL206" s="72"/>
      <c r="BM206" s="72"/>
    </row>
    <row r="207" spans="1:66" s="953" customFormat="1" hidden="1">
      <c r="A207" s="944" t="s">
        <v>720</v>
      </c>
      <c r="B207" s="954"/>
      <c r="C207" s="960">
        <v>35</v>
      </c>
      <c r="D207" s="76"/>
      <c r="E207" s="72"/>
      <c r="F207" s="72"/>
      <c r="G207" s="72">
        <f t="shared" si="41"/>
        <v>35</v>
      </c>
      <c r="H207" s="72"/>
      <c r="I207" s="72"/>
      <c r="J207" s="72"/>
      <c r="K207" s="72">
        <v>1</v>
      </c>
      <c r="L207" s="72"/>
      <c r="M207" s="72"/>
      <c r="N207" s="72"/>
      <c r="O207" s="72"/>
      <c r="P207" s="72">
        <v>1</v>
      </c>
      <c r="Q207" s="72"/>
      <c r="R207" s="67"/>
      <c r="S207" s="952"/>
      <c r="T207" s="952"/>
      <c r="U207" s="72"/>
      <c r="V207" s="72"/>
      <c r="W207" s="72"/>
      <c r="X207" s="72"/>
      <c r="Y207" s="72"/>
      <c r="Z207" s="72"/>
      <c r="AA207" s="72"/>
      <c r="AB207" s="72"/>
      <c r="AC207" s="72"/>
      <c r="AD207" s="72">
        <v>1</v>
      </c>
      <c r="AE207" s="72"/>
      <c r="AF207" s="72"/>
      <c r="AG207" s="72"/>
      <c r="AH207" s="72"/>
      <c r="AI207" s="72"/>
      <c r="AJ207" s="72">
        <v>1</v>
      </c>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v>1</v>
      </c>
      <c r="BI207" s="72"/>
      <c r="BJ207" s="72"/>
      <c r="BK207" s="72">
        <f>L207</f>
        <v>0</v>
      </c>
      <c r="BL207" s="72"/>
      <c r="BM207" s="72"/>
    </row>
    <row r="208" spans="1:66" s="953" customFormat="1" hidden="1">
      <c r="A208" s="944" t="s">
        <v>721</v>
      </c>
      <c r="B208" s="954"/>
      <c r="C208" s="960">
        <v>35</v>
      </c>
      <c r="D208" s="76"/>
      <c r="E208" s="72"/>
      <c r="F208" s="72"/>
      <c r="G208" s="72">
        <f t="shared" si="41"/>
        <v>35</v>
      </c>
      <c r="H208" s="72"/>
      <c r="I208" s="72"/>
      <c r="J208" s="72"/>
      <c r="K208" s="72"/>
      <c r="L208" s="72">
        <v>1</v>
      </c>
      <c r="M208" s="72"/>
      <c r="N208" s="72"/>
      <c r="O208" s="72"/>
      <c r="P208" s="72">
        <v>1</v>
      </c>
      <c r="Q208" s="72"/>
      <c r="R208" s="67"/>
      <c r="S208" s="952"/>
      <c r="T208" s="952"/>
      <c r="U208" s="72"/>
      <c r="V208" s="72"/>
      <c r="W208" s="72"/>
      <c r="X208" s="72"/>
      <c r="Y208" s="72"/>
      <c r="Z208" s="72"/>
      <c r="AA208" s="72"/>
      <c r="AB208" s="72"/>
      <c r="AC208" s="72"/>
      <c r="AD208" s="72">
        <v>1</v>
      </c>
      <c r="AE208" s="72"/>
      <c r="AF208" s="72"/>
      <c r="AG208" s="72"/>
      <c r="AH208" s="72"/>
      <c r="AI208" s="72"/>
      <c r="AJ208" s="72">
        <v>1</v>
      </c>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v>1</v>
      </c>
      <c r="BI208" s="72"/>
      <c r="BJ208" s="72"/>
      <c r="BK208" s="72">
        <f t="shared" si="42"/>
        <v>1</v>
      </c>
      <c r="BL208" s="72"/>
      <c r="BM208" s="72"/>
    </row>
    <row r="209" spans="1:66" s="953" customFormat="1" hidden="1">
      <c r="A209" s="944" t="s">
        <v>2730</v>
      </c>
      <c r="B209" s="954" t="s">
        <v>3124</v>
      </c>
      <c r="C209" s="960">
        <v>35</v>
      </c>
      <c r="D209" s="76"/>
      <c r="E209" s="72"/>
      <c r="F209" s="72"/>
      <c r="G209" s="72">
        <f t="shared" si="41"/>
        <v>35</v>
      </c>
      <c r="H209" s="72"/>
      <c r="I209" s="72"/>
      <c r="J209" s="72"/>
      <c r="K209" s="72"/>
      <c r="L209" s="72">
        <v>1</v>
      </c>
      <c r="M209" s="72"/>
      <c r="N209" s="72"/>
      <c r="O209" s="72"/>
      <c r="P209" s="72">
        <v>1</v>
      </c>
      <c r="Q209" s="72"/>
      <c r="R209" s="67"/>
      <c r="S209" s="952"/>
      <c r="T209" s="952"/>
      <c r="U209" s="72"/>
      <c r="V209" s="72"/>
      <c r="W209" s="72">
        <v>1</v>
      </c>
      <c r="X209" s="72"/>
      <c r="Y209" s="72"/>
      <c r="Z209" s="72"/>
      <c r="AA209" s="72"/>
      <c r="AB209" s="72"/>
      <c r="AC209" s="72"/>
      <c r="AD209" s="72"/>
      <c r="AE209" s="72"/>
      <c r="AF209" s="72"/>
      <c r="AG209" s="72">
        <v>1</v>
      </c>
      <c r="AH209" s="72"/>
      <c r="AI209" s="72">
        <v>3</v>
      </c>
      <c r="AJ209" s="72">
        <v>1</v>
      </c>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v>1</v>
      </c>
      <c r="BI209" s="72"/>
      <c r="BJ209" s="72"/>
      <c r="BK209" s="72">
        <f t="shared" si="42"/>
        <v>1</v>
      </c>
      <c r="BL209" s="72"/>
      <c r="BM209" s="72"/>
    </row>
    <row r="210" spans="1:66" s="588" customFormat="1" ht="20.100000000000001" hidden="1" customHeight="1">
      <c r="A210" s="1323" t="s">
        <v>5716</v>
      </c>
      <c r="B210" s="1330"/>
      <c r="C210" s="1313"/>
      <c r="D210" s="1313"/>
      <c r="E210" s="1313"/>
      <c r="F210" s="1313"/>
      <c r="G210" s="1313"/>
      <c r="H210" s="1313"/>
      <c r="I210" s="1313"/>
      <c r="J210" s="1313"/>
      <c r="K210" s="1313"/>
      <c r="L210" s="1313"/>
      <c r="M210" s="1313"/>
      <c r="N210" s="1313"/>
      <c r="O210" s="1313"/>
      <c r="P210" s="1313"/>
      <c r="Q210" s="1313"/>
      <c r="R210" s="1313"/>
      <c r="S210" s="1313"/>
      <c r="T210" s="1313"/>
      <c r="U210" s="1313"/>
      <c r="V210" s="1313"/>
      <c r="W210" s="1313"/>
      <c r="X210" s="1313"/>
      <c r="Y210" s="1313"/>
      <c r="Z210" s="1313"/>
      <c r="AA210" s="1313"/>
      <c r="AB210" s="1313"/>
      <c r="AC210" s="1313"/>
      <c r="AD210" s="1313"/>
      <c r="AE210" s="1313"/>
      <c r="AF210" s="1313"/>
      <c r="AG210" s="1313"/>
      <c r="AH210" s="1313"/>
      <c r="AI210" s="1313"/>
      <c r="AJ210" s="1313"/>
      <c r="AK210" s="1313"/>
      <c r="AL210" s="1313"/>
      <c r="AM210" s="1313"/>
      <c r="AN210" s="1313"/>
      <c r="AO210" s="1313"/>
      <c r="AP210" s="1313"/>
      <c r="AQ210" s="1313"/>
      <c r="AR210" s="1313"/>
      <c r="AS210" s="1313"/>
      <c r="AT210" s="1313"/>
      <c r="AU210" s="1313"/>
      <c r="AV210" s="1313"/>
      <c r="AW210" s="1313"/>
      <c r="AX210" s="1313"/>
      <c r="AY210" s="1313"/>
      <c r="AZ210" s="1313"/>
      <c r="BA210" s="1313"/>
      <c r="BB210" s="1313"/>
      <c r="BC210" s="1313"/>
      <c r="BD210" s="1313"/>
      <c r="BE210" s="1313"/>
      <c r="BF210" s="1313"/>
      <c r="BG210" s="1313"/>
      <c r="BH210" s="1313"/>
      <c r="BI210" s="1313"/>
      <c r="BJ210" s="1313"/>
      <c r="BK210" s="1313"/>
      <c r="BL210" s="1313"/>
      <c r="BM210" s="1313"/>
    </row>
    <row r="211" spans="1:66">
      <c r="A211" s="959" t="s">
        <v>4439</v>
      </c>
      <c r="B211" s="952"/>
      <c r="C211" s="961"/>
      <c r="D211" s="962"/>
      <c r="E211" s="962"/>
      <c r="F211" s="962"/>
      <c r="G211" s="962"/>
      <c r="H211" s="952"/>
      <c r="I211" s="952"/>
      <c r="J211" s="952"/>
      <c r="K211" s="952"/>
      <c r="L211" s="952"/>
      <c r="M211" s="952"/>
      <c r="N211" s="952"/>
      <c r="O211" s="952"/>
      <c r="P211" s="952"/>
      <c r="Q211" s="952"/>
      <c r="R211" s="952"/>
      <c r="S211" s="952"/>
      <c r="T211" s="952"/>
      <c r="U211" s="952"/>
      <c r="V211" s="952"/>
      <c r="W211" s="952"/>
      <c r="X211" s="952"/>
      <c r="Y211" s="952"/>
      <c r="Z211" s="952"/>
      <c r="AA211" s="952"/>
      <c r="AB211" s="952"/>
      <c r="AC211" s="952"/>
      <c r="AD211" s="952"/>
      <c r="AE211" s="952"/>
      <c r="AF211" s="952"/>
      <c r="AG211" s="952"/>
      <c r="AH211" s="952"/>
      <c r="AI211" s="952"/>
      <c r="AJ211" s="952"/>
      <c r="AK211" s="952"/>
      <c r="AL211" s="952"/>
      <c r="AM211" s="952"/>
      <c r="AN211" s="952"/>
      <c r="AO211" s="952"/>
      <c r="AP211" s="952"/>
      <c r="AQ211" s="952"/>
      <c r="AR211" s="952"/>
      <c r="AS211" s="952"/>
      <c r="AT211" s="952"/>
      <c r="AU211" s="952"/>
      <c r="AV211" s="952"/>
      <c r="AW211" s="952"/>
      <c r="AX211" s="952"/>
      <c r="AY211" s="952"/>
      <c r="AZ211" s="952"/>
      <c r="BA211" s="952"/>
      <c r="BB211" s="952"/>
      <c r="BC211" s="952"/>
      <c r="BD211" s="952"/>
      <c r="BE211" s="952"/>
      <c r="BF211" s="952"/>
      <c r="BG211" s="72">
        <v>0</v>
      </c>
      <c r="BH211" s="67"/>
      <c r="BI211" s="952"/>
      <c r="BJ211" s="952"/>
      <c r="BK211" s="952"/>
      <c r="BL211" s="952"/>
      <c r="BM211" s="952"/>
    </row>
    <row r="212" spans="1:66" s="953" customFormat="1">
      <c r="A212" s="1487" t="s">
        <v>5788</v>
      </c>
      <c r="B212" s="954"/>
      <c r="C212" s="960"/>
      <c r="D212" s="72"/>
      <c r="E212" s="72"/>
      <c r="F212" s="962"/>
      <c r="G212" s="72">
        <v>2</v>
      </c>
      <c r="H212" s="72"/>
      <c r="I212" s="72"/>
      <c r="J212" s="72"/>
      <c r="K212" s="72"/>
      <c r="L212" s="72"/>
      <c r="M212" s="72"/>
      <c r="N212" s="72"/>
      <c r="O212" s="72"/>
      <c r="P212" s="72"/>
      <c r="Q212" s="72"/>
      <c r="R212" s="67"/>
      <c r="S212" s="952"/>
      <c r="T212" s="952"/>
      <c r="U212" s="72"/>
      <c r="V212" s="72"/>
      <c r="W212" s="72"/>
      <c r="X212" s="72"/>
      <c r="Y212" s="72"/>
      <c r="Z212" s="72"/>
      <c r="AA212" s="72"/>
      <c r="AB212" s="72"/>
      <c r="AC212" s="72"/>
      <c r="AD212" s="72"/>
      <c r="AE212" s="72"/>
      <c r="AF212" s="72"/>
      <c r="AG212" s="72">
        <v>1</v>
      </c>
      <c r="AH212" s="72"/>
      <c r="AI212" s="72"/>
      <c r="AJ212" s="72"/>
      <c r="AK212" s="72"/>
      <c r="AL212" s="72">
        <v>1</v>
      </c>
      <c r="AM212" s="72"/>
      <c r="AN212" s="72"/>
      <c r="AO212" s="72"/>
      <c r="AP212" s="72"/>
      <c r="AQ212" s="72"/>
      <c r="AR212" s="72"/>
      <c r="AS212" s="72"/>
      <c r="AT212" s="72"/>
      <c r="AU212" s="72"/>
      <c r="AV212" s="72"/>
      <c r="AW212" s="72"/>
      <c r="AX212" s="72"/>
      <c r="AY212" s="72">
        <v>6</v>
      </c>
      <c r="AZ212" s="72"/>
      <c r="BA212" s="72"/>
      <c r="BB212" s="72"/>
      <c r="BC212" s="72"/>
      <c r="BD212" s="72"/>
      <c r="BE212" s="72"/>
      <c r="BF212" s="72"/>
      <c r="BG212" s="72"/>
      <c r="BH212" s="72"/>
      <c r="BI212" s="72"/>
      <c r="BJ212" s="72"/>
      <c r="BK212" s="72"/>
      <c r="BL212" s="72"/>
      <c r="BM212" s="72" t="s">
        <v>5921</v>
      </c>
      <c r="BN212" s="38"/>
    </row>
    <row r="213" spans="1:66" s="953" customFormat="1">
      <c r="A213" s="944" t="s">
        <v>5834</v>
      </c>
      <c r="B213" s="954" t="s">
        <v>3123</v>
      </c>
      <c r="C213" s="960">
        <v>38</v>
      </c>
      <c r="D213" s="76"/>
      <c r="E213" s="72"/>
      <c r="F213" s="72"/>
      <c r="G213" s="72">
        <f>C213+1</f>
        <v>39</v>
      </c>
      <c r="H213" s="72"/>
      <c r="I213" s="72"/>
      <c r="J213" s="72">
        <v>1</v>
      </c>
      <c r="K213" s="72"/>
      <c r="L213" s="72"/>
      <c r="M213" s="72"/>
      <c r="N213" s="72">
        <v>1</v>
      </c>
      <c r="O213" s="72"/>
      <c r="P213" s="72"/>
      <c r="Q213" s="72"/>
      <c r="R213" s="67"/>
      <c r="S213" s="952"/>
      <c r="T213" s="952"/>
      <c r="U213" s="72"/>
      <c r="V213" s="72"/>
      <c r="W213" s="72">
        <v>2</v>
      </c>
      <c r="X213" s="72"/>
      <c r="Y213" s="72"/>
      <c r="Z213" s="72"/>
      <c r="AA213" s="72"/>
      <c r="AB213" s="72"/>
      <c r="AC213" s="72"/>
      <c r="AD213" s="72"/>
      <c r="AE213" s="72"/>
      <c r="AF213" s="72"/>
      <c r="AG213" s="72">
        <v>2</v>
      </c>
      <c r="AH213" s="72"/>
      <c r="AI213" s="72"/>
      <c r="AJ213" s="72"/>
      <c r="AK213" s="72">
        <v>2</v>
      </c>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t="s">
        <v>5819</v>
      </c>
      <c r="BI213" s="72"/>
      <c r="BJ213" s="72"/>
      <c r="BK213" s="72">
        <f>L213</f>
        <v>0</v>
      </c>
      <c r="BL213" s="72"/>
      <c r="BM213" s="72"/>
    </row>
    <row r="214" spans="1:66" s="953" customFormat="1">
      <c r="A214" s="944" t="s">
        <v>5835</v>
      </c>
      <c r="B214" s="954"/>
      <c r="C214" s="960">
        <v>39</v>
      </c>
      <c r="D214" s="76"/>
      <c r="E214" s="72"/>
      <c r="F214" s="72"/>
      <c r="G214" s="72">
        <f t="shared" ref="G214:G227" si="43">C214</f>
        <v>39</v>
      </c>
      <c r="H214" s="72"/>
      <c r="I214" s="72"/>
      <c r="J214" s="72"/>
      <c r="K214" s="72">
        <v>1</v>
      </c>
      <c r="L214" s="72"/>
      <c r="M214" s="72"/>
      <c r="N214" s="72"/>
      <c r="O214" s="72"/>
      <c r="P214" s="72">
        <v>1</v>
      </c>
      <c r="Q214" s="72"/>
      <c r="R214" s="67"/>
      <c r="S214" s="952"/>
      <c r="T214" s="952"/>
      <c r="U214" s="72"/>
      <c r="V214" s="72"/>
      <c r="W214" s="72"/>
      <c r="X214" s="72"/>
      <c r="Y214" s="72"/>
      <c r="Z214" s="72"/>
      <c r="AA214" s="72"/>
      <c r="AB214" s="72"/>
      <c r="AC214" s="72"/>
      <c r="AD214" s="72">
        <v>1</v>
      </c>
      <c r="AE214" s="72"/>
      <c r="AF214" s="72"/>
      <c r="AG214" s="72"/>
      <c r="AH214" s="72"/>
      <c r="AI214" s="72"/>
      <c r="AJ214" s="72">
        <v>1</v>
      </c>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v>1</v>
      </c>
      <c r="BI214" s="72"/>
      <c r="BJ214" s="72"/>
      <c r="BK214" s="72">
        <f>L214</f>
        <v>0</v>
      </c>
      <c r="BL214" s="72"/>
      <c r="BM214" s="72"/>
    </row>
    <row r="215" spans="1:66" s="953" customFormat="1">
      <c r="A215" s="944" t="s">
        <v>5836</v>
      </c>
      <c r="B215" s="954"/>
      <c r="C215" s="960">
        <v>35</v>
      </c>
      <c r="D215" s="76"/>
      <c r="E215" s="72"/>
      <c r="F215" s="72"/>
      <c r="G215" s="72">
        <f t="shared" si="43"/>
        <v>35</v>
      </c>
      <c r="H215" s="72"/>
      <c r="I215" s="72"/>
      <c r="J215" s="72"/>
      <c r="K215" s="72">
        <v>1</v>
      </c>
      <c r="L215" s="72"/>
      <c r="M215" s="72"/>
      <c r="N215" s="72"/>
      <c r="O215" s="72"/>
      <c r="P215" s="72">
        <v>1</v>
      </c>
      <c r="Q215" s="72"/>
      <c r="R215" s="67"/>
      <c r="S215" s="952"/>
      <c r="T215" s="952"/>
      <c r="U215" s="72"/>
      <c r="V215" s="72"/>
      <c r="W215" s="72"/>
      <c r="X215" s="72"/>
      <c r="Y215" s="72"/>
      <c r="Z215" s="72"/>
      <c r="AA215" s="72"/>
      <c r="AB215" s="72"/>
      <c r="AC215" s="72"/>
      <c r="AD215" s="72">
        <v>1</v>
      </c>
      <c r="AE215" s="72"/>
      <c r="AF215" s="72"/>
      <c r="AG215" s="72"/>
      <c r="AH215" s="72"/>
      <c r="AI215" s="72"/>
      <c r="AJ215" s="72">
        <v>1</v>
      </c>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v>1</v>
      </c>
      <c r="BI215" s="72"/>
      <c r="BJ215" s="72"/>
      <c r="BK215" s="72">
        <f t="shared" ref="BK215:BK225" si="44">L215</f>
        <v>0</v>
      </c>
      <c r="BL215" s="72"/>
      <c r="BM215" s="72"/>
    </row>
    <row r="216" spans="1:66" s="953" customFormat="1">
      <c r="A216" s="944" t="s">
        <v>5837</v>
      </c>
      <c r="B216" s="954"/>
      <c r="C216" s="960">
        <v>35</v>
      </c>
      <c r="D216" s="76"/>
      <c r="E216" s="72"/>
      <c r="F216" s="72"/>
      <c r="G216" s="72">
        <f t="shared" si="43"/>
        <v>35</v>
      </c>
      <c r="H216" s="72"/>
      <c r="I216" s="72"/>
      <c r="J216" s="72"/>
      <c r="K216" s="72">
        <v>1</v>
      </c>
      <c r="L216" s="72"/>
      <c r="M216" s="72"/>
      <c r="N216" s="72"/>
      <c r="O216" s="72"/>
      <c r="P216" s="72">
        <v>1</v>
      </c>
      <c r="Q216" s="72"/>
      <c r="R216" s="67"/>
      <c r="S216" s="952"/>
      <c r="T216" s="952"/>
      <c r="U216" s="72"/>
      <c r="V216" s="72"/>
      <c r="W216" s="72"/>
      <c r="X216" s="72"/>
      <c r="Y216" s="72"/>
      <c r="Z216" s="72"/>
      <c r="AA216" s="72"/>
      <c r="AB216" s="72"/>
      <c r="AC216" s="72"/>
      <c r="AD216" s="72">
        <v>1</v>
      </c>
      <c r="AE216" s="72"/>
      <c r="AF216" s="72"/>
      <c r="AG216" s="72"/>
      <c r="AH216" s="72"/>
      <c r="AI216" s="72"/>
      <c r="AJ216" s="72">
        <v>1</v>
      </c>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v>1</v>
      </c>
      <c r="BI216" s="72"/>
      <c r="BJ216" s="72"/>
      <c r="BK216" s="72">
        <f t="shared" si="44"/>
        <v>0</v>
      </c>
      <c r="BL216" s="72"/>
      <c r="BM216" s="72"/>
    </row>
    <row r="217" spans="1:66" s="953" customFormat="1">
      <c r="A217" s="944" t="s">
        <v>5838</v>
      </c>
      <c r="B217" s="954"/>
      <c r="C217" s="960">
        <v>35</v>
      </c>
      <c r="D217" s="76"/>
      <c r="E217" s="72"/>
      <c r="F217" s="72"/>
      <c r="G217" s="72">
        <f t="shared" si="43"/>
        <v>35</v>
      </c>
      <c r="H217" s="72"/>
      <c r="I217" s="72"/>
      <c r="J217" s="72"/>
      <c r="K217" s="72"/>
      <c r="L217" s="72">
        <v>1</v>
      </c>
      <c r="M217" s="72"/>
      <c r="N217" s="72"/>
      <c r="O217" s="72"/>
      <c r="P217" s="72">
        <v>1</v>
      </c>
      <c r="Q217" s="72"/>
      <c r="R217" s="67"/>
      <c r="S217" s="952"/>
      <c r="T217" s="952"/>
      <c r="U217" s="72"/>
      <c r="V217" s="72"/>
      <c r="W217" s="72"/>
      <c r="X217" s="72"/>
      <c r="Y217" s="72"/>
      <c r="Z217" s="72"/>
      <c r="AA217" s="72"/>
      <c r="AB217" s="72"/>
      <c r="AC217" s="72"/>
      <c r="AD217" s="72">
        <v>1</v>
      </c>
      <c r="AE217" s="72"/>
      <c r="AF217" s="72"/>
      <c r="AG217" s="72"/>
      <c r="AH217" s="72"/>
      <c r="AI217" s="72"/>
      <c r="AJ217" s="72">
        <v>1</v>
      </c>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v>1</v>
      </c>
      <c r="BI217" s="72"/>
      <c r="BJ217" s="72"/>
      <c r="BK217" s="72">
        <f t="shared" si="44"/>
        <v>1</v>
      </c>
      <c r="BL217" s="72"/>
      <c r="BM217" s="72"/>
    </row>
    <row r="218" spans="1:66" s="953" customFormat="1">
      <c r="A218" s="944" t="s">
        <v>5839</v>
      </c>
      <c r="B218" s="954"/>
      <c r="C218" s="960">
        <v>35</v>
      </c>
      <c r="D218" s="76"/>
      <c r="E218" s="72"/>
      <c r="F218" s="72"/>
      <c r="G218" s="72">
        <f t="shared" si="43"/>
        <v>35</v>
      </c>
      <c r="H218" s="72"/>
      <c r="I218" s="72"/>
      <c r="J218" s="72"/>
      <c r="K218" s="72">
        <v>1</v>
      </c>
      <c r="L218" s="72"/>
      <c r="M218" s="72"/>
      <c r="N218" s="72"/>
      <c r="O218" s="72"/>
      <c r="P218" s="72">
        <v>1</v>
      </c>
      <c r="Q218" s="72"/>
      <c r="R218" s="67"/>
      <c r="S218" s="952"/>
      <c r="T218" s="952"/>
      <c r="U218" s="72"/>
      <c r="V218" s="72"/>
      <c r="W218" s="72"/>
      <c r="X218" s="72"/>
      <c r="Y218" s="72"/>
      <c r="Z218" s="72"/>
      <c r="AA218" s="72"/>
      <c r="AB218" s="72"/>
      <c r="AC218" s="72"/>
      <c r="AD218" s="72">
        <v>1</v>
      </c>
      <c r="AE218" s="72"/>
      <c r="AF218" s="72"/>
      <c r="AG218" s="72"/>
      <c r="AH218" s="72"/>
      <c r="AI218" s="72"/>
      <c r="AJ218" s="72">
        <v>1</v>
      </c>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v>1</v>
      </c>
      <c r="BI218" s="72"/>
      <c r="BJ218" s="72"/>
      <c r="BK218" s="72">
        <f t="shared" si="44"/>
        <v>0</v>
      </c>
      <c r="BL218" s="72"/>
      <c r="BM218" s="72"/>
    </row>
    <row r="219" spans="1:66" s="953" customFormat="1">
      <c r="A219" s="944" t="s">
        <v>5840</v>
      </c>
      <c r="B219" s="954"/>
      <c r="C219" s="960">
        <v>35</v>
      </c>
      <c r="D219" s="76"/>
      <c r="E219" s="72"/>
      <c r="F219" s="72"/>
      <c r="G219" s="72">
        <f t="shared" si="43"/>
        <v>35</v>
      </c>
      <c r="H219" s="72"/>
      <c r="I219" s="72"/>
      <c r="J219" s="72"/>
      <c r="K219" s="72">
        <v>1</v>
      </c>
      <c r="L219" s="72"/>
      <c r="M219" s="72"/>
      <c r="N219" s="72"/>
      <c r="O219" s="72"/>
      <c r="P219" s="72">
        <v>1</v>
      </c>
      <c r="Q219" s="72"/>
      <c r="R219" s="67"/>
      <c r="S219" s="952"/>
      <c r="T219" s="952"/>
      <c r="U219" s="72"/>
      <c r="V219" s="72"/>
      <c r="W219" s="72"/>
      <c r="X219" s="72"/>
      <c r="Y219" s="72"/>
      <c r="Z219" s="72"/>
      <c r="AA219" s="72"/>
      <c r="AB219" s="72"/>
      <c r="AC219" s="72"/>
      <c r="AD219" s="72">
        <v>1</v>
      </c>
      <c r="AE219" s="72"/>
      <c r="AF219" s="72"/>
      <c r="AG219" s="72"/>
      <c r="AH219" s="72"/>
      <c r="AI219" s="72"/>
      <c r="AJ219" s="72">
        <v>1</v>
      </c>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v>1</v>
      </c>
      <c r="BI219" s="72"/>
      <c r="BJ219" s="72"/>
      <c r="BK219" s="72">
        <f t="shared" si="44"/>
        <v>0</v>
      </c>
      <c r="BL219" s="72"/>
      <c r="BM219" s="72"/>
    </row>
    <row r="220" spans="1:66" s="953" customFormat="1">
      <c r="A220" s="944" t="s">
        <v>5841</v>
      </c>
      <c r="B220" s="954"/>
      <c r="C220" s="960">
        <v>35</v>
      </c>
      <c r="D220" s="76"/>
      <c r="E220" s="72"/>
      <c r="F220" s="72"/>
      <c r="G220" s="72">
        <f t="shared" si="43"/>
        <v>35</v>
      </c>
      <c r="H220" s="72"/>
      <c r="I220" s="72"/>
      <c r="J220" s="72"/>
      <c r="K220" s="72">
        <v>1</v>
      </c>
      <c r="L220" s="72"/>
      <c r="M220" s="72"/>
      <c r="N220" s="72"/>
      <c r="O220" s="72"/>
      <c r="P220" s="72">
        <v>1</v>
      </c>
      <c r="Q220" s="72"/>
      <c r="R220" s="67"/>
      <c r="S220" s="952"/>
      <c r="T220" s="952"/>
      <c r="U220" s="72"/>
      <c r="V220" s="72"/>
      <c r="W220" s="72"/>
      <c r="X220" s="72"/>
      <c r="Y220" s="72"/>
      <c r="Z220" s="72"/>
      <c r="AA220" s="72"/>
      <c r="AB220" s="72"/>
      <c r="AC220" s="72"/>
      <c r="AD220" s="72">
        <v>1</v>
      </c>
      <c r="AE220" s="72"/>
      <c r="AF220" s="72"/>
      <c r="AG220" s="72"/>
      <c r="AH220" s="72"/>
      <c r="AI220" s="72"/>
      <c r="AJ220" s="72">
        <v>1</v>
      </c>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v>1</v>
      </c>
      <c r="BI220" s="72"/>
      <c r="BJ220" s="72"/>
      <c r="BK220" s="72">
        <f t="shared" si="44"/>
        <v>0</v>
      </c>
      <c r="BL220" s="72"/>
      <c r="BM220" s="72"/>
    </row>
    <row r="221" spans="1:66" s="953" customFormat="1">
      <c r="A221" s="944" t="s">
        <v>5842</v>
      </c>
      <c r="B221" s="954"/>
      <c r="C221" s="960">
        <v>35</v>
      </c>
      <c r="D221" s="76"/>
      <c r="E221" s="72"/>
      <c r="F221" s="72"/>
      <c r="G221" s="72">
        <f t="shared" si="43"/>
        <v>35</v>
      </c>
      <c r="H221" s="72"/>
      <c r="I221" s="72"/>
      <c r="J221" s="72"/>
      <c r="K221" s="72">
        <v>1</v>
      </c>
      <c r="L221" s="72"/>
      <c r="M221" s="72"/>
      <c r="N221" s="72"/>
      <c r="O221" s="72"/>
      <c r="P221" s="72">
        <v>1</v>
      </c>
      <c r="Q221" s="72"/>
      <c r="R221" s="67"/>
      <c r="S221" s="952"/>
      <c r="T221" s="952"/>
      <c r="U221" s="72"/>
      <c r="V221" s="72"/>
      <c r="W221" s="72"/>
      <c r="X221" s="72"/>
      <c r="Y221" s="72"/>
      <c r="Z221" s="72"/>
      <c r="AA221" s="72"/>
      <c r="AB221" s="72"/>
      <c r="AC221" s="72"/>
      <c r="AD221" s="72">
        <v>1</v>
      </c>
      <c r="AE221" s="72"/>
      <c r="AF221" s="72"/>
      <c r="AG221" s="72"/>
      <c r="AH221" s="72"/>
      <c r="AI221" s="72"/>
      <c r="AJ221" s="72">
        <v>1</v>
      </c>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v>1</v>
      </c>
      <c r="BI221" s="72"/>
      <c r="BJ221" s="72"/>
      <c r="BK221" s="72">
        <f t="shared" si="44"/>
        <v>0</v>
      </c>
      <c r="BL221" s="72"/>
      <c r="BM221" s="72"/>
    </row>
    <row r="222" spans="1:66" s="953" customFormat="1">
      <c r="A222" s="944" t="s">
        <v>5843</v>
      </c>
      <c r="B222" s="954"/>
      <c r="C222" s="960">
        <v>35</v>
      </c>
      <c r="D222" s="76"/>
      <c r="E222" s="72"/>
      <c r="F222" s="72"/>
      <c r="G222" s="72">
        <f t="shared" si="43"/>
        <v>35</v>
      </c>
      <c r="H222" s="72"/>
      <c r="I222" s="72"/>
      <c r="J222" s="72"/>
      <c r="K222" s="72"/>
      <c r="L222" s="72">
        <v>1</v>
      </c>
      <c r="M222" s="72"/>
      <c r="N222" s="72"/>
      <c r="O222" s="72"/>
      <c r="P222" s="72">
        <v>1</v>
      </c>
      <c r="Q222" s="72"/>
      <c r="R222" s="67"/>
      <c r="S222" s="952"/>
      <c r="T222" s="952"/>
      <c r="U222" s="72"/>
      <c r="V222" s="72"/>
      <c r="W222" s="72"/>
      <c r="X222" s="72"/>
      <c r="Y222" s="72"/>
      <c r="Z222" s="72"/>
      <c r="AA222" s="72"/>
      <c r="AB222" s="72"/>
      <c r="AC222" s="72"/>
      <c r="AD222" s="72">
        <v>1</v>
      </c>
      <c r="AE222" s="72"/>
      <c r="AF222" s="72"/>
      <c r="AG222" s="72"/>
      <c r="AH222" s="72"/>
      <c r="AI222" s="72"/>
      <c r="AJ222" s="72">
        <v>1</v>
      </c>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v>1</v>
      </c>
      <c r="BI222" s="72"/>
      <c r="BJ222" s="72"/>
      <c r="BK222" s="72">
        <f t="shared" si="44"/>
        <v>1</v>
      </c>
      <c r="BL222" s="72"/>
      <c r="BM222" s="72"/>
    </row>
    <row r="223" spans="1:66" s="953" customFormat="1">
      <c r="A223" s="944" t="s">
        <v>720</v>
      </c>
      <c r="B223" s="954"/>
      <c r="C223" s="960">
        <v>35</v>
      </c>
      <c r="D223" s="76"/>
      <c r="E223" s="72"/>
      <c r="F223" s="72"/>
      <c r="G223" s="72">
        <f t="shared" si="43"/>
        <v>35</v>
      </c>
      <c r="H223" s="72"/>
      <c r="I223" s="72"/>
      <c r="J223" s="72"/>
      <c r="K223" s="72">
        <v>1</v>
      </c>
      <c r="L223" s="72"/>
      <c r="M223" s="72"/>
      <c r="N223" s="72"/>
      <c r="O223" s="72"/>
      <c r="P223" s="72">
        <v>1</v>
      </c>
      <c r="Q223" s="72"/>
      <c r="R223" s="67"/>
      <c r="S223" s="952"/>
      <c r="T223" s="952"/>
      <c r="U223" s="72"/>
      <c r="V223" s="72"/>
      <c r="W223" s="72"/>
      <c r="X223" s="72"/>
      <c r="Y223" s="72"/>
      <c r="Z223" s="72"/>
      <c r="AA223" s="72"/>
      <c r="AB223" s="72"/>
      <c r="AC223" s="72"/>
      <c r="AD223" s="72">
        <v>1</v>
      </c>
      <c r="AE223" s="72"/>
      <c r="AF223" s="72"/>
      <c r="AG223" s="72"/>
      <c r="AH223" s="72"/>
      <c r="AI223" s="72"/>
      <c r="AJ223" s="72">
        <v>1</v>
      </c>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v>1</v>
      </c>
      <c r="BI223" s="72"/>
      <c r="BJ223" s="72"/>
      <c r="BK223" s="72">
        <f t="shared" si="44"/>
        <v>0</v>
      </c>
      <c r="BL223" s="72"/>
      <c r="BM223" s="72"/>
    </row>
    <row r="224" spans="1:66" s="953" customFormat="1">
      <c r="A224" s="944" t="s">
        <v>721</v>
      </c>
      <c r="B224" s="954"/>
      <c r="C224" s="960">
        <v>35</v>
      </c>
      <c r="D224" s="76"/>
      <c r="E224" s="72"/>
      <c r="F224" s="72"/>
      <c r="G224" s="72">
        <f t="shared" si="43"/>
        <v>35</v>
      </c>
      <c r="H224" s="72"/>
      <c r="I224" s="72"/>
      <c r="J224" s="72"/>
      <c r="K224" s="72">
        <v>1</v>
      </c>
      <c r="L224" s="72"/>
      <c r="M224" s="72"/>
      <c r="N224" s="72"/>
      <c r="O224" s="72"/>
      <c r="P224" s="72">
        <v>1</v>
      </c>
      <c r="Q224" s="72"/>
      <c r="R224" s="67"/>
      <c r="S224" s="952"/>
      <c r="T224" s="952"/>
      <c r="U224" s="72"/>
      <c r="V224" s="72"/>
      <c r="W224" s="72"/>
      <c r="X224" s="72"/>
      <c r="Y224" s="72"/>
      <c r="Z224" s="72"/>
      <c r="AA224" s="72"/>
      <c r="AB224" s="72"/>
      <c r="AC224" s="72"/>
      <c r="AD224" s="72">
        <v>1</v>
      </c>
      <c r="AE224" s="72"/>
      <c r="AF224" s="72"/>
      <c r="AG224" s="72"/>
      <c r="AH224" s="72"/>
      <c r="AI224" s="72"/>
      <c r="AJ224" s="72">
        <v>1</v>
      </c>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v>1</v>
      </c>
      <c r="BI224" s="72"/>
      <c r="BJ224" s="72"/>
      <c r="BK224" s="72">
        <f t="shared" si="44"/>
        <v>0</v>
      </c>
      <c r="BL224" s="72"/>
      <c r="BM224" s="72"/>
    </row>
    <row r="225" spans="1:66" s="953" customFormat="1">
      <c r="A225" s="944" t="s">
        <v>722</v>
      </c>
      <c r="B225" s="954"/>
      <c r="C225" s="960">
        <v>35</v>
      </c>
      <c r="D225" s="76"/>
      <c r="E225" s="72"/>
      <c r="F225" s="72"/>
      <c r="G225" s="72">
        <f t="shared" si="43"/>
        <v>35</v>
      </c>
      <c r="H225" s="72"/>
      <c r="I225" s="72"/>
      <c r="J225" s="72"/>
      <c r="K225" s="72">
        <v>1</v>
      </c>
      <c r="L225" s="72"/>
      <c r="M225" s="72"/>
      <c r="N225" s="72"/>
      <c r="O225" s="72"/>
      <c r="P225" s="72">
        <v>1</v>
      </c>
      <c r="Q225" s="72"/>
      <c r="R225" s="67"/>
      <c r="S225" s="952"/>
      <c r="T225" s="952"/>
      <c r="U225" s="72"/>
      <c r="V225" s="72"/>
      <c r="W225" s="72"/>
      <c r="X225" s="72"/>
      <c r="Y225" s="72"/>
      <c r="Z225" s="72"/>
      <c r="AA225" s="72"/>
      <c r="AB225" s="72"/>
      <c r="AC225" s="72"/>
      <c r="AD225" s="72">
        <v>1</v>
      </c>
      <c r="AE225" s="72"/>
      <c r="AF225" s="72"/>
      <c r="AG225" s="72"/>
      <c r="AH225" s="72"/>
      <c r="AI225" s="72"/>
      <c r="AJ225" s="72">
        <v>1</v>
      </c>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v>1</v>
      </c>
      <c r="BI225" s="72"/>
      <c r="BJ225" s="72"/>
      <c r="BK225" s="72">
        <f t="shared" si="44"/>
        <v>0</v>
      </c>
      <c r="BL225" s="72"/>
      <c r="BM225" s="72"/>
    </row>
    <row r="226" spans="1:66" s="953" customFormat="1">
      <c r="A226" s="944" t="s">
        <v>723</v>
      </c>
      <c r="B226" s="954"/>
      <c r="C226" s="960">
        <v>35</v>
      </c>
      <c r="D226" s="76"/>
      <c r="E226" s="72"/>
      <c r="F226" s="72"/>
      <c r="G226" s="72">
        <f t="shared" si="43"/>
        <v>35</v>
      </c>
      <c r="H226" s="72"/>
      <c r="I226" s="72"/>
      <c r="J226" s="72"/>
      <c r="K226" s="72">
        <v>1</v>
      </c>
      <c r="L226" s="72"/>
      <c r="M226" s="72"/>
      <c r="N226" s="72"/>
      <c r="O226" s="72"/>
      <c r="P226" s="72">
        <v>1</v>
      </c>
      <c r="Q226" s="72"/>
      <c r="R226" s="67"/>
      <c r="S226" s="952"/>
      <c r="T226" s="952"/>
      <c r="U226" s="72"/>
      <c r="V226" s="72"/>
      <c r="W226" s="72"/>
      <c r="X226" s="72"/>
      <c r="Y226" s="72"/>
      <c r="Z226" s="72"/>
      <c r="AA226" s="72"/>
      <c r="AB226" s="72"/>
      <c r="AC226" s="72"/>
      <c r="AD226" s="72">
        <v>1</v>
      </c>
      <c r="AE226" s="72"/>
      <c r="AF226" s="72"/>
      <c r="AG226" s="72"/>
      <c r="AH226" s="72"/>
      <c r="AI226" s="72"/>
      <c r="AJ226" s="72">
        <v>1</v>
      </c>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v>1</v>
      </c>
      <c r="BI226" s="72"/>
      <c r="BJ226" s="72"/>
      <c r="BK226" s="72">
        <f>L226</f>
        <v>0</v>
      </c>
      <c r="BL226" s="72"/>
      <c r="BM226" s="72"/>
    </row>
    <row r="227" spans="1:66" s="953" customFormat="1">
      <c r="A227" s="944" t="s">
        <v>724</v>
      </c>
      <c r="B227" s="954" t="s">
        <v>3124</v>
      </c>
      <c r="C227" s="960">
        <v>35</v>
      </c>
      <c r="D227" s="76"/>
      <c r="E227" s="72"/>
      <c r="F227" s="72"/>
      <c r="G227" s="72">
        <f t="shared" si="43"/>
        <v>35</v>
      </c>
      <c r="H227" s="72"/>
      <c r="I227" s="72"/>
      <c r="J227" s="72"/>
      <c r="K227" s="72"/>
      <c r="L227" s="72">
        <v>1</v>
      </c>
      <c r="M227" s="72"/>
      <c r="N227" s="72"/>
      <c r="O227" s="72"/>
      <c r="P227" s="72">
        <v>1</v>
      </c>
      <c r="Q227" s="72"/>
      <c r="R227" s="67"/>
      <c r="S227" s="952"/>
      <c r="T227" s="952"/>
      <c r="U227" s="72"/>
      <c r="V227" s="72"/>
      <c r="W227" s="72">
        <v>1</v>
      </c>
      <c r="X227" s="72"/>
      <c r="Y227" s="72"/>
      <c r="Z227" s="72"/>
      <c r="AA227" s="72"/>
      <c r="AB227" s="72"/>
      <c r="AC227" s="72"/>
      <c r="AD227" s="72"/>
      <c r="AE227" s="72"/>
      <c r="AF227" s="72"/>
      <c r="AG227" s="72">
        <v>1</v>
      </c>
      <c r="AH227" s="72"/>
      <c r="AI227" s="72">
        <v>3</v>
      </c>
      <c r="AJ227" s="72">
        <v>1</v>
      </c>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v>1</v>
      </c>
      <c r="BI227" s="72"/>
      <c r="BJ227" s="72"/>
      <c r="BK227" s="72">
        <f>L227</f>
        <v>1</v>
      </c>
      <c r="BL227" s="72"/>
      <c r="BM227" s="72"/>
    </row>
    <row r="228" spans="1:66" s="588" customFormat="1">
      <c r="A228" s="1323" t="s">
        <v>5716</v>
      </c>
      <c r="B228" s="1330"/>
      <c r="C228" s="1313">
        <f t="shared" ref="C228:BM228" si="45">ROUND(SUM(C212:C227),0)</f>
        <v>532</v>
      </c>
      <c r="D228" s="1313">
        <f t="shared" si="45"/>
        <v>0</v>
      </c>
      <c r="E228" s="1313">
        <f t="shared" si="45"/>
        <v>0</v>
      </c>
      <c r="F228" s="1313">
        <f t="shared" si="45"/>
        <v>0</v>
      </c>
      <c r="G228" s="1313">
        <f t="shared" si="45"/>
        <v>535</v>
      </c>
      <c r="H228" s="1313">
        <f t="shared" si="45"/>
        <v>0</v>
      </c>
      <c r="I228" s="1313">
        <f t="shared" si="45"/>
        <v>0</v>
      </c>
      <c r="J228" s="1313">
        <f t="shared" si="45"/>
        <v>1</v>
      </c>
      <c r="K228" s="1313">
        <f t="shared" si="45"/>
        <v>11</v>
      </c>
      <c r="L228" s="1313">
        <f t="shared" si="45"/>
        <v>3</v>
      </c>
      <c r="M228" s="1313">
        <f t="shared" si="45"/>
        <v>0</v>
      </c>
      <c r="N228" s="1313">
        <f t="shared" si="45"/>
        <v>1</v>
      </c>
      <c r="O228" s="1313">
        <f t="shared" si="45"/>
        <v>0</v>
      </c>
      <c r="P228" s="1313">
        <f t="shared" si="45"/>
        <v>14</v>
      </c>
      <c r="Q228" s="1313">
        <f>ROUND(SUM(Q212:Q227),0)</f>
        <v>0</v>
      </c>
      <c r="R228" s="1313">
        <f>ROUND(SUM(R212:R227),0)</f>
        <v>0</v>
      </c>
      <c r="S228" s="1313">
        <f>ROUND(SUM(S212:S227),0)</f>
        <v>0</v>
      </c>
      <c r="T228" s="1313">
        <f t="shared" si="45"/>
        <v>0</v>
      </c>
      <c r="U228" s="1313">
        <f t="shared" si="45"/>
        <v>0</v>
      </c>
      <c r="V228" s="1313">
        <f t="shared" si="45"/>
        <v>0</v>
      </c>
      <c r="W228" s="1313">
        <f t="shared" si="45"/>
        <v>3</v>
      </c>
      <c r="X228" s="1313">
        <f t="shared" si="45"/>
        <v>0</v>
      </c>
      <c r="Y228" s="1313">
        <f t="shared" si="45"/>
        <v>0</v>
      </c>
      <c r="Z228" s="1313">
        <f t="shared" si="45"/>
        <v>0</v>
      </c>
      <c r="AA228" s="1313">
        <f t="shared" si="45"/>
        <v>0</v>
      </c>
      <c r="AB228" s="1313">
        <f t="shared" si="45"/>
        <v>0</v>
      </c>
      <c r="AC228" s="1313">
        <f t="shared" si="45"/>
        <v>0</v>
      </c>
      <c r="AD228" s="1313">
        <f t="shared" si="45"/>
        <v>13</v>
      </c>
      <c r="AE228" s="1313">
        <f t="shared" si="45"/>
        <v>0</v>
      </c>
      <c r="AF228" s="1313">
        <f t="shared" si="45"/>
        <v>0</v>
      </c>
      <c r="AG228" s="1313">
        <f t="shared" si="45"/>
        <v>4</v>
      </c>
      <c r="AH228" s="1313">
        <f t="shared" si="45"/>
        <v>0</v>
      </c>
      <c r="AI228" s="1313">
        <f t="shared" si="45"/>
        <v>3</v>
      </c>
      <c r="AJ228" s="1313">
        <f t="shared" si="45"/>
        <v>14</v>
      </c>
      <c r="AK228" s="1313">
        <f t="shared" si="45"/>
        <v>2</v>
      </c>
      <c r="AL228" s="1313">
        <f t="shared" si="45"/>
        <v>1</v>
      </c>
      <c r="AM228" s="1313">
        <f t="shared" si="45"/>
        <v>0</v>
      </c>
      <c r="AN228" s="1313">
        <f t="shared" si="45"/>
        <v>0</v>
      </c>
      <c r="AO228" s="1313">
        <f t="shared" si="45"/>
        <v>0</v>
      </c>
      <c r="AP228" s="1313">
        <f t="shared" si="45"/>
        <v>0</v>
      </c>
      <c r="AQ228" s="1313">
        <f t="shared" si="45"/>
        <v>0</v>
      </c>
      <c r="AR228" s="1313">
        <f t="shared" si="45"/>
        <v>0</v>
      </c>
      <c r="AS228" s="1313">
        <f t="shared" si="45"/>
        <v>0</v>
      </c>
      <c r="AT228" s="1313">
        <f t="shared" si="45"/>
        <v>0</v>
      </c>
      <c r="AU228" s="1313">
        <f t="shared" si="45"/>
        <v>0</v>
      </c>
      <c r="AV228" s="1313">
        <f t="shared" si="45"/>
        <v>0</v>
      </c>
      <c r="AW228" s="1313">
        <f t="shared" si="45"/>
        <v>0</v>
      </c>
      <c r="AX228" s="1313">
        <f t="shared" si="45"/>
        <v>0</v>
      </c>
      <c r="AY228" s="1313">
        <f t="shared" si="45"/>
        <v>6</v>
      </c>
      <c r="AZ228" s="1313">
        <f t="shared" si="45"/>
        <v>0</v>
      </c>
      <c r="BA228" s="1313">
        <f t="shared" si="45"/>
        <v>0</v>
      </c>
      <c r="BB228" s="1313">
        <f t="shared" si="45"/>
        <v>0</v>
      </c>
      <c r="BC228" s="1313">
        <f t="shared" si="45"/>
        <v>0</v>
      </c>
      <c r="BD228" s="1313">
        <f t="shared" si="45"/>
        <v>0</v>
      </c>
      <c r="BE228" s="1313">
        <f t="shared" si="45"/>
        <v>0</v>
      </c>
      <c r="BF228" s="1313">
        <f t="shared" si="45"/>
        <v>0</v>
      </c>
      <c r="BG228" s="1313">
        <f t="shared" si="45"/>
        <v>0</v>
      </c>
      <c r="BH228" s="1313">
        <f t="shared" si="45"/>
        <v>14</v>
      </c>
      <c r="BI228" s="1313">
        <f t="shared" si="45"/>
        <v>0</v>
      </c>
      <c r="BJ228" s="1313">
        <f t="shared" si="45"/>
        <v>0</v>
      </c>
      <c r="BK228" s="1313">
        <f t="shared" si="45"/>
        <v>3</v>
      </c>
      <c r="BL228" s="1313">
        <f t="shared" si="45"/>
        <v>0</v>
      </c>
      <c r="BM228" s="1313">
        <f t="shared" si="45"/>
        <v>0</v>
      </c>
    </row>
    <row r="229" spans="1:66">
      <c r="A229" s="959" t="s">
        <v>748</v>
      </c>
      <c r="B229" s="952"/>
      <c r="C229" s="961"/>
      <c r="D229" s="962"/>
      <c r="E229" s="962"/>
      <c r="F229" s="962"/>
      <c r="G229" s="962"/>
      <c r="H229" s="952"/>
      <c r="I229" s="952"/>
      <c r="J229" s="952"/>
      <c r="K229" s="952"/>
      <c r="L229" s="952"/>
      <c r="M229" s="952"/>
      <c r="N229" s="952"/>
      <c r="O229" s="952"/>
      <c r="P229" s="952"/>
      <c r="Q229" s="952"/>
      <c r="R229" s="952"/>
      <c r="S229" s="952"/>
      <c r="T229" s="952"/>
      <c r="U229" s="952"/>
      <c r="V229" s="952"/>
      <c r="W229" s="952"/>
      <c r="X229" s="952"/>
      <c r="Y229" s="952"/>
      <c r="Z229" s="952"/>
      <c r="AA229" s="952"/>
      <c r="AB229" s="952"/>
      <c r="AC229" s="952"/>
      <c r="AD229" s="952"/>
      <c r="AE229" s="952"/>
      <c r="AF229" s="952"/>
      <c r="AG229" s="952"/>
      <c r="AH229" s="952"/>
      <c r="AI229" s="952"/>
      <c r="AJ229" s="952"/>
      <c r="AK229" s="952"/>
      <c r="AL229" s="952"/>
      <c r="AM229" s="952"/>
      <c r="AN229" s="952"/>
      <c r="AO229" s="952"/>
      <c r="AP229" s="952"/>
      <c r="AQ229" s="952"/>
      <c r="AR229" s="952"/>
      <c r="AS229" s="952"/>
      <c r="AT229" s="952"/>
      <c r="AU229" s="952"/>
      <c r="AV229" s="952"/>
      <c r="AW229" s="952"/>
      <c r="AX229" s="952"/>
      <c r="AY229" s="952"/>
      <c r="AZ229" s="952"/>
      <c r="BA229" s="952"/>
      <c r="BB229" s="952"/>
      <c r="BC229" s="952"/>
      <c r="BD229" s="952"/>
      <c r="BE229" s="952"/>
      <c r="BF229" s="952"/>
      <c r="BG229" s="72">
        <v>0</v>
      </c>
      <c r="BH229" s="67"/>
      <c r="BI229" s="952"/>
      <c r="BJ229" s="952"/>
      <c r="BK229" s="952"/>
      <c r="BL229" s="952"/>
      <c r="BM229" s="952"/>
    </row>
    <row r="230" spans="1:66" s="953" customFormat="1">
      <c r="A230" s="944" t="s">
        <v>5787</v>
      </c>
      <c r="B230" s="954"/>
      <c r="C230" s="960"/>
      <c r="D230" s="72"/>
      <c r="E230" s="72"/>
      <c r="F230" s="962"/>
      <c r="G230" s="72"/>
      <c r="H230" s="72"/>
      <c r="I230" s="72"/>
      <c r="J230" s="72"/>
      <c r="K230" s="72"/>
      <c r="L230" s="72"/>
      <c r="M230" s="72"/>
      <c r="N230" s="72"/>
      <c r="O230" s="72"/>
      <c r="P230" s="72"/>
      <c r="Q230" s="72"/>
      <c r="R230" s="67"/>
      <c r="S230" s="952"/>
      <c r="T230" s="952"/>
      <c r="U230" s="72"/>
      <c r="V230" s="72"/>
      <c r="W230" s="72"/>
      <c r="X230" s="72"/>
      <c r="Y230" s="72"/>
      <c r="Z230" s="72"/>
      <c r="AA230" s="72"/>
      <c r="AB230" s="72"/>
      <c r="AC230" s="72"/>
      <c r="AD230" s="72"/>
      <c r="AE230" s="72"/>
      <c r="AF230" s="72"/>
      <c r="AG230" s="72">
        <v>1</v>
      </c>
      <c r="AH230" s="72"/>
      <c r="AI230" s="72"/>
      <c r="AJ230" s="72"/>
      <c r="AK230" s="72"/>
      <c r="AL230" s="72">
        <v>1</v>
      </c>
      <c r="AM230" s="72"/>
      <c r="AN230" s="72"/>
      <c r="AO230" s="72"/>
      <c r="AP230" s="72"/>
      <c r="AQ230" s="72"/>
      <c r="AR230" s="72"/>
      <c r="AS230" s="72"/>
      <c r="AT230" s="72"/>
      <c r="AU230" s="72"/>
      <c r="AV230" s="72"/>
      <c r="AW230" s="72"/>
      <c r="AX230" s="72"/>
      <c r="AY230" s="72">
        <v>6</v>
      </c>
      <c r="AZ230" s="72"/>
      <c r="BA230" s="72"/>
      <c r="BB230" s="72"/>
      <c r="BC230" s="72"/>
      <c r="BD230" s="72"/>
      <c r="BE230" s="72"/>
      <c r="BF230" s="72"/>
      <c r="BG230" s="72"/>
      <c r="BH230" s="72"/>
      <c r="BI230" s="72"/>
      <c r="BJ230" s="72"/>
      <c r="BK230" s="72"/>
      <c r="BL230" s="72"/>
      <c r="BM230" s="72" t="s">
        <v>5921</v>
      </c>
      <c r="BN230" s="38"/>
    </row>
    <row r="231" spans="1:66" s="953" customFormat="1">
      <c r="A231" s="1487" t="s">
        <v>5789</v>
      </c>
      <c r="B231" s="954" t="s">
        <v>3122</v>
      </c>
      <c r="C231" s="960">
        <v>0</v>
      </c>
      <c r="D231" s="76"/>
      <c r="E231" s="72"/>
      <c r="F231" s="72"/>
      <c r="G231" s="72">
        <f>1+4</f>
        <v>5</v>
      </c>
      <c r="H231" s="72"/>
      <c r="I231" s="72">
        <v>2</v>
      </c>
      <c r="J231" s="72"/>
      <c r="K231" s="72"/>
      <c r="L231" s="72"/>
      <c r="M231" s="72"/>
      <c r="N231" s="72"/>
      <c r="O231" s="72"/>
      <c r="P231" s="72"/>
      <c r="Q231" s="72"/>
      <c r="R231" s="67">
        <v>1</v>
      </c>
      <c r="S231" s="952"/>
      <c r="T231" s="952"/>
      <c r="U231" s="72"/>
      <c r="V231" s="72"/>
      <c r="W231" s="72"/>
      <c r="X231" s="72"/>
      <c r="Y231" s="72"/>
      <c r="Z231" s="72"/>
      <c r="AA231" s="72"/>
      <c r="AB231" s="72"/>
      <c r="AC231" s="72"/>
      <c r="AD231" s="72"/>
      <c r="AE231" s="72"/>
      <c r="AF231" s="72"/>
      <c r="AG231" s="72">
        <v>2</v>
      </c>
      <c r="AH231" s="72"/>
      <c r="AI231" s="72"/>
      <c r="AJ231" s="72"/>
      <c r="AK231" s="72"/>
      <c r="AL231" s="72">
        <v>1</v>
      </c>
      <c r="AM231" s="72"/>
      <c r="AN231" s="72">
        <v>1</v>
      </c>
      <c r="AO231" s="72"/>
      <c r="AP231" s="72"/>
      <c r="AQ231" s="72"/>
      <c r="AR231" s="72">
        <v>1</v>
      </c>
      <c r="AS231" s="72">
        <v>2</v>
      </c>
      <c r="AT231" s="72"/>
      <c r="AU231" s="72"/>
      <c r="AV231" s="72"/>
      <c r="AW231" s="72"/>
      <c r="AX231" s="72"/>
      <c r="AY231" s="72"/>
      <c r="AZ231" s="72"/>
      <c r="BA231" s="72"/>
      <c r="BB231" s="72"/>
      <c r="BC231" s="72"/>
      <c r="BD231" s="72"/>
      <c r="BE231" s="72"/>
      <c r="BF231" s="72"/>
      <c r="BG231" s="72"/>
      <c r="BH231" s="72">
        <v>1</v>
      </c>
      <c r="BI231" s="72"/>
      <c r="BJ231" s="72"/>
      <c r="BK231" s="72">
        <f>L231</f>
        <v>0</v>
      </c>
      <c r="BL231" s="72"/>
      <c r="BM231" s="72"/>
    </row>
    <row r="232" spans="1:66" s="953" customFormat="1">
      <c r="A232" s="944" t="s">
        <v>5834</v>
      </c>
      <c r="B232" s="954" t="s">
        <v>3123</v>
      </c>
      <c r="C232" s="960">
        <v>53</v>
      </c>
      <c r="D232" s="76"/>
      <c r="E232" s="72"/>
      <c r="F232" s="72"/>
      <c r="G232" s="72">
        <f>C232+4</f>
        <v>57</v>
      </c>
      <c r="H232" s="72"/>
      <c r="I232" s="72">
        <v>2</v>
      </c>
      <c r="J232" s="72"/>
      <c r="K232" s="72"/>
      <c r="L232" s="72"/>
      <c r="M232" s="72"/>
      <c r="N232" s="72"/>
      <c r="O232" s="72"/>
      <c r="P232" s="72"/>
      <c r="Q232" s="72"/>
      <c r="R232" s="67">
        <v>1</v>
      </c>
      <c r="S232" s="952"/>
      <c r="T232" s="952"/>
      <c r="U232" s="72"/>
      <c r="V232" s="72"/>
      <c r="W232" s="72"/>
      <c r="X232" s="72"/>
      <c r="Y232" s="72"/>
      <c r="Z232" s="72"/>
      <c r="AA232" s="72"/>
      <c r="AB232" s="72"/>
      <c r="AC232" s="72"/>
      <c r="AD232" s="72"/>
      <c r="AE232" s="72"/>
      <c r="AF232" s="72"/>
      <c r="AG232" s="72">
        <v>2</v>
      </c>
      <c r="AH232" s="72"/>
      <c r="AI232" s="72"/>
      <c r="AJ232" s="72"/>
      <c r="AK232" s="72"/>
      <c r="AL232" s="72">
        <v>1</v>
      </c>
      <c r="AM232" s="72"/>
      <c r="AN232" s="72">
        <v>1</v>
      </c>
      <c r="AO232" s="72"/>
      <c r="AP232" s="72"/>
      <c r="AQ232" s="72"/>
      <c r="AR232" s="72">
        <v>1</v>
      </c>
      <c r="AS232" s="72">
        <v>2</v>
      </c>
      <c r="AT232" s="72"/>
      <c r="AU232" s="72"/>
      <c r="AV232" s="72"/>
      <c r="AW232" s="72"/>
      <c r="AX232" s="72"/>
      <c r="AY232" s="72"/>
      <c r="AZ232" s="72"/>
      <c r="BA232" s="72"/>
      <c r="BB232" s="72"/>
      <c r="BC232" s="72"/>
      <c r="BD232" s="72"/>
      <c r="BE232" s="72"/>
      <c r="BF232" s="72"/>
      <c r="BG232" s="72"/>
      <c r="BH232" s="72">
        <v>1</v>
      </c>
      <c r="BI232" s="72"/>
      <c r="BJ232" s="72"/>
      <c r="BK232" s="72">
        <f>L232</f>
        <v>0</v>
      </c>
      <c r="BL232" s="72"/>
      <c r="BM232" s="72"/>
    </row>
    <row r="233" spans="1:66" s="953" customFormat="1">
      <c r="A233" s="944" t="s">
        <v>5835</v>
      </c>
      <c r="B233" s="954"/>
      <c r="C233" s="960">
        <v>35</v>
      </c>
      <c r="D233" s="76"/>
      <c r="E233" s="72"/>
      <c r="F233" s="72"/>
      <c r="G233" s="72">
        <f t="shared" ref="G233:G242" si="46">C233</f>
        <v>35</v>
      </c>
      <c r="H233" s="72"/>
      <c r="I233" s="72"/>
      <c r="J233" s="72"/>
      <c r="K233" s="72">
        <v>1</v>
      </c>
      <c r="L233" s="72"/>
      <c r="M233" s="72"/>
      <c r="N233" s="72"/>
      <c r="O233" s="72"/>
      <c r="P233" s="72">
        <v>1</v>
      </c>
      <c r="Q233" s="72"/>
      <c r="R233" s="67"/>
      <c r="S233" s="952"/>
      <c r="T233" s="952"/>
      <c r="U233" s="72"/>
      <c r="V233" s="72"/>
      <c r="W233" s="72"/>
      <c r="X233" s="72"/>
      <c r="Y233" s="72"/>
      <c r="Z233" s="72"/>
      <c r="AA233" s="72"/>
      <c r="AB233" s="72"/>
      <c r="AC233" s="72"/>
      <c r="AD233" s="72">
        <v>1</v>
      </c>
      <c r="AE233" s="72"/>
      <c r="AF233" s="72"/>
      <c r="AG233" s="72"/>
      <c r="AH233" s="72"/>
      <c r="AI233" s="72"/>
      <c r="AJ233" s="72">
        <v>1</v>
      </c>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v>1</v>
      </c>
      <c r="BI233" s="72"/>
      <c r="BJ233" s="72"/>
      <c r="BK233" s="72">
        <f>L233</f>
        <v>0</v>
      </c>
      <c r="BL233" s="72"/>
      <c r="BM233" s="72"/>
    </row>
    <row r="234" spans="1:66" s="953" customFormat="1">
      <c r="A234" s="944" t="s">
        <v>5836</v>
      </c>
      <c r="B234" s="954" t="s">
        <v>3121</v>
      </c>
      <c r="C234" s="960">
        <v>35</v>
      </c>
      <c r="D234" s="76"/>
      <c r="E234" s="72"/>
      <c r="F234" s="72"/>
      <c r="G234" s="72">
        <f t="shared" si="46"/>
        <v>35</v>
      </c>
      <c r="H234" s="72"/>
      <c r="I234" s="72"/>
      <c r="J234" s="72"/>
      <c r="K234" s="72">
        <v>1</v>
      </c>
      <c r="L234" s="72"/>
      <c r="M234" s="72"/>
      <c r="N234" s="72"/>
      <c r="O234" s="72"/>
      <c r="P234" s="72">
        <v>1</v>
      </c>
      <c r="Q234" s="72"/>
      <c r="R234" s="67"/>
      <c r="S234" s="952"/>
      <c r="T234" s="952"/>
      <c r="U234" s="72"/>
      <c r="V234" s="72"/>
      <c r="W234" s="72">
        <v>1</v>
      </c>
      <c r="X234" s="72"/>
      <c r="Y234" s="72"/>
      <c r="Z234" s="72"/>
      <c r="AA234" s="72"/>
      <c r="AB234" s="72"/>
      <c r="AC234" s="72"/>
      <c r="AD234" s="72">
        <v>2</v>
      </c>
      <c r="AE234" s="72"/>
      <c r="AF234" s="72"/>
      <c r="AG234" s="72"/>
      <c r="AH234" s="72">
        <v>1</v>
      </c>
      <c r="AI234" s="72"/>
      <c r="AJ234" s="72">
        <v>1</v>
      </c>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v>1</v>
      </c>
      <c r="BI234" s="72"/>
      <c r="BJ234" s="72"/>
      <c r="BK234" s="72">
        <f t="shared" ref="BK234:BK242" si="47">L234</f>
        <v>0</v>
      </c>
      <c r="BL234" s="72"/>
      <c r="BM234" s="72"/>
    </row>
    <row r="235" spans="1:66" s="953" customFormat="1">
      <c r="A235" s="944" t="s">
        <v>5837</v>
      </c>
      <c r="B235" s="954" t="s">
        <v>3121</v>
      </c>
      <c r="C235" s="960">
        <v>30</v>
      </c>
      <c r="D235" s="76"/>
      <c r="E235" s="72"/>
      <c r="F235" s="72"/>
      <c r="G235" s="72">
        <f t="shared" si="46"/>
        <v>30</v>
      </c>
      <c r="H235" s="72"/>
      <c r="I235" s="72"/>
      <c r="J235" s="72"/>
      <c r="K235" s="72">
        <v>1</v>
      </c>
      <c r="L235" s="72"/>
      <c r="M235" s="72"/>
      <c r="N235" s="72"/>
      <c r="O235" s="72"/>
      <c r="P235" s="72">
        <v>1</v>
      </c>
      <c r="Q235" s="72"/>
      <c r="R235" s="67"/>
      <c r="S235" s="952"/>
      <c r="T235" s="952"/>
      <c r="U235" s="72"/>
      <c r="V235" s="72"/>
      <c r="W235" s="72">
        <v>1</v>
      </c>
      <c r="X235" s="72"/>
      <c r="Y235" s="72"/>
      <c r="Z235" s="72"/>
      <c r="AA235" s="72"/>
      <c r="AB235" s="72"/>
      <c r="AC235" s="72"/>
      <c r="AD235" s="72">
        <v>2</v>
      </c>
      <c r="AE235" s="72"/>
      <c r="AF235" s="72"/>
      <c r="AG235" s="72"/>
      <c r="AH235" s="72">
        <v>1</v>
      </c>
      <c r="AI235" s="72"/>
      <c r="AJ235" s="72">
        <v>1</v>
      </c>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v>1</v>
      </c>
      <c r="BI235" s="72"/>
      <c r="BJ235" s="72"/>
      <c r="BK235" s="72">
        <f>L235</f>
        <v>0</v>
      </c>
      <c r="BL235" s="72"/>
      <c r="BM235" s="72"/>
    </row>
    <row r="236" spans="1:66" s="953" customFormat="1">
      <c r="A236" s="944" t="s">
        <v>5838</v>
      </c>
      <c r="B236" s="954"/>
      <c r="C236" s="960">
        <v>35</v>
      </c>
      <c r="D236" s="76"/>
      <c r="E236" s="72"/>
      <c r="F236" s="72"/>
      <c r="G236" s="72">
        <f t="shared" si="46"/>
        <v>35</v>
      </c>
      <c r="H236" s="72"/>
      <c r="I236" s="72"/>
      <c r="J236" s="72"/>
      <c r="K236" s="72">
        <v>1</v>
      </c>
      <c r="L236" s="72"/>
      <c r="M236" s="72"/>
      <c r="N236" s="72"/>
      <c r="O236" s="72"/>
      <c r="P236" s="72">
        <v>1</v>
      </c>
      <c r="Q236" s="72"/>
      <c r="R236" s="67"/>
      <c r="S236" s="952"/>
      <c r="T236" s="952"/>
      <c r="U236" s="72"/>
      <c r="V236" s="72"/>
      <c r="W236" s="72"/>
      <c r="X236" s="72"/>
      <c r="Y236" s="72"/>
      <c r="Z236" s="72"/>
      <c r="AA236" s="72"/>
      <c r="AB236" s="72"/>
      <c r="AC236" s="72"/>
      <c r="AD236" s="72">
        <v>1</v>
      </c>
      <c r="AE236" s="72"/>
      <c r="AF236" s="72"/>
      <c r="AG236" s="72"/>
      <c r="AH236" s="72"/>
      <c r="AI236" s="72"/>
      <c r="AJ236" s="72">
        <v>1</v>
      </c>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v>1</v>
      </c>
      <c r="BI236" s="72"/>
      <c r="BJ236" s="72"/>
      <c r="BK236" s="72">
        <f>L236</f>
        <v>0</v>
      </c>
      <c r="BL236" s="72"/>
      <c r="BM236" s="72"/>
    </row>
    <row r="237" spans="1:66" s="953" customFormat="1">
      <c r="A237" s="944" t="s">
        <v>5839</v>
      </c>
      <c r="B237" s="954"/>
      <c r="C237" s="960">
        <v>35</v>
      </c>
      <c r="D237" s="76"/>
      <c r="E237" s="72"/>
      <c r="F237" s="72"/>
      <c r="G237" s="72">
        <f t="shared" si="46"/>
        <v>35</v>
      </c>
      <c r="H237" s="72"/>
      <c r="I237" s="72"/>
      <c r="J237" s="72"/>
      <c r="K237" s="72"/>
      <c r="L237" s="72">
        <v>1</v>
      </c>
      <c r="M237" s="72"/>
      <c r="N237" s="72"/>
      <c r="O237" s="72"/>
      <c r="P237" s="72">
        <v>1</v>
      </c>
      <c r="Q237" s="72"/>
      <c r="R237" s="67"/>
      <c r="S237" s="952"/>
      <c r="T237" s="952"/>
      <c r="U237" s="72"/>
      <c r="V237" s="72"/>
      <c r="W237" s="72"/>
      <c r="X237" s="72"/>
      <c r="Y237" s="72"/>
      <c r="Z237" s="72"/>
      <c r="AA237" s="72"/>
      <c r="AB237" s="72"/>
      <c r="AC237" s="72"/>
      <c r="AD237" s="72">
        <v>1</v>
      </c>
      <c r="AE237" s="72"/>
      <c r="AF237" s="72"/>
      <c r="AG237" s="72"/>
      <c r="AH237" s="72"/>
      <c r="AI237" s="72"/>
      <c r="AJ237" s="72">
        <v>1</v>
      </c>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v>1</v>
      </c>
      <c r="BI237" s="72"/>
      <c r="BJ237" s="72"/>
      <c r="BK237" s="72">
        <f t="shared" si="47"/>
        <v>1</v>
      </c>
      <c r="BL237" s="72"/>
      <c r="BM237" s="72"/>
    </row>
    <row r="238" spans="1:66" s="953" customFormat="1">
      <c r="A238" s="944" t="s">
        <v>5840</v>
      </c>
      <c r="B238" s="954"/>
      <c r="C238" s="960">
        <v>30</v>
      </c>
      <c r="D238" s="76"/>
      <c r="E238" s="72"/>
      <c r="F238" s="72"/>
      <c r="G238" s="72">
        <f t="shared" si="46"/>
        <v>30</v>
      </c>
      <c r="H238" s="72"/>
      <c r="I238" s="72"/>
      <c r="J238" s="72"/>
      <c r="K238" s="72">
        <v>1</v>
      </c>
      <c r="L238" s="72"/>
      <c r="M238" s="72"/>
      <c r="N238" s="72"/>
      <c r="O238" s="72"/>
      <c r="P238" s="72">
        <v>1</v>
      </c>
      <c r="Q238" s="72"/>
      <c r="R238" s="67"/>
      <c r="S238" s="952"/>
      <c r="T238" s="952"/>
      <c r="U238" s="72"/>
      <c r="V238" s="72"/>
      <c r="W238" s="72"/>
      <c r="X238" s="72"/>
      <c r="Y238" s="72"/>
      <c r="Z238" s="72"/>
      <c r="AA238" s="72"/>
      <c r="AB238" s="72"/>
      <c r="AC238" s="72"/>
      <c r="AD238" s="72">
        <v>1</v>
      </c>
      <c r="AE238" s="72"/>
      <c r="AF238" s="72"/>
      <c r="AG238" s="72"/>
      <c r="AH238" s="72"/>
      <c r="AI238" s="72"/>
      <c r="AJ238" s="72">
        <v>1</v>
      </c>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v>1</v>
      </c>
      <c r="BI238" s="72"/>
      <c r="BJ238" s="72"/>
      <c r="BK238" s="72">
        <f t="shared" si="47"/>
        <v>0</v>
      </c>
      <c r="BL238" s="72"/>
      <c r="BM238" s="72"/>
    </row>
    <row r="239" spans="1:66" s="953" customFormat="1">
      <c r="A239" s="944" t="s">
        <v>5841</v>
      </c>
      <c r="B239" s="954"/>
      <c r="C239" s="960">
        <v>35</v>
      </c>
      <c r="D239" s="76"/>
      <c r="E239" s="72"/>
      <c r="F239" s="72"/>
      <c r="G239" s="72">
        <f t="shared" si="46"/>
        <v>35</v>
      </c>
      <c r="H239" s="72"/>
      <c r="I239" s="72"/>
      <c r="J239" s="72"/>
      <c r="K239" s="72">
        <v>1</v>
      </c>
      <c r="L239" s="72"/>
      <c r="M239" s="72"/>
      <c r="N239" s="72"/>
      <c r="O239" s="72"/>
      <c r="P239" s="72">
        <v>1</v>
      </c>
      <c r="Q239" s="72"/>
      <c r="R239" s="67"/>
      <c r="S239" s="952"/>
      <c r="T239" s="952"/>
      <c r="U239" s="72"/>
      <c r="V239" s="72"/>
      <c r="W239" s="72"/>
      <c r="X239" s="72"/>
      <c r="Y239" s="72"/>
      <c r="Z239" s="72"/>
      <c r="AA239" s="72"/>
      <c r="AB239" s="72"/>
      <c r="AC239" s="72"/>
      <c r="AD239" s="72">
        <v>1</v>
      </c>
      <c r="AE239" s="72"/>
      <c r="AF239" s="72"/>
      <c r="AG239" s="72"/>
      <c r="AH239" s="72"/>
      <c r="AI239" s="72"/>
      <c r="AJ239" s="72">
        <v>1</v>
      </c>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v>1</v>
      </c>
      <c r="BI239" s="72"/>
      <c r="BJ239" s="72"/>
      <c r="BK239" s="72">
        <f t="shared" si="47"/>
        <v>0</v>
      </c>
      <c r="BL239" s="72"/>
      <c r="BM239" s="72"/>
    </row>
    <row r="240" spans="1:66" s="953" customFormat="1">
      <c r="A240" s="944" t="s">
        <v>5842</v>
      </c>
      <c r="B240" s="954"/>
      <c r="C240" s="960">
        <v>35</v>
      </c>
      <c r="D240" s="76"/>
      <c r="E240" s="72"/>
      <c r="F240" s="72"/>
      <c r="G240" s="72">
        <f t="shared" si="46"/>
        <v>35</v>
      </c>
      <c r="H240" s="72"/>
      <c r="I240" s="72"/>
      <c r="J240" s="72"/>
      <c r="K240" s="72">
        <v>1</v>
      </c>
      <c r="L240" s="72"/>
      <c r="M240" s="72"/>
      <c r="N240" s="72"/>
      <c r="O240" s="72"/>
      <c r="P240" s="72">
        <v>1</v>
      </c>
      <c r="Q240" s="72"/>
      <c r="R240" s="67"/>
      <c r="S240" s="952"/>
      <c r="T240" s="952"/>
      <c r="U240" s="72"/>
      <c r="V240" s="72"/>
      <c r="W240" s="72"/>
      <c r="X240" s="72"/>
      <c r="Y240" s="72"/>
      <c r="Z240" s="72"/>
      <c r="AA240" s="72"/>
      <c r="AB240" s="72"/>
      <c r="AC240" s="72"/>
      <c r="AD240" s="72">
        <v>1</v>
      </c>
      <c r="AE240" s="72"/>
      <c r="AF240" s="72"/>
      <c r="AG240" s="72"/>
      <c r="AH240" s="72"/>
      <c r="AI240" s="72"/>
      <c r="AJ240" s="72">
        <v>1</v>
      </c>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v>1</v>
      </c>
      <c r="BI240" s="72"/>
      <c r="BJ240" s="72"/>
      <c r="BK240" s="72">
        <f t="shared" si="47"/>
        <v>0</v>
      </c>
      <c r="BL240" s="72"/>
      <c r="BM240" s="72"/>
    </row>
    <row r="241" spans="1:65" s="953" customFormat="1">
      <c r="A241" s="944" t="s">
        <v>5843</v>
      </c>
      <c r="B241" s="954"/>
      <c r="C241" s="960">
        <v>35</v>
      </c>
      <c r="D241" s="76"/>
      <c r="E241" s="72"/>
      <c r="F241" s="72"/>
      <c r="G241" s="72">
        <f t="shared" si="46"/>
        <v>35</v>
      </c>
      <c r="H241" s="72"/>
      <c r="I241" s="72"/>
      <c r="J241" s="72"/>
      <c r="K241" s="72">
        <v>1</v>
      </c>
      <c r="L241" s="72"/>
      <c r="M241" s="72"/>
      <c r="N241" s="72"/>
      <c r="O241" s="72"/>
      <c r="P241" s="72">
        <v>1</v>
      </c>
      <c r="Q241" s="72"/>
      <c r="R241" s="67"/>
      <c r="S241" s="952"/>
      <c r="T241" s="952"/>
      <c r="U241" s="72"/>
      <c r="V241" s="72"/>
      <c r="W241" s="72"/>
      <c r="X241" s="72"/>
      <c r="Y241" s="72"/>
      <c r="Z241" s="72"/>
      <c r="AA241" s="72"/>
      <c r="AB241" s="72"/>
      <c r="AC241" s="72"/>
      <c r="AD241" s="72">
        <v>1</v>
      </c>
      <c r="AE241" s="72"/>
      <c r="AF241" s="72"/>
      <c r="AG241" s="72"/>
      <c r="AH241" s="72"/>
      <c r="AI241" s="72"/>
      <c r="AJ241" s="72">
        <v>1</v>
      </c>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v>1</v>
      </c>
      <c r="BI241" s="72"/>
      <c r="BJ241" s="72"/>
      <c r="BK241" s="72">
        <f t="shared" si="47"/>
        <v>0</v>
      </c>
      <c r="BL241" s="72"/>
      <c r="BM241" s="72"/>
    </row>
    <row r="242" spans="1:65" s="953" customFormat="1">
      <c r="A242" s="944" t="s">
        <v>720</v>
      </c>
      <c r="B242" s="954" t="s">
        <v>3124</v>
      </c>
      <c r="C242" s="960">
        <v>35</v>
      </c>
      <c r="D242" s="76"/>
      <c r="E242" s="72"/>
      <c r="F242" s="72"/>
      <c r="G242" s="72">
        <f t="shared" si="46"/>
        <v>35</v>
      </c>
      <c r="H242" s="72"/>
      <c r="I242" s="72"/>
      <c r="J242" s="72"/>
      <c r="K242" s="72"/>
      <c r="L242" s="72">
        <v>1</v>
      </c>
      <c r="M242" s="72"/>
      <c r="N242" s="72"/>
      <c r="O242" s="72"/>
      <c r="P242" s="72">
        <v>1</v>
      </c>
      <c r="Q242" s="72"/>
      <c r="R242" s="67"/>
      <c r="S242" s="952"/>
      <c r="T242" s="952"/>
      <c r="U242" s="72"/>
      <c r="V242" s="72"/>
      <c r="W242" s="72">
        <v>1</v>
      </c>
      <c r="X242" s="72"/>
      <c r="Y242" s="72"/>
      <c r="Z242" s="72"/>
      <c r="AA242" s="72"/>
      <c r="AB242" s="72"/>
      <c r="AC242" s="72"/>
      <c r="AD242" s="72"/>
      <c r="AE242" s="72"/>
      <c r="AF242" s="72"/>
      <c r="AG242" s="72">
        <v>1</v>
      </c>
      <c r="AH242" s="72"/>
      <c r="AI242" s="72">
        <v>3</v>
      </c>
      <c r="AJ242" s="72">
        <v>1</v>
      </c>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v>1</v>
      </c>
      <c r="BI242" s="72"/>
      <c r="BJ242" s="72"/>
      <c r="BK242" s="72">
        <f t="shared" si="47"/>
        <v>1</v>
      </c>
      <c r="BL242" s="72"/>
      <c r="BM242" s="72"/>
    </row>
    <row r="243" spans="1:65" s="588" customFormat="1">
      <c r="A243" s="1323" t="s">
        <v>4538</v>
      </c>
      <c r="B243" s="1330"/>
      <c r="C243" s="1313">
        <f>SUM(C230:C242)</f>
        <v>393</v>
      </c>
      <c r="D243" s="1313">
        <f t="shared" ref="D243:BL243" si="48">SUM(D230:D242)</f>
        <v>0</v>
      </c>
      <c r="E243" s="1313">
        <f t="shared" si="48"/>
        <v>0</v>
      </c>
      <c r="F243" s="1313">
        <f t="shared" si="48"/>
        <v>0</v>
      </c>
      <c r="G243" s="1313">
        <f t="shared" si="48"/>
        <v>402</v>
      </c>
      <c r="H243" s="1313">
        <f t="shared" si="48"/>
        <v>0</v>
      </c>
      <c r="I243" s="1313">
        <f t="shared" si="48"/>
        <v>4</v>
      </c>
      <c r="J243" s="1313">
        <f t="shared" si="48"/>
        <v>0</v>
      </c>
      <c r="K243" s="1313">
        <f t="shared" si="48"/>
        <v>8</v>
      </c>
      <c r="L243" s="1313">
        <f t="shared" si="48"/>
        <v>2</v>
      </c>
      <c r="M243" s="1313">
        <f t="shared" si="48"/>
        <v>0</v>
      </c>
      <c r="N243" s="1313">
        <f t="shared" si="48"/>
        <v>0</v>
      </c>
      <c r="O243" s="1313">
        <f t="shared" si="48"/>
        <v>0</v>
      </c>
      <c r="P243" s="1313">
        <f t="shared" si="48"/>
        <v>10</v>
      </c>
      <c r="Q243" s="1313">
        <f t="shared" ref="Q243:V243" si="49">SUM(Q230:Q242)</f>
        <v>0</v>
      </c>
      <c r="R243" s="1313">
        <f t="shared" si="49"/>
        <v>2</v>
      </c>
      <c r="S243" s="1313">
        <f t="shared" si="49"/>
        <v>0</v>
      </c>
      <c r="T243" s="1313">
        <f t="shared" si="49"/>
        <v>0</v>
      </c>
      <c r="U243" s="1313">
        <f t="shared" si="49"/>
        <v>0</v>
      </c>
      <c r="V243" s="1313">
        <f t="shared" si="49"/>
        <v>0</v>
      </c>
      <c r="W243" s="1313">
        <f t="shared" si="48"/>
        <v>3</v>
      </c>
      <c r="X243" s="1313">
        <f t="shared" si="48"/>
        <v>0</v>
      </c>
      <c r="Y243" s="1313">
        <f t="shared" si="48"/>
        <v>0</v>
      </c>
      <c r="Z243" s="1313">
        <f t="shared" si="48"/>
        <v>0</v>
      </c>
      <c r="AA243" s="1313">
        <f t="shared" si="48"/>
        <v>0</v>
      </c>
      <c r="AB243" s="1313">
        <f t="shared" si="48"/>
        <v>0</v>
      </c>
      <c r="AC243" s="1313">
        <f t="shared" si="48"/>
        <v>0</v>
      </c>
      <c r="AD243" s="1313">
        <f t="shared" si="48"/>
        <v>11</v>
      </c>
      <c r="AE243" s="1313">
        <f t="shared" si="48"/>
        <v>0</v>
      </c>
      <c r="AF243" s="1313">
        <f t="shared" si="48"/>
        <v>0</v>
      </c>
      <c r="AG243" s="1313">
        <f t="shared" si="48"/>
        <v>6</v>
      </c>
      <c r="AH243" s="1313">
        <f t="shared" si="48"/>
        <v>2</v>
      </c>
      <c r="AI243" s="1313">
        <f t="shared" si="48"/>
        <v>3</v>
      </c>
      <c r="AJ243" s="1313">
        <f t="shared" si="48"/>
        <v>10</v>
      </c>
      <c r="AK243" s="1313">
        <f t="shared" si="48"/>
        <v>0</v>
      </c>
      <c r="AL243" s="1313">
        <f t="shared" si="48"/>
        <v>3</v>
      </c>
      <c r="AM243" s="1313">
        <f t="shared" si="48"/>
        <v>0</v>
      </c>
      <c r="AN243" s="1313">
        <f t="shared" si="48"/>
        <v>2</v>
      </c>
      <c r="AO243" s="1313">
        <f t="shared" si="48"/>
        <v>0</v>
      </c>
      <c r="AP243" s="1313">
        <f t="shared" si="48"/>
        <v>0</v>
      </c>
      <c r="AQ243" s="1313">
        <f t="shared" si="48"/>
        <v>0</v>
      </c>
      <c r="AR243" s="1313">
        <f t="shared" si="48"/>
        <v>2</v>
      </c>
      <c r="AS243" s="1313">
        <f t="shared" si="48"/>
        <v>4</v>
      </c>
      <c r="AT243" s="1313">
        <f t="shared" si="48"/>
        <v>0</v>
      </c>
      <c r="AU243" s="1313">
        <f t="shared" si="48"/>
        <v>0</v>
      </c>
      <c r="AV243" s="1313">
        <f t="shared" si="48"/>
        <v>0</v>
      </c>
      <c r="AW243" s="1313">
        <f t="shared" si="48"/>
        <v>0</v>
      </c>
      <c r="AX243" s="1313">
        <f t="shared" si="48"/>
        <v>0</v>
      </c>
      <c r="AY243" s="1313">
        <f t="shared" si="48"/>
        <v>6</v>
      </c>
      <c r="AZ243" s="1313">
        <f t="shared" si="48"/>
        <v>0</v>
      </c>
      <c r="BA243" s="1313">
        <f t="shared" si="48"/>
        <v>0</v>
      </c>
      <c r="BB243" s="1313">
        <f t="shared" si="48"/>
        <v>0</v>
      </c>
      <c r="BC243" s="1313">
        <f t="shared" si="48"/>
        <v>0</v>
      </c>
      <c r="BD243" s="1313">
        <f t="shared" si="48"/>
        <v>0</v>
      </c>
      <c r="BE243" s="1313">
        <f t="shared" si="48"/>
        <v>0</v>
      </c>
      <c r="BF243" s="1313">
        <f t="shared" si="48"/>
        <v>0</v>
      </c>
      <c r="BG243" s="1313">
        <f t="shared" si="48"/>
        <v>0</v>
      </c>
      <c r="BH243" s="1313">
        <f t="shared" si="48"/>
        <v>12</v>
      </c>
      <c r="BI243" s="1313">
        <f t="shared" si="48"/>
        <v>0</v>
      </c>
      <c r="BJ243" s="1313">
        <f t="shared" si="48"/>
        <v>0</v>
      </c>
      <c r="BK243" s="1313">
        <f t="shared" si="48"/>
        <v>2</v>
      </c>
      <c r="BL243" s="1313">
        <f t="shared" si="48"/>
        <v>0</v>
      </c>
      <c r="BM243" s="1313"/>
    </row>
    <row r="244" spans="1:65">
      <c r="A244" s="2116" t="s">
        <v>1208</v>
      </c>
      <c r="B244" s="2117"/>
      <c r="C244" s="1324"/>
      <c r="D244" s="1325"/>
      <c r="E244" s="1325"/>
      <c r="F244" s="1325"/>
      <c r="G244" s="1325"/>
      <c r="H244" s="1324"/>
      <c r="I244" s="1324"/>
      <c r="J244" s="1326"/>
      <c r="K244" s="1326"/>
      <c r="L244" s="1326"/>
      <c r="M244" s="1326"/>
      <c r="N244" s="1326"/>
      <c r="O244" s="1326"/>
      <c r="P244" s="1326"/>
      <c r="Q244" s="1326"/>
      <c r="R244" s="1326"/>
      <c r="S244" s="1326"/>
      <c r="T244" s="1326"/>
      <c r="U244" s="1327"/>
      <c r="V244" s="1327"/>
      <c r="W244" s="1327"/>
      <c r="X244" s="1327"/>
      <c r="Y244" s="1327"/>
      <c r="Z244" s="1327"/>
      <c r="AA244" s="1327"/>
      <c r="AB244" s="1327"/>
      <c r="AC244" s="1327"/>
      <c r="AD244" s="1327"/>
      <c r="AE244" s="1327"/>
      <c r="AF244" s="1327"/>
      <c r="AG244" s="1327"/>
      <c r="AH244" s="1327"/>
      <c r="AI244" s="1327"/>
      <c r="AJ244" s="1327"/>
      <c r="AK244" s="1327"/>
      <c r="AL244" s="1327"/>
      <c r="AM244" s="1327"/>
      <c r="AN244" s="1327"/>
      <c r="AO244" s="1327"/>
      <c r="AP244" s="1327"/>
      <c r="AQ244" s="1327"/>
      <c r="AR244" s="1327"/>
      <c r="AS244" s="1327"/>
      <c r="AT244" s="1327"/>
      <c r="AU244" s="1327"/>
      <c r="AV244" s="1327"/>
      <c r="AW244" s="1327"/>
      <c r="AX244" s="1327"/>
      <c r="AY244" s="1327"/>
      <c r="AZ244" s="1327"/>
      <c r="BA244" s="1327"/>
      <c r="BB244" s="1327"/>
      <c r="BC244" s="1327"/>
      <c r="BD244" s="1327"/>
      <c r="BE244" s="1327"/>
      <c r="BF244" s="1327"/>
      <c r="BG244" s="1327"/>
      <c r="BH244" s="1327"/>
      <c r="BI244" s="1327"/>
      <c r="BJ244" s="1327"/>
      <c r="BK244" s="1327"/>
      <c r="BL244" s="1327"/>
      <c r="BM244" s="1328"/>
    </row>
    <row r="245" spans="1:65" s="589" customFormat="1" ht="25.5">
      <c r="A245" s="2118"/>
      <c r="B245" s="2119"/>
      <c r="C245" s="1329">
        <f>C140+C180+C210+C228+C243</f>
        <v>4653</v>
      </c>
      <c r="D245" s="1329">
        <f t="shared" ref="D245:AI245" si="50">D140+D180+D210+D228+D243</f>
        <v>0</v>
      </c>
      <c r="E245" s="1329">
        <f t="shared" si="50"/>
        <v>0</v>
      </c>
      <c r="F245" s="1329">
        <f t="shared" si="50"/>
        <v>0</v>
      </c>
      <c r="G245" s="1329">
        <f t="shared" si="50"/>
        <v>4751</v>
      </c>
      <c r="H245" s="1329">
        <f t="shared" si="50"/>
        <v>0</v>
      </c>
      <c r="I245" s="1329">
        <f t="shared" si="50"/>
        <v>4</v>
      </c>
      <c r="J245" s="1329">
        <f t="shared" si="50"/>
        <v>3</v>
      </c>
      <c r="K245" s="1329">
        <f t="shared" si="50"/>
        <v>104</v>
      </c>
      <c r="L245" s="1329">
        <f t="shared" si="50"/>
        <v>19</v>
      </c>
      <c r="M245" s="1329">
        <f t="shared" si="50"/>
        <v>0</v>
      </c>
      <c r="N245" s="1329">
        <f t="shared" si="50"/>
        <v>1</v>
      </c>
      <c r="O245" s="1329">
        <f t="shared" si="50"/>
        <v>0</v>
      </c>
      <c r="P245" s="1329">
        <f t="shared" si="50"/>
        <v>98</v>
      </c>
      <c r="Q245" s="1329">
        <f t="shared" si="50"/>
        <v>1</v>
      </c>
      <c r="R245" s="1329">
        <f t="shared" si="50"/>
        <v>2</v>
      </c>
      <c r="S245" s="1329">
        <f t="shared" si="50"/>
        <v>11</v>
      </c>
      <c r="T245" s="1329">
        <f t="shared" si="50"/>
        <v>3</v>
      </c>
      <c r="U245" s="1329">
        <f t="shared" si="50"/>
        <v>0</v>
      </c>
      <c r="V245" s="1329">
        <f t="shared" si="50"/>
        <v>0</v>
      </c>
      <c r="W245" s="1329">
        <f t="shared" si="50"/>
        <v>6</v>
      </c>
      <c r="X245" s="1329">
        <f t="shared" si="50"/>
        <v>4</v>
      </c>
      <c r="Y245" s="1329">
        <f t="shared" si="50"/>
        <v>0</v>
      </c>
      <c r="Z245" s="1329">
        <f t="shared" si="50"/>
        <v>0</v>
      </c>
      <c r="AA245" s="1329">
        <f t="shared" si="50"/>
        <v>0</v>
      </c>
      <c r="AB245" s="1329">
        <f t="shared" si="50"/>
        <v>0</v>
      </c>
      <c r="AC245" s="1329">
        <f t="shared" si="50"/>
        <v>0</v>
      </c>
      <c r="AD245" s="1329">
        <f t="shared" si="50"/>
        <v>119</v>
      </c>
      <c r="AE245" s="1329">
        <f t="shared" si="50"/>
        <v>0</v>
      </c>
      <c r="AF245" s="1329">
        <f t="shared" si="50"/>
        <v>0</v>
      </c>
      <c r="AG245" s="1329">
        <f t="shared" si="50"/>
        <v>54</v>
      </c>
      <c r="AH245" s="1329">
        <f t="shared" si="50"/>
        <v>9</v>
      </c>
      <c r="AI245" s="1329">
        <f t="shared" si="50"/>
        <v>27</v>
      </c>
      <c r="AJ245" s="1329">
        <f t="shared" ref="AJ245:BM245" si="51">AJ140+AJ180+AJ210+AJ228+AJ243</f>
        <v>111</v>
      </c>
      <c r="AK245" s="1329">
        <f t="shared" si="51"/>
        <v>3</v>
      </c>
      <c r="AL245" s="1329">
        <f t="shared" si="51"/>
        <v>30</v>
      </c>
      <c r="AM245" s="1329">
        <f t="shared" si="51"/>
        <v>13</v>
      </c>
      <c r="AN245" s="1329">
        <f t="shared" si="51"/>
        <v>9</v>
      </c>
      <c r="AO245" s="1329">
        <f t="shared" si="51"/>
        <v>0</v>
      </c>
      <c r="AP245" s="1329">
        <f t="shared" si="51"/>
        <v>0</v>
      </c>
      <c r="AQ245" s="1329">
        <f t="shared" si="51"/>
        <v>0</v>
      </c>
      <c r="AR245" s="1329">
        <f t="shared" si="51"/>
        <v>24</v>
      </c>
      <c r="AS245" s="1329">
        <f t="shared" si="51"/>
        <v>15</v>
      </c>
      <c r="AT245" s="1329">
        <f t="shared" si="51"/>
        <v>0</v>
      </c>
      <c r="AU245" s="1329">
        <f t="shared" si="51"/>
        <v>0</v>
      </c>
      <c r="AV245" s="1329">
        <f t="shared" si="51"/>
        <v>0</v>
      </c>
      <c r="AW245" s="1329">
        <f t="shared" si="51"/>
        <v>0</v>
      </c>
      <c r="AX245" s="1329">
        <f t="shared" si="51"/>
        <v>0</v>
      </c>
      <c r="AY245" s="1329">
        <f t="shared" si="51"/>
        <v>18</v>
      </c>
      <c r="AZ245" s="1329">
        <f t="shared" si="51"/>
        <v>0</v>
      </c>
      <c r="BA245" s="1329">
        <f t="shared" si="51"/>
        <v>0</v>
      </c>
      <c r="BB245" s="1329">
        <f t="shared" si="51"/>
        <v>21</v>
      </c>
      <c r="BC245" s="1329">
        <f t="shared" si="51"/>
        <v>0</v>
      </c>
      <c r="BD245" s="1329">
        <f t="shared" si="51"/>
        <v>0</v>
      </c>
      <c r="BE245" s="1329">
        <f t="shared" si="51"/>
        <v>0</v>
      </c>
      <c r="BF245" s="1329">
        <f t="shared" si="51"/>
        <v>0</v>
      </c>
      <c r="BG245" s="1329">
        <f t="shared" si="51"/>
        <v>0</v>
      </c>
      <c r="BH245" s="1329">
        <f t="shared" si="51"/>
        <v>138</v>
      </c>
      <c r="BI245" s="1329">
        <f t="shared" si="51"/>
        <v>0</v>
      </c>
      <c r="BJ245" s="1329">
        <f t="shared" si="51"/>
        <v>0</v>
      </c>
      <c r="BK245" s="1329">
        <f t="shared" si="51"/>
        <v>19</v>
      </c>
      <c r="BL245" s="1329">
        <f t="shared" si="51"/>
        <v>10</v>
      </c>
      <c r="BM245" s="1329">
        <f t="shared" si="51"/>
        <v>0</v>
      </c>
    </row>
    <row r="246" spans="1:65" ht="10.5" customHeight="1">
      <c r="A246" s="52"/>
      <c r="B246" s="52"/>
      <c r="C246" s="40"/>
      <c r="D246" s="40"/>
      <c r="E246" s="40"/>
      <c r="F246" s="40"/>
      <c r="G246" s="40"/>
      <c r="H246" s="40"/>
      <c r="I246" s="40"/>
      <c r="J246" s="40"/>
      <c r="K246" s="40"/>
      <c r="L246" s="40"/>
      <c r="M246" s="40"/>
      <c r="N246" s="40"/>
      <c r="O246" s="40"/>
      <c r="P246" s="40"/>
      <c r="Q246" s="40"/>
      <c r="R246" s="40"/>
    </row>
    <row r="247" spans="1:65">
      <c r="A247" s="2075" t="s">
        <v>1471</v>
      </c>
      <c r="B247" s="2075"/>
      <c r="C247" s="2075"/>
      <c r="D247" s="40"/>
      <c r="E247" s="40"/>
      <c r="F247" s="40"/>
      <c r="G247" s="40"/>
      <c r="H247" s="40"/>
      <c r="I247" s="40"/>
      <c r="J247" s="40"/>
      <c r="K247" s="40"/>
      <c r="L247" s="40"/>
      <c r="M247" s="40"/>
      <c r="N247" s="40"/>
      <c r="O247" s="40"/>
      <c r="P247" s="40"/>
      <c r="Q247" s="54"/>
      <c r="R247" s="54"/>
    </row>
    <row r="248" spans="1:65">
      <c r="A248" s="2073" t="s">
        <v>1472</v>
      </c>
      <c r="B248" s="2073"/>
      <c r="C248" s="2073"/>
    </row>
    <row r="249" spans="1:65" hidden="1">
      <c r="D249" s="41"/>
      <c r="E249" s="41"/>
      <c r="F249" s="41" t="str">
        <f>+ROUND(E245,0)&amp;"m x 1,02 ="</f>
        <v>0m x 1,02 =</v>
      </c>
      <c r="G249" s="55">
        <f>+ROUND(+E245*1.02,0)</f>
        <v>0</v>
      </c>
      <c r="H249" s="43" t="s">
        <v>5510</v>
      </c>
      <c r="I249" s="43"/>
      <c r="J249" s="44"/>
    </row>
    <row r="250" spans="1:65">
      <c r="D250" s="41"/>
      <c r="E250" s="41"/>
      <c r="F250" s="41" t="str">
        <f>+ROUND(F245,0)&amp;"m x 1,02 ="</f>
        <v>0m x 1,02 =</v>
      </c>
      <c r="G250" s="55">
        <f>+ROUND(+F245*1.02,0)</f>
        <v>0</v>
      </c>
      <c r="H250" s="43" t="s">
        <v>6210</v>
      </c>
      <c r="I250" s="43"/>
      <c r="J250" s="44"/>
    </row>
    <row r="251" spans="1:65">
      <c r="D251" s="41"/>
      <c r="E251" s="41"/>
      <c r="F251" s="41" t="str">
        <f>+ROUND(G245,0)&amp;"m x 1,02 ="</f>
        <v>4751m x 1,02 =</v>
      </c>
      <c r="G251" s="55">
        <f>+ROUND(+G245*1.02,0)</f>
        <v>4846</v>
      </c>
      <c r="H251" s="43" t="s">
        <v>5792</v>
      </c>
      <c r="I251" s="43"/>
      <c r="J251" s="44"/>
    </row>
    <row r="252" spans="1:65" hidden="1">
      <c r="G252" s="78">
        <f>D245</f>
        <v>0</v>
      </c>
      <c r="H252" s="43" t="s">
        <v>6211</v>
      </c>
      <c r="I252" s="43"/>
    </row>
    <row r="254" spans="1:65">
      <c r="C254" s="78"/>
    </row>
    <row r="258" spans="3:3">
      <c r="C258" s="78">
        <f>C245-1705</f>
        <v>2948</v>
      </c>
    </row>
  </sheetData>
  <mergeCells count="39">
    <mergeCell ref="AS3:AS4"/>
    <mergeCell ref="AX3:AX4"/>
    <mergeCell ref="AW3:AW4"/>
    <mergeCell ref="AM3:AM4"/>
    <mergeCell ref="AU3:AU4"/>
    <mergeCell ref="AQ3:AQ4"/>
    <mergeCell ref="AT3:AT4"/>
    <mergeCell ref="AR3:AR4"/>
    <mergeCell ref="BB3:BB4"/>
    <mergeCell ref="BG3:BG4"/>
    <mergeCell ref="BH3:BH4"/>
    <mergeCell ref="BF3:BF4"/>
    <mergeCell ref="AV3:AV4"/>
    <mergeCell ref="A248:C248"/>
    <mergeCell ref="AO3:AO4"/>
    <mergeCell ref="AP3:AP4"/>
    <mergeCell ref="M3:T3"/>
    <mergeCell ref="AC3:AI3"/>
    <mergeCell ref="AL3:AL4"/>
    <mergeCell ref="AN3:AN4"/>
    <mergeCell ref="A244:B245"/>
    <mergeCell ref="AJ3:AJ4"/>
    <mergeCell ref="AK3:AK4"/>
    <mergeCell ref="BL3:BL4"/>
    <mergeCell ref="A1:BM1"/>
    <mergeCell ref="A247:C247"/>
    <mergeCell ref="BM3:BM4"/>
    <mergeCell ref="BE3:BE4"/>
    <mergeCell ref="BK3:BK4"/>
    <mergeCell ref="A3:A4"/>
    <mergeCell ref="B3:B4"/>
    <mergeCell ref="C3:C4"/>
    <mergeCell ref="BI3:BI4"/>
    <mergeCell ref="BJ3:BJ4"/>
    <mergeCell ref="BD3:BD4"/>
    <mergeCell ref="AY3:AY4"/>
    <mergeCell ref="BC3:BC4"/>
    <mergeCell ref="BA3:BA4"/>
    <mergeCell ref="AZ3:AZ4"/>
  </mergeCells>
  <phoneticPr fontId="75" type="noConversion"/>
  <printOptions horizontalCentered="1"/>
  <pageMargins left="0.19685039370078741" right="0.19685039370078741" top="0.51181102362204722" bottom="0.31496062992125984" header="0.31496062992125984" footer="0.19685039370078741"/>
  <pageSetup paperSize="8" firstPageNumber="32" orientation="landscape" blackAndWhite="1" useFirstPageNumber="1"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tabColor indexed="22"/>
  </sheetPr>
  <dimension ref="A1:I81"/>
  <sheetViews>
    <sheetView showGridLines="0" showZeros="0" showRuler="0" view="pageLayout" zoomScale="85" zoomScaleNormal="85" zoomScalePageLayoutView="85" workbookViewId="0">
      <selection activeCell="C10" sqref="C10:D10"/>
    </sheetView>
  </sheetViews>
  <sheetFormatPr defaultColWidth="0" defaultRowHeight="15" zeroHeight="1"/>
  <cols>
    <col min="1" max="1" width="5.33203125" style="10" customWidth="1"/>
    <col min="2" max="2" width="6" style="13" customWidth="1"/>
    <col min="3" max="4" width="19.83203125" style="10" customWidth="1"/>
    <col min="5" max="5" width="10.83203125" style="10" customWidth="1"/>
    <col min="6" max="6" width="30.83203125" style="10" customWidth="1"/>
    <col min="7" max="7" width="7.83203125" style="10" customWidth="1"/>
    <col min="8" max="8" width="16.83203125" style="34" customWidth="1"/>
    <col min="9" max="9" width="5.1640625" style="10" customWidth="1"/>
    <col min="10" max="16384" width="0" style="10" hidden="1"/>
  </cols>
  <sheetData>
    <row r="1" spans="1:9"/>
    <row r="2" spans="1:9"/>
    <row r="3" spans="1:9">
      <c r="A3" s="79" t="s">
        <v>5942</v>
      </c>
      <c r="B3" s="781"/>
      <c r="C3" s="781"/>
      <c r="D3" s="781"/>
      <c r="E3" s="781"/>
      <c r="F3" s="781"/>
      <c r="G3" s="781"/>
      <c r="H3" s="802"/>
      <c r="I3" s="781"/>
    </row>
    <row r="4" spans="1:9" ht="18" customHeight="1">
      <c r="A4" s="79" t="s">
        <v>3078</v>
      </c>
      <c r="B4" s="79"/>
      <c r="C4" s="79"/>
      <c r="D4" s="79"/>
      <c r="E4" s="79"/>
      <c r="F4" s="79"/>
      <c r="G4" s="79"/>
      <c r="H4" s="79"/>
      <c r="I4" s="79"/>
    </row>
    <row r="5" spans="1:9" ht="18" customHeight="1">
      <c r="B5" s="39"/>
      <c r="C5" s="39"/>
      <c r="D5" s="39"/>
      <c r="E5" s="39"/>
      <c r="F5" s="39"/>
      <c r="H5" s="10"/>
    </row>
    <row r="6" spans="1:9" ht="17.25" customHeight="1">
      <c r="A6" s="35"/>
      <c r="B6" s="80" t="s">
        <v>6345</v>
      </c>
      <c r="C6" s="2095" t="s">
        <v>85</v>
      </c>
      <c r="D6" s="2097"/>
      <c r="E6" s="801"/>
      <c r="F6" s="785" t="s">
        <v>3079</v>
      </c>
      <c r="G6" s="784"/>
      <c r="H6" s="799" t="s">
        <v>2486</v>
      </c>
      <c r="I6" s="35"/>
    </row>
    <row r="7" spans="1:9" ht="30" customHeight="1">
      <c r="B7" s="49">
        <v>1</v>
      </c>
      <c r="C7" s="2100" t="s">
        <v>1219</v>
      </c>
      <c r="D7" s="2101"/>
      <c r="E7" s="815">
        <v>130</v>
      </c>
      <c r="F7" s="818" t="str">
        <f>IF(C20=8,"1.851 đồng/tấn.kmx1,3/0,9x1,3x",IF(C20=21,"1.070 đồng/tấn.kmx1,3/0,9x1,3x",IF(AND(C20&gt;=41,C20&lt;=45),"724 đồng/tấn.kmx1,3/0,9x1,3x",IF(AND(C20&gt;=56,C20&lt;=60),"684 đồng/tấn.kmx1,3/0,9x1,3x",IF(AND(C20&gt;=61,C20&lt;=70),"673 đồng/tấn.kmx1,3/0,9x1,3x","Nhập lại")))))</f>
        <v>673 đồng/tấn.kmx1,3/0,9x1,3x</v>
      </c>
      <c r="G7" s="786">
        <f>+C20</f>
        <v>65</v>
      </c>
      <c r="H7" s="787">
        <f>IF(C20=8,E7*1851*1.3/0.9*1.3*G7,IF(C20=21,E7*1070*1.3/0.9*1.3*G7,IF(AND(C20&gt;=41,C20&lt;=45),E7*724*1.3/0.9*1.3*G7,IF(AND(C20&gt;=56,C20&lt;=60),E7*684*1.3/0.9*1.3*G7,IF(AND(C20&gt;=61,C20&lt;=70),E7*673*1.3/0.9*1.3*G7,"Nhập lại")))))</f>
        <v>10678640.555555556</v>
      </c>
    </row>
    <row r="8" spans="1:9" ht="30" customHeight="1">
      <c r="B8" s="49">
        <v>2</v>
      </c>
      <c r="C8" s="2100" t="s">
        <v>1217</v>
      </c>
      <c r="D8" s="2101"/>
      <c r="E8" s="815">
        <v>3</v>
      </c>
      <c r="F8" s="817" t="str">
        <f>IF(C20=8,"1.851 đồng/tấn.kmx1,3/0,9x1,3x",IF(C20=21,"1.070 đồng/tấn.kmx1,3/0,9x1,3x",IF(AND(C20&gt;=41,C20&lt;=45),"724 đồng/tấn.kmx1,3/0,9x1,3x",IF(AND(C20&gt;=56,C20&lt;=60),"684 đồng/tấn.kmx1,3/0,9x1,3x",IF(AND(C20&gt;=61,C20&lt;=70),"673 đồng/tấn.kmx1,3/0,9x1,3x","Nhập lại")))))</f>
        <v>673 đồng/tấn.kmx1,3/0,9x1,3x</v>
      </c>
      <c r="G8" s="786">
        <f>+C20</f>
        <v>65</v>
      </c>
      <c r="H8" s="787">
        <f>IF(C20=8,E8*1851*1.3/0.9*1.3*G8,IF(C20=21,E8*1070*1.3/0.9*1.3*G8,IF(AND(C20&gt;=41,C20&lt;=45),E8*724*1.3/0.9*1.3*G8,IF(AND(C20&gt;=56,C20&lt;=60),E8*684*1.3/0.9*1.3*G8,IF(AND(C20&gt;=61,C20&lt;=70),E8*673*1.3/0.9*1.3*G8,"Nhập lại")))))</f>
        <v>246430.16666666669</v>
      </c>
    </row>
    <row r="9" spans="1:9" ht="30" hidden="1" customHeight="1">
      <c r="B9" s="49">
        <v>3</v>
      </c>
      <c r="C9" s="2100" t="s">
        <v>3080</v>
      </c>
      <c r="D9" s="2101"/>
      <c r="E9" s="816"/>
      <c r="F9" s="792" t="str">
        <f>IF(C21&lt;=30,"23.900 đồng/tấn ",IF(C21&gt;=31,"23.900 đồng/tấn + 162 đồng/tấn.km x "))</f>
        <v xml:space="preserve">23.900 đồng/tấn + 162 đồng/tấn.km x </v>
      </c>
      <c r="G9" s="793">
        <f>IF(C21&lt;=30,"",IF(C21&gt;=31,C21))</f>
        <v>40</v>
      </c>
      <c r="H9" s="787">
        <f>IF(C21&lt;=30,E9*23900,IF(C21&gt;=31,(E9*23900+(E9*162*(C21-30)))))</f>
        <v>0</v>
      </c>
    </row>
    <row r="10" spans="1:9" ht="30" hidden="1" customHeight="1">
      <c r="B10" s="46">
        <v>4</v>
      </c>
      <c r="C10" s="2100" t="s">
        <v>5122</v>
      </c>
      <c r="D10" s="2101"/>
      <c r="E10" s="816"/>
      <c r="F10" s="792" t="str">
        <f>IF(C21&lt;=30,"23.900 đồng/tấn ",IF(C21&gt;=31,"23.900 đồng/tấn + 162 đồng/tấn.km x "))</f>
        <v xml:space="preserve">23.900 đồng/tấn + 162 đồng/tấn.km x </v>
      </c>
      <c r="G10" s="793">
        <f>IF(C21&lt;=30,"",IF(C21&gt;=31,C21))</f>
        <v>40</v>
      </c>
      <c r="H10" s="787">
        <f>IF(C21&lt;=30,E10*23900,IF(C21&gt;=31,(E10*23900+(E10*162*(C21-30)))))</f>
        <v>0</v>
      </c>
    </row>
    <row r="11" spans="1:9">
      <c r="B11" s="49"/>
      <c r="C11" s="2098"/>
      <c r="D11" s="2099"/>
      <c r="E11" s="2122" t="s">
        <v>2320</v>
      </c>
      <c r="F11" s="2123"/>
      <c r="G11" s="2124"/>
      <c r="H11" s="50">
        <f>SUM(H7:H10)</f>
        <v>10925070.722222222</v>
      </c>
    </row>
    <row r="12" spans="1:9">
      <c r="C12" s="35"/>
      <c r="D12" s="35"/>
      <c r="E12" s="35"/>
      <c r="F12" s="35"/>
      <c r="G12" s="35"/>
      <c r="H12" s="258"/>
    </row>
    <row r="13" spans="1:9">
      <c r="C13" s="35"/>
      <c r="D13" s="35"/>
      <c r="E13" s="35"/>
      <c r="F13" s="35"/>
      <c r="G13" s="35"/>
      <c r="H13" s="258"/>
    </row>
    <row r="14" spans="1:9">
      <c r="C14" s="798" t="s">
        <v>6403</v>
      </c>
      <c r="D14" s="798" t="s">
        <v>6403</v>
      </c>
      <c r="E14" s="35"/>
      <c r="F14" s="35"/>
      <c r="G14" s="35"/>
      <c r="H14" s="258"/>
    </row>
    <row r="15" spans="1:9">
      <c r="C15" s="797" t="s">
        <v>4249</v>
      </c>
      <c r="D15" s="797" t="s">
        <v>4251</v>
      </c>
      <c r="E15" s="35"/>
      <c r="F15" s="35"/>
      <c r="G15" s="35"/>
      <c r="H15" s="258"/>
    </row>
    <row r="16" spans="1:9">
      <c r="C16" s="797" t="s">
        <v>4250</v>
      </c>
      <c r="D16" s="797" t="s">
        <v>4139</v>
      </c>
    </row>
    <row r="17" spans="2:8">
      <c r="C17" s="797" t="s">
        <v>4249</v>
      </c>
      <c r="D17" s="797" t="s">
        <v>1859</v>
      </c>
      <c r="E17" s="35"/>
      <c r="F17" s="35"/>
      <c r="G17" s="35"/>
      <c r="H17" s="258"/>
    </row>
    <row r="18" spans="2:8">
      <c r="C18" s="797" t="str">
        <f>IF(C20=8,"1.851đồng/tấn.km",IF(C20=21,"1.070đồng/tấn.km",IF(AND(C20&gt;=41,C20&lt;=45),"724đồng/tấn.km",IF(AND(C20&gt;=56,C20&lt;=60),"684đồng/tấn.km",IF(AND(C20&gt;=61,C20&lt;=70),"673đồng/tấn.km","Nhập lại")))))</f>
        <v>673đồng/tấn.km</v>
      </c>
      <c r="D18" s="797" t="s">
        <v>1860</v>
      </c>
      <c r="E18" s="35"/>
      <c r="F18" s="35"/>
      <c r="G18" s="35"/>
      <c r="H18" s="258"/>
    </row>
    <row r="19" spans="2:8">
      <c r="C19" s="797" t="str">
        <f>IF(C21&lt;=30,"23.900 đồng/tấn",IF(C21&gt;=31,"162 đồng/tấn.km","xem lại"))</f>
        <v>162 đồng/tấn.km</v>
      </c>
      <c r="D19" s="797" t="s">
        <v>1861</v>
      </c>
      <c r="E19" s="35"/>
      <c r="F19" s="35"/>
      <c r="G19" s="35"/>
      <c r="H19" s="258"/>
    </row>
    <row r="20" spans="2:8">
      <c r="C20" s="814">
        <v>65</v>
      </c>
      <c r="D20" s="797" t="s">
        <v>2551</v>
      </c>
      <c r="E20" s="35"/>
      <c r="F20" s="35"/>
      <c r="G20" s="35"/>
      <c r="H20" s="258"/>
    </row>
    <row r="21" spans="2:8">
      <c r="C21" s="814">
        <v>40</v>
      </c>
      <c r="D21" s="797" t="s">
        <v>1063</v>
      </c>
      <c r="E21" s="35"/>
      <c r="F21" s="35"/>
      <c r="G21" s="35"/>
      <c r="H21" s="258"/>
    </row>
    <row r="22" spans="2:8"/>
    <row r="23" spans="2:8">
      <c r="C23" s="35"/>
      <c r="D23" s="35"/>
      <c r="E23" s="35"/>
      <c r="F23" s="35"/>
      <c r="G23" s="35"/>
      <c r="H23" s="258"/>
    </row>
    <row r="24" spans="2:8">
      <c r="B24" s="797"/>
      <c r="C24" s="35"/>
      <c r="D24" s="35"/>
      <c r="F24" s="966" t="s">
        <v>4885</v>
      </c>
      <c r="G24" s="966" t="s">
        <v>4886</v>
      </c>
      <c r="H24" s="967" t="s">
        <v>4887</v>
      </c>
    </row>
    <row r="25" spans="2:8">
      <c r="B25" s="797" t="s">
        <v>1819</v>
      </c>
      <c r="C25" s="797"/>
      <c r="D25" s="796">
        <v>0.63</v>
      </c>
      <c r="E25" s="796">
        <f>0.085</f>
        <v>8.5000000000000006E-2</v>
      </c>
      <c r="F25" s="965">
        <f t="shared" ref="F25:F39" si="0">+E25+D25</f>
        <v>0.71499999999999997</v>
      </c>
      <c r="G25" s="969"/>
      <c r="H25" s="970">
        <f>+G25*F25</f>
        <v>0</v>
      </c>
    </row>
    <row r="26" spans="2:8">
      <c r="B26" s="797" t="s">
        <v>1820</v>
      </c>
      <c r="C26" s="797"/>
      <c r="D26" s="796">
        <v>0.63</v>
      </c>
      <c r="E26" s="964">
        <f>0.8*0.8*0.8*2.2</f>
        <v>1.1264000000000003</v>
      </c>
      <c r="F26" s="965">
        <f t="shared" si="0"/>
        <v>1.7564000000000002</v>
      </c>
      <c r="G26" s="969"/>
      <c r="H26" s="970">
        <f t="shared" ref="H26:H39" si="1">+G26*F26</f>
        <v>0</v>
      </c>
    </row>
    <row r="27" spans="2:8">
      <c r="B27" s="797" t="s">
        <v>1821</v>
      </c>
      <c r="C27" s="797"/>
      <c r="D27" s="796">
        <f>+D25*2</f>
        <v>1.26</v>
      </c>
      <c r="E27" s="964">
        <f>0.8*1*0.8*2.2</f>
        <v>1.4080000000000004</v>
      </c>
      <c r="F27" s="965">
        <f t="shared" si="0"/>
        <v>2.6680000000000001</v>
      </c>
      <c r="G27" s="969">
        <f>'II.2.5.nc+mtcHA'!D9</f>
        <v>2</v>
      </c>
      <c r="H27" s="970">
        <f t="shared" si="1"/>
        <v>5.3360000000000003</v>
      </c>
    </row>
    <row r="28" spans="2:8">
      <c r="B28" s="797" t="s">
        <v>1822</v>
      </c>
      <c r="C28" s="797"/>
      <c r="D28" s="796">
        <v>1</v>
      </c>
      <c r="E28" s="796">
        <f>0.085</f>
        <v>8.5000000000000006E-2</v>
      </c>
      <c r="F28" s="965">
        <f t="shared" si="0"/>
        <v>1.085</v>
      </c>
      <c r="G28" s="969">
        <f>'II.2.5.nc+mtcHA'!D10</f>
        <v>1</v>
      </c>
      <c r="H28" s="970">
        <f t="shared" si="1"/>
        <v>1.085</v>
      </c>
    </row>
    <row r="29" spans="2:8">
      <c r="B29" s="797" t="s">
        <v>1823</v>
      </c>
      <c r="C29" s="797"/>
      <c r="D29" s="796">
        <v>1</v>
      </c>
      <c r="E29" s="964">
        <f>1*1*0.8*2.2</f>
        <v>1.7600000000000002</v>
      </c>
      <c r="F29" s="965">
        <f t="shared" si="0"/>
        <v>2.7600000000000002</v>
      </c>
      <c r="G29" s="969"/>
      <c r="H29" s="970">
        <f t="shared" si="1"/>
        <v>0</v>
      </c>
    </row>
    <row r="30" spans="2:8">
      <c r="B30" s="797" t="s">
        <v>1824</v>
      </c>
      <c r="C30" s="797"/>
      <c r="D30" s="796">
        <f>1*2</f>
        <v>2</v>
      </c>
      <c r="E30" s="964">
        <f>1.2*1*0.8*2.2</f>
        <v>2.1120000000000001</v>
      </c>
      <c r="F30" s="965">
        <f t="shared" si="0"/>
        <v>4.1120000000000001</v>
      </c>
      <c r="G30" s="969"/>
      <c r="H30" s="970">
        <f t="shared" si="1"/>
        <v>0</v>
      </c>
    </row>
    <row r="31" spans="2:8">
      <c r="B31" s="797" t="s">
        <v>1825</v>
      </c>
      <c r="C31" s="797"/>
      <c r="D31" s="796">
        <v>1.2</v>
      </c>
      <c r="E31" s="796">
        <f>0.225+0.085</f>
        <v>0.31</v>
      </c>
      <c r="F31" s="965">
        <f t="shared" si="0"/>
        <v>1.51</v>
      </c>
      <c r="G31" s="969"/>
      <c r="H31" s="970">
        <f t="shared" si="1"/>
        <v>0</v>
      </c>
    </row>
    <row r="32" spans="2:8">
      <c r="B32" s="797" t="s">
        <v>6033</v>
      </c>
      <c r="C32" s="797"/>
      <c r="D32" s="796">
        <v>1.2</v>
      </c>
      <c r="E32" s="964">
        <f>1.2*1.2*1*2.2</f>
        <v>3.1680000000000001</v>
      </c>
      <c r="F32" s="965">
        <f t="shared" si="0"/>
        <v>4.3680000000000003</v>
      </c>
      <c r="G32" s="969"/>
      <c r="H32" s="970">
        <f t="shared" si="1"/>
        <v>0</v>
      </c>
    </row>
    <row r="33" spans="1:9">
      <c r="B33" s="797" t="s">
        <v>6034</v>
      </c>
      <c r="C33" s="797"/>
      <c r="D33" s="796">
        <f>1.2*2</f>
        <v>2.4</v>
      </c>
      <c r="E33" s="964">
        <f>1.4*1.2*1*2.2</f>
        <v>3.6960000000000002</v>
      </c>
      <c r="F33" s="965">
        <f t="shared" si="0"/>
        <v>6.0960000000000001</v>
      </c>
      <c r="G33" s="969"/>
      <c r="H33" s="970">
        <f t="shared" si="1"/>
        <v>0</v>
      </c>
    </row>
    <row r="34" spans="1:9">
      <c r="B34" s="797" t="s">
        <v>6035</v>
      </c>
      <c r="C34" s="797"/>
      <c r="D34" s="796">
        <v>1.5</v>
      </c>
      <c r="E34" s="796">
        <f>0.225+0.085</f>
        <v>0.31</v>
      </c>
      <c r="F34" s="965">
        <f t="shared" si="0"/>
        <v>1.81</v>
      </c>
      <c r="G34" s="969"/>
      <c r="H34" s="970">
        <f t="shared" si="1"/>
        <v>0</v>
      </c>
    </row>
    <row r="35" spans="1:9">
      <c r="B35" s="797" t="s">
        <v>6036</v>
      </c>
      <c r="C35" s="797"/>
      <c r="D35" s="796">
        <v>1.5</v>
      </c>
      <c r="E35" s="964">
        <f>1.4*1.4*1*2.2</f>
        <v>4.3119999999999994</v>
      </c>
      <c r="F35" s="965">
        <f t="shared" si="0"/>
        <v>5.8119999999999994</v>
      </c>
      <c r="G35" s="969"/>
      <c r="H35" s="970">
        <f t="shared" si="1"/>
        <v>0</v>
      </c>
    </row>
    <row r="36" spans="1:9">
      <c r="B36" s="797" t="s">
        <v>6037</v>
      </c>
      <c r="C36" s="797"/>
      <c r="D36" s="796">
        <f>1.5*2</f>
        <v>3</v>
      </c>
      <c r="E36" s="964">
        <f>1.6*1.4*1*2.2</f>
        <v>4.9279999999999999</v>
      </c>
      <c r="F36" s="965">
        <f t="shared" si="0"/>
        <v>7.9279999999999999</v>
      </c>
      <c r="G36" s="969"/>
      <c r="H36" s="970">
        <f t="shared" si="1"/>
        <v>0</v>
      </c>
    </row>
    <row r="37" spans="1:9">
      <c r="B37" s="797" t="s">
        <v>4882</v>
      </c>
      <c r="C37" s="797"/>
      <c r="D37" s="796">
        <v>2</v>
      </c>
      <c r="E37" s="796">
        <f>0.335*2</f>
        <v>0.67</v>
      </c>
      <c r="F37" s="965">
        <f t="shared" si="0"/>
        <v>2.67</v>
      </c>
      <c r="G37" s="969"/>
      <c r="H37" s="970">
        <f t="shared" si="1"/>
        <v>0</v>
      </c>
    </row>
    <row r="38" spans="1:9">
      <c r="B38" s="797" t="s">
        <v>4883</v>
      </c>
      <c r="C38" s="797"/>
      <c r="D38" s="796">
        <v>2</v>
      </c>
      <c r="E38" s="964">
        <f>1.6*1.6*1.2*2.2</f>
        <v>6.7584000000000017</v>
      </c>
      <c r="F38" s="965">
        <f t="shared" si="0"/>
        <v>8.7584000000000017</v>
      </c>
      <c r="G38" s="969"/>
      <c r="H38" s="970">
        <f t="shared" si="1"/>
        <v>0</v>
      </c>
    </row>
    <row r="39" spans="1:9">
      <c r="B39" s="797" t="s">
        <v>4884</v>
      </c>
      <c r="C39" s="797"/>
      <c r="D39" s="796">
        <f>2*2</f>
        <v>4</v>
      </c>
      <c r="E39" s="964">
        <f>1.8*1.6*1.2*2.2</f>
        <v>7.6032000000000011</v>
      </c>
      <c r="F39" s="965">
        <f t="shared" si="0"/>
        <v>11.603200000000001</v>
      </c>
      <c r="G39" s="969"/>
      <c r="H39" s="970">
        <f t="shared" si="1"/>
        <v>0</v>
      </c>
    </row>
    <row r="40" spans="1:9">
      <c r="C40" s="35"/>
      <c r="D40" s="35"/>
      <c r="E40" s="35"/>
      <c r="F40" s="35"/>
      <c r="G40" s="35"/>
      <c r="H40" s="258"/>
    </row>
    <row r="41" spans="1:9">
      <c r="C41" s="35"/>
      <c r="D41" s="35"/>
      <c r="E41" s="35"/>
      <c r="F41" s="968" t="s">
        <v>4888</v>
      </c>
      <c r="G41" s="35"/>
      <c r="H41" s="971">
        <f>SUM(H25:H39)</f>
        <v>6.4210000000000003</v>
      </c>
    </row>
    <row r="42" spans="1:9">
      <c r="C42" s="35"/>
      <c r="D42" s="35"/>
      <c r="E42" s="35"/>
      <c r="F42" s="35"/>
      <c r="G42" s="35"/>
      <c r="H42" s="258"/>
    </row>
    <row r="43" spans="1:9">
      <c r="C43" s="35"/>
      <c r="D43" s="35"/>
      <c r="E43" s="35"/>
      <c r="F43" s="35"/>
      <c r="G43" s="35"/>
      <c r="H43" s="258"/>
    </row>
    <row r="44" spans="1:9">
      <c r="C44" s="35"/>
      <c r="D44" s="35"/>
      <c r="E44" s="35"/>
      <c r="F44" s="35"/>
      <c r="G44" s="35"/>
      <c r="H44" s="258"/>
    </row>
    <row r="45" spans="1:9"/>
    <row r="46" spans="1:9" ht="23.25" hidden="1" customHeight="1">
      <c r="A46" s="259" t="s">
        <v>4023</v>
      </c>
      <c r="B46" s="259"/>
      <c r="C46" s="259"/>
      <c r="D46" s="259"/>
      <c r="E46" s="259"/>
      <c r="F46" s="259"/>
      <c r="G46" s="259"/>
      <c r="H46" s="259"/>
      <c r="I46" s="259"/>
    </row>
    <row r="47" spans="1:9" ht="18" hidden="1" customHeight="1">
      <c r="B47" s="39"/>
      <c r="C47" s="39"/>
      <c r="D47" s="39"/>
      <c r="E47" s="39"/>
      <c r="F47" s="39"/>
      <c r="H47" s="10"/>
    </row>
    <row r="48" spans="1:9" ht="17.25" hidden="1" customHeight="1">
      <c r="A48" s="35"/>
      <c r="B48" s="80" t="s">
        <v>6345</v>
      </c>
      <c r="C48" s="80"/>
      <c r="D48" s="80"/>
      <c r="E48" s="80"/>
      <c r="F48" s="2092" t="s">
        <v>85</v>
      </c>
      <c r="G48" s="2092"/>
      <c r="H48" s="45" t="s">
        <v>2486</v>
      </c>
      <c r="I48" s="35"/>
    </row>
    <row r="49" spans="2:8" hidden="1">
      <c r="B49" s="46">
        <v>1</v>
      </c>
      <c r="C49" s="81" t="s">
        <v>3107</v>
      </c>
      <c r="D49" s="81" t="s">
        <v>3107</v>
      </c>
      <c r="E49" s="81" t="s">
        <v>3107</v>
      </c>
      <c r="F49" s="81" t="s">
        <v>3107</v>
      </c>
      <c r="G49" s="84">
        <f>G7</f>
        <v>65</v>
      </c>
      <c r="H49" s="47"/>
    </row>
    <row r="50" spans="2:8" hidden="1">
      <c r="B50" s="46"/>
      <c r="C50" s="82">
        <v>1000000</v>
      </c>
      <c r="D50" s="82">
        <v>1000000</v>
      </c>
      <c r="E50" s="82">
        <v>1000000</v>
      </c>
      <c r="F50" s="82">
        <v>1000000</v>
      </c>
      <c r="G50" s="83"/>
      <c r="H50" s="48">
        <f>+F50*G50</f>
        <v>0</v>
      </c>
    </row>
    <row r="51" spans="2:8" hidden="1">
      <c r="B51" s="46">
        <f>1+B49</f>
        <v>2</v>
      </c>
      <c r="C51" s="783"/>
      <c r="D51" s="783"/>
      <c r="E51" s="783"/>
      <c r="F51" s="2093" t="s">
        <v>2319</v>
      </c>
      <c r="G51" s="2094"/>
      <c r="H51" s="48"/>
    </row>
    <row r="52" spans="2:8" hidden="1">
      <c r="B52" s="46"/>
      <c r="C52" s="82">
        <v>100000</v>
      </c>
      <c r="D52" s="82">
        <v>100000</v>
      </c>
      <c r="E52" s="82">
        <v>100000</v>
      </c>
      <c r="F52" s="82">
        <v>100000</v>
      </c>
      <c r="G52" s="83"/>
      <c r="H52" s="48">
        <f>+F52*G52</f>
        <v>0</v>
      </c>
    </row>
    <row r="53" spans="2:8" hidden="1">
      <c r="B53" s="49"/>
      <c r="C53" s="49"/>
      <c r="D53" s="49"/>
      <c r="E53" s="49"/>
      <c r="F53" s="2091" t="s">
        <v>2320</v>
      </c>
      <c r="G53" s="2091"/>
      <c r="H53" s="50">
        <f>SUM(H50:H52)</f>
        <v>0</v>
      </c>
    </row>
    <row r="54" spans="2:8">
      <c r="C54" s="35"/>
      <c r="D54" s="35"/>
      <c r="E54" s="35"/>
      <c r="F54" s="35"/>
      <c r="G54" s="35"/>
      <c r="H54" s="258"/>
    </row>
    <row r="55" spans="2:8">
      <c r="C55" s="35"/>
      <c r="D55" s="35"/>
      <c r="E55" s="35"/>
      <c r="F55" s="35"/>
      <c r="G55" s="35"/>
      <c r="H55" s="258"/>
    </row>
    <row r="56" spans="2:8">
      <c r="C56" s="35"/>
      <c r="D56" s="35"/>
      <c r="E56" s="35"/>
      <c r="F56" s="35"/>
      <c r="G56" s="35"/>
      <c r="H56" s="258"/>
    </row>
    <row r="57" spans="2:8"/>
    <row r="81"/>
  </sheetData>
  <mergeCells count="10">
    <mergeCell ref="C6:D6"/>
    <mergeCell ref="E11:G11"/>
    <mergeCell ref="F53:G53"/>
    <mergeCell ref="F48:G48"/>
    <mergeCell ref="F51:G51"/>
    <mergeCell ref="C7:D7"/>
    <mergeCell ref="C11:D11"/>
    <mergeCell ref="C10:D10"/>
    <mergeCell ref="C9:D9"/>
    <mergeCell ref="C8:D8"/>
  </mergeCells>
  <phoneticPr fontId="75" type="noConversion"/>
  <printOptions horizontalCentered="1"/>
  <pageMargins left="0.2" right="0.2" top="1" bottom="1" header="0.2" footer="0.2"/>
  <pageSetup paperSize="9" scale="98" firstPageNumber="32" orientation="portrait" blackAndWhite="1" useFirstPageNumber="1"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P547"/>
  <sheetViews>
    <sheetView workbookViewId="0">
      <selection activeCell="AE13" sqref="AE13"/>
    </sheetView>
  </sheetViews>
  <sheetFormatPr defaultColWidth="9.33203125" defaultRowHeight="16.5" zeroHeight="1"/>
  <cols>
    <col min="1" max="1" width="2.5" style="314" customWidth="1"/>
    <col min="2" max="12" width="2.83203125" style="314" customWidth="1"/>
    <col min="13" max="13" width="2.83203125" style="318" customWidth="1"/>
    <col min="14" max="37" width="2.83203125" style="314" customWidth="1"/>
    <col min="38" max="41" width="9.33203125" style="314" customWidth="1"/>
    <col min="42" max="42" width="14.1640625" style="314" bestFit="1" customWidth="1"/>
    <col min="43" max="16384" width="9.33203125" style="314"/>
  </cols>
  <sheetData>
    <row r="1" spans="2:37" ht="24.95" customHeight="1" thickBot="1">
      <c r="B1" s="1950" t="s">
        <v>6189</v>
      </c>
      <c r="C1" s="1950"/>
      <c r="D1" s="1950"/>
      <c r="E1" s="1950"/>
      <c r="F1" s="1950"/>
      <c r="G1" s="1950"/>
      <c r="H1" s="1950"/>
      <c r="I1" s="1950"/>
      <c r="J1" s="1950"/>
      <c r="K1" s="1950"/>
      <c r="L1" s="1950"/>
      <c r="M1" s="1950"/>
      <c r="N1" s="1950"/>
      <c r="O1" s="1950"/>
      <c r="P1" s="1950"/>
      <c r="Q1" s="1950"/>
      <c r="R1" s="1950"/>
      <c r="S1" s="1950"/>
      <c r="T1" s="1950"/>
      <c r="U1" s="1950"/>
      <c r="V1" s="1950"/>
      <c r="W1" s="1950"/>
      <c r="X1" s="1950"/>
      <c r="Y1" s="1950"/>
      <c r="Z1" s="1950"/>
      <c r="AA1" s="1950"/>
      <c r="AB1" s="1950"/>
      <c r="AC1" s="1950"/>
      <c r="AD1" s="1950"/>
      <c r="AE1" s="1950"/>
      <c r="AF1" s="1950"/>
      <c r="AG1" s="1950"/>
      <c r="AH1" s="1950"/>
      <c r="AI1" s="1950"/>
      <c r="AJ1" s="1950"/>
      <c r="AK1" s="1950"/>
    </row>
    <row r="2" spans="2:37" ht="12.75" customHeight="1">
      <c r="B2" s="327"/>
      <c r="C2" s="346"/>
      <c r="D2" s="346"/>
      <c r="E2" s="346"/>
      <c r="F2" s="346"/>
      <c r="G2" s="346"/>
      <c r="H2" s="346"/>
      <c r="I2" s="346"/>
      <c r="J2" s="346"/>
      <c r="K2" s="346"/>
      <c r="L2" s="346"/>
      <c r="M2" s="347"/>
      <c r="N2" s="346"/>
      <c r="O2" s="346"/>
      <c r="P2" s="346"/>
      <c r="Q2" s="346"/>
      <c r="R2" s="346"/>
      <c r="S2" s="346"/>
      <c r="T2" s="346"/>
      <c r="U2" s="346"/>
      <c r="V2" s="346"/>
      <c r="W2" s="346"/>
      <c r="X2" s="346"/>
      <c r="Y2" s="348"/>
      <c r="Z2" s="348"/>
      <c r="AA2" s="348"/>
      <c r="AB2" s="348"/>
      <c r="AC2" s="348"/>
      <c r="AD2" s="348"/>
      <c r="AE2" s="348"/>
      <c r="AF2" s="348"/>
      <c r="AG2" s="348"/>
      <c r="AH2" s="348"/>
      <c r="AI2" s="348"/>
      <c r="AJ2" s="348"/>
      <c r="AK2" s="328"/>
    </row>
    <row r="3" spans="2:37" ht="20.100000000000001" customHeight="1">
      <c r="B3" s="1873" t="s">
        <v>1817</v>
      </c>
      <c r="C3" s="1873"/>
      <c r="D3" s="1873"/>
      <c r="E3" s="1873"/>
      <c r="F3" s="1873"/>
      <c r="G3" s="1873"/>
      <c r="H3" s="1873"/>
      <c r="I3" s="1873"/>
      <c r="J3" s="1873"/>
      <c r="K3" s="1873"/>
      <c r="L3" s="1873"/>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row>
    <row r="4" spans="2:37" ht="20.100000000000001" customHeight="1">
      <c r="C4" s="322" t="s">
        <v>4726</v>
      </c>
      <c r="D4" s="322"/>
      <c r="E4" s="322"/>
      <c r="F4" s="322"/>
      <c r="G4" s="322"/>
      <c r="H4" s="322"/>
      <c r="I4" s="322"/>
      <c r="J4" s="322"/>
      <c r="K4" s="322"/>
      <c r="L4" s="322"/>
      <c r="M4" s="322"/>
      <c r="P4" s="352"/>
      <c r="S4" s="352"/>
      <c r="T4" s="353"/>
      <c r="U4" s="353"/>
      <c r="V4" s="353"/>
      <c r="W4" s="353"/>
    </row>
    <row r="5" spans="2:37" ht="20.100000000000001" customHeight="1">
      <c r="C5" s="322"/>
      <c r="D5" s="322" t="s">
        <v>1714</v>
      </c>
      <c r="E5" s="322"/>
      <c r="F5" s="322"/>
      <c r="G5" s="322"/>
      <c r="H5" s="322"/>
      <c r="I5" s="322"/>
      <c r="J5" s="322"/>
      <c r="K5" s="322"/>
      <c r="L5" s="322"/>
      <c r="M5" s="322"/>
      <c r="P5" s="352"/>
      <c r="Q5" s="352"/>
      <c r="R5" s="352"/>
      <c r="S5" s="352"/>
    </row>
    <row r="6" spans="2:37" ht="20.100000000000001" customHeight="1">
      <c r="F6" s="315"/>
      <c r="G6" s="316"/>
      <c r="H6" s="1862" t="s">
        <v>559</v>
      </c>
      <c r="I6" s="1862"/>
      <c r="J6" s="1862" t="s">
        <v>3306</v>
      </c>
      <c r="K6" s="1929" t="s">
        <v>598</v>
      </c>
      <c r="L6" s="1929"/>
      <c r="M6" s="1929"/>
      <c r="N6" s="1863" t="s">
        <v>3656</v>
      </c>
      <c r="O6" s="1863"/>
      <c r="P6" s="1863"/>
    </row>
    <row r="7" spans="2:37" ht="20.100000000000001" customHeight="1">
      <c r="F7" s="315"/>
      <c r="G7" s="316"/>
      <c r="H7" s="1862"/>
      <c r="I7" s="1862"/>
      <c r="J7" s="1862"/>
      <c r="K7" s="1929"/>
      <c r="L7" s="1929"/>
      <c r="M7" s="1929"/>
      <c r="N7" s="1919">
        <v>1000</v>
      </c>
      <c r="O7" s="1919"/>
      <c r="P7" s="1919"/>
    </row>
    <row r="8" spans="2:37" ht="20.100000000000001" customHeight="1">
      <c r="F8" s="315"/>
      <c r="G8" s="316"/>
      <c r="H8" s="1862" t="s">
        <v>559</v>
      </c>
      <c r="I8" s="1862"/>
      <c r="J8" s="1862" t="s">
        <v>3306</v>
      </c>
      <c r="K8" s="1929" t="s">
        <v>598</v>
      </c>
      <c r="L8" s="1929"/>
      <c r="M8" s="1929"/>
      <c r="N8" s="1863" t="e">
        <f>VLOOKUP(NL!U46,NL!BY80:CJ116,NL!CJ76,FALSE)</f>
        <v>#N/A</v>
      </c>
      <c r="O8" s="1863"/>
      <c r="P8" s="1863"/>
    </row>
    <row r="9" spans="2:37" ht="20.100000000000001" customHeight="1">
      <c r="F9" s="315"/>
      <c r="G9" s="316"/>
      <c r="H9" s="1862"/>
      <c r="I9" s="1862"/>
      <c r="J9" s="1862"/>
      <c r="K9" s="1929"/>
      <c r="L9" s="1929"/>
      <c r="M9" s="1929"/>
      <c r="N9" s="1919">
        <v>1000</v>
      </c>
      <c r="O9" s="1919"/>
      <c r="P9" s="1919"/>
    </row>
    <row r="10" spans="2:37" ht="20.100000000000001" customHeight="1">
      <c r="F10" s="315"/>
      <c r="G10" s="316"/>
      <c r="H10" s="318"/>
      <c r="I10" s="318"/>
      <c r="J10" s="318" t="s">
        <v>3306</v>
      </c>
      <c r="K10" s="1858" t="e">
        <f>ROUND(1.03*VLOOKUP(NL!U46,NL!BY80:CJ116,NL!CJ76,FALSE)/1000,3)</f>
        <v>#N/A</v>
      </c>
      <c r="L10" s="1858"/>
      <c r="M10" s="1858"/>
      <c r="N10" s="1858"/>
      <c r="O10" s="1858"/>
      <c r="P10" s="1858"/>
      <c r="Q10" s="318" t="s">
        <v>3655</v>
      </c>
    </row>
    <row r="11" spans="2:37" ht="20.100000000000001" customHeight="1">
      <c r="F11" s="315"/>
      <c r="G11" s="316"/>
      <c r="H11" s="1862" t="s">
        <v>559</v>
      </c>
      <c r="I11" s="1862"/>
      <c r="J11" s="1862" t="s">
        <v>3306</v>
      </c>
      <c r="K11" s="1929" t="s">
        <v>598</v>
      </c>
      <c r="L11" s="1929"/>
      <c r="M11" s="1929"/>
      <c r="N11" s="1863" t="s">
        <v>4335</v>
      </c>
      <c r="O11" s="1863"/>
      <c r="P11" s="1863"/>
      <c r="Q11" s="1863"/>
      <c r="R11" s="1863"/>
      <c r="S11" s="1863"/>
    </row>
    <row r="12" spans="2:37" ht="20.100000000000001" customHeight="1">
      <c r="F12" s="315"/>
      <c r="G12" s="316"/>
      <c r="H12" s="1862"/>
      <c r="I12" s="1862"/>
      <c r="J12" s="1862"/>
      <c r="K12" s="1929"/>
      <c r="L12" s="1929"/>
      <c r="M12" s="1929"/>
      <c r="N12" s="1857" t="s">
        <v>3657</v>
      </c>
      <c r="O12" s="1857"/>
      <c r="P12" s="1857"/>
      <c r="Q12" s="1857"/>
      <c r="R12" s="1857"/>
      <c r="S12" s="1857"/>
      <c r="W12" s="1859"/>
      <c r="X12" s="1859"/>
      <c r="Y12" s="1859"/>
      <c r="Z12" s="1859"/>
      <c r="AA12" s="1859"/>
      <c r="AB12" s="1859"/>
      <c r="AC12" s="1859"/>
    </row>
    <row r="13" spans="2:37" ht="20.100000000000001" customHeight="1">
      <c r="F13" s="315"/>
      <c r="G13" s="316"/>
      <c r="J13" s="1862" t="s">
        <v>3306</v>
      </c>
      <c r="K13" s="1929" t="s">
        <v>598</v>
      </c>
      <c r="L13" s="1929"/>
      <c r="M13" s="1929"/>
      <c r="N13" s="1863" t="e">
        <f>26.0566&amp;" . "&amp;VLOOKUP(NL!U46,NL!BY80:CG116,NL!CE76,FALSE)&amp;" + "&amp;71.1066&amp;" . "&amp;VLOOKUP(NL!U46,NL!BY80:CG116,NL!CF76,FALSE)</f>
        <v>#N/A</v>
      </c>
      <c r="O13" s="1863"/>
      <c r="P13" s="1863"/>
      <c r="Q13" s="1863"/>
      <c r="R13" s="1863"/>
      <c r="S13" s="1863"/>
      <c r="T13" s="1863"/>
      <c r="U13" s="1863"/>
      <c r="V13" s="1863"/>
      <c r="W13" s="1863"/>
      <c r="X13" s="1863"/>
      <c r="Y13" s="1863"/>
      <c r="Z13" s="1863"/>
      <c r="AB13" s="315"/>
    </row>
    <row r="14" spans="2:37" ht="20.100000000000001" customHeight="1">
      <c r="F14" s="315"/>
      <c r="G14" s="316"/>
      <c r="J14" s="1862"/>
      <c r="K14" s="1929"/>
      <c r="L14" s="1929"/>
      <c r="M14" s="1929"/>
      <c r="N14" s="1949" t="e">
        <f>"1.000 . "&amp;VLOOKUP(NL!U46,NL!BY80:CG116,NL!CG76,FALSE)</f>
        <v>#N/A</v>
      </c>
      <c r="O14" s="1857"/>
      <c r="P14" s="1857"/>
      <c r="Q14" s="1857"/>
      <c r="R14" s="1857"/>
      <c r="S14" s="1857"/>
      <c r="T14" s="1857"/>
      <c r="U14" s="1857"/>
      <c r="V14" s="1857"/>
      <c r="W14" s="1857"/>
      <c r="X14" s="1857"/>
      <c r="Y14" s="1857"/>
      <c r="Z14" s="1857"/>
      <c r="AB14" s="315"/>
    </row>
    <row r="15" spans="2:37" ht="20.100000000000001" customHeight="1">
      <c r="F15" s="315"/>
      <c r="G15" s="316"/>
      <c r="H15" s="318"/>
      <c r="I15" s="318"/>
      <c r="J15" s="318" t="s">
        <v>3306</v>
      </c>
      <c r="K15" s="1858" t="e">
        <f>ROUND(1.03*((26.0566*VLOOKUP(NL!U46,NL!BY80:CG116,NL!CE76,FALSE))+(71.1066*VLOOKUP(NL!U46,NL!BY80:CG116,NL!CF76,FALSE)))/(1000*VLOOKUP(NL!U46,NL!BY80:CG116,NL!CG76,FALSE)),5)</f>
        <v>#N/A</v>
      </c>
      <c r="L15" s="1858"/>
      <c r="M15" s="1858"/>
      <c r="N15" s="1858"/>
      <c r="O15" s="1858"/>
      <c r="P15" s="1858"/>
      <c r="Q15" s="318" t="s">
        <v>3655</v>
      </c>
      <c r="V15" s="317"/>
      <c r="W15" s="317"/>
      <c r="X15" s="317"/>
      <c r="Y15" s="317"/>
      <c r="AH15" s="318"/>
      <c r="AI15" s="318"/>
      <c r="AJ15" s="318"/>
      <c r="AK15" s="318"/>
    </row>
    <row r="16" spans="2:37" ht="20.100000000000001" customHeight="1">
      <c r="C16" s="316"/>
      <c r="D16" s="316"/>
      <c r="E16" s="318"/>
      <c r="F16" s="315" t="s">
        <v>1712</v>
      </c>
      <c r="G16" s="316"/>
      <c r="H16" s="316"/>
      <c r="I16" s="316"/>
      <c r="J16" s="316"/>
      <c r="K16" s="316"/>
      <c r="L16" s="316"/>
      <c r="M16" s="316"/>
      <c r="R16" s="380"/>
      <c r="S16" s="380"/>
      <c r="T16" s="380"/>
      <c r="U16" s="380"/>
      <c r="V16" s="380"/>
      <c r="W16" s="380"/>
      <c r="X16" s="380"/>
      <c r="Y16" s="380"/>
      <c r="Z16" s="380"/>
      <c r="AA16" s="380"/>
      <c r="AB16" s="380"/>
      <c r="AC16" s="380"/>
      <c r="AD16" s="380"/>
      <c r="AE16" s="380"/>
      <c r="AF16" s="380"/>
      <c r="AG16" s="380"/>
      <c r="AH16" s="380"/>
      <c r="AI16" s="380"/>
      <c r="AJ16" s="380"/>
      <c r="AK16" s="380"/>
    </row>
    <row r="17" spans="3:37" ht="20.100000000000001" customHeight="1">
      <c r="C17" s="316"/>
      <c r="D17" s="316"/>
      <c r="E17" s="318"/>
      <c r="F17" s="315" t="s">
        <v>823</v>
      </c>
      <c r="G17" s="316"/>
      <c r="H17" s="316"/>
      <c r="I17" s="316"/>
      <c r="J17" s="316"/>
      <c r="K17" s="316"/>
      <c r="L17" s="316"/>
      <c r="M17" s="316"/>
      <c r="R17" s="380"/>
      <c r="S17" s="380"/>
      <c r="T17" s="380"/>
      <c r="U17" s="380"/>
      <c r="V17" s="380"/>
      <c r="W17" s="380"/>
      <c r="X17" s="380"/>
      <c r="Y17" s="380"/>
      <c r="Z17" s="380"/>
      <c r="AA17" s="380"/>
      <c r="AB17" s="380"/>
      <c r="AC17" s="380"/>
      <c r="AD17" s="380"/>
      <c r="AE17" s="380"/>
      <c r="AF17" s="380"/>
      <c r="AG17" s="380"/>
      <c r="AH17" s="380"/>
      <c r="AI17" s="380"/>
      <c r="AJ17" s="380"/>
      <c r="AK17" s="380"/>
    </row>
    <row r="18" spans="3:37" ht="20.100000000000001" customHeight="1">
      <c r="C18" s="316"/>
      <c r="D18" s="316"/>
      <c r="E18" s="318"/>
      <c r="F18" s="314" t="s">
        <v>822</v>
      </c>
      <c r="G18" s="316"/>
      <c r="H18" s="316"/>
      <c r="I18" s="316"/>
      <c r="J18" s="316"/>
      <c r="K18" s="316"/>
      <c r="L18" s="316"/>
      <c r="M18" s="316"/>
      <c r="R18" s="380"/>
      <c r="S18" s="380"/>
      <c r="T18" s="380"/>
      <c r="U18" s="380"/>
      <c r="V18" s="380"/>
      <c r="W18" s="380"/>
      <c r="X18" s="380"/>
      <c r="Y18" s="380"/>
      <c r="Z18" s="380"/>
      <c r="AA18" s="380"/>
      <c r="AB18" s="380"/>
      <c r="AC18" s="380"/>
      <c r="AD18" s="380"/>
      <c r="AE18" s="380"/>
      <c r="AF18" s="380"/>
      <c r="AG18" s="380"/>
      <c r="AH18" s="380"/>
      <c r="AI18" s="380"/>
      <c r="AJ18" s="380"/>
      <c r="AK18" s="380"/>
    </row>
    <row r="19" spans="3:37" ht="20.100000000000001" customHeight="1">
      <c r="C19" s="316"/>
      <c r="D19" s="316"/>
      <c r="E19" s="318"/>
      <c r="F19" s="314" t="s">
        <v>1713</v>
      </c>
      <c r="G19" s="316"/>
      <c r="H19" s="316"/>
      <c r="I19" s="316"/>
      <c r="J19" s="316"/>
      <c r="K19" s="316"/>
      <c r="L19" s="316"/>
      <c r="M19" s="316"/>
      <c r="R19" s="380"/>
      <c r="S19" s="380"/>
      <c r="T19" s="380"/>
      <c r="U19" s="380"/>
      <c r="V19" s="380"/>
      <c r="W19" s="380"/>
      <c r="X19" s="380"/>
      <c r="Y19" s="380"/>
      <c r="Z19" s="380"/>
      <c r="AA19" s="380"/>
      <c r="AB19" s="380"/>
      <c r="AC19" s="380"/>
      <c r="AD19" s="380"/>
      <c r="AE19" s="380"/>
      <c r="AF19" s="380"/>
      <c r="AG19" s="380"/>
      <c r="AH19" s="380"/>
      <c r="AI19" s="380"/>
      <c r="AJ19" s="380"/>
      <c r="AK19" s="380"/>
    </row>
    <row r="20" spans="3:37" ht="20.100000000000001" customHeight="1">
      <c r="C20" s="322"/>
      <c r="D20" s="322" t="s">
        <v>2786</v>
      </c>
      <c r="E20" s="322"/>
      <c r="F20" s="322"/>
      <c r="G20" s="322"/>
      <c r="H20" s="322"/>
      <c r="I20" s="322"/>
      <c r="J20" s="322"/>
      <c r="K20" s="322"/>
      <c r="L20" s="322"/>
      <c r="M20" s="322"/>
      <c r="P20" s="352"/>
      <c r="Q20" s="352"/>
      <c r="R20" s="352"/>
      <c r="S20" s="352"/>
      <c r="T20" s="353"/>
      <c r="U20" s="353"/>
      <c r="V20" s="353"/>
    </row>
    <row r="21" spans="3:37" ht="20.100000000000001" customHeight="1">
      <c r="F21" s="315"/>
      <c r="G21" s="316"/>
      <c r="H21" s="1862" t="s">
        <v>560</v>
      </c>
      <c r="I21" s="1862"/>
      <c r="J21" s="1862" t="s">
        <v>3306</v>
      </c>
      <c r="K21" s="1863" t="s">
        <v>3727</v>
      </c>
      <c r="L21" s="1863"/>
      <c r="M21" s="1863"/>
      <c r="N21" s="1863"/>
      <c r="O21" s="1863"/>
      <c r="P21" s="1863"/>
    </row>
    <row r="22" spans="3:37" ht="20.100000000000001" customHeight="1">
      <c r="F22" s="315"/>
      <c r="G22" s="316"/>
      <c r="H22" s="1862"/>
      <c r="I22" s="1862"/>
      <c r="J22" s="1862"/>
      <c r="K22" s="1857" t="s">
        <v>6282</v>
      </c>
      <c r="L22" s="1857"/>
      <c r="M22" s="1857"/>
      <c r="N22" s="1857"/>
      <c r="O22" s="1857"/>
      <c r="P22" s="1857"/>
    </row>
    <row r="23" spans="3:37" ht="9.9499999999999993" customHeight="1">
      <c r="F23" s="315"/>
      <c r="G23" s="316"/>
      <c r="H23" s="318"/>
      <c r="I23" s="318"/>
      <c r="J23" s="1859" t="s">
        <v>3306</v>
      </c>
      <c r="K23" s="1858" t="e">
        <f>"9,81 . 0,85 . "&amp;IF(VLOOKUP(NL!U46,NL!BY80:CJ116,NL!CB76,FALSE)&lt;20,1.1,1.2)&amp;" . "&amp;VLOOKUP(NL!U46,NL!BY80:CJ116,NL!CB76,FALSE)</f>
        <v>#N/A</v>
      </c>
      <c r="L23" s="1858"/>
      <c r="M23" s="1858"/>
      <c r="N23" s="1858"/>
      <c r="O23" s="1858"/>
      <c r="P23" s="1858"/>
      <c r="Q23" s="1858"/>
      <c r="R23" s="1858"/>
      <c r="S23" s="1858"/>
      <c r="T23" s="1858"/>
      <c r="U23" s="1858" t="s">
        <v>6316</v>
      </c>
      <c r="V23" s="1858"/>
      <c r="W23" s="360">
        <v>2</v>
      </c>
    </row>
    <row r="24" spans="3:37" ht="9.9499999999999993" customHeight="1">
      <c r="F24" s="315"/>
      <c r="G24" s="316"/>
      <c r="J24" s="1859"/>
      <c r="K24" s="1946"/>
      <c r="L24" s="1946"/>
      <c r="M24" s="1946"/>
      <c r="N24" s="1946"/>
      <c r="O24" s="1946"/>
      <c r="P24" s="1946"/>
      <c r="Q24" s="1946"/>
      <c r="R24" s="1946"/>
      <c r="S24" s="1946"/>
      <c r="T24" s="1946"/>
      <c r="U24" s="1946"/>
      <c r="V24" s="1946"/>
      <c r="W24" s="370"/>
      <c r="AB24" s="315"/>
    </row>
    <row r="25" spans="3:37" ht="20.100000000000001" customHeight="1">
      <c r="F25" s="315"/>
      <c r="G25" s="316"/>
      <c r="J25" s="1859"/>
      <c r="K25" s="1947" t="e">
        <f>"16 . "&amp;(VLOOKUP(NL!U46,NL!BY80:CJ116,NL!CG76,FALSE))</f>
        <v>#N/A</v>
      </c>
      <c r="L25" s="1947"/>
      <c r="M25" s="1947"/>
      <c r="N25" s="1947"/>
      <c r="O25" s="1947"/>
      <c r="P25" s="1947"/>
      <c r="Q25" s="1947"/>
      <c r="R25" s="1947"/>
      <c r="S25" s="1948" t="s">
        <v>6317</v>
      </c>
      <c r="T25" s="1948"/>
      <c r="U25" s="1948"/>
      <c r="V25" s="1948"/>
      <c r="W25" s="1948"/>
    </row>
    <row r="26" spans="3:37" ht="20.100000000000001" customHeight="1">
      <c r="F26" s="315"/>
      <c r="G26" s="316"/>
      <c r="H26" s="318"/>
      <c r="I26" s="318"/>
      <c r="J26" s="318" t="s">
        <v>3306</v>
      </c>
      <c r="K26" s="1858" t="e">
        <f>ROUND(9.81*0.85*IF(VLOOKUP(NL!U46,NL!BY80:CJ116,NL!CB76,FALSE)&lt;20,1.1,1.2)*VLOOKUP(NL!U46,NL!BY80:CJ116,NL!CB76,FALSE)*25^2/(16*(VLOOKUP(NL!U46,NL!BY80:CJ116,NL!CE76,FALSE)+VLOOKUP(NL!U46,NL!BY80:CJ116,NL!CF76,FALSE))*10^3),5)</f>
        <v>#N/A</v>
      </c>
      <c r="L26" s="1858"/>
      <c r="M26" s="1858"/>
      <c r="N26" s="1858"/>
      <c r="O26" s="1858"/>
      <c r="P26" s="1858"/>
      <c r="Q26" s="318" t="s">
        <v>3655</v>
      </c>
      <c r="V26" s="317"/>
      <c r="W26" s="317"/>
      <c r="X26" s="317"/>
      <c r="Y26" s="317"/>
      <c r="AH26" s="318"/>
      <c r="AI26" s="318"/>
      <c r="AJ26" s="318"/>
      <c r="AK26" s="318"/>
    </row>
    <row r="27" spans="3:37" ht="20.100000000000001" customHeight="1">
      <c r="C27" s="316"/>
      <c r="D27" s="316"/>
      <c r="E27" s="318"/>
      <c r="F27" s="314" t="s">
        <v>6283</v>
      </c>
      <c r="G27" s="316"/>
      <c r="H27" s="316"/>
      <c r="I27" s="316"/>
      <c r="J27" s="316"/>
      <c r="K27" s="316"/>
      <c r="L27" s="316"/>
      <c r="M27" s="316"/>
      <c r="R27" s="380"/>
      <c r="S27" s="380"/>
      <c r="T27" s="380"/>
      <c r="U27" s="380"/>
      <c r="V27" s="380"/>
      <c r="W27" s="380"/>
      <c r="X27" s="380"/>
      <c r="Y27" s="380"/>
      <c r="Z27" s="380"/>
      <c r="AA27" s="380"/>
      <c r="AB27" s="380"/>
      <c r="AC27" s="380"/>
      <c r="AD27" s="380"/>
      <c r="AE27" s="380"/>
      <c r="AF27" s="380"/>
      <c r="AG27" s="380"/>
      <c r="AH27" s="380"/>
      <c r="AI27" s="380"/>
      <c r="AJ27" s="380"/>
      <c r="AK27" s="380"/>
    </row>
    <row r="28" spans="3:37" ht="20.100000000000001" customHeight="1">
      <c r="C28" s="316"/>
      <c r="D28" s="316"/>
      <c r="E28" s="318"/>
      <c r="F28" s="314" t="s">
        <v>6284</v>
      </c>
      <c r="G28" s="316"/>
      <c r="H28" s="316"/>
      <c r="I28" s="316"/>
      <c r="J28" s="316"/>
      <c r="K28" s="316"/>
      <c r="L28" s="316"/>
      <c r="M28" s="316"/>
      <c r="R28" s="380"/>
      <c r="S28" s="380"/>
      <c r="T28" s="380"/>
      <c r="U28" s="380"/>
      <c r="V28" s="380"/>
      <c r="W28" s="380"/>
      <c r="X28" s="380"/>
      <c r="Y28" s="380"/>
      <c r="Z28" s="380"/>
      <c r="AA28" s="380"/>
      <c r="AB28" s="380"/>
      <c r="AC28" s="380"/>
      <c r="AD28" s="380"/>
      <c r="AE28" s="380"/>
      <c r="AF28" s="380"/>
      <c r="AG28" s="380"/>
      <c r="AH28" s="380"/>
      <c r="AI28" s="380"/>
      <c r="AJ28" s="380"/>
      <c r="AK28" s="380"/>
    </row>
    <row r="29" spans="3:37" ht="20.100000000000001" customHeight="1">
      <c r="C29" s="316"/>
      <c r="D29" s="316"/>
      <c r="E29" s="318"/>
      <c r="F29" s="314" t="s">
        <v>6315</v>
      </c>
      <c r="G29" s="316"/>
      <c r="H29" s="316"/>
      <c r="I29" s="316"/>
      <c r="J29" s="316"/>
      <c r="K29" s="316"/>
      <c r="L29" s="316"/>
      <c r="M29" s="316"/>
      <c r="R29" s="380"/>
      <c r="S29" s="380"/>
      <c r="T29" s="380"/>
      <c r="U29" s="380"/>
      <c r="V29" s="380"/>
      <c r="W29" s="380"/>
      <c r="X29" s="380"/>
      <c r="Y29" s="380"/>
      <c r="Z29" s="380"/>
      <c r="AA29" s="380"/>
      <c r="AB29" s="380"/>
      <c r="AC29" s="380"/>
      <c r="AD29" s="380"/>
      <c r="AE29" s="380"/>
      <c r="AF29" s="380"/>
      <c r="AG29" s="380"/>
      <c r="AH29" s="380"/>
      <c r="AI29" s="380"/>
      <c r="AJ29" s="380"/>
      <c r="AK29" s="380"/>
    </row>
    <row r="30" spans="3:37" ht="20.100000000000001" customHeight="1">
      <c r="C30" s="316"/>
      <c r="D30" s="316"/>
      <c r="E30" s="318"/>
      <c r="F30" s="314" t="s">
        <v>6314</v>
      </c>
      <c r="G30" s="316"/>
      <c r="H30" s="316"/>
      <c r="I30" s="316"/>
      <c r="J30" s="316"/>
      <c r="K30" s="316"/>
      <c r="L30" s="316"/>
      <c r="M30" s="316"/>
      <c r="R30" s="380"/>
      <c r="S30" s="380"/>
      <c r="T30" s="380"/>
      <c r="U30" s="380"/>
      <c r="V30" s="380"/>
      <c r="W30" s="380"/>
      <c r="X30" s="380"/>
      <c r="Y30" s="380"/>
      <c r="Z30" s="380"/>
      <c r="AA30" s="380"/>
      <c r="AB30" s="380"/>
      <c r="AC30" s="380"/>
      <c r="AD30" s="380"/>
      <c r="AE30" s="380"/>
      <c r="AF30" s="380"/>
      <c r="AG30" s="380"/>
      <c r="AH30" s="380"/>
      <c r="AI30" s="380"/>
      <c r="AJ30" s="380"/>
      <c r="AK30" s="380"/>
    </row>
    <row r="31" spans="3:37" ht="20.100000000000001" customHeight="1">
      <c r="C31" s="322"/>
      <c r="D31" s="322" t="s">
        <v>4334</v>
      </c>
      <c r="E31" s="322"/>
      <c r="F31" s="322"/>
      <c r="G31" s="322"/>
      <c r="H31" s="322"/>
      <c r="I31" s="322"/>
      <c r="J31" s="322"/>
      <c r="K31" s="322"/>
      <c r="L31" s="322"/>
      <c r="M31" s="322"/>
      <c r="P31" s="352"/>
      <c r="Q31" s="352"/>
      <c r="R31" s="352"/>
      <c r="S31" s="352"/>
      <c r="T31" s="353"/>
      <c r="U31" s="353"/>
      <c r="V31" s="353"/>
    </row>
    <row r="32" spans="3:37" ht="9.9499999999999993" customHeight="1">
      <c r="C32" s="316"/>
      <c r="D32" s="316"/>
      <c r="E32" s="318"/>
      <c r="F32" s="315"/>
      <c r="G32" s="316"/>
      <c r="H32" s="316"/>
      <c r="I32" s="316"/>
      <c r="J32" s="316"/>
      <c r="K32" s="1859" t="s">
        <v>561</v>
      </c>
      <c r="M32" s="1859" t="s">
        <v>3306</v>
      </c>
      <c r="O32" s="1858" t="s">
        <v>5936</v>
      </c>
      <c r="P32" s="383">
        <v>2</v>
      </c>
      <c r="Q32" s="1859" t="s">
        <v>5644</v>
      </c>
      <c r="R32" s="1858" t="s">
        <v>5936</v>
      </c>
      <c r="S32" s="383">
        <v>2</v>
      </c>
    </row>
    <row r="33" spans="1:37" ht="9.9499999999999993" customHeight="1">
      <c r="C33" s="316"/>
      <c r="D33" s="316"/>
      <c r="E33" s="318"/>
      <c r="F33" s="315"/>
      <c r="G33" s="316"/>
      <c r="H33" s="316"/>
      <c r="I33" s="316"/>
      <c r="J33" s="316"/>
      <c r="K33" s="1859"/>
      <c r="M33" s="1859"/>
      <c r="O33" s="1858"/>
      <c r="P33" s="360">
        <v>1</v>
      </c>
      <c r="Q33" s="1859"/>
      <c r="R33" s="1858"/>
      <c r="S33" s="360">
        <v>2</v>
      </c>
      <c r="U33" s="317"/>
      <c r="V33" s="317"/>
      <c r="W33" s="317"/>
      <c r="X33" s="317"/>
      <c r="Y33" s="317"/>
      <c r="Z33" s="318"/>
      <c r="AA33" s="318"/>
      <c r="AB33" s="318"/>
      <c r="AC33" s="318"/>
      <c r="AD33" s="318"/>
      <c r="AE33" s="318"/>
      <c r="AF33" s="318"/>
      <c r="AG33" s="318"/>
      <c r="AH33" s="318"/>
      <c r="AI33" s="318"/>
      <c r="AJ33" s="318"/>
      <c r="AK33" s="318"/>
    </row>
    <row r="34" spans="1:37" ht="9.9499999999999993" customHeight="1">
      <c r="C34" s="316"/>
      <c r="D34" s="316"/>
      <c r="E34" s="318"/>
      <c r="F34" s="315"/>
      <c r="G34" s="316"/>
      <c r="H34" s="316"/>
      <c r="I34" s="316"/>
      <c r="J34" s="316"/>
      <c r="K34" s="316"/>
      <c r="M34" s="316"/>
      <c r="O34" s="317"/>
      <c r="P34" s="360"/>
      <c r="Q34" s="316"/>
      <c r="R34" s="317"/>
      <c r="S34" s="360"/>
      <c r="U34" s="316"/>
      <c r="V34" s="317"/>
      <c r="W34" s="317"/>
      <c r="X34" s="317"/>
      <c r="Y34" s="317"/>
      <c r="Z34" s="318"/>
      <c r="AA34" s="318"/>
      <c r="AB34" s="318"/>
      <c r="AC34" s="318"/>
      <c r="AD34" s="318"/>
      <c r="AE34" s="318"/>
      <c r="AF34" s="318"/>
      <c r="AG34" s="318"/>
      <c r="AH34" s="318"/>
      <c r="AI34" s="318"/>
      <c r="AJ34" s="318"/>
      <c r="AK34" s="318"/>
    </row>
    <row r="35" spans="1:37" ht="9.9499999999999993" customHeight="1">
      <c r="C35" s="316"/>
      <c r="D35" s="316"/>
      <c r="E35" s="318"/>
      <c r="F35" s="315"/>
      <c r="G35" s="316"/>
      <c r="H35" s="316"/>
      <c r="I35" s="316"/>
      <c r="J35" s="316"/>
      <c r="K35" s="1859"/>
      <c r="M35" s="1859" t="s">
        <v>3306</v>
      </c>
      <c r="O35" s="1943" t="e">
        <f>K15+K10</f>
        <v>#N/A</v>
      </c>
      <c r="P35" s="1943"/>
      <c r="Q35" s="1943"/>
      <c r="R35" s="1943"/>
      <c r="S35" s="383">
        <v>2</v>
      </c>
      <c r="T35" s="1859" t="s">
        <v>5644</v>
      </c>
      <c r="U35" s="1943" t="e">
        <f>K26</f>
        <v>#N/A</v>
      </c>
      <c r="V35" s="1943"/>
      <c r="W35" s="1943"/>
      <c r="X35" s="1943"/>
      <c r="Y35" s="383">
        <v>2</v>
      </c>
    </row>
    <row r="36" spans="1:37" ht="9.9499999999999993" customHeight="1">
      <c r="C36" s="316"/>
      <c r="D36" s="316"/>
      <c r="E36" s="318"/>
      <c r="F36" s="315"/>
      <c r="G36" s="316"/>
      <c r="H36" s="316"/>
      <c r="I36" s="316"/>
      <c r="J36" s="316"/>
      <c r="K36" s="1859"/>
      <c r="M36" s="1859"/>
      <c r="O36" s="1943"/>
      <c r="P36" s="1943"/>
      <c r="Q36" s="1943"/>
      <c r="R36" s="1943"/>
      <c r="S36" s="360"/>
      <c r="T36" s="1859"/>
      <c r="U36" s="1943"/>
      <c r="V36" s="1943"/>
      <c r="W36" s="1943"/>
      <c r="X36" s="1943"/>
      <c r="Y36" s="375"/>
      <c r="AF36" s="318"/>
      <c r="AG36" s="318"/>
      <c r="AH36" s="318"/>
      <c r="AI36" s="318"/>
      <c r="AJ36" s="318"/>
      <c r="AK36" s="318"/>
    </row>
    <row r="37" spans="1:37" ht="20.100000000000001" customHeight="1">
      <c r="C37" s="316"/>
      <c r="D37" s="316"/>
      <c r="E37" s="318"/>
      <c r="F37" s="315"/>
      <c r="G37" s="316"/>
      <c r="H37" s="316"/>
      <c r="I37" s="316"/>
      <c r="J37" s="316"/>
      <c r="K37" s="316"/>
      <c r="M37" s="316" t="s">
        <v>3306</v>
      </c>
      <c r="N37" s="1943" t="e">
        <f>ROUND(SQRT(O35^2+U35^2),5)</f>
        <v>#N/A</v>
      </c>
      <c r="O37" s="1943"/>
      <c r="P37" s="1943"/>
      <c r="Q37" s="1943"/>
      <c r="R37" s="1943"/>
      <c r="S37" s="318" t="s">
        <v>3655</v>
      </c>
      <c r="U37" s="316"/>
      <c r="V37" s="317"/>
      <c r="W37" s="317"/>
      <c r="X37" s="317"/>
      <c r="Y37" s="317"/>
      <c r="Z37" s="318"/>
      <c r="AA37" s="318"/>
      <c r="AB37" s="318"/>
      <c r="AC37" s="318"/>
      <c r="AD37" s="318"/>
      <c r="AE37" s="318"/>
      <c r="AF37" s="318"/>
      <c r="AG37" s="318"/>
      <c r="AH37" s="318"/>
      <c r="AI37" s="318"/>
      <c r="AJ37" s="318"/>
      <c r="AK37" s="318"/>
    </row>
    <row r="38" spans="1:37" ht="20.100000000000001" customHeight="1">
      <c r="C38" s="322" t="s">
        <v>5419</v>
      </c>
      <c r="D38" s="322"/>
      <c r="E38" s="322"/>
      <c r="F38" s="322"/>
      <c r="G38" s="322"/>
      <c r="H38" s="322"/>
      <c r="I38" s="322"/>
      <c r="J38" s="322"/>
      <c r="K38" s="322"/>
      <c r="L38" s="322"/>
      <c r="M38" s="322"/>
      <c r="P38" s="352"/>
      <c r="R38" s="352"/>
      <c r="S38" s="352"/>
      <c r="T38" s="353"/>
      <c r="U38" s="353"/>
      <c r="V38" s="353"/>
    </row>
    <row r="39" spans="1:37" ht="20.100000000000001" customHeight="1">
      <c r="C39" s="322"/>
      <c r="D39" s="322" t="s">
        <v>1248</v>
      </c>
      <c r="E39" s="322"/>
      <c r="F39" s="322"/>
      <c r="G39" s="322"/>
      <c r="H39" s="322"/>
      <c r="I39" s="322"/>
      <c r="J39" s="322"/>
      <c r="K39" s="322"/>
      <c r="L39" s="322"/>
      <c r="M39" s="322"/>
      <c r="P39" s="352"/>
      <c r="R39" s="352"/>
      <c r="S39" s="352"/>
      <c r="T39" s="353"/>
      <c r="U39" s="353"/>
      <c r="V39" s="353"/>
      <c r="W39" s="353"/>
    </row>
    <row r="40" spans="1:37" s="405" customFormat="1" ht="20.100000000000001" customHeight="1">
      <c r="A40" s="314"/>
      <c r="K40" s="1879" t="s">
        <v>4269</v>
      </c>
      <c r="L40" s="1879" t="s">
        <v>3279</v>
      </c>
      <c r="M40" s="1879" t="s">
        <v>4270</v>
      </c>
      <c r="N40" s="1879"/>
      <c r="P40" s="1884" t="s">
        <v>4271</v>
      </c>
      <c r="Q40" s="1884"/>
      <c r="R40" s="1884"/>
      <c r="S40" s="1884"/>
      <c r="T40" s="1884"/>
      <c r="U40" s="1884"/>
      <c r="V40" s="1884"/>
    </row>
    <row r="41" spans="1:37" s="405" customFormat="1" ht="20.100000000000001" customHeight="1">
      <c r="A41" s="314"/>
      <c r="K41" s="1879"/>
      <c r="L41" s="1879"/>
      <c r="M41" s="1879"/>
      <c r="N41" s="1879"/>
      <c r="P41" s="1876" t="s">
        <v>6291</v>
      </c>
      <c r="Q41" s="1876"/>
      <c r="R41" s="1876"/>
      <c r="S41" s="1876"/>
      <c r="T41" s="1876"/>
      <c r="U41" s="1876"/>
      <c r="V41" s="1876"/>
    </row>
    <row r="42" spans="1:37" s="405" customFormat="1" ht="20.100000000000001" customHeight="1">
      <c r="A42" s="314"/>
      <c r="K42" s="1879" t="s">
        <v>4269</v>
      </c>
      <c r="L42" s="1879" t="s">
        <v>3279</v>
      </c>
      <c r="M42" s="1878" t="str">
        <f>IF(LEFT(NL!$U$46,2)="C ",382/2,0)&amp;" ."</f>
        <v>0 .</v>
      </c>
      <c r="N42" s="1879"/>
      <c r="P42" s="1944" t="str">
        <f>"24 . "&amp;IF(LEFT(NL!$U$46,2)="C ",17,0)</f>
        <v>24 . 0</v>
      </c>
      <c r="Q42" s="1944"/>
      <c r="R42" s="1944"/>
      <c r="S42" s="1944"/>
      <c r="T42" s="1944"/>
      <c r="U42" s="494" t="s">
        <v>6292</v>
      </c>
      <c r="V42" s="495"/>
      <c r="W42" s="495"/>
      <c r="X42" s="495"/>
      <c r="Y42" s="495"/>
      <c r="Z42" s="495"/>
    </row>
    <row r="43" spans="1:37" s="405" customFormat="1" ht="9.9499999999999993" customHeight="1">
      <c r="A43" s="314"/>
      <c r="K43" s="1879"/>
      <c r="L43" s="1879"/>
      <c r="M43" s="1878"/>
      <c r="N43" s="1879"/>
      <c r="P43" s="1941" t="e">
        <f>N37</f>
        <v>#N/A</v>
      </c>
      <c r="Q43" s="1941"/>
      <c r="R43" s="1941"/>
      <c r="S43" s="1941"/>
      <c r="T43" s="496">
        <v>2</v>
      </c>
      <c r="U43" s="1876" t="s">
        <v>6344</v>
      </c>
      <c r="V43" s="1941" t="e">
        <f>K15</f>
        <v>#N/A</v>
      </c>
      <c r="W43" s="1941"/>
      <c r="X43" s="1941"/>
      <c r="Y43" s="1941"/>
      <c r="Z43" s="496">
        <v>2</v>
      </c>
    </row>
    <row r="44" spans="1:37" s="405" customFormat="1" ht="9.9499999999999993" customHeight="1">
      <c r="A44" s="314"/>
      <c r="K44" s="1879"/>
      <c r="L44" s="1879"/>
      <c r="M44" s="1879"/>
      <c r="N44" s="1879"/>
      <c r="P44" s="1941"/>
      <c r="Q44" s="1941"/>
      <c r="R44" s="1941"/>
      <c r="S44" s="1941"/>
      <c r="T44" s="497"/>
      <c r="U44" s="1879"/>
      <c r="V44" s="1941"/>
      <c r="W44" s="1941"/>
      <c r="X44" s="1941"/>
      <c r="Y44" s="1941"/>
      <c r="Z44" s="498"/>
    </row>
    <row r="45" spans="1:37" s="405" customFormat="1" ht="20.100000000000001" customHeight="1">
      <c r="A45" s="314"/>
      <c r="L45" s="405" t="s">
        <v>3279</v>
      </c>
      <c r="M45" s="1942" t="e">
        <f>ROUND(IF(LEFT(NL!$U$46,2)="C ",382/2,0)*SQRT(24*IF(LEFT(NL!$U$46,2)="C ",(17*10^(-6)),0)*(25-5)/((P43^2)-(V43^2))),1)</f>
        <v>#N/A</v>
      </c>
      <c r="N45" s="1942"/>
      <c r="O45" s="1942"/>
      <c r="P45" s="1942"/>
      <c r="Q45" s="1942"/>
      <c r="R45" s="1942"/>
      <c r="S45" s="1942"/>
      <c r="T45" s="1942"/>
      <c r="U45" s="1942"/>
      <c r="V45" s="1942"/>
      <c r="W45" s="1942"/>
      <c r="X45" s="1942"/>
      <c r="Y45" s="1942"/>
      <c r="Z45" s="1942"/>
      <c r="AA45" s="1942"/>
      <c r="AB45" s="1942"/>
      <c r="AC45" s="1942"/>
      <c r="AD45" s="1942"/>
      <c r="AE45" s="1942"/>
      <c r="AF45" s="1942"/>
      <c r="AG45" s="1942"/>
      <c r="AH45" s="1942"/>
      <c r="AI45" s="1942"/>
      <c r="AJ45" s="1942"/>
      <c r="AK45" s="1942"/>
    </row>
    <row r="46" spans="1:37" s="386" customFormat="1" ht="20.100000000000001" customHeight="1">
      <c r="A46" s="314"/>
      <c r="M46" s="387"/>
      <c r="N46" s="387"/>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row>
    <row r="47" spans="1:37" s="386" customFormat="1" ht="20.100000000000001" customHeight="1">
      <c r="A47" s="314"/>
      <c r="M47" s="387"/>
      <c r="N47" s="387"/>
      <c r="O47" s="387"/>
      <c r="P47" s="387"/>
      <c r="Q47" s="387"/>
      <c r="R47" s="387"/>
      <c r="S47" s="387"/>
      <c r="T47" s="387"/>
      <c r="U47" s="387"/>
      <c r="V47" s="387"/>
      <c r="W47" s="387"/>
      <c r="X47" s="387"/>
      <c r="Y47" s="387"/>
      <c r="Z47" s="387"/>
      <c r="AA47" s="387"/>
      <c r="AB47" s="387"/>
      <c r="AC47" s="387"/>
      <c r="AD47" s="387"/>
      <c r="AE47" s="387"/>
      <c r="AF47" s="387"/>
      <c r="AG47" s="387"/>
      <c r="AH47" s="387"/>
      <c r="AI47" s="387"/>
      <c r="AJ47" s="387"/>
      <c r="AK47" s="387"/>
    </row>
    <row r="48" spans="1:37" s="386" customFormat="1" ht="20.100000000000001" customHeight="1">
      <c r="A48" s="314"/>
      <c r="J48" s="1890" t="s">
        <v>558</v>
      </c>
      <c r="K48" s="1890"/>
      <c r="L48" s="1916" t="s">
        <v>3306</v>
      </c>
      <c r="M48" s="1892" t="s">
        <v>909</v>
      </c>
      <c r="N48" s="1892"/>
      <c r="O48" s="1916" t="s">
        <v>3306</v>
      </c>
      <c r="P48" s="1945" t="e">
        <f>VLOOKUP(NL!U46,NL!BY80:CJ116,NL!CE76,FALSE)</f>
        <v>#N/A</v>
      </c>
      <c r="Q48" s="1945"/>
      <c r="R48" s="1945"/>
      <c r="S48" s="1916" t="s">
        <v>3306</v>
      </c>
      <c r="T48" s="1939" t="e">
        <f>ROUND(P48/P49,1)</f>
        <v>#N/A</v>
      </c>
      <c r="U48" s="1939"/>
      <c r="V48" s="389"/>
      <c r="W48" s="389"/>
      <c r="X48" s="389"/>
      <c r="Y48" s="387"/>
      <c r="Z48" s="387"/>
      <c r="AA48" s="387"/>
      <c r="AB48" s="387"/>
      <c r="AC48" s="387"/>
      <c r="AD48" s="387"/>
      <c r="AE48" s="387"/>
      <c r="AF48" s="387"/>
      <c r="AG48" s="387"/>
      <c r="AH48" s="387"/>
      <c r="AI48" s="387"/>
      <c r="AJ48" s="387"/>
      <c r="AK48" s="387"/>
    </row>
    <row r="49" spans="1:37" s="386" customFormat="1" ht="20.100000000000001" customHeight="1">
      <c r="A49" s="314"/>
      <c r="J49" s="1890"/>
      <c r="K49" s="1890"/>
      <c r="L49" s="1916"/>
      <c r="M49" s="1921" t="s">
        <v>910</v>
      </c>
      <c r="N49" s="1921"/>
      <c r="O49" s="1916"/>
      <c r="P49" s="1939" t="e">
        <f>VLOOKUP(NL!U46,NL!BY80:CJ116,NL!CF76,FALSE)</f>
        <v>#N/A</v>
      </c>
      <c r="Q49" s="1939"/>
      <c r="R49" s="1939"/>
      <c r="S49" s="1916"/>
      <c r="T49" s="1939"/>
      <c r="U49" s="1939"/>
      <c r="V49" s="389"/>
      <c r="W49" s="389"/>
      <c r="X49" s="389"/>
      <c r="Y49" s="387"/>
      <c r="Z49" s="387"/>
      <c r="AA49" s="387"/>
      <c r="AB49" s="387"/>
      <c r="AC49" s="387"/>
      <c r="AD49" s="387"/>
      <c r="AE49" s="387"/>
      <c r="AF49" s="387"/>
      <c r="AG49" s="387"/>
      <c r="AH49" s="387"/>
      <c r="AI49" s="387"/>
      <c r="AJ49" s="387"/>
      <c r="AK49" s="387"/>
    </row>
    <row r="50" spans="1:37" ht="20.100000000000001" customHeight="1">
      <c r="C50" s="316"/>
      <c r="D50" s="316"/>
      <c r="E50" s="318"/>
      <c r="F50" s="314" t="s">
        <v>2415</v>
      </c>
      <c r="G50" s="316"/>
      <c r="H50" s="316"/>
      <c r="I50" s="316"/>
      <c r="J50" s="316"/>
      <c r="K50" s="316"/>
      <c r="L50" s="316"/>
      <c r="M50" s="316"/>
      <c r="R50" s="380"/>
      <c r="S50" s="380"/>
      <c r="T50" s="380"/>
      <c r="U50" s="380"/>
      <c r="V50" s="380"/>
      <c r="W50" s="380"/>
      <c r="X50" s="380"/>
      <c r="Y50" s="380"/>
      <c r="Z50" s="380"/>
      <c r="AA50" s="380"/>
      <c r="AB50" s="380"/>
      <c r="AC50" s="380"/>
      <c r="AD50" s="380"/>
      <c r="AE50" s="380"/>
      <c r="AF50" s="380"/>
      <c r="AG50" s="380"/>
      <c r="AH50" s="380"/>
      <c r="AI50" s="380"/>
      <c r="AJ50" s="380"/>
      <c r="AK50" s="380"/>
    </row>
    <row r="51" spans="1:37" s="386" customFormat="1" ht="20.100000000000001" customHeight="1">
      <c r="A51" s="314"/>
      <c r="J51" s="1890" t="s">
        <v>911</v>
      </c>
      <c r="K51" s="1890"/>
      <c r="L51" s="1916" t="s">
        <v>3306</v>
      </c>
      <c r="M51" s="1892" t="s">
        <v>912</v>
      </c>
      <c r="N51" s="1892"/>
      <c r="O51" s="1892"/>
      <c r="P51" s="1892"/>
      <c r="Q51" s="1892"/>
      <c r="R51" s="1892"/>
      <c r="S51" s="1892"/>
    </row>
    <row r="52" spans="1:37" s="386" customFormat="1" ht="20.100000000000001" customHeight="1">
      <c r="A52" s="314"/>
      <c r="J52" s="1890"/>
      <c r="K52" s="1890"/>
      <c r="L52" s="1916"/>
      <c r="M52" s="1916" t="s">
        <v>913</v>
      </c>
      <c r="N52" s="1916"/>
      <c r="O52" s="1916"/>
      <c r="P52" s="1916"/>
      <c r="Q52" s="1916"/>
      <c r="R52" s="1916"/>
      <c r="S52" s="1916"/>
    </row>
    <row r="53" spans="1:37" s="386" customFormat="1" ht="20.100000000000001" customHeight="1">
      <c r="A53" s="314"/>
      <c r="L53" s="1916" t="s">
        <v>3306</v>
      </c>
      <c r="M53" s="1896" t="s">
        <v>914</v>
      </c>
      <c r="N53" s="1896"/>
      <c r="O53" s="1896"/>
      <c r="P53" s="1896"/>
      <c r="Q53" s="1896"/>
      <c r="R53" s="1896"/>
      <c r="S53" s="1896"/>
      <c r="T53" s="1896"/>
      <c r="U53" s="1925" t="e">
        <f>T48&amp;" ."</f>
        <v>#N/A</v>
      </c>
      <c r="V53" s="1925"/>
      <c r="W53" s="1892" t="s">
        <v>915</v>
      </c>
      <c r="X53" s="1892"/>
      <c r="Y53" s="1892"/>
      <c r="Z53" s="1892"/>
      <c r="AA53" s="1892"/>
      <c r="AB53" s="1892"/>
      <c r="AC53" s="1892"/>
      <c r="AD53" s="387"/>
      <c r="AE53" s="387"/>
      <c r="AF53" s="387"/>
      <c r="AG53" s="387"/>
      <c r="AH53" s="387"/>
      <c r="AI53" s="387"/>
      <c r="AJ53" s="387"/>
      <c r="AK53" s="387"/>
    </row>
    <row r="54" spans="1:37" s="386" customFormat="1" ht="20.100000000000001" customHeight="1">
      <c r="A54" s="314"/>
      <c r="L54" s="1916"/>
      <c r="M54" s="1918" t="s">
        <v>6290</v>
      </c>
      <c r="N54" s="1918"/>
      <c r="O54" s="1918"/>
      <c r="P54" s="1918"/>
      <c r="Q54" s="1918"/>
      <c r="R54" s="1918"/>
      <c r="S54" s="1918"/>
      <c r="T54" s="1918"/>
      <c r="U54" s="1924" t="e">
        <f>T48&amp;" ."</f>
        <v>#N/A</v>
      </c>
      <c r="V54" s="1924"/>
      <c r="W54" s="1940" t="s">
        <v>916</v>
      </c>
      <c r="X54" s="1940"/>
      <c r="Y54" s="1940"/>
      <c r="Z54" s="1940"/>
      <c r="AA54" s="1940"/>
      <c r="AB54" s="1940"/>
      <c r="AC54" s="1940"/>
      <c r="AD54" s="387"/>
      <c r="AE54" s="387"/>
      <c r="AF54" s="387"/>
      <c r="AG54" s="387"/>
      <c r="AH54" s="387"/>
      <c r="AI54" s="387"/>
      <c r="AJ54" s="387"/>
      <c r="AK54" s="387"/>
    </row>
    <row r="55" spans="1:37" s="386" customFormat="1" ht="20.100000000000001" customHeight="1">
      <c r="A55" s="314"/>
      <c r="L55" s="388" t="s">
        <v>3306</v>
      </c>
      <c r="M55" s="1890" t="e">
        <f>ROUND(((((12*10^(-6)*19.6*10^4)+(T48*23*10^(-6)*6.18*10^4))/((19.6*10^4)+(T48*6.18*10^4)))*10^6),2)</f>
        <v>#N/A</v>
      </c>
      <c r="N55" s="1890"/>
      <c r="O55" s="1890"/>
      <c r="P55" s="1890"/>
      <c r="Q55" s="393" t="s">
        <v>2233</v>
      </c>
      <c r="S55" s="386" t="s">
        <v>2232</v>
      </c>
      <c r="T55" s="391"/>
      <c r="U55" s="392"/>
      <c r="V55" s="392"/>
      <c r="W55" s="392"/>
      <c r="X55" s="392"/>
      <c r="Y55" s="392"/>
      <c r="Z55" s="392"/>
      <c r="AA55" s="392"/>
      <c r="AB55" s="387"/>
      <c r="AC55" s="387"/>
      <c r="AD55" s="387"/>
      <c r="AE55" s="387"/>
      <c r="AF55" s="387"/>
      <c r="AG55" s="387"/>
      <c r="AH55" s="387"/>
      <c r="AI55" s="387"/>
      <c r="AJ55" s="387"/>
      <c r="AK55" s="387"/>
    </row>
    <row r="56" spans="1:37" ht="20.100000000000001" customHeight="1">
      <c r="C56" s="316"/>
      <c r="D56" s="316"/>
      <c r="E56" s="318"/>
      <c r="F56" s="314" t="s">
        <v>4982</v>
      </c>
      <c r="G56" s="316"/>
      <c r="H56" s="316"/>
      <c r="I56" s="316"/>
      <c r="J56" s="316"/>
      <c r="K56" s="316"/>
      <c r="L56" s="316"/>
      <c r="M56" s="316"/>
      <c r="R56" s="380"/>
      <c r="S56" s="380"/>
      <c r="T56" s="380"/>
      <c r="U56" s="380"/>
      <c r="V56" s="380"/>
      <c r="W56" s="380"/>
      <c r="X56" s="380"/>
      <c r="Y56" s="380"/>
      <c r="Z56" s="380"/>
      <c r="AA56" s="380"/>
      <c r="AB56" s="380"/>
      <c r="AC56" s="380"/>
      <c r="AD56" s="380"/>
      <c r="AE56" s="380"/>
      <c r="AF56" s="380"/>
      <c r="AG56" s="380"/>
      <c r="AH56" s="380"/>
      <c r="AI56" s="380"/>
      <c r="AJ56" s="380"/>
      <c r="AK56" s="380"/>
    </row>
    <row r="57" spans="1:37" s="386" customFormat="1" ht="20.100000000000001" customHeight="1">
      <c r="A57" s="314"/>
      <c r="J57" s="1890" t="s">
        <v>4983</v>
      </c>
      <c r="K57" s="1890"/>
      <c r="L57" s="1916" t="s">
        <v>3306</v>
      </c>
      <c r="M57" s="1892" t="s">
        <v>4984</v>
      </c>
      <c r="N57" s="1892"/>
      <c r="O57" s="1892"/>
      <c r="P57" s="1892"/>
      <c r="Q57" s="1892"/>
    </row>
    <row r="58" spans="1:37" s="386" customFormat="1" ht="20.100000000000001" customHeight="1">
      <c r="A58" s="314"/>
      <c r="J58" s="1890"/>
      <c r="K58" s="1890"/>
      <c r="L58" s="1916"/>
      <c r="M58" s="1921" t="s">
        <v>913</v>
      </c>
      <c r="N58" s="1921"/>
      <c r="O58" s="1921"/>
      <c r="P58" s="1921"/>
      <c r="Q58" s="1921"/>
    </row>
    <row r="59" spans="1:37" s="386" customFormat="1" ht="20.100000000000001" customHeight="1">
      <c r="A59" s="314"/>
      <c r="L59" s="1916" t="s">
        <v>3306</v>
      </c>
      <c r="M59" s="1892" t="e">
        <f>"1 + "&amp;T48</f>
        <v>#N/A</v>
      </c>
      <c r="N59" s="1892"/>
      <c r="O59" s="1892"/>
      <c r="P59" s="1892"/>
      <c r="Q59" s="1892"/>
      <c r="R59" s="1892"/>
      <c r="S59" s="1892"/>
      <c r="T59" s="1892"/>
      <c r="U59" s="1892"/>
      <c r="V59" s="1892"/>
      <c r="W59" s="1892"/>
      <c r="AE59" s="387"/>
      <c r="AF59" s="387"/>
      <c r="AG59" s="387"/>
      <c r="AH59" s="387"/>
      <c r="AI59" s="387"/>
      <c r="AJ59" s="387"/>
      <c r="AK59" s="387"/>
    </row>
    <row r="60" spans="1:37" s="386" customFormat="1" ht="20.100000000000001" customHeight="1">
      <c r="A60" s="314"/>
      <c r="L60" s="1916"/>
      <c r="M60" s="1918" t="s">
        <v>6290</v>
      </c>
      <c r="N60" s="1918"/>
      <c r="O60" s="1918"/>
      <c r="P60" s="1918"/>
      <c r="Q60" s="1918"/>
      <c r="R60" s="1924" t="e">
        <f>T48&amp;" ."</f>
        <v>#N/A</v>
      </c>
      <c r="S60" s="1924"/>
      <c r="T60" s="1940" t="s">
        <v>916</v>
      </c>
      <c r="U60" s="1940"/>
      <c r="V60" s="1940"/>
      <c r="W60" s="1940"/>
      <c r="AE60" s="387"/>
      <c r="AF60" s="387"/>
      <c r="AG60" s="387"/>
      <c r="AH60" s="387"/>
      <c r="AI60" s="387"/>
      <c r="AJ60" s="387"/>
      <c r="AK60" s="387"/>
    </row>
    <row r="61" spans="1:37" s="386" customFormat="1" ht="20.100000000000001" customHeight="1">
      <c r="A61" s="314"/>
      <c r="L61" s="388" t="s">
        <v>3306</v>
      </c>
      <c r="M61" s="1933" t="e">
        <f>ROUND((((1+T48)/((19.6*10^4)+(T48*6.18*10^4)))*10^6),2)</f>
        <v>#N/A</v>
      </c>
      <c r="N61" s="1934"/>
      <c r="O61" s="1934"/>
      <c r="P61" s="1934"/>
      <c r="Q61" s="393" t="s">
        <v>2233</v>
      </c>
      <c r="S61" s="386" t="s">
        <v>4985</v>
      </c>
      <c r="T61" s="391"/>
      <c r="U61" s="392"/>
      <c r="V61" s="392"/>
      <c r="W61" s="392"/>
      <c r="X61" s="392"/>
      <c r="Y61" s="392"/>
      <c r="Z61" s="392"/>
      <c r="AA61" s="392"/>
      <c r="AB61" s="387"/>
      <c r="AC61" s="387"/>
      <c r="AD61" s="387"/>
      <c r="AE61" s="387"/>
      <c r="AF61" s="387"/>
      <c r="AG61" s="387"/>
      <c r="AH61" s="387"/>
      <c r="AI61" s="387"/>
      <c r="AJ61" s="387"/>
      <c r="AK61" s="387"/>
    </row>
    <row r="62" spans="1:37" s="386" customFormat="1" ht="20.100000000000001" customHeight="1">
      <c r="A62" s="314"/>
      <c r="F62" s="386" t="s">
        <v>2416</v>
      </c>
      <c r="L62" s="388"/>
      <c r="M62" s="391"/>
      <c r="N62" s="391"/>
      <c r="O62" s="391"/>
      <c r="P62" s="391"/>
      <c r="Q62" s="391"/>
      <c r="R62" s="391"/>
      <c r="S62" s="391"/>
      <c r="T62" s="391"/>
      <c r="U62" s="390"/>
      <c r="V62" s="390"/>
      <c r="W62" s="387"/>
      <c r="X62" s="387"/>
      <c r="Y62" s="387"/>
      <c r="Z62" s="387"/>
      <c r="AA62" s="387"/>
      <c r="AB62" s="387"/>
      <c r="AC62" s="387"/>
      <c r="AD62" s="387"/>
      <c r="AE62" s="387"/>
      <c r="AF62" s="387"/>
      <c r="AG62" s="387"/>
      <c r="AH62" s="387"/>
      <c r="AI62" s="387"/>
      <c r="AJ62" s="387"/>
      <c r="AK62" s="387"/>
    </row>
    <row r="63" spans="1:37" s="386" customFormat="1" ht="20.100000000000001" customHeight="1">
      <c r="A63" s="314"/>
      <c r="J63" s="1858" t="s">
        <v>2417</v>
      </c>
      <c r="K63" s="1858"/>
      <c r="L63" s="1916" t="s">
        <v>3306</v>
      </c>
      <c r="M63" s="1863" t="s">
        <v>6042</v>
      </c>
      <c r="N63" s="1863"/>
      <c r="O63" s="1916" t="s">
        <v>3306</v>
      </c>
      <c r="P63" s="1928">
        <v>157</v>
      </c>
      <c r="Q63" s="1928"/>
      <c r="R63" s="1928"/>
      <c r="S63" s="1916" t="s">
        <v>3306</v>
      </c>
      <c r="T63" s="1939">
        <f>P63/P64</f>
        <v>78.5</v>
      </c>
      <c r="U63" s="1939"/>
      <c r="V63" s="1939"/>
      <c r="W63" s="1939" t="s">
        <v>6043</v>
      </c>
      <c r="X63" s="1939"/>
      <c r="Y63" s="1939"/>
      <c r="Z63" s="1939"/>
      <c r="AA63" s="387"/>
      <c r="AB63" s="387"/>
      <c r="AC63" s="387"/>
      <c r="AD63" s="387"/>
      <c r="AE63" s="387"/>
      <c r="AF63" s="387"/>
      <c r="AG63" s="387"/>
      <c r="AH63" s="387"/>
      <c r="AI63" s="387"/>
      <c r="AJ63" s="387"/>
      <c r="AK63" s="387"/>
    </row>
    <row r="64" spans="1:37" s="386" customFormat="1" ht="20.100000000000001" customHeight="1">
      <c r="A64" s="314"/>
      <c r="J64" s="1858"/>
      <c r="K64" s="1858"/>
      <c r="L64" s="1916"/>
      <c r="M64" s="1857" t="s">
        <v>2553</v>
      </c>
      <c r="N64" s="1857"/>
      <c r="O64" s="1916"/>
      <c r="P64" s="1920">
        <v>2</v>
      </c>
      <c r="Q64" s="1920"/>
      <c r="R64" s="1920"/>
      <c r="S64" s="1916"/>
      <c r="T64" s="1939"/>
      <c r="U64" s="1939"/>
      <c r="V64" s="1939"/>
      <c r="W64" s="1939"/>
      <c r="X64" s="1939"/>
      <c r="Y64" s="1939"/>
      <c r="Z64" s="1939"/>
      <c r="AA64" s="387"/>
      <c r="AB64" s="387"/>
      <c r="AC64" s="387"/>
      <c r="AD64" s="387"/>
      <c r="AE64" s="387"/>
      <c r="AF64" s="387"/>
      <c r="AG64" s="387"/>
      <c r="AH64" s="387"/>
      <c r="AI64" s="387"/>
      <c r="AJ64" s="387"/>
      <c r="AK64" s="387"/>
    </row>
    <row r="65" spans="1:37" s="386" customFormat="1" ht="20.100000000000001" customHeight="1">
      <c r="A65" s="314"/>
      <c r="I65" s="1862" t="s">
        <v>6044</v>
      </c>
      <c r="J65" s="1862"/>
      <c r="K65" s="1862"/>
      <c r="L65" s="1916" t="s">
        <v>3306</v>
      </c>
      <c r="M65" s="1863" t="s">
        <v>4987</v>
      </c>
      <c r="N65" s="1863"/>
      <c r="O65" s="1863"/>
      <c r="P65" s="1863"/>
      <c r="Q65" s="1863"/>
      <c r="R65" s="1863"/>
      <c r="S65" s="1863"/>
      <c r="T65" s="1863"/>
      <c r="U65" s="1863"/>
      <c r="V65" s="1863"/>
      <c r="W65" s="1863"/>
      <c r="X65" s="1863"/>
      <c r="Y65" s="1863"/>
      <c r="Z65" s="387"/>
      <c r="AA65" s="387"/>
      <c r="AB65" s="387"/>
      <c r="AC65" s="387"/>
      <c r="AD65" s="387"/>
      <c r="AE65" s="387"/>
      <c r="AF65" s="387"/>
      <c r="AG65" s="387"/>
      <c r="AK65" s="387"/>
    </row>
    <row r="66" spans="1:37" s="386" customFormat="1" ht="20.100000000000001" customHeight="1">
      <c r="A66" s="314"/>
      <c r="I66" s="1862"/>
      <c r="J66" s="1862"/>
      <c r="K66" s="1862"/>
      <c r="L66" s="1916"/>
      <c r="M66" s="1938" t="s">
        <v>4986</v>
      </c>
      <c r="N66" s="1938"/>
      <c r="O66" s="1938"/>
      <c r="P66" s="1938"/>
      <c r="Q66" s="1938"/>
      <c r="R66" s="1938"/>
      <c r="S66" s="1938"/>
      <c r="T66" s="1938"/>
      <c r="U66" s="1938"/>
      <c r="V66" s="1938"/>
      <c r="W66" s="1938"/>
      <c r="X66" s="1938"/>
      <c r="Y66" s="1938"/>
      <c r="Z66" s="387"/>
      <c r="AA66" s="387"/>
      <c r="AB66" s="387"/>
      <c r="AC66" s="387"/>
      <c r="AD66" s="387"/>
      <c r="AE66" s="387"/>
      <c r="AF66" s="387"/>
      <c r="AG66" s="387"/>
      <c r="AK66" s="387"/>
    </row>
    <row r="67" spans="1:37" s="386" customFormat="1" ht="20.100000000000001" customHeight="1">
      <c r="A67" s="314"/>
      <c r="I67" s="314"/>
      <c r="J67" s="314"/>
      <c r="K67" s="314"/>
      <c r="L67" s="1916" t="s">
        <v>3306</v>
      </c>
      <c r="M67" s="1936" t="str">
        <f>T63&amp;" - ( 23"</f>
        <v>78,5 - ( 23</v>
      </c>
      <c r="N67" s="1936"/>
      <c r="O67" s="1936"/>
      <c r="P67" s="1936"/>
      <c r="Q67" s="1936"/>
      <c r="R67" s="1928" t="s">
        <v>2233</v>
      </c>
      <c r="S67" s="1928"/>
      <c r="T67" s="1937" t="e">
        <f>"- "&amp;M55</f>
        <v>#N/A</v>
      </c>
      <c r="U67" s="1937"/>
      <c r="V67" s="1937"/>
      <c r="W67" s="1928" t="s">
        <v>4980</v>
      </c>
      <c r="X67" s="1928"/>
      <c r="Y67" s="1892" t="s">
        <v>4981</v>
      </c>
      <c r="Z67" s="1892"/>
      <c r="AA67" s="1892"/>
      <c r="AB67" s="1892" t="s">
        <v>4988</v>
      </c>
      <c r="AC67" s="1892"/>
      <c r="AD67" s="1892"/>
      <c r="AE67" s="1892"/>
      <c r="AF67" s="387"/>
      <c r="AG67" s="387"/>
      <c r="AK67" s="387"/>
    </row>
    <row r="68" spans="1:37" s="386" customFormat="1" ht="20.100000000000001" customHeight="1">
      <c r="A68" s="314"/>
      <c r="I68" s="314"/>
      <c r="J68" s="314"/>
      <c r="K68" s="314"/>
      <c r="L68" s="1916"/>
      <c r="M68" s="1935" t="s">
        <v>4323</v>
      </c>
      <c r="N68" s="1935"/>
      <c r="O68" s="1935"/>
      <c r="P68" s="1935"/>
      <c r="Q68" s="1935"/>
      <c r="R68" s="1935"/>
      <c r="S68" s="1935"/>
      <c r="T68" s="1935"/>
      <c r="U68" s="1935"/>
      <c r="V68" s="1918" t="e">
        <f>M61</f>
        <v>#N/A</v>
      </c>
      <c r="W68" s="1918"/>
      <c r="X68" s="1918"/>
      <c r="Y68" s="393" t="s">
        <v>2233</v>
      </c>
      <c r="Z68" s="394"/>
      <c r="AA68" s="394"/>
      <c r="AB68" s="394"/>
      <c r="AC68" s="394"/>
      <c r="AD68" s="394"/>
      <c r="AE68" s="394"/>
      <c r="AF68" s="387"/>
      <c r="AG68" s="387"/>
      <c r="AK68" s="387"/>
    </row>
    <row r="69" spans="1:37" s="386" customFormat="1" ht="20.100000000000001" customHeight="1">
      <c r="A69" s="314"/>
      <c r="L69" s="388" t="s">
        <v>3306</v>
      </c>
      <c r="M69" s="1933" t="e">
        <f>ROUND((T63-(23*10^-6-19.24*10^-6)*(15-5)*6.18*10^4)/(6.18*10^4*M61*10^-6),2)</f>
        <v>#N/A</v>
      </c>
      <c r="N69" s="1934"/>
      <c r="O69" s="1934"/>
      <c r="P69" s="1934"/>
      <c r="Q69" s="386" t="s">
        <v>6043</v>
      </c>
      <c r="T69" s="391"/>
      <c r="U69" s="392"/>
      <c r="V69" s="392"/>
      <c r="W69" s="392"/>
      <c r="X69" s="392"/>
      <c r="Y69" s="392"/>
      <c r="Z69" s="392"/>
      <c r="AA69" s="392"/>
      <c r="AB69" s="387"/>
      <c r="AC69" s="387"/>
      <c r="AD69" s="387"/>
      <c r="AE69" s="387"/>
      <c r="AF69" s="387"/>
      <c r="AG69" s="387"/>
      <c r="AH69" s="387"/>
      <c r="AI69" s="387"/>
      <c r="AJ69" s="387"/>
      <c r="AK69" s="387"/>
    </row>
    <row r="70" spans="1:37" s="386" customFormat="1" ht="20.100000000000001" customHeight="1">
      <c r="A70" s="314"/>
      <c r="I70" s="1862" t="s">
        <v>4324</v>
      </c>
      <c r="J70" s="1862"/>
      <c r="K70" s="1862"/>
      <c r="L70" s="1916" t="s">
        <v>3306</v>
      </c>
      <c r="M70" s="1863" t="s">
        <v>4325</v>
      </c>
      <c r="N70" s="1863"/>
      <c r="O70" s="1863"/>
      <c r="P70" s="1863"/>
      <c r="Q70" s="1863"/>
      <c r="R70" s="1863"/>
      <c r="S70" s="1863"/>
      <c r="T70" s="1863"/>
      <c r="U70" s="1863"/>
      <c r="V70" s="1863"/>
      <c r="W70" s="1863"/>
      <c r="X70" s="1863"/>
      <c r="Y70" s="1863"/>
      <c r="Z70" s="387"/>
      <c r="AA70" s="387"/>
      <c r="AB70" s="387"/>
      <c r="AC70" s="387"/>
      <c r="AD70" s="387"/>
      <c r="AE70" s="387"/>
      <c r="AF70" s="387"/>
      <c r="AG70" s="387"/>
      <c r="AK70" s="387"/>
    </row>
    <row r="71" spans="1:37" s="386" customFormat="1" ht="20.100000000000001" customHeight="1">
      <c r="A71" s="314"/>
      <c r="I71" s="1862"/>
      <c r="J71" s="1862"/>
      <c r="K71" s="1862"/>
      <c r="L71" s="1916"/>
      <c r="M71" s="1938" t="s">
        <v>4986</v>
      </c>
      <c r="N71" s="1938"/>
      <c r="O71" s="1938"/>
      <c r="P71" s="1938"/>
      <c r="Q71" s="1938"/>
      <c r="R71" s="1938"/>
      <c r="S71" s="1938"/>
      <c r="T71" s="1938"/>
      <c r="U71" s="1938"/>
      <c r="V71" s="1938"/>
      <c r="W71" s="1938"/>
      <c r="X71" s="1938"/>
      <c r="Y71" s="1938"/>
      <c r="Z71" s="387"/>
      <c r="AA71" s="387"/>
      <c r="AB71" s="387"/>
      <c r="AC71" s="387"/>
      <c r="AD71" s="387"/>
      <c r="AE71" s="387"/>
      <c r="AF71" s="387"/>
      <c r="AG71" s="387"/>
      <c r="AK71" s="387"/>
    </row>
    <row r="72" spans="1:37" s="386" customFormat="1" ht="20.100000000000001" customHeight="1">
      <c r="A72" s="314"/>
      <c r="I72" s="314"/>
      <c r="J72" s="314"/>
      <c r="K72" s="314"/>
      <c r="L72" s="1916" t="s">
        <v>3306</v>
      </c>
      <c r="M72" s="1936" t="str">
        <f>T63&amp;" - ( 23"</f>
        <v>78,5 - ( 23</v>
      </c>
      <c r="N72" s="1936"/>
      <c r="O72" s="1936"/>
      <c r="P72" s="1936"/>
      <c r="Q72" s="1936"/>
      <c r="R72" s="1928" t="s">
        <v>2233</v>
      </c>
      <c r="S72" s="1928"/>
      <c r="T72" s="1937" t="e">
        <f>"- "&amp;M55</f>
        <v>#N/A</v>
      </c>
      <c r="U72" s="1937"/>
      <c r="V72" s="1937"/>
      <c r="W72" s="1928" t="s">
        <v>4980</v>
      </c>
      <c r="X72" s="1928"/>
      <c r="Y72" s="1892" t="s">
        <v>4326</v>
      </c>
      <c r="Z72" s="1892"/>
      <c r="AA72" s="1892"/>
      <c r="AB72" s="1892" t="s">
        <v>4988</v>
      </c>
      <c r="AC72" s="1892"/>
      <c r="AD72" s="1892"/>
      <c r="AE72" s="1892"/>
      <c r="AF72" s="387"/>
      <c r="AG72" s="387"/>
      <c r="AK72" s="387"/>
    </row>
    <row r="73" spans="1:37" s="386" customFormat="1" ht="20.100000000000001" customHeight="1">
      <c r="A73" s="314"/>
      <c r="I73" s="314"/>
      <c r="J73" s="314"/>
      <c r="K73" s="314"/>
      <c r="L73" s="1916"/>
      <c r="M73" s="1935" t="s">
        <v>4323</v>
      </c>
      <c r="N73" s="1935"/>
      <c r="O73" s="1935"/>
      <c r="P73" s="1935"/>
      <c r="Q73" s="1935"/>
      <c r="R73" s="1935"/>
      <c r="S73" s="1935"/>
      <c r="T73" s="1935"/>
      <c r="U73" s="1935"/>
      <c r="V73" s="1918" t="e">
        <f>M61</f>
        <v>#N/A</v>
      </c>
      <c r="W73" s="1918"/>
      <c r="X73" s="1918"/>
      <c r="Y73" s="393" t="s">
        <v>2233</v>
      </c>
      <c r="Z73" s="394"/>
      <c r="AA73" s="394"/>
      <c r="AB73" s="394"/>
      <c r="AC73" s="394"/>
      <c r="AD73" s="394"/>
      <c r="AE73" s="394"/>
      <c r="AF73" s="387"/>
      <c r="AG73" s="387"/>
      <c r="AK73" s="387"/>
    </row>
    <row r="74" spans="1:37" s="386" customFormat="1" ht="20.100000000000001" customHeight="1">
      <c r="A74" s="314"/>
      <c r="L74" s="388" t="s">
        <v>3306</v>
      </c>
      <c r="M74" s="1933" t="e">
        <f>ROUND((T63-(23*10^-6-19.24*10^-6)*(15-25)*6.18*10^4)/(6.18*10^4*M61*10^-6),2)</f>
        <v>#N/A</v>
      </c>
      <c r="N74" s="1934"/>
      <c r="O74" s="1934"/>
      <c r="P74" s="1934"/>
      <c r="Q74" s="386" t="s">
        <v>6043</v>
      </c>
      <c r="T74" s="391"/>
      <c r="U74" s="392"/>
      <c r="V74" s="392"/>
      <c r="W74" s="392"/>
      <c r="X74" s="392"/>
      <c r="Y74" s="392"/>
      <c r="Z74" s="392"/>
      <c r="AA74" s="392"/>
      <c r="AB74" s="387"/>
      <c r="AC74" s="387"/>
      <c r="AD74" s="387"/>
      <c r="AE74" s="387"/>
      <c r="AF74" s="387"/>
      <c r="AG74" s="387"/>
      <c r="AH74" s="387"/>
      <c r="AI74" s="387"/>
      <c r="AJ74" s="387"/>
      <c r="AK74" s="387"/>
    </row>
    <row r="75" spans="1:37" s="386" customFormat="1" ht="20.100000000000001" customHeight="1">
      <c r="A75" s="314"/>
      <c r="F75" s="386" t="str">
        <f>"Khoảng vượt tới hạn của dây "&amp;NL!U46</f>
        <v>Khoảng vượt tới hạn của dây CXV 24kV 25mm2</v>
      </c>
      <c r="L75" s="388"/>
      <c r="M75" s="395"/>
      <c r="N75"/>
      <c r="O75"/>
      <c r="P75"/>
      <c r="T75" s="391"/>
      <c r="U75" s="392"/>
      <c r="V75" s="392"/>
      <c r="W75" s="392"/>
      <c r="X75" s="392"/>
      <c r="Y75" s="392"/>
      <c r="Z75" s="392"/>
      <c r="AA75" s="392"/>
      <c r="AB75" s="387"/>
      <c r="AC75" s="387"/>
      <c r="AD75" s="387"/>
      <c r="AE75" s="387"/>
      <c r="AF75" s="387"/>
      <c r="AG75" s="387"/>
      <c r="AH75" s="387"/>
      <c r="AI75" s="387"/>
      <c r="AJ75" s="387"/>
      <c r="AK75" s="387"/>
    </row>
    <row r="76" spans="1:37" ht="20.100000000000001" customHeight="1">
      <c r="K76" s="1859" t="s">
        <v>3278</v>
      </c>
      <c r="L76" s="1859" t="s">
        <v>3279</v>
      </c>
      <c r="M76" s="314"/>
      <c r="N76" s="384" t="s">
        <v>3280</v>
      </c>
      <c r="O76" s="381"/>
      <c r="P76" s="381"/>
      <c r="Q76" s="381"/>
      <c r="R76" s="381"/>
      <c r="S76" s="381"/>
      <c r="T76" s="381"/>
    </row>
    <row r="77" spans="1:37" ht="9.9499999999999993" customHeight="1">
      <c r="K77" s="1859"/>
      <c r="L77" s="1859"/>
      <c r="M77" s="314"/>
      <c r="N77" s="1857" t="s">
        <v>14</v>
      </c>
      <c r="O77" s="1857"/>
      <c r="P77" s="1857"/>
      <c r="Q77" s="383">
        <v>2</v>
      </c>
      <c r="R77" s="1857" t="s">
        <v>15</v>
      </c>
      <c r="S77" s="1857"/>
      <c r="T77" s="1857"/>
      <c r="U77" s="383">
        <v>2</v>
      </c>
    </row>
    <row r="78" spans="1:37" ht="9.9499999999999993" customHeight="1">
      <c r="K78" s="1859"/>
      <c r="L78" s="1859"/>
      <c r="M78" s="314"/>
      <c r="N78" s="1863"/>
      <c r="O78" s="1863"/>
      <c r="P78" s="1863"/>
      <c r="Q78" s="1859" t="s">
        <v>6344</v>
      </c>
      <c r="R78" s="1863"/>
      <c r="S78" s="1863"/>
      <c r="T78" s="1863"/>
      <c r="U78" s="316"/>
    </row>
    <row r="79" spans="1:37" ht="9.9499999999999993" customHeight="1">
      <c r="K79" s="316"/>
      <c r="L79" s="316"/>
      <c r="M79" s="314"/>
      <c r="N79" s="1857" t="s">
        <v>4324</v>
      </c>
      <c r="O79" s="1857"/>
      <c r="P79" s="1857"/>
      <c r="Q79" s="1859"/>
      <c r="R79" s="1857" t="s">
        <v>6044</v>
      </c>
      <c r="S79" s="1857"/>
      <c r="T79" s="1857"/>
      <c r="U79" s="316"/>
    </row>
    <row r="80" spans="1:37" ht="9.9499999999999993" customHeight="1">
      <c r="M80" s="314"/>
      <c r="N80" s="1859"/>
      <c r="O80" s="1859"/>
      <c r="P80" s="1859"/>
      <c r="R80" s="1859"/>
      <c r="S80" s="1859"/>
      <c r="T80" s="1859"/>
    </row>
    <row r="81" spans="2:37" ht="9.9499999999999993" customHeight="1">
      <c r="M81" s="314"/>
      <c r="N81" s="316"/>
      <c r="O81" s="316"/>
      <c r="P81" s="316"/>
      <c r="R81" s="316"/>
      <c r="S81" s="316"/>
      <c r="T81" s="316"/>
    </row>
    <row r="82" spans="2:37" ht="20.100000000000001" customHeight="1">
      <c r="K82" s="1859" t="s">
        <v>3278</v>
      </c>
      <c r="L82" s="1859" t="s">
        <v>3279</v>
      </c>
      <c r="M82" s="314"/>
      <c r="N82" s="1894" t="str">
        <f>"24 . "&amp;IF(LEFT(NL!$U$46,2)="AC",23,0)</f>
        <v>24 . 0</v>
      </c>
      <c r="O82" s="1894"/>
      <c r="P82" s="1894"/>
      <c r="Q82" s="385" t="s">
        <v>908</v>
      </c>
      <c r="R82" s="377"/>
      <c r="T82" s="370"/>
      <c r="U82" s="370"/>
      <c r="V82" s="370"/>
    </row>
    <row r="83" spans="2:37" ht="9.9499999999999993" customHeight="1">
      <c r="K83" s="1859"/>
      <c r="L83" s="1859"/>
      <c r="M83" s="314"/>
      <c r="N83" s="1930" t="e">
        <f>N37</f>
        <v>#N/A</v>
      </c>
      <c r="O83" s="1931"/>
      <c r="P83" s="1931"/>
      <c r="Q83" s="1931"/>
      <c r="R83" s="383">
        <v>2</v>
      </c>
      <c r="S83" s="1930" t="e">
        <f>K15</f>
        <v>#N/A</v>
      </c>
      <c r="T83" s="1931"/>
      <c r="U83" s="1931"/>
      <c r="V83" s="1931"/>
      <c r="W83" s="383">
        <v>2</v>
      </c>
    </row>
    <row r="84" spans="2:37" ht="9.9499999999999993" customHeight="1">
      <c r="K84" s="1859"/>
      <c r="L84" s="1859"/>
      <c r="M84" s="314"/>
      <c r="N84" s="1932"/>
      <c r="O84" s="1932"/>
      <c r="P84" s="1932"/>
      <c r="Q84" s="1932"/>
      <c r="R84" s="1859" t="s">
        <v>6344</v>
      </c>
      <c r="S84" s="1932"/>
      <c r="T84" s="1932"/>
      <c r="U84" s="1932"/>
      <c r="V84" s="1932"/>
    </row>
    <row r="85" spans="2:37" ht="9.9499999999999993" customHeight="1">
      <c r="K85" s="316"/>
      <c r="L85" s="316"/>
      <c r="M85" s="314"/>
      <c r="N85" s="1916" t="e">
        <f>M74</f>
        <v>#N/A</v>
      </c>
      <c r="O85" s="1916"/>
      <c r="P85" s="1916"/>
      <c r="Q85" s="1916"/>
      <c r="R85" s="1859"/>
      <c r="S85" s="1916" t="e">
        <f>M69</f>
        <v>#N/A</v>
      </c>
      <c r="T85" s="1916"/>
      <c r="U85" s="1916"/>
      <c r="V85" s="1916"/>
    </row>
    <row r="86" spans="2:37" ht="9.9499999999999993" customHeight="1">
      <c r="M86" s="314"/>
      <c r="N86" s="1916"/>
      <c r="O86" s="1916"/>
      <c r="P86" s="1916"/>
      <c r="Q86" s="1916"/>
      <c r="S86" s="1916"/>
      <c r="T86" s="1916"/>
      <c r="U86" s="1916"/>
      <c r="V86" s="1916"/>
    </row>
    <row r="87" spans="2:37" ht="20.100000000000001" customHeight="1">
      <c r="L87" s="314" t="s">
        <v>3279</v>
      </c>
      <c r="M87" s="314"/>
      <c r="N87" s="1929" t="e">
        <f>ROUND(SQRT((24*IF(LEFT(NL!$U$46,2)="AC",23*10^-6,0)*(25-5))/(((N83/N85)^2)-((S83/S85)^2))),2)</f>
        <v>#N/A</v>
      </c>
      <c r="O87" s="1929"/>
      <c r="P87" s="1929"/>
      <c r="Q87" s="1929"/>
      <c r="R87" s="318" t="s">
        <v>2550</v>
      </c>
      <c r="S87" s="316"/>
      <c r="T87" s="316"/>
    </row>
    <row r="88" spans="2:37" ht="20.100000000000001" customHeight="1">
      <c r="F88" s="386" t="s">
        <v>5142</v>
      </c>
      <c r="M88" s="314"/>
    </row>
    <row r="89" spans="2:37" ht="20.100000000000001" customHeight="1">
      <c r="F89" s="386"/>
      <c r="M89" s="314"/>
    </row>
    <row r="90" spans="2:37" ht="20.100000000000001" customHeight="1">
      <c r="D90" s="322" t="s">
        <v>5143</v>
      </c>
      <c r="M90" s="314"/>
    </row>
    <row r="91" spans="2:37" ht="20.100000000000001" customHeight="1">
      <c r="F91" s="1859" t="s">
        <v>1186</v>
      </c>
      <c r="G91" s="1859"/>
      <c r="H91" s="1859"/>
      <c r="I91" s="1859"/>
      <c r="J91" s="1863" t="s">
        <v>1187</v>
      </c>
      <c r="K91" s="1863"/>
      <c r="L91" s="1863"/>
      <c r="M91" s="1863"/>
      <c r="N91" s="1863"/>
      <c r="O91" s="1863"/>
      <c r="P91" s="1859" t="s">
        <v>3306</v>
      </c>
      <c r="Q91" s="1859" t="s">
        <v>1188</v>
      </c>
      <c r="R91" s="1859"/>
      <c r="S91" s="1859"/>
      <c r="T91" s="1859"/>
      <c r="U91" s="1863" t="s">
        <v>1187</v>
      </c>
      <c r="V91" s="1863"/>
      <c r="W91" s="1863"/>
      <c r="X91" s="1863"/>
      <c r="Y91" s="1863"/>
      <c r="Z91" s="1863"/>
      <c r="AA91" s="1859" t="s">
        <v>6344</v>
      </c>
      <c r="AB91" s="1892" t="s">
        <v>911</v>
      </c>
      <c r="AC91" s="1892"/>
      <c r="AD91" s="1859" t="s">
        <v>2928</v>
      </c>
      <c r="AE91" s="1859"/>
      <c r="AF91" s="1859"/>
      <c r="AG91" s="1859"/>
      <c r="AH91" s="1859"/>
      <c r="AI91" s="316"/>
      <c r="AJ91" s="316"/>
    </row>
    <row r="92" spans="2:37" ht="20.100000000000001" customHeight="1">
      <c r="F92" s="1859"/>
      <c r="G92" s="1859"/>
      <c r="H92" s="1859"/>
      <c r="I92" s="1859"/>
      <c r="J92" s="1921" t="s">
        <v>2929</v>
      </c>
      <c r="K92" s="1921"/>
      <c r="L92" s="1921"/>
      <c r="M92" s="1921"/>
      <c r="N92" s="1921"/>
      <c r="O92" s="1921"/>
      <c r="P92" s="1859"/>
      <c r="Q92" s="1859"/>
      <c r="R92" s="1859"/>
      <c r="S92" s="1859"/>
      <c r="T92" s="1859"/>
      <c r="U92" s="1921" t="s">
        <v>2269</v>
      </c>
      <c r="V92" s="1921"/>
      <c r="W92" s="1921"/>
      <c r="X92" s="1921"/>
      <c r="Y92" s="1921"/>
      <c r="Z92" s="1921"/>
      <c r="AA92" s="1859"/>
      <c r="AB92" s="1916" t="s">
        <v>4983</v>
      </c>
      <c r="AC92" s="1916"/>
      <c r="AD92" s="1859"/>
      <c r="AE92" s="1859"/>
      <c r="AF92" s="1859"/>
      <c r="AG92" s="1859"/>
      <c r="AH92" s="1859"/>
      <c r="AI92" s="316"/>
      <c r="AJ92" s="316"/>
    </row>
    <row r="93" spans="2:37" ht="9.9499999999999993" customHeight="1">
      <c r="G93" s="316"/>
      <c r="H93" s="316"/>
      <c r="I93" s="316"/>
      <c r="J93" s="316"/>
      <c r="K93" s="388"/>
      <c r="L93" s="388"/>
      <c r="M93" s="388"/>
      <c r="N93" s="388"/>
      <c r="O93" s="388"/>
      <c r="P93" s="388"/>
      <c r="Q93" s="316"/>
      <c r="R93" s="316"/>
      <c r="S93" s="316"/>
      <c r="T93" s="316"/>
      <c r="U93" s="316"/>
      <c r="V93" s="388"/>
      <c r="W93" s="388"/>
      <c r="X93" s="388"/>
      <c r="Y93" s="388"/>
      <c r="Z93" s="388"/>
      <c r="AA93" s="388"/>
      <c r="AB93" s="316"/>
      <c r="AC93" s="388"/>
      <c r="AD93" s="388"/>
      <c r="AE93" s="316"/>
      <c r="AF93" s="316"/>
      <c r="AG93" s="316"/>
      <c r="AH93" s="316"/>
      <c r="AI93" s="316"/>
      <c r="AJ93" s="316"/>
      <c r="AK93" s="316"/>
    </row>
    <row r="94" spans="2:37" ht="9.9499999999999993" customHeight="1">
      <c r="B94" s="1859" t="s">
        <v>1186</v>
      </c>
      <c r="C94" s="1859"/>
      <c r="D94" s="1859"/>
      <c r="E94" s="1859"/>
      <c r="F94" s="1924">
        <f>MAX(NL!U41:AL42)</f>
        <v>60</v>
      </c>
      <c r="G94" s="1924"/>
      <c r="H94" s="1924"/>
      <c r="I94" s="1924"/>
      <c r="J94" s="383">
        <v>2</v>
      </c>
      <c r="K94" s="1926" t="e">
        <f>K15</f>
        <v>#N/A</v>
      </c>
      <c r="L94" s="1926"/>
      <c r="M94" s="1926"/>
      <c r="N94" s="1926"/>
      <c r="O94" s="383">
        <v>2</v>
      </c>
      <c r="P94" s="1859" t="s">
        <v>3306</v>
      </c>
      <c r="Q94" s="1916" t="e">
        <f>M69&amp;" -"</f>
        <v>#N/A</v>
      </c>
      <c r="R94" s="1916"/>
      <c r="S94" s="1916"/>
      <c r="T94" s="1924">
        <f>MAX(NL!U41:AL42)</f>
        <v>60</v>
      </c>
      <c r="U94" s="1924"/>
      <c r="V94" s="1924"/>
      <c r="W94" s="1924"/>
      <c r="X94" s="383">
        <v>2</v>
      </c>
      <c r="Y94" s="1926" t="e">
        <f>N37</f>
        <v>#N/A</v>
      </c>
      <c r="Z94" s="1926"/>
      <c r="AA94" s="1926"/>
      <c r="AB94" s="1926"/>
      <c r="AC94" s="383">
        <v>2</v>
      </c>
      <c r="AD94" s="1916" t="e">
        <f>M55</f>
        <v>#N/A</v>
      </c>
      <c r="AE94" s="1916"/>
      <c r="AF94" s="1916"/>
      <c r="AG94" s="1920" t="s">
        <v>2233</v>
      </c>
      <c r="AH94" s="1920"/>
      <c r="AI94" s="1859" t="s">
        <v>1479</v>
      </c>
      <c r="AJ94" s="1859"/>
      <c r="AK94" s="1859"/>
    </row>
    <row r="95" spans="2:37" ht="9.9499999999999993" customHeight="1">
      <c r="B95" s="1859"/>
      <c r="C95" s="1859"/>
      <c r="D95" s="1859"/>
      <c r="E95" s="1859"/>
      <c r="F95" s="1925"/>
      <c r="G95" s="1925"/>
      <c r="H95" s="1925"/>
      <c r="I95" s="1925"/>
      <c r="J95" s="482" t="s">
        <v>3309</v>
      </c>
      <c r="K95" s="1927"/>
      <c r="L95" s="1927"/>
      <c r="M95" s="1927"/>
      <c r="N95" s="1927"/>
      <c r="O95" s="483"/>
      <c r="P95" s="1859"/>
      <c r="Q95" s="1916"/>
      <c r="R95" s="1916"/>
      <c r="S95" s="1916"/>
      <c r="T95" s="1925"/>
      <c r="U95" s="1925"/>
      <c r="V95" s="1925"/>
      <c r="W95" s="1925"/>
      <c r="X95" s="482" t="s">
        <v>3309</v>
      </c>
      <c r="Y95" s="1927"/>
      <c r="Z95" s="1927"/>
      <c r="AA95" s="1927"/>
      <c r="AB95" s="1927"/>
      <c r="AC95" s="391"/>
      <c r="AD95" s="1892"/>
      <c r="AE95" s="1892"/>
      <c r="AF95" s="1892"/>
      <c r="AG95" s="1928"/>
      <c r="AH95" s="1928"/>
      <c r="AI95" s="1859"/>
      <c r="AJ95" s="1859"/>
      <c r="AK95" s="1859"/>
    </row>
    <row r="96" spans="2:37" ht="9.9499999999999993" customHeight="1">
      <c r="B96" s="1859"/>
      <c r="C96" s="1859"/>
      <c r="D96" s="1859"/>
      <c r="E96" s="1859"/>
      <c r="F96" s="1918" t="e">
        <f>"24 ."&amp;M61</f>
        <v>#N/A</v>
      </c>
      <c r="G96" s="1918"/>
      <c r="H96" s="1918"/>
      <c r="I96" s="1918"/>
      <c r="J96" s="1919" t="s">
        <v>2233</v>
      </c>
      <c r="K96" s="1919"/>
      <c r="L96" s="1921" t="s">
        <v>2270</v>
      </c>
      <c r="M96" s="1922"/>
      <c r="N96" s="1922"/>
      <c r="O96" s="1922"/>
      <c r="P96" s="1859"/>
      <c r="Q96" s="1916"/>
      <c r="R96" s="1916"/>
      <c r="S96" s="1916"/>
      <c r="T96" s="1921" t="e">
        <f>"24 ."&amp;M61</f>
        <v>#N/A</v>
      </c>
      <c r="U96" s="1921"/>
      <c r="V96" s="1921"/>
      <c r="W96" s="1921"/>
      <c r="X96" s="1919" t="s">
        <v>2233</v>
      </c>
      <c r="Y96" s="1919"/>
      <c r="Z96" s="1918" t="e">
        <f>M69</f>
        <v>#N/A</v>
      </c>
      <c r="AA96" s="1918"/>
      <c r="AB96" s="1918"/>
      <c r="AC96" s="383">
        <v>2</v>
      </c>
      <c r="AD96" s="1921" t="e">
        <f>M61</f>
        <v>#N/A</v>
      </c>
      <c r="AE96" s="1921"/>
      <c r="AF96" s="1921"/>
      <c r="AG96" s="1919" t="s">
        <v>2233</v>
      </c>
      <c r="AH96" s="1919"/>
      <c r="AI96" s="1859"/>
      <c r="AJ96" s="1859"/>
      <c r="AK96" s="1859"/>
    </row>
    <row r="97" spans="1:42" ht="9.9499999999999993" customHeight="1">
      <c r="B97" s="1859"/>
      <c r="C97" s="1859"/>
      <c r="D97" s="1859"/>
      <c r="E97" s="1859"/>
      <c r="F97" s="1890"/>
      <c r="G97" s="1890"/>
      <c r="H97" s="1890"/>
      <c r="I97" s="1890"/>
      <c r="J97" s="1920"/>
      <c r="K97" s="1920"/>
      <c r="L97" s="1923"/>
      <c r="M97" s="1923"/>
      <c r="N97" s="1923"/>
      <c r="O97" s="1923"/>
      <c r="P97" s="1859"/>
      <c r="Q97" s="1916"/>
      <c r="R97" s="1916"/>
      <c r="S97" s="1916"/>
      <c r="T97" s="1916"/>
      <c r="U97" s="1916"/>
      <c r="V97" s="1916"/>
      <c r="W97" s="1916"/>
      <c r="X97" s="1920"/>
      <c r="Y97" s="1920"/>
      <c r="Z97" s="1890"/>
      <c r="AA97" s="1890"/>
      <c r="AB97" s="1890"/>
      <c r="AC97" s="386"/>
      <c r="AD97" s="1916"/>
      <c r="AE97" s="1916"/>
      <c r="AF97" s="1916"/>
      <c r="AG97" s="1920"/>
      <c r="AH97" s="1920"/>
      <c r="AI97" s="1859"/>
      <c r="AJ97" s="1859"/>
      <c r="AK97" s="1859"/>
    </row>
    <row r="98" spans="1:42" ht="9.9499999999999993" customHeight="1">
      <c r="G98" s="316"/>
      <c r="M98" s="314"/>
      <c r="AE98" s="316"/>
      <c r="AF98" s="316"/>
      <c r="AG98" s="316"/>
      <c r="AH98" s="316"/>
      <c r="AI98" s="316"/>
      <c r="AJ98" s="316"/>
      <c r="AK98" s="316"/>
    </row>
    <row r="99" spans="1:42" ht="9.9499999999999993" customHeight="1">
      <c r="F99" s="1859" t="s">
        <v>1186</v>
      </c>
      <c r="G99" s="1859"/>
      <c r="H99" s="1859"/>
      <c r="I99" s="1859"/>
      <c r="J99" s="1916" t="e">
        <f>ROUND(((MAX(NL!U41:AL42)^2)*(K94^2))/(24*M61*(10^-6)),2)</f>
        <v>#N/A</v>
      </c>
      <c r="K99" s="1916"/>
      <c r="L99" s="1916"/>
      <c r="M99" s="1916"/>
      <c r="N99" s="1916"/>
      <c r="O99" s="1916"/>
      <c r="P99" s="1859" t="s">
        <v>3306</v>
      </c>
      <c r="Q99" s="1917" t="e">
        <f>ROUND(M69-(((T94^2)*(Y94^2))/(24*(M61*(10^-6))*(Z96^2)))-((AD94/AD96)*15),2)</f>
        <v>#N/A</v>
      </c>
      <c r="R99" s="1914"/>
      <c r="S99" s="1914"/>
      <c r="T99" s="1914"/>
      <c r="U99" s="1914"/>
      <c r="V99" s="484"/>
      <c r="W99" s="392"/>
      <c r="X99" s="392"/>
      <c r="Y99" s="392"/>
      <c r="Z99" s="392"/>
      <c r="AA99" s="392"/>
      <c r="AB99" s="392"/>
      <c r="AC99" s="392"/>
      <c r="AD99" s="392"/>
      <c r="AE99" s="392"/>
      <c r="AH99" s="316"/>
      <c r="AI99" s="316"/>
      <c r="AJ99" s="316"/>
      <c r="AK99" s="316"/>
    </row>
    <row r="100" spans="1:42" ht="9.9499999999999993" customHeight="1">
      <c r="F100" s="1859"/>
      <c r="G100" s="1859"/>
      <c r="H100" s="1859"/>
      <c r="I100" s="1859"/>
      <c r="J100" s="1892"/>
      <c r="K100" s="1892"/>
      <c r="L100" s="1892"/>
      <c r="M100" s="1892"/>
      <c r="N100" s="1892"/>
      <c r="O100" s="1892"/>
      <c r="P100" s="1859"/>
      <c r="Q100" s="1914"/>
      <c r="R100" s="1914"/>
      <c r="S100" s="1914"/>
      <c r="T100" s="1914"/>
      <c r="U100" s="1914"/>
      <c r="V100" s="392"/>
      <c r="W100" s="392"/>
      <c r="X100" s="392"/>
      <c r="Y100" s="392"/>
      <c r="Z100" s="392"/>
      <c r="AA100" s="392"/>
      <c r="AB100" s="392"/>
      <c r="AC100" s="392"/>
      <c r="AD100" s="392"/>
      <c r="AE100" s="392"/>
      <c r="AK100" s="316"/>
    </row>
    <row r="101" spans="1:42" ht="9.9499999999999993" customHeight="1">
      <c r="F101" s="1859"/>
      <c r="G101" s="1859"/>
      <c r="H101" s="1859"/>
      <c r="I101" s="1859"/>
      <c r="J101" s="1916" t="s">
        <v>2270</v>
      </c>
      <c r="K101" s="1916"/>
      <c r="L101" s="1916"/>
      <c r="M101" s="1916"/>
      <c r="N101" s="1916"/>
      <c r="O101" s="1916"/>
      <c r="P101" s="1859"/>
      <c r="Q101" s="1914"/>
      <c r="R101" s="1914"/>
      <c r="S101" s="1914"/>
      <c r="T101" s="1914"/>
      <c r="U101" s="1914"/>
      <c r="V101" s="392"/>
      <c r="W101" s="392"/>
      <c r="X101" s="392"/>
      <c r="Y101" s="392"/>
      <c r="Z101" s="392"/>
      <c r="AA101" s="392"/>
      <c r="AB101" s="392"/>
      <c r="AC101" s="392"/>
      <c r="AD101" s="392"/>
      <c r="AE101" s="392"/>
      <c r="AK101" s="316"/>
    </row>
    <row r="102" spans="1:42" ht="9.9499999999999993" customHeight="1">
      <c r="F102" s="1859"/>
      <c r="G102" s="1859"/>
      <c r="H102" s="1859"/>
      <c r="I102" s="1859"/>
      <c r="J102" s="1916"/>
      <c r="K102" s="1916"/>
      <c r="L102" s="1916"/>
      <c r="M102" s="1916"/>
      <c r="N102" s="1916"/>
      <c r="O102" s="1916"/>
      <c r="P102" s="1859"/>
      <c r="Q102" s="1914"/>
      <c r="R102" s="1914"/>
      <c r="S102" s="1914"/>
      <c r="T102" s="1914"/>
      <c r="U102" s="1914"/>
      <c r="V102" s="392"/>
      <c r="W102" s="392"/>
      <c r="X102" s="392"/>
      <c r="Y102" s="392"/>
      <c r="Z102" s="392"/>
      <c r="AA102" s="392"/>
      <c r="AB102" s="392"/>
      <c r="AC102" s="392"/>
      <c r="AD102" s="392"/>
      <c r="AE102" s="392"/>
      <c r="AK102" s="316"/>
    </row>
    <row r="103" spans="1:42" ht="20.100000000000001" customHeight="1">
      <c r="D103" s="315" t="s">
        <v>1480</v>
      </c>
      <c r="G103" s="1914" t="s">
        <v>2271</v>
      </c>
      <c r="H103" s="1914"/>
      <c r="I103" s="1914"/>
      <c r="J103" s="1914"/>
      <c r="K103" s="386" t="s">
        <v>6344</v>
      </c>
      <c r="L103" s="1890" t="e">
        <f>Q99</f>
        <v>#N/A</v>
      </c>
      <c r="M103" s="1890"/>
      <c r="N103" s="1890"/>
      <c r="O103" s="1914" t="s">
        <v>4293</v>
      </c>
      <c r="P103" s="1914"/>
      <c r="Q103" s="1914"/>
      <c r="R103" s="1914"/>
      <c r="S103" s="398" t="s">
        <v>6344</v>
      </c>
      <c r="T103" s="1890" t="e">
        <f>ROUND(J99/10^4,2)</f>
        <v>#N/A</v>
      </c>
      <c r="U103" s="1890"/>
      <c r="V103" s="1890"/>
      <c r="W103" s="485" t="s">
        <v>4294</v>
      </c>
      <c r="X103" s="485"/>
      <c r="Y103" s="484" t="s">
        <v>3306</v>
      </c>
      <c r="Z103" s="485">
        <v>0</v>
      </c>
      <c r="AA103" s="392"/>
      <c r="AB103" s="392"/>
      <c r="AC103" s="392"/>
      <c r="AD103" s="392"/>
      <c r="AE103" s="392"/>
      <c r="AK103" s="316"/>
    </row>
    <row r="104" spans="1:42" ht="20.100000000000001" customHeight="1">
      <c r="D104" s="315"/>
      <c r="G104" s="315" t="s">
        <v>5652</v>
      </c>
      <c r="H104" s="387"/>
      <c r="I104" s="1914" t="s">
        <v>4295</v>
      </c>
      <c r="J104" s="1914"/>
      <c r="K104" s="1914"/>
      <c r="L104" s="1914"/>
      <c r="M104" s="391" t="s">
        <v>3306</v>
      </c>
      <c r="N104" s="391"/>
      <c r="O104" s="1890" t="e">
        <f>AM117</f>
        <v>#N/A</v>
      </c>
      <c r="P104" s="1890"/>
      <c r="Q104" s="1890"/>
      <c r="R104" s="386" t="s">
        <v>6043</v>
      </c>
      <c r="S104" s="398"/>
      <c r="T104" s="391"/>
      <c r="U104" s="391"/>
      <c r="V104" s="391"/>
      <c r="W104" s="485"/>
      <c r="X104" s="485"/>
      <c r="Y104" s="484"/>
      <c r="Z104" s="485"/>
      <c r="AA104" s="392"/>
      <c r="AB104" s="392"/>
      <c r="AC104" s="392"/>
      <c r="AD104" s="392"/>
      <c r="AE104" s="392"/>
      <c r="AK104" s="316"/>
    </row>
    <row r="105" spans="1:42" ht="20.100000000000001" customHeight="1">
      <c r="D105" s="322" t="s">
        <v>4774</v>
      </c>
      <c r="E105" s="322"/>
      <c r="F105" s="322"/>
      <c r="G105" s="322"/>
      <c r="H105" s="322"/>
      <c r="I105" s="322"/>
      <c r="J105" s="322"/>
      <c r="K105" s="322"/>
      <c r="L105" s="322"/>
      <c r="M105" s="322"/>
    </row>
    <row r="106" spans="1:42" s="405" customFormat="1" ht="20.100000000000001" customHeight="1">
      <c r="A106" s="314"/>
      <c r="C106" s="406"/>
      <c r="D106" s="406"/>
      <c r="E106" s="406"/>
      <c r="F106" s="409"/>
      <c r="G106" s="406"/>
      <c r="H106" s="406"/>
      <c r="I106" s="406"/>
      <c r="J106" s="406"/>
      <c r="K106" s="408"/>
      <c r="L106" s="408"/>
      <c r="M106" s="407"/>
      <c r="N106" s="407"/>
      <c r="O106" s="407"/>
      <c r="P106" s="407"/>
      <c r="Q106" s="408"/>
      <c r="R106" s="408"/>
      <c r="S106" s="408"/>
      <c r="T106" s="408"/>
      <c r="U106" s="408"/>
      <c r="V106" s="408"/>
      <c r="W106" s="408"/>
      <c r="X106" s="408"/>
      <c r="Y106" s="408"/>
      <c r="Z106" s="408"/>
      <c r="AA106" s="408"/>
      <c r="AB106" s="408"/>
      <c r="AC106" s="408"/>
      <c r="AD106" s="408"/>
      <c r="AE106" s="408"/>
      <c r="AF106" s="408"/>
      <c r="AG106" s="408"/>
      <c r="AH106" s="408"/>
      <c r="AI106" s="408"/>
      <c r="AJ106" s="408"/>
      <c r="AK106" s="408"/>
      <c r="AL106" s="475" t="s">
        <v>558</v>
      </c>
      <c r="AM106" s="475" t="s">
        <v>3490</v>
      </c>
      <c r="AN106" s="475" t="s">
        <v>3491</v>
      </c>
      <c r="AO106" s="475" t="s">
        <v>1252</v>
      </c>
      <c r="AP106" s="475" t="s">
        <v>1175</v>
      </c>
    </row>
    <row r="107" spans="1:42" s="405" customFormat="1" ht="20.100000000000001" customHeight="1">
      <c r="A107" s="314"/>
      <c r="C107" s="406"/>
      <c r="D107" s="406"/>
      <c r="E107" s="406"/>
      <c r="F107" s="409"/>
      <c r="G107" s="406"/>
      <c r="H107" s="406"/>
      <c r="I107" s="406"/>
      <c r="J107" s="406"/>
      <c r="K107" s="408"/>
      <c r="L107" s="408"/>
      <c r="M107" s="407"/>
      <c r="N107" s="407"/>
      <c r="O107" s="407"/>
      <c r="P107" s="407"/>
      <c r="Q107" s="408"/>
      <c r="R107" s="408"/>
      <c r="S107" s="408"/>
      <c r="T107" s="408"/>
      <c r="U107" s="408"/>
      <c r="V107" s="408"/>
      <c r="W107" s="408"/>
      <c r="X107" s="408"/>
      <c r="Y107" s="408"/>
      <c r="Z107" s="408"/>
      <c r="AA107" s="408"/>
      <c r="AB107" s="408"/>
      <c r="AC107" s="408"/>
      <c r="AD107" s="408"/>
      <c r="AE107" s="408"/>
      <c r="AF107" s="408"/>
      <c r="AG107" s="408"/>
      <c r="AH107" s="408"/>
      <c r="AI107" s="408"/>
      <c r="AJ107" s="408"/>
      <c r="AK107" s="408"/>
      <c r="AL107">
        <v>1</v>
      </c>
      <c r="AM107" s="583" t="e">
        <f>-L103</f>
        <v>#N/A</v>
      </c>
      <c r="AN107">
        <v>0</v>
      </c>
      <c r="AO107" t="e">
        <f>-T103*10^4</f>
        <v>#N/A</v>
      </c>
      <c r="AP107" s="476">
        <v>3.14159265358979</v>
      </c>
    </row>
    <row r="108" spans="1:42" s="405" customFormat="1" ht="20.100000000000001" customHeight="1">
      <c r="A108" s="314"/>
      <c r="C108" s="406"/>
      <c r="D108" s="406"/>
      <c r="E108" s="406"/>
      <c r="F108" s="409"/>
      <c r="G108" s="406"/>
      <c r="H108" s="406"/>
      <c r="I108" s="406"/>
      <c r="J108" s="406"/>
      <c r="K108" s="408"/>
      <c r="L108" s="408"/>
      <c r="M108" s="407"/>
      <c r="N108" s="407"/>
      <c r="O108" s="407"/>
      <c r="P108" s="407"/>
      <c r="Q108" s="408"/>
      <c r="R108" s="408"/>
      <c r="S108" s="408"/>
      <c r="T108" s="408"/>
      <c r="U108" s="408"/>
      <c r="V108" s="408"/>
      <c r="W108" s="408"/>
      <c r="X108" s="408"/>
      <c r="Y108" s="408"/>
      <c r="Z108" s="408"/>
      <c r="AA108" s="408"/>
      <c r="AB108" s="408"/>
      <c r="AC108" s="408"/>
      <c r="AD108" s="408"/>
      <c r="AE108" s="408"/>
      <c r="AF108" s="408"/>
      <c r="AG108" s="408"/>
      <c r="AH108" s="408"/>
      <c r="AI108" s="408"/>
      <c r="AJ108" s="408"/>
      <c r="AK108" s="408"/>
      <c r="AL108" s="477" t="s">
        <v>1176</v>
      </c>
      <c r="AM108" t="e">
        <f>+(POWER(AM107,2)-3*AL107*AN107)</f>
        <v>#N/A</v>
      </c>
      <c r="AN108"/>
      <c r="AO108"/>
      <c r="AP108"/>
    </row>
    <row r="109" spans="1:42" s="405" customFormat="1" ht="20.100000000000001" customHeight="1">
      <c r="A109" s="314"/>
      <c r="C109" s="406"/>
      <c r="D109" s="406"/>
      <c r="E109" s="406"/>
      <c r="F109" s="409"/>
      <c r="G109" s="406"/>
      <c r="H109" s="406"/>
      <c r="I109" s="406"/>
      <c r="J109" s="406"/>
      <c r="K109" s="408"/>
      <c r="L109" s="408"/>
      <c r="M109" s="407"/>
      <c r="N109" s="407"/>
      <c r="O109" s="407"/>
      <c r="P109" s="407"/>
      <c r="Q109" s="408"/>
      <c r="R109" s="408"/>
      <c r="S109" s="408"/>
      <c r="T109" s="408"/>
      <c r="U109" s="408"/>
      <c r="V109" s="408"/>
      <c r="W109" s="408"/>
      <c r="X109" s="408"/>
      <c r="Y109" s="408"/>
      <c r="Z109" s="408"/>
      <c r="AA109" s="408"/>
      <c r="AB109" s="408"/>
      <c r="AC109" s="408"/>
      <c r="AD109" s="408"/>
      <c r="AE109" s="408"/>
      <c r="AF109" s="408"/>
      <c r="AG109" s="408"/>
      <c r="AH109" s="408"/>
      <c r="AI109" s="408"/>
      <c r="AJ109" s="408"/>
      <c r="AK109" s="408"/>
      <c r="AL109" t="s">
        <v>1177</v>
      </c>
      <c r="AM109" t="e">
        <f>+(9*AL107*AM107*AN107-2*POWER(AM107,3)-27*POWER(AL107,2)*AO107)/(2*(POWER(ABS(AM108),3/2)))</f>
        <v>#N/A</v>
      </c>
      <c r="AN109"/>
      <c r="AO109"/>
      <c r="AP109"/>
    </row>
    <row r="110" spans="1:42" s="405" customFormat="1" ht="20.100000000000001" customHeight="1">
      <c r="A110" s="314"/>
      <c r="C110" s="406"/>
      <c r="D110" s="406"/>
      <c r="E110" s="406"/>
      <c r="F110" s="409"/>
      <c r="G110" s="406"/>
      <c r="H110" s="406"/>
      <c r="I110" s="406"/>
      <c r="J110" s="406"/>
      <c r="K110" s="408"/>
      <c r="L110" s="408"/>
      <c r="M110" s="407"/>
      <c r="N110" s="407"/>
      <c r="O110" s="407"/>
      <c r="P110" s="407"/>
      <c r="Q110" s="408"/>
      <c r="R110" s="408"/>
      <c r="S110" s="408"/>
      <c r="T110" s="408"/>
      <c r="U110" s="408"/>
      <c r="V110" s="408"/>
      <c r="W110" s="408"/>
      <c r="X110" s="408"/>
      <c r="Y110" s="408"/>
      <c r="Z110" s="408"/>
      <c r="AA110" s="408"/>
      <c r="AB110" s="408"/>
      <c r="AC110" s="408"/>
      <c r="AD110" s="408"/>
      <c r="AE110" s="408"/>
      <c r="AF110" s="408"/>
      <c r="AG110" s="408"/>
      <c r="AH110" s="408"/>
      <c r="AI110" s="408"/>
      <c r="AJ110" s="408"/>
      <c r="AK110" s="408"/>
      <c r="AL110" s="478" t="e">
        <f>AND(AM108&gt;0,ABS(AM109)&lt;=1)</f>
        <v>#N/A</v>
      </c>
      <c r="AM110"/>
      <c r="AN110"/>
      <c r="AO110"/>
      <c r="AP110"/>
    </row>
    <row r="111" spans="1:42" s="405" customFormat="1" ht="20.100000000000001" customHeight="1">
      <c r="A111" s="314"/>
      <c r="C111" s="406"/>
      <c r="D111" s="406"/>
      <c r="E111" s="406"/>
      <c r="F111" s="409"/>
      <c r="G111" s="406"/>
      <c r="H111" s="406"/>
      <c r="I111" s="406"/>
      <c r="J111" s="406"/>
      <c r="K111" s="408"/>
      <c r="L111" s="408"/>
      <c r="M111" s="407"/>
      <c r="N111" s="407"/>
      <c r="O111" s="407"/>
      <c r="P111" s="407"/>
      <c r="Q111" s="408"/>
      <c r="R111" s="408"/>
      <c r="S111" s="408"/>
      <c r="T111" s="408"/>
      <c r="U111" s="408"/>
      <c r="V111" s="408"/>
      <c r="W111" s="408"/>
      <c r="X111" s="408"/>
      <c r="Y111" s="408"/>
      <c r="Z111" s="408"/>
      <c r="AA111" s="408"/>
      <c r="AB111" s="408"/>
      <c r="AC111" s="408"/>
      <c r="AD111" s="408"/>
      <c r="AE111" s="408"/>
      <c r="AF111" s="408"/>
      <c r="AG111" s="408"/>
      <c r="AH111" s="408"/>
      <c r="AI111" s="408"/>
      <c r="AJ111" s="408"/>
      <c r="AK111" s="408"/>
      <c r="AL111" t="s">
        <v>1178</v>
      </c>
      <c r="AM111"/>
      <c r="AN111"/>
      <c r="AO111"/>
      <c r="AP111"/>
    </row>
    <row r="112" spans="1:42" s="405" customFormat="1" ht="20.100000000000001" customHeight="1">
      <c r="A112" s="314"/>
      <c r="C112" s="406"/>
      <c r="D112" s="406"/>
      <c r="E112" s="406"/>
      <c r="F112" s="409"/>
      <c r="G112" s="406"/>
      <c r="H112" s="406"/>
      <c r="I112" s="406"/>
      <c r="J112" s="406"/>
      <c r="K112" s="408"/>
      <c r="L112" s="408"/>
      <c r="M112" s="407"/>
      <c r="N112" s="407"/>
      <c r="O112" s="407"/>
      <c r="P112" s="407"/>
      <c r="Q112" s="408"/>
      <c r="R112" s="408"/>
      <c r="S112" s="408"/>
      <c r="T112" s="408"/>
      <c r="U112" s="408"/>
      <c r="V112" s="408"/>
      <c r="W112" s="408"/>
      <c r="X112" s="408"/>
      <c r="Y112" s="408"/>
      <c r="Z112" s="408"/>
      <c r="AA112" s="408"/>
      <c r="AB112" s="408"/>
      <c r="AC112" s="408"/>
      <c r="AD112" s="408"/>
      <c r="AE112" s="408"/>
      <c r="AF112" s="408"/>
      <c r="AG112" s="408"/>
      <c r="AH112" s="408"/>
      <c r="AI112" s="408"/>
      <c r="AJ112" s="408"/>
      <c r="AK112" s="408"/>
      <c r="AL112" t="s">
        <v>1179</v>
      </c>
      <c r="AM112" s="479" t="e">
        <f>+(2*POWER(AM108,0.5)*COS(ACOS(AM109)/3)-AM107)/(3*AL107)</f>
        <v>#N/A</v>
      </c>
      <c r="AN112"/>
      <c r="AO112"/>
      <c r="AP112"/>
    </row>
    <row r="113" spans="1:42" s="405" customFormat="1" ht="20.100000000000001" customHeight="1">
      <c r="A113" s="314"/>
      <c r="C113" s="406"/>
      <c r="D113" s="406"/>
      <c r="E113" s="406"/>
      <c r="F113" s="409"/>
      <c r="G113" s="406"/>
      <c r="H113" s="406"/>
      <c r="I113" s="406"/>
      <c r="J113" s="406"/>
      <c r="K113" s="408"/>
      <c r="L113" s="408"/>
      <c r="M113" s="407"/>
      <c r="N113" s="407"/>
      <c r="O113" s="407"/>
      <c r="P113" s="407"/>
      <c r="Q113" s="408"/>
      <c r="R113" s="408"/>
      <c r="S113" s="408"/>
      <c r="T113" s="408"/>
      <c r="U113" s="408"/>
      <c r="V113" s="408"/>
      <c r="W113" s="408"/>
      <c r="X113" s="408"/>
      <c r="Y113" s="408"/>
      <c r="Z113" s="408"/>
      <c r="AA113" s="408"/>
      <c r="AB113" s="408"/>
      <c r="AC113" s="408"/>
      <c r="AD113" s="408"/>
      <c r="AE113" s="408"/>
      <c r="AF113" s="408"/>
      <c r="AG113" s="408"/>
      <c r="AH113" s="408"/>
      <c r="AI113" s="408"/>
      <c r="AJ113" s="408"/>
      <c r="AK113" s="408"/>
      <c r="AL113" t="s">
        <v>1180</v>
      </c>
      <c r="AM113" s="479" t="e">
        <f>+(2*POWER(AM108,0.5)*COS((ACOS(AM109)/3)-(2*AP107/3))-AM107)/(3*AL107)</f>
        <v>#N/A</v>
      </c>
      <c r="AN113"/>
      <c r="AO113"/>
      <c r="AP113"/>
    </row>
    <row r="114" spans="1:42" ht="20.100000000000001" customHeight="1">
      <c r="D114" s="314" t="s">
        <v>940</v>
      </c>
      <c r="M114" s="314"/>
      <c r="Q114" s="314" t="s">
        <v>944</v>
      </c>
      <c r="R114" s="1915">
        <f>MAX(NL!U41:AL42)</f>
        <v>60</v>
      </c>
      <c r="S114" s="1915"/>
      <c r="T114" s="1915"/>
      <c r="U114" s="1915"/>
      <c r="V114" s="1915"/>
      <c r="W114" s="1915"/>
      <c r="X114" s="1915"/>
      <c r="Y114" s="1915"/>
      <c r="Z114" s="1915"/>
      <c r="AA114" s="1915"/>
      <c r="AB114" s="1915"/>
      <c r="AC114" s="1915"/>
      <c r="AD114" s="1915"/>
      <c r="AE114" s="1915"/>
      <c r="AF114" s="1915"/>
      <c r="AG114" s="1915"/>
      <c r="AH114" s="1915"/>
      <c r="AI114" s="1915"/>
      <c r="AJ114" s="1915"/>
      <c r="AK114" s="1915"/>
      <c r="AL114" t="s">
        <v>1181</v>
      </c>
      <c r="AM114" s="479" t="e">
        <f>+(2*POWER(AM108,0.5)*COS((ACOS(AM109)/3)+(2*AP107/3))-AM107)/(3*AL107)</f>
        <v>#N/A</v>
      </c>
      <c r="AN114"/>
      <c r="AO114"/>
      <c r="AP114" s="480"/>
    </row>
    <row r="115" spans="1:42" ht="20.100000000000001" customHeight="1">
      <c r="D115" s="314" t="s">
        <v>5621</v>
      </c>
      <c r="M115" s="314"/>
      <c r="Q115" s="314" t="s">
        <v>944</v>
      </c>
      <c r="R115" s="1898">
        <f>R114*1.02</f>
        <v>61.2</v>
      </c>
      <c r="S115" s="1898"/>
      <c r="T115" s="1898"/>
      <c r="U115" s="1898"/>
      <c r="V115" s="1898"/>
      <c r="W115" s="1898"/>
      <c r="X115" s="1898"/>
      <c r="Y115" s="1898"/>
      <c r="Z115" s="1898"/>
      <c r="AA115" s="1898"/>
      <c r="AB115" s="1898"/>
      <c r="AC115" s="1898"/>
      <c r="AD115" s="1898"/>
      <c r="AE115" s="1898"/>
      <c r="AF115" s="1898"/>
      <c r="AG115" s="1898"/>
      <c r="AH115" s="1898"/>
      <c r="AI115" s="1898"/>
      <c r="AJ115" s="1898"/>
      <c r="AK115" s="1898"/>
      <c r="AL115" s="478" t="e">
        <f>AND(AM108&gt;0,ABS(AM109)&gt;1)</f>
        <v>#N/A</v>
      </c>
      <c r="AM115"/>
      <c r="AN115"/>
      <c r="AO115"/>
      <c r="AP115"/>
    </row>
    <row r="116" spans="1:42" ht="20.100000000000001" customHeight="1">
      <c r="C116" s="322"/>
      <c r="D116" s="314" t="s">
        <v>563</v>
      </c>
      <c r="E116" s="322"/>
      <c r="F116" s="315"/>
      <c r="G116" s="322"/>
      <c r="H116" s="322"/>
      <c r="I116" s="322"/>
      <c r="J116" s="322"/>
      <c r="K116" s="318"/>
      <c r="L116" s="318"/>
      <c r="M116" s="316"/>
      <c r="N116" s="316"/>
      <c r="O116" s="316"/>
      <c r="P116" s="316"/>
      <c r="Q116" s="318"/>
      <c r="R116" s="318"/>
      <c r="S116" s="318"/>
      <c r="T116" s="318"/>
      <c r="U116" s="318"/>
      <c r="V116" s="318"/>
      <c r="W116" s="318"/>
      <c r="X116" s="318"/>
      <c r="Y116" s="318"/>
      <c r="Z116" s="318"/>
      <c r="AA116" s="318"/>
      <c r="AB116" s="318"/>
      <c r="AC116" s="318"/>
      <c r="AD116" s="318"/>
      <c r="AE116" s="318"/>
      <c r="AF116" s="318"/>
      <c r="AG116" s="318"/>
      <c r="AH116" s="318"/>
      <c r="AI116" s="318"/>
      <c r="AJ116" s="318"/>
      <c r="AK116" s="318"/>
      <c r="AL116" t="s">
        <v>1182</v>
      </c>
      <c r="AM116"/>
      <c r="AN116"/>
      <c r="AO116"/>
      <c r="AP116"/>
    </row>
    <row r="117" spans="1:42" ht="20.100000000000001" customHeight="1">
      <c r="C117" s="322"/>
      <c r="D117" s="322"/>
      <c r="E117" s="315" t="str">
        <f>"- Trụ "&amp;NL!U48&amp;"; lực đầu trụ = "&amp;IF(NL!U48="BTLT 10,5m", 520,IF(NL!U48="BTLT 12m", 720,IF(NL!U48="BTLT 14m",1100,IF(NL!U48="BTLT 20m",1300,""))))&amp;"[kgf] cho vị trí dừng và góc."</f>
        <v>- Trụ BTLT 12m; lực đầu trụ = 720[kgf] cho vị trí dừng và góc.</v>
      </c>
      <c r="G117" s="322"/>
      <c r="H117" s="322"/>
      <c r="I117" s="322"/>
      <c r="J117" s="322"/>
      <c r="K117" s="318"/>
      <c r="L117" s="318"/>
      <c r="M117" s="316"/>
      <c r="N117" s="316"/>
      <c r="O117" s="316"/>
      <c r="P117" s="316"/>
      <c r="Q117" s="318"/>
      <c r="R117" s="318"/>
      <c r="S117" s="318"/>
      <c r="T117" s="318"/>
      <c r="U117" s="318"/>
      <c r="V117" s="318"/>
      <c r="W117" s="318"/>
      <c r="X117" s="318"/>
      <c r="Y117" s="318"/>
      <c r="Z117" s="318"/>
      <c r="AA117" s="318"/>
      <c r="AB117" s="318"/>
      <c r="AC117" s="318"/>
      <c r="AD117" s="318"/>
      <c r="AE117" s="318"/>
      <c r="AF117" s="318"/>
      <c r="AG117" s="318"/>
      <c r="AH117" s="318"/>
      <c r="AI117" s="318"/>
      <c r="AJ117" s="318"/>
      <c r="AK117" s="318"/>
      <c r="AL117" t="s">
        <v>1183</v>
      </c>
      <c r="AM117" s="481" t="e">
        <f>ROUND((((POWER(AM108,0.5)*ABS(AM109))/(3*AL107*AM109))*((POWER(ABS(AM109)+POWER(POWER(AM109,2)-1,0.5),1/3))+(POWER(ABS(AM109)-POWER(POWER(AM109,2)-1,0.5),1/3))))-(AM107/(3*AL107)),2)</f>
        <v>#N/A</v>
      </c>
      <c r="AN117"/>
      <c r="AO117"/>
      <c r="AP117"/>
    </row>
    <row r="118" spans="1:42" ht="20.100000000000001" customHeight="1">
      <c r="C118" s="322"/>
      <c r="D118" s="322"/>
      <c r="E118" s="315" t="str">
        <f>"- Trụ "&amp;NL!U48&amp;"; lực đầu trụ = "&amp;IF(NL!U48="BTLT 10,5m", 420,IF(NL!U48="BTLT 12m", 440,IF(NL!U48="BTLT 14m",850,IF(NL!U48="BTLT 20m",1000,""))))&amp;"[kgf] cho vị trí đở thẳng."</f>
        <v>- Trụ BTLT 12m; lực đầu trụ = 440[kgf] cho vị trí đở thẳng.</v>
      </c>
      <c r="G118" s="322"/>
      <c r="H118" s="322"/>
      <c r="I118" s="322"/>
      <c r="J118" s="322"/>
      <c r="K118" s="318"/>
      <c r="L118" s="318"/>
      <c r="M118" s="316"/>
      <c r="N118" s="316"/>
      <c r="O118" s="316"/>
      <c r="P118" s="316"/>
      <c r="Q118" s="318"/>
      <c r="R118" s="318"/>
      <c r="S118" s="318"/>
      <c r="T118" s="318"/>
      <c r="U118" s="318"/>
      <c r="V118" s="318"/>
      <c r="W118" s="318"/>
      <c r="X118" s="318"/>
      <c r="Y118" s="318"/>
      <c r="Z118" s="318"/>
      <c r="AA118" s="318"/>
      <c r="AB118" s="318"/>
      <c r="AC118" s="318"/>
      <c r="AD118" s="318"/>
      <c r="AE118" s="318"/>
      <c r="AF118" s="318"/>
      <c r="AG118" s="318"/>
      <c r="AH118" s="318"/>
      <c r="AI118" s="318"/>
      <c r="AJ118" s="318"/>
      <c r="AK118" s="318"/>
      <c r="AL118" s="486" t="b">
        <f>+AND(AL108=0)</f>
        <v>0</v>
      </c>
      <c r="AM118" s="38"/>
      <c r="AN118" s="38"/>
      <c r="AO118" s="38"/>
      <c r="AP118" s="38"/>
    </row>
    <row r="119" spans="1:42" ht="20.100000000000001" customHeight="1">
      <c r="C119" s="322"/>
      <c r="D119" s="322"/>
      <c r="E119" s="322"/>
      <c r="G119" s="322"/>
      <c r="H119" s="322"/>
      <c r="I119" s="322"/>
      <c r="J119" s="322"/>
      <c r="K119" s="314" t="s">
        <v>4296</v>
      </c>
      <c r="L119" s="318"/>
      <c r="M119" s="316" t="s">
        <v>3306</v>
      </c>
      <c r="N119" s="314" t="s">
        <v>4768</v>
      </c>
      <c r="AL119" s="38" t="s">
        <v>1184</v>
      </c>
      <c r="AM119" s="38"/>
      <c r="AN119" s="38"/>
      <c r="AO119" s="38"/>
      <c r="AP119" s="38"/>
    </row>
    <row r="120" spans="1:42" ht="20.100000000000001" customHeight="1">
      <c r="C120" s="322"/>
      <c r="D120" s="322"/>
      <c r="E120" s="322"/>
      <c r="G120" s="322"/>
      <c r="H120" s="322"/>
      <c r="I120" s="322"/>
      <c r="J120" s="322"/>
      <c r="L120" s="318"/>
      <c r="M120" s="316" t="s">
        <v>3306</v>
      </c>
      <c r="N120" s="489" t="str">
        <f>R123&amp;" - ("&amp;R124&amp;" + "&amp;R125&amp;" + "&amp;R126&amp;")"</f>
        <v>11,1 - (2 + 6 + 0)</v>
      </c>
      <c r="O120" s="489"/>
      <c r="P120" s="489"/>
      <c r="Q120" s="489"/>
      <c r="R120" s="489"/>
      <c r="S120" s="489"/>
      <c r="T120" s="489"/>
      <c r="U120" s="489"/>
      <c r="V120" s="489"/>
      <c r="W120" s="489"/>
      <c r="X120" s="489"/>
      <c r="Y120" s="489"/>
      <c r="Z120" s="489"/>
      <c r="AA120" s="489"/>
      <c r="AB120" s="489"/>
      <c r="AC120" s="489"/>
      <c r="AD120" s="489"/>
      <c r="AE120" s="489"/>
      <c r="AF120" s="489"/>
      <c r="AG120" s="489"/>
      <c r="AH120" s="489"/>
      <c r="AI120" s="489"/>
      <c r="AJ120" s="489"/>
      <c r="AK120" s="489"/>
      <c r="AL120" s="38" t="s">
        <v>1183</v>
      </c>
      <c r="AM120" s="487" t="e">
        <f>ROUND((-AM107+POWER(POWER(AM107,3)-27*POWER(AL107,2)*AO107,1/3))/(3*AL107),2)</f>
        <v>#N/A</v>
      </c>
      <c r="AN120" s="38"/>
      <c r="AO120" s="38"/>
      <c r="AP120" s="38"/>
    </row>
    <row r="121" spans="1:42" ht="20.100000000000001" customHeight="1">
      <c r="C121" s="322"/>
      <c r="D121" s="322"/>
      <c r="E121" s="322"/>
      <c r="F121" s="315"/>
      <c r="G121" s="322"/>
      <c r="H121" s="322"/>
      <c r="I121" s="322"/>
      <c r="J121" s="322"/>
      <c r="K121" s="318"/>
      <c r="L121" s="318"/>
      <c r="M121" s="316" t="s">
        <v>3306</v>
      </c>
      <c r="N121" s="1898">
        <f>R123-(R124+R125+R126)</f>
        <v>3.0999999999999996</v>
      </c>
      <c r="O121" s="1898"/>
      <c r="P121" s="1898"/>
      <c r="Q121" s="1898"/>
      <c r="R121" s="1898"/>
      <c r="S121" s="1898"/>
      <c r="T121" s="400"/>
      <c r="U121" s="400"/>
      <c r="V121" s="400"/>
      <c r="W121" s="400"/>
      <c r="X121" s="400"/>
      <c r="Y121" s="400"/>
      <c r="Z121" s="400"/>
      <c r="AA121" s="400"/>
      <c r="AB121" s="400"/>
      <c r="AC121" s="400"/>
      <c r="AD121" s="400"/>
      <c r="AE121" s="400"/>
      <c r="AF121" s="400"/>
      <c r="AG121" s="400"/>
      <c r="AH121" s="400"/>
      <c r="AI121" s="400"/>
      <c r="AJ121" s="400"/>
      <c r="AK121" s="400"/>
      <c r="AL121" s="486" t="e">
        <f>+AND(AM108&lt;0)</f>
        <v>#N/A</v>
      </c>
      <c r="AM121" s="38"/>
      <c r="AN121" s="38"/>
      <c r="AO121" s="38"/>
      <c r="AP121" s="38"/>
    </row>
    <row r="122" spans="1:42" ht="20.100000000000001" customHeight="1">
      <c r="C122" s="322"/>
      <c r="D122" s="322"/>
      <c r="E122" s="315" t="s">
        <v>4811</v>
      </c>
      <c r="H122" s="322"/>
      <c r="I122" s="322"/>
      <c r="J122" s="322"/>
      <c r="K122" s="318"/>
      <c r="L122" s="318"/>
      <c r="M122" s="316"/>
      <c r="N122" s="316"/>
      <c r="O122" s="316"/>
      <c r="P122" s="316"/>
      <c r="Q122" s="318"/>
      <c r="R122" s="318"/>
      <c r="S122" s="318"/>
      <c r="T122" s="318"/>
      <c r="U122" s="318"/>
      <c r="V122" s="318"/>
      <c r="W122" s="318"/>
      <c r="X122" s="318"/>
      <c r="Y122" s="318"/>
      <c r="Z122" s="318"/>
      <c r="AA122" s="318"/>
      <c r="AB122" s="318"/>
      <c r="AC122" s="318"/>
      <c r="AD122" s="318"/>
      <c r="AE122" s="318"/>
      <c r="AF122" s="318"/>
      <c r="AG122" s="318"/>
      <c r="AH122" s="318"/>
      <c r="AI122" s="318"/>
      <c r="AJ122" s="318"/>
      <c r="AK122" s="318"/>
      <c r="AL122" s="38" t="s">
        <v>1185</v>
      </c>
      <c r="AM122" s="38"/>
      <c r="AN122" s="38"/>
      <c r="AO122" s="38"/>
      <c r="AP122" s="38"/>
    </row>
    <row r="123" spans="1:42" ht="20.100000000000001" customHeight="1">
      <c r="C123" s="322"/>
      <c r="D123" s="322"/>
      <c r="E123" s="322"/>
      <c r="H123" s="322"/>
      <c r="I123" s="322"/>
      <c r="J123" s="322"/>
      <c r="L123" s="318"/>
      <c r="M123" s="316"/>
      <c r="N123" s="316"/>
      <c r="O123" s="314" t="s">
        <v>4769</v>
      </c>
      <c r="P123" s="316"/>
      <c r="Q123" s="318" t="s">
        <v>944</v>
      </c>
      <c r="R123" s="1898">
        <f>ROUND(IF(NL!U48="BTLT 10,5m",10.5,IF(NL!U48="BTLT 12m",12,IF(NL!U48="BTLT 14m",14,IF(NL!U48="BTLT 20m",20,0))))-0.9,1)</f>
        <v>11.1</v>
      </c>
      <c r="S123" s="1898"/>
      <c r="T123" s="1898"/>
      <c r="U123" s="1898"/>
      <c r="V123" s="1898"/>
      <c r="W123" s="1898"/>
      <c r="X123" s="1898"/>
      <c r="Y123" s="400"/>
      <c r="Z123" s="400"/>
      <c r="AA123" s="400"/>
      <c r="AB123" s="400"/>
      <c r="AC123" s="400"/>
      <c r="AD123" s="400"/>
      <c r="AE123" s="400"/>
      <c r="AF123" s="400"/>
      <c r="AG123" s="400"/>
      <c r="AH123" s="400"/>
      <c r="AI123" s="400"/>
      <c r="AJ123" s="400"/>
      <c r="AK123" s="400"/>
      <c r="AL123" s="38" t="s">
        <v>1183</v>
      </c>
      <c r="AM123" s="488" t="e">
        <f>ROUND((((POWER(ABS(AM108),0.5))/(3*AL107))*((POWER(AM109+POWER(POWER(AM109,2)+1,0.5),1/3))+(POWER(AM109-POWER(POWER(AM109,2)+1,0.5),1/3))))-(AM107/(3*AL107)),2)</f>
        <v>#N/A</v>
      </c>
      <c r="AN123" s="38"/>
      <c r="AO123" s="38"/>
      <c r="AP123" s="38"/>
    </row>
    <row r="124" spans="1:42" ht="20.100000000000001" customHeight="1">
      <c r="C124" s="322"/>
      <c r="D124" s="322"/>
      <c r="E124" s="315" t="s">
        <v>4812</v>
      </c>
      <c r="G124" s="322"/>
      <c r="H124" s="322"/>
      <c r="I124" s="322"/>
      <c r="J124" s="322"/>
      <c r="K124" s="318"/>
      <c r="L124" s="318"/>
      <c r="M124" s="316"/>
      <c r="N124" s="316"/>
      <c r="O124" s="314" t="s">
        <v>4770</v>
      </c>
      <c r="P124" s="316"/>
      <c r="Q124" s="318" t="s">
        <v>944</v>
      </c>
      <c r="R124" s="1898">
        <f>ROUND(IF(NL!U48="BTLT 10,5m",1.8,IF(NL!U48="BTLT 12m",2,IF(NL!U48="BTLT 14m",2.5,IF(NL!U48="BTLT 20m",3,0)))),1)</f>
        <v>2</v>
      </c>
      <c r="S124" s="1898"/>
      <c r="T124" s="1898"/>
      <c r="U124" s="1898"/>
      <c r="V124" s="1898"/>
      <c r="W124" s="1898"/>
      <c r="X124" s="1898"/>
      <c r="Y124" s="400"/>
      <c r="Z124" s="400"/>
      <c r="AA124" s="400"/>
      <c r="AB124" s="400"/>
      <c r="AC124" s="400"/>
      <c r="AD124" s="400"/>
      <c r="AE124" s="400"/>
      <c r="AF124" s="400"/>
      <c r="AG124" s="400"/>
      <c r="AH124" s="400"/>
      <c r="AI124" s="400"/>
      <c r="AJ124" s="400"/>
      <c r="AK124" s="400"/>
    </row>
    <row r="125" spans="1:42" ht="20.100000000000001" customHeight="1">
      <c r="C125" s="322"/>
      <c r="D125" s="322"/>
      <c r="E125" s="315" t="s">
        <v>4813</v>
      </c>
      <c r="G125" s="322"/>
      <c r="H125" s="322"/>
      <c r="I125" s="322"/>
      <c r="J125" s="322"/>
      <c r="K125" s="318"/>
      <c r="L125" s="318"/>
      <c r="M125" s="316"/>
      <c r="N125" s="316"/>
      <c r="O125" s="314" t="s">
        <v>4771</v>
      </c>
      <c r="P125" s="316"/>
      <c r="Q125" s="318" t="s">
        <v>944</v>
      </c>
      <c r="R125" s="1898">
        <f>NL!U51</f>
        <v>6</v>
      </c>
      <c r="S125" s="1898"/>
      <c r="T125" s="1898"/>
      <c r="U125" s="1898"/>
      <c r="V125" s="1898"/>
      <c r="W125" s="1898"/>
      <c r="X125" s="1898"/>
      <c r="Y125" s="400"/>
      <c r="Z125" s="400"/>
      <c r="AA125" s="400"/>
      <c r="AB125" s="400"/>
      <c r="AC125" s="400"/>
      <c r="AD125" s="400"/>
      <c r="AE125" s="400"/>
      <c r="AF125" s="400"/>
      <c r="AG125" s="400"/>
      <c r="AH125" s="400"/>
      <c r="AI125" s="400"/>
      <c r="AJ125" s="400"/>
      <c r="AK125" s="400"/>
    </row>
    <row r="126" spans="1:42" ht="20.100000000000001" customHeight="1">
      <c r="C126" s="322"/>
      <c r="D126" s="322"/>
      <c r="E126" s="315" t="s">
        <v>5050</v>
      </c>
      <c r="G126" s="322"/>
      <c r="H126" s="322"/>
      <c r="I126" s="322"/>
      <c r="J126" s="322"/>
      <c r="K126" s="318"/>
      <c r="L126" s="318"/>
      <c r="M126" s="316"/>
      <c r="N126" s="316"/>
      <c r="O126" s="314" t="s">
        <v>5051</v>
      </c>
      <c r="P126" s="316"/>
      <c r="Q126" s="318" t="s">
        <v>944</v>
      </c>
      <c r="R126" s="1898">
        <v>0</v>
      </c>
      <c r="S126" s="1898"/>
      <c r="T126" s="1898"/>
      <c r="U126" s="1898"/>
      <c r="V126" s="1898"/>
      <c r="W126" s="1898"/>
      <c r="X126" s="1898"/>
      <c r="Y126" s="400"/>
      <c r="Z126" s="400"/>
      <c r="AA126" s="400"/>
      <c r="AB126" s="400"/>
      <c r="AC126" s="400"/>
      <c r="AD126" s="400"/>
      <c r="AE126" s="400"/>
      <c r="AF126" s="400"/>
      <c r="AG126" s="400"/>
      <c r="AH126" s="400"/>
      <c r="AI126" s="400"/>
      <c r="AJ126" s="400"/>
      <c r="AK126" s="400"/>
    </row>
    <row r="127" spans="1:42" ht="20.100000000000001" customHeight="1">
      <c r="C127" s="322"/>
      <c r="D127" s="1862" t="str">
        <f>"Độ võng tính toán ứng với dây dẫn :"&amp;NL!U46</f>
        <v>Độ võng tính toán ứng với dây dẫn :CXV 24kV 25mm2</v>
      </c>
      <c r="E127" s="1862"/>
      <c r="F127" s="1862"/>
      <c r="G127" s="1862"/>
      <c r="H127" s="1862"/>
      <c r="I127" s="1862"/>
      <c r="J127" s="1862"/>
      <c r="K127" s="1862"/>
      <c r="L127" s="1862"/>
      <c r="M127" s="1862"/>
      <c r="N127" s="1862"/>
      <c r="O127" s="1862"/>
      <c r="P127" s="1862"/>
      <c r="Q127" s="1862"/>
      <c r="R127" s="1862"/>
      <c r="S127" s="1862"/>
      <c r="T127" s="1862"/>
      <c r="U127" s="1862"/>
      <c r="V127" s="1862"/>
      <c r="W127" s="1862"/>
      <c r="X127" s="1862"/>
      <c r="Y127" s="1862"/>
      <c r="Z127" s="1862"/>
      <c r="AA127" s="1862"/>
      <c r="AB127" s="1862"/>
      <c r="AC127" s="1862"/>
      <c r="AD127" s="1862"/>
      <c r="AE127" s="1862"/>
      <c r="AF127" s="1862"/>
      <c r="AG127" s="1862"/>
      <c r="AH127" s="1862"/>
      <c r="AI127" s="1862"/>
      <c r="AJ127" s="1862"/>
      <c r="AK127" s="1862"/>
    </row>
    <row r="128" spans="1:42" ht="20.100000000000001" customHeight="1">
      <c r="C128" s="322"/>
      <c r="D128" s="322"/>
      <c r="E128" s="322"/>
      <c r="F128" s="315"/>
      <c r="G128" s="322"/>
      <c r="H128" s="322"/>
      <c r="I128" s="322"/>
      <c r="J128" s="322"/>
      <c r="K128" s="1862" t="s">
        <v>4772</v>
      </c>
      <c r="L128" s="1862"/>
      <c r="M128" s="1862" t="s">
        <v>3306</v>
      </c>
      <c r="N128" s="1863" t="s">
        <v>4773</v>
      </c>
      <c r="O128" s="1863"/>
      <c r="P128" s="1863"/>
      <c r="Q128" s="1863"/>
      <c r="S128" s="315"/>
      <c r="T128" s="315"/>
      <c r="U128" s="315"/>
      <c r="V128" s="315"/>
      <c r="W128" s="315"/>
      <c r="X128" s="315"/>
      <c r="Y128" s="315"/>
      <c r="Z128" s="315"/>
      <c r="AA128" s="315"/>
      <c r="AB128" s="315"/>
      <c r="AC128" s="315"/>
      <c r="AD128" s="315"/>
      <c r="AE128" s="315"/>
      <c r="AF128" s="315"/>
      <c r="AG128" s="315"/>
      <c r="AH128" s="315"/>
      <c r="AI128" s="315"/>
      <c r="AJ128" s="315"/>
      <c r="AK128" s="315"/>
    </row>
    <row r="129" spans="1:37" ht="20.100000000000001" customHeight="1">
      <c r="C129" s="322"/>
      <c r="D129" s="322"/>
      <c r="E129" s="322"/>
      <c r="F129" s="315"/>
      <c r="G129" s="322"/>
      <c r="H129" s="322"/>
      <c r="I129" s="322"/>
      <c r="J129" s="322"/>
      <c r="K129" s="1862"/>
      <c r="L129" s="1862"/>
      <c r="M129" s="1862"/>
      <c r="N129" s="1859" t="s">
        <v>4629</v>
      </c>
      <c r="O129" s="1859"/>
      <c r="P129" s="1859"/>
      <c r="Q129" s="1859"/>
      <c r="R129" s="315"/>
      <c r="S129" s="315"/>
      <c r="T129" s="315"/>
      <c r="U129" s="315"/>
      <c r="V129" s="315"/>
      <c r="W129" s="315"/>
      <c r="X129" s="315"/>
      <c r="Y129" s="315"/>
      <c r="Z129" s="315"/>
      <c r="AA129" s="315"/>
      <c r="AB129" s="315"/>
      <c r="AC129" s="315"/>
      <c r="AD129" s="315"/>
      <c r="AE129" s="315"/>
      <c r="AF129" s="315"/>
      <c r="AG129" s="315"/>
      <c r="AH129" s="315"/>
      <c r="AI129" s="315"/>
      <c r="AJ129" s="315"/>
      <c r="AK129" s="315"/>
    </row>
    <row r="130" spans="1:37" ht="9.9499999999999993" customHeight="1">
      <c r="C130" s="322"/>
      <c r="D130" s="322"/>
      <c r="E130" s="322"/>
      <c r="F130" s="315"/>
      <c r="G130" s="322"/>
      <c r="H130" s="322"/>
      <c r="I130" s="322"/>
      <c r="J130" s="322"/>
      <c r="K130" s="318"/>
      <c r="L130" s="318"/>
      <c r="M130" s="1859" t="s">
        <v>3306</v>
      </c>
      <c r="N130" s="1911" t="e">
        <f>K15&amp;" . "&amp;R115</f>
        <v>#N/A</v>
      </c>
      <c r="O130" s="1911"/>
      <c r="P130" s="1911"/>
      <c r="Q130" s="1911"/>
      <c r="R130" s="1911"/>
      <c r="S130" s="1911"/>
      <c r="T130" s="1911"/>
      <c r="U130" s="360">
        <v>2</v>
      </c>
      <c r="V130" s="1859" t="s">
        <v>3306</v>
      </c>
      <c r="W130" s="1910" t="e">
        <f>ROUND((K15*(R115^2))/(8*O104),3)</f>
        <v>#N/A</v>
      </c>
      <c r="X130" s="1910"/>
      <c r="Y130" s="1910"/>
      <c r="Z130" s="1910"/>
      <c r="AA130" s="1910"/>
      <c r="AB130" s="1910"/>
      <c r="AC130" s="315"/>
      <c r="AD130" s="315"/>
      <c r="AE130" s="315"/>
      <c r="AF130" s="315"/>
      <c r="AG130" s="315"/>
      <c r="AH130" s="315"/>
      <c r="AI130" s="315"/>
      <c r="AJ130" s="315"/>
      <c r="AK130" s="315"/>
    </row>
    <row r="131" spans="1:37" ht="9.9499999999999993" customHeight="1">
      <c r="C131" s="322"/>
      <c r="D131" s="322"/>
      <c r="E131" s="322"/>
      <c r="F131" s="315"/>
      <c r="G131" s="322"/>
      <c r="H131" s="322"/>
      <c r="I131" s="322"/>
      <c r="J131" s="322"/>
      <c r="K131" s="322"/>
      <c r="L131" s="322"/>
      <c r="M131" s="1859"/>
      <c r="N131" s="1912"/>
      <c r="O131" s="1912"/>
      <c r="P131" s="1912"/>
      <c r="Q131" s="1912"/>
      <c r="R131" s="1912"/>
      <c r="S131" s="1912"/>
      <c r="T131" s="1912"/>
      <c r="U131" s="377"/>
      <c r="V131" s="1859"/>
      <c r="W131" s="1910"/>
      <c r="X131" s="1910"/>
      <c r="Y131" s="1910"/>
      <c r="Z131" s="1910"/>
      <c r="AA131" s="1910"/>
      <c r="AB131" s="1910"/>
      <c r="AC131" s="315"/>
      <c r="AD131" s="315"/>
      <c r="AE131" s="315"/>
      <c r="AF131" s="315"/>
      <c r="AG131" s="315"/>
      <c r="AH131" s="315"/>
      <c r="AI131" s="315"/>
      <c r="AJ131" s="315"/>
      <c r="AK131" s="315"/>
    </row>
    <row r="132" spans="1:37" ht="20.100000000000001" customHeight="1">
      <c r="C132" s="322"/>
      <c r="D132" s="322"/>
      <c r="E132" s="322"/>
      <c r="F132" s="315"/>
      <c r="G132" s="322"/>
      <c r="H132" s="322"/>
      <c r="I132" s="322"/>
      <c r="J132" s="322"/>
      <c r="K132" s="322"/>
      <c r="L132" s="322"/>
      <c r="M132" s="1859"/>
      <c r="N132" s="1913" t="e">
        <f>"8 . "&amp;O104</f>
        <v>#N/A</v>
      </c>
      <c r="O132" s="1913"/>
      <c r="P132" s="1913"/>
      <c r="Q132" s="1913"/>
      <c r="R132" s="1913"/>
      <c r="S132" s="1913"/>
      <c r="T132" s="1913"/>
      <c r="U132" s="1913"/>
      <c r="V132" s="1859"/>
      <c r="W132" s="1910"/>
      <c r="X132" s="1910"/>
      <c r="Y132" s="1910"/>
      <c r="Z132" s="1910"/>
      <c r="AA132" s="1910"/>
      <c r="AB132" s="1910"/>
      <c r="AC132" s="315"/>
      <c r="AD132" s="315"/>
      <c r="AE132" s="315"/>
      <c r="AF132" s="315"/>
      <c r="AG132" s="315"/>
      <c r="AH132" s="315"/>
      <c r="AI132" s="315"/>
      <c r="AJ132" s="315"/>
      <c r="AK132" s="315"/>
    </row>
    <row r="133" spans="1:37" ht="20.100000000000001" customHeight="1">
      <c r="C133" s="322"/>
      <c r="D133" s="322"/>
      <c r="E133" s="322"/>
      <c r="H133" s="322"/>
      <c r="K133" s="318" t="s">
        <v>4772</v>
      </c>
      <c r="M133" s="316" t="s">
        <v>3438</v>
      </c>
      <c r="O133" s="314" t="s">
        <v>4296</v>
      </c>
      <c r="W133" s="318"/>
      <c r="X133" s="318"/>
      <c r="Y133" s="318"/>
      <c r="Z133" s="318"/>
      <c r="AA133" s="318"/>
      <c r="AB133" s="318"/>
      <c r="AC133" s="318"/>
      <c r="AD133" s="318"/>
      <c r="AE133" s="318"/>
      <c r="AF133" s="318"/>
      <c r="AG133" s="318"/>
      <c r="AH133" s="318"/>
      <c r="AI133" s="318"/>
      <c r="AJ133" s="318"/>
      <c r="AK133" s="318"/>
    </row>
    <row r="134" spans="1:37" ht="20.100000000000001" customHeight="1">
      <c r="C134" s="322"/>
      <c r="D134" s="322"/>
      <c r="E134" s="322"/>
      <c r="F134" s="1909" t="e">
        <f>W130</f>
        <v>#N/A</v>
      </c>
      <c r="G134" s="1909"/>
      <c r="H134" s="1909"/>
      <c r="I134" s="1909"/>
      <c r="J134" s="1909"/>
      <c r="K134" s="1909"/>
      <c r="L134" s="374"/>
      <c r="M134" s="316" t="s">
        <v>3438</v>
      </c>
      <c r="O134" s="1898">
        <f>N121</f>
        <v>3.0999999999999996</v>
      </c>
      <c r="P134" s="1898"/>
      <c r="Q134" s="1898"/>
      <c r="R134" s="1898"/>
      <c r="S134" s="368"/>
      <c r="T134" s="368"/>
      <c r="U134" s="368"/>
      <c r="W134" s="318"/>
      <c r="X134" s="318"/>
      <c r="Y134" s="318"/>
      <c r="Z134" s="318"/>
      <c r="AA134" s="318"/>
      <c r="AB134" s="318"/>
      <c r="AC134" s="318"/>
      <c r="AD134" s="318"/>
      <c r="AE134" s="318"/>
      <c r="AF134" s="318"/>
      <c r="AG134" s="318"/>
      <c r="AH134" s="318"/>
      <c r="AI134" s="318"/>
      <c r="AJ134" s="318"/>
      <c r="AK134" s="318"/>
    </row>
    <row r="135" spans="1:37" ht="20.100000000000001" customHeight="1">
      <c r="B135" s="491" t="s">
        <v>5052</v>
      </c>
      <c r="C135" s="322"/>
      <c r="D135" s="322"/>
      <c r="E135" s="322"/>
      <c r="F135" s="315"/>
      <c r="G135" s="322"/>
      <c r="H135" s="322"/>
      <c r="I135" s="322"/>
      <c r="J135" s="322"/>
      <c r="K135" s="318"/>
      <c r="L135" s="318"/>
      <c r="M135" s="316"/>
      <c r="N135" s="316"/>
      <c r="O135" s="316"/>
      <c r="P135" s="316"/>
      <c r="Q135" s="318"/>
      <c r="R135" s="318"/>
      <c r="S135" s="318"/>
      <c r="T135" s="318"/>
      <c r="U135" s="318"/>
      <c r="V135" s="318"/>
      <c r="W135" s="318"/>
      <c r="X135" s="318"/>
      <c r="Y135" s="318"/>
      <c r="Z135" s="318"/>
      <c r="AA135" s="318"/>
      <c r="AB135" s="318"/>
      <c r="AC135" s="318"/>
      <c r="AD135" s="318"/>
      <c r="AE135" s="318"/>
      <c r="AF135" s="318"/>
      <c r="AG135" s="318"/>
      <c r="AH135" s="318"/>
      <c r="AI135" s="318"/>
      <c r="AJ135" s="318"/>
      <c r="AK135" s="318"/>
    </row>
    <row r="136" spans="1:37" s="405" customFormat="1" ht="20.100000000000001" customHeight="1">
      <c r="A136" s="314"/>
      <c r="C136" s="406"/>
      <c r="D136" s="322" t="s">
        <v>2766</v>
      </c>
      <c r="E136" s="406"/>
      <c r="F136" s="409"/>
      <c r="G136" s="406"/>
      <c r="H136" s="406"/>
      <c r="I136" s="406"/>
      <c r="J136" s="406"/>
      <c r="K136" s="408"/>
      <c r="L136" s="408"/>
      <c r="M136" s="407"/>
      <c r="N136" s="407"/>
      <c r="O136" s="407"/>
      <c r="P136" s="407"/>
      <c r="Q136" s="408"/>
      <c r="R136" s="408"/>
      <c r="S136" s="408"/>
      <c r="T136" s="408"/>
      <c r="U136" s="408"/>
      <c r="V136" s="408"/>
      <c r="W136" s="408"/>
      <c r="X136" s="408"/>
      <c r="Y136" s="408"/>
      <c r="Z136" s="408"/>
      <c r="AA136" s="408"/>
      <c r="AB136" s="408"/>
      <c r="AC136" s="408"/>
      <c r="AD136" s="408"/>
      <c r="AE136" s="408"/>
      <c r="AF136" s="408"/>
      <c r="AG136" s="408"/>
      <c r="AH136" s="408"/>
      <c r="AI136" s="408"/>
      <c r="AJ136" s="408"/>
      <c r="AK136" s="408"/>
    </row>
    <row r="137" spans="1:37" ht="24.75" customHeight="1">
      <c r="C137" s="322"/>
      <c r="D137" s="322"/>
      <c r="E137" s="322"/>
      <c r="G137" s="322"/>
      <c r="H137" s="322"/>
      <c r="I137" s="322"/>
      <c r="J137" s="322"/>
      <c r="K137" s="314" t="s">
        <v>2767</v>
      </c>
      <c r="L137" s="318"/>
      <c r="M137" s="316" t="s">
        <v>3306</v>
      </c>
      <c r="N137" s="314" t="s">
        <v>2768</v>
      </c>
    </row>
    <row r="138" spans="1:37" ht="24.75" customHeight="1">
      <c r="C138" s="322"/>
      <c r="D138" s="322"/>
      <c r="E138" s="322"/>
      <c r="G138" s="322"/>
      <c r="H138" s="322"/>
      <c r="I138" s="322"/>
      <c r="J138" s="322"/>
      <c r="L138" s="318"/>
      <c r="M138" s="316" t="s">
        <v>3306</v>
      </c>
      <c r="N138" s="492" t="e">
        <f>R139&amp;" - ("&amp;R140&amp;" + "&amp;R141&amp;" + "&amp;R143&amp;")"</f>
        <v>#N/A</v>
      </c>
      <c r="O138" s="489"/>
      <c r="P138" s="489"/>
      <c r="Q138" s="489"/>
      <c r="R138" s="489"/>
      <c r="S138" s="489"/>
      <c r="T138" s="489"/>
      <c r="U138" s="489"/>
      <c r="V138" s="489"/>
      <c r="W138" s="316" t="s">
        <v>3306</v>
      </c>
      <c r="X138" s="1910" t="e">
        <f>R139-(R140+R141+R143)</f>
        <v>#N/A</v>
      </c>
      <c r="Y138" s="1910"/>
      <c r="Z138" s="1910"/>
      <c r="AA138" s="1910"/>
      <c r="AB138" s="1910"/>
      <c r="AC138" s="1910"/>
      <c r="AD138" s="489"/>
      <c r="AE138" s="489"/>
      <c r="AF138" s="489"/>
      <c r="AG138" s="489"/>
      <c r="AH138" s="489"/>
      <c r="AI138" s="489"/>
      <c r="AJ138" s="489"/>
      <c r="AK138" s="489"/>
    </row>
    <row r="139" spans="1:37" ht="20.100000000000001" customHeight="1">
      <c r="C139" s="322"/>
      <c r="D139" s="322"/>
      <c r="E139" s="315" t="s">
        <v>5053</v>
      </c>
      <c r="F139" s="315"/>
      <c r="G139" s="322"/>
      <c r="H139" s="322"/>
      <c r="I139" s="322"/>
      <c r="J139" s="322"/>
      <c r="K139" s="318"/>
      <c r="L139" s="318"/>
      <c r="M139" s="316"/>
      <c r="O139" s="314" t="s">
        <v>2769</v>
      </c>
      <c r="P139" s="316"/>
      <c r="Q139" s="318" t="s">
        <v>944</v>
      </c>
      <c r="R139" s="1898">
        <f>IF(NL!U48="BTLT 10,5m",10.5,IF(NL!U48="BTLT 12m",12,IF(NL!U48="BTLT 14m",14,IF(NL!U48="BTLT 20m",20,0))))</f>
        <v>12</v>
      </c>
      <c r="S139" s="1898"/>
      <c r="T139" s="1898"/>
      <c r="U139" s="1898"/>
      <c r="V139" s="1898"/>
      <c r="W139" s="1898"/>
      <c r="X139" s="1898"/>
      <c r="Y139" s="400"/>
      <c r="Z139" s="400"/>
      <c r="AA139" s="400"/>
      <c r="AB139" s="400"/>
      <c r="AC139" s="400"/>
      <c r="AD139" s="400"/>
      <c r="AE139" s="400"/>
      <c r="AF139" s="400"/>
      <c r="AG139" s="400"/>
      <c r="AH139" s="400"/>
      <c r="AI139" s="400"/>
      <c r="AJ139" s="400"/>
      <c r="AK139" s="400"/>
    </row>
    <row r="140" spans="1:37" ht="20.100000000000001" customHeight="1">
      <c r="C140" s="322"/>
      <c r="D140" s="322"/>
      <c r="E140" s="315" t="s">
        <v>3497</v>
      </c>
      <c r="F140" s="315"/>
      <c r="G140" s="322"/>
      <c r="H140" s="322"/>
      <c r="I140" s="322"/>
      <c r="J140" s="322"/>
      <c r="K140" s="318"/>
      <c r="L140" s="318"/>
      <c r="M140" s="316"/>
      <c r="O140" s="314" t="s">
        <v>4772</v>
      </c>
      <c r="P140" s="316"/>
      <c r="Q140" s="318" t="s">
        <v>944</v>
      </c>
      <c r="R140" s="1898" t="e">
        <f>W130</f>
        <v>#N/A</v>
      </c>
      <c r="S140" s="1898"/>
      <c r="T140" s="1898"/>
      <c r="U140" s="1898"/>
      <c r="V140" s="1898"/>
      <c r="W140" s="1898"/>
      <c r="X140" s="1898"/>
      <c r="Y140" s="490"/>
      <c r="Z140" s="490"/>
      <c r="AA140" s="490"/>
      <c r="AB140" s="490"/>
      <c r="AC140" s="490"/>
      <c r="AD140" s="490"/>
      <c r="AE140" s="490"/>
      <c r="AF140" s="490"/>
      <c r="AG140" s="490"/>
      <c r="AH140" s="490"/>
      <c r="AI140" s="490"/>
      <c r="AJ140" s="490"/>
      <c r="AK140" s="490"/>
    </row>
    <row r="141" spans="1:37" ht="20.100000000000001" customHeight="1">
      <c r="C141" s="322"/>
      <c r="D141" s="322"/>
      <c r="E141" s="315" t="s">
        <v>4812</v>
      </c>
      <c r="G141" s="322"/>
      <c r="H141" s="322"/>
      <c r="I141" s="322"/>
      <c r="J141" s="322"/>
      <c r="K141" s="318"/>
      <c r="L141" s="318"/>
      <c r="M141" s="316"/>
      <c r="N141" s="316"/>
      <c r="O141" s="314" t="s">
        <v>4770</v>
      </c>
      <c r="P141" s="316"/>
      <c r="Q141" s="318" t="s">
        <v>944</v>
      </c>
      <c r="R141" s="1898">
        <f>ROUND(IF(NL!U48="BTLT 10,5m",1.8,IF(NL!U48="BTLT 12m",2,IF(NL!U48="BTLT 14m",2.5,IF(NL!U48="BTLT 20m",3,0)))),2)</f>
        <v>2</v>
      </c>
      <c r="S141" s="1898"/>
      <c r="T141" s="1898"/>
      <c r="U141" s="1898"/>
      <c r="V141" s="1898"/>
      <c r="W141" s="1898"/>
      <c r="X141" s="1898"/>
      <c r="Y141" s="400"/>
      <c r="Z141" s="400"/>
      <c r="AA141" s="400"/>
      <c r="AB141" s="400"/>
      <c r="AC141" s="400"/>
      <c r="AD141" s="400"/>
      <c r="AE141" s="400"/>
      <c r="AF141" s="400"/>
      <c r="AG141" s="400"/>
      <c r="AH141" s="400"/>
      <c r="AI141" s="400"/>
      <c r="AJ141" s="400"/>
      <c r="AK141" s="400"/>
    </row>
    <row r="142" spans="1:37" ht="20.100000000000001" customHeight="1">
      <c r="C142" s="322"/>
      <c r="D142" s="322"/>
      <c r="E142" s="315" t="s">
        <v>3498</v>
      </c>
      <c r="G142" s="322"/>
      <c r="H142" s="322"/>
      <c r="I142" s="322"/>
      <c r="J142" s="322"/>
      <c r="K142" s="318"/>
      <c r="L142" s="318"/>
      <c r="M142" s="316"/>
      <c r="N142" s="316"/>
      <c r="P142" s="316"/>
      <c r="Q142" s="318"/>
      <c r="R142" s="489"/>
      <c r="S142" s="489"/>
      <c r="T142" s="489"/>
      <c r="U142" s="489"/>
      <c r="V142" s="489"/>
      <c r="W142" s="489"/>
      <c r="X142" s="489"/>
      <c r="Y142" s="489"/>
      <c r="Z142" s="489"/>
      <c r="AA142" s="489"/>
      <c r="AB142" s="489"/>
      <c r="AC142" s="489"/>
      <c r="AD142" s="489"/>
      <c r="AE142" s="489"/>
      <c r="AF142" s="489"/>
      <c r="AG142" s="489"/>
      <c r="AH142" s="489"/>
      <c r="AI142" s="489"/>
      <c r="AJ142" s="489"/>
      <c r="AK142" s="489"/>
    </row>
    <row r="143" spans="1:37" ht="20.100000000000001" customHeight="1">
      <c r="C143" s="322"/>
      <c r="D143" s="322"/>
      <c r="E143" s="322"/>
      <c r="H143" s="322"/>
      <c r="I143" s="322"/>
      <c r="J143" s="322"/>
      <c r="L143" s="318"/>
      <c r="M143" s="316"/>
      <c r="N143" s="316"/>
      <c r="O143" s="314" t="s">
        <v>3499</v>
      </c>
      <c r="P143" s="316"/>
      <c r="Q143" s="318" t="s">
        <v>944</v>
      </c>
      <c r="R143" s="1898">
        <v>0</v>
      </c>
      <c r="S143" s="1898"/>
      <c r="T143" s="1898"/>
      <c r="U143" s="1898"/>
      <c r="V143" s="1898"/>
      <c r="W143" s="1898"/>
      <c r="X143" s="1898"/>
      <c r="Y143" s="400"/>
      <c r="Z143" s="400"/>
      <c r="AA143" s="400"/>
      <c r="AB143" s="400"/>
      <c r="AC143" s="400"/>
      <c r="AD143" s="400"/>
      <c r="AE143" s="400"/>
      <c r="AF143" s="400"/>
      <c r="AG143" s="400"/>
      <c r="AH143" s="400"/>
      <c r="AI143" s="400"/>
      <c r="AJ143" s="400"/>
      <c r="AK143" s="400"/>
    </row>
    <row r="144" spans="1:37" ht="20.100000000000001" customHeight="1">
      <c r="C144" s="322"/>
      <c r="D144" s="314" t="s">
        <v>3500</v>
      </c>
      <c r="E144" s="322"/>
      <c r="F144" s="315"/>
      <c r="G144" s="322"/>
      <c r="H144" s="322"/>
      <c r="I144" s="322"/>
      <c r="J144" s="322"/>
      <c r="K144" s="318"/>
      <c r="L144" s="318"/>
      <c r="M144" s="316"/>
      <c r="N144" s="316"/>
      <c r="O144" s="316"/>
      <c r="P144" s="316"/>
      <c r="Q144" s="318"/>
      <c r="R144" s="318"/>
      <c r="S144" s="318"/>
      <c r="T144" s="318"/>
      <c r="U144" s="318"/>
      <c r="V144" s="318"/>
      <c r="W144" s="318"/>
      <c r="X144" s="318"/>
      <c r="Y144" s="318"/>
      <c r="Z144" s="318"/>
      <c r="AA144" s="318"/>
      <c r="AB144" s="318"/>
      <c r="AC144" s="318"/>
      <c r="AD144" s="318"/>
      <c r="AE144" s="318"/>
      <c r="AF144" s="318"/>
      <c r="AG144" s="318"/>
      <c r="AH144" s="318"/>
      <c r="AI144" s="318"/>
      <c r="AJ144" s="318"/>
      <c r="AK144" s="318"/>
    </row>
    <row r="145" spans="2:37" ht="24.75" customHeight="1">
      <c r="H145" s="318"/>
      <c r="I145" s="316"/>
      <c r="K145" s="317" t="s">
        <v>2767</v>
      </c>
      <c r="M145" s="314" t="s">
        <v>2182</v>
      </c>
      <c r="O145" s="314" t="s">
        <v>4627</v>
      </c>
    </row>
    <row r="146" spans="2:37" ht="24.75" customHeight="1">
      <c r="G146" s="1909" t="e">
        <f>X138</f>
        <v>#N/A</v>
      </c>
      <c r="H146" s="1909"/>
      <c r="I146" s="1909"/>
      <c r="J146" s="1909"/>
      <c r="K146" s="1909"/>
      <c r="L146" s="316"/>
      <c r="M146" s="314" t="s">
        <v>2182</v>
      </c>
      <c r="O146" s="489" t="str">
        <f>R125&amp;" + 0,8"</f>
        <v>6 + 0,8</v>
      </c>
      <c r="P146" s="489"/>
      <c r="Q146" s="489"/>
      <c r="R146" s="489"/>
      <c r="S146" s="489"/>
      <c r="T146" s="489"/>
      <c r="U146" s="489"/>
      <c r="V146" s="489"/>
      <c r="W146" s="489"/>
      <c r="X146" s="489"/>
      <c r="Y146" s="489"/>
      <c r="Z146" s="489"/>
      <c r="AA146" s="489"/>
      <c r="AB146" s="489"/>
      <c r="AC146" s="489"/>
      <c r="AD146" s="489"/>
      <c r="AE146" s="489"/>
      <c r="AF146" s="493"/>
      <c r="AG146" s="493"/>
      <c r="AH146" s="493"/>
      <c r="AI146" s="493"/>
      <c r="AJ146" s="493"/>
      <c r="AK146" s="493"/>
    </row>
    <row r="147" spans="2:37" ht="24.75" customHeight="1">
      <c r="G147" s="1909" t="e">
        <f>X138</f>
        <v>#N/A</v>
      </c>
      <c r="H147" s="1909"/>
      <c r="I147" s="1909"/>
      <c r="J147" s="1909"/>
      <c r="K147" s="1909"/>
      <c r="L147" s="316"/>
      <c r="M147" s="314" t="s">
        <v>2182</v>
      </c>
      <c r="O147" s="1898">
        <f>R125+0.8</f>
        <v>6.8</v>
      </c>
      <c r="P147" s="1898"/>
      <c r="Q147" s="1898"/>
      <c r="R147" s="1898"/>
      <c r="S147" s="1898"/>
      <c r="T147" s="1898"/>
      <c r="U147" s="1898"/>
      <c r="V147" s="400"/>
      <c r="W147" s="400"/>
      <c r="X147" s="400"/>
      <c r="Y147" s="400"/>
      <c r="Z147" s="400"/>
      <c r="AA147" s="400"/>
      <c r="AB147" s="400"/>
      <c r="AC147" s="400"/>
      <c r="AD147" s="400"/>
      <c r="AE147" s="400"/>
      <c r="AF147" s="493"/>
      <c r="AG147" s="493"/>
      <c r="AH147" s="493"/>
      <c r="AI147" s="493"/>
      <c r="AJ147" s="493"/>
      <c r="AK147" s="493"/>
    </row>
    <row r="148" spans="2:37" ht="20.100000000000001" customHeight="1">
      <c r="E148" s="315" t="s">
        <v>2183</v>
      </c>
      <c r="F148" s="315"/>
      <c r="K148" s="318"/>
      <c r="L148" s="318"/>
      <c r="M148" s="314"/>
      <c r="N148" s="314" t="s">
        <v>4628</v>
      </c>
      <c r="O148" s="316"/>
      <c r="P148" s="316"/>
      <c r="Q148" s="316" t="s">
        <v>944</v>
      </c>
      <c r="R148" s="318" t="s">
        <v>980</v>
      </c>
      <c r="S148" s="318"/>
      <c r="T148" s="318"/>
      <c r="U148" s="318"/>
      <c r="V148" s="318"/>
      <c r="W148" s="318"/>
      <c r="X148" s="318"/>
      <c r="Y148" s="318"/>
      <c r="Z148" s="318"/>
      <c r="AA148" s="318"/>
      <c r="AB148" s="318"/>
      <c r="AC148" s="318"/>
      <c r="AD148" s="318"/>
      <c r="AE148" s="318"/>
      <c r="AF148" s="318"/>
      <c r="AG148" s="318"/>
      <c r="AH148" s="318"/>
      <c r="AI148" s="318"/>
      <c r="AJ148" s="318"/>
      <c r="AK148" s="318"/>
    </row>
    <row r="149" spans="2:37" ht="20.100000000000001" customHeight="1">
      <c r="B149" s="491" t="s">
        <v>2184</v>
      </c>
      <c r="C149" s="322"/>
      <c r="D149" s="322"/>
      <c r="E149" s="322"/>
      <c r="F149" s="315"/>
      <c r="G149" s="322"/>
      <c r="H149" s="322"/>
      <c r="I149" s="322"/>
      <c r="J149" s="322"/>
      <c r="K149" s="318"/>
      <c r="L149" s="318"/>
      <c r="M149" s="316"/>
      <c r="N149" s="316"/>
      <c r="O149" s="316"/>
      <c r="P149" s="316"/>
      <c r="Q149" s="318"/>
      <c r="R149" s="318"/>
      <c r="S149" s="318"/>
      <c r="T149" s="318"/>
      <c r="U149" s="318"/>
      <c r="V149" s="318"/>
      <c r="W149" s="318"/>
      <c r="X149" s="318"/>
      <c r="Y149" s="318"/>
      <c r="Z149" s="318"/>
      <c r="AA149" s="318"/>
      <c r="AB149" s="318"/>
      <c r="AC149" s="318"/>
      <c r="AD149" s="318"/>
      <c r="AE149" s="318"/>
      <c r="AF149" s="318"/>
      <c r="AG149" s="318"/>
      <c r="AH149" s="318"/>
      <c r="AI149" s="318"/>
      <c r="AJ149" s="318"/>
      <c r="AK149" s="318"/>
    </row>
    <row r="150" spans="2:37" ht="20.100000000000001" customHeight="1">
      <c r="C150" s="322" t="s">
        <v>3978</v>
      </c>
      <c r="D150" s="322"/>
      <c r="E150" s="322"/>
      <c r="F150" s="322"/>
      <c r="G150" s="322"/>
      <c r="H150" s="322"/>
      <c r="I150" s="322"/>
      <c r="J150" s="322"/>
      <c r="K150" s="322"/>
      <c r="L150" s="322"/>
      <c r="M150" s="314"/>
      <c r="P150" s="352"/>
      <c r="Q150" s="352"/>
      <c r="R150" s="352"/>
      <c r="T150" s="353"/>
      <c r="U150" s="353"/>
      <c r="V150" s="353"/>
      <c r="W150" s="353"/>
    </row>
    <row r="151" spans="2:37" ht="20.100000000000001" customHeight="1">
      <c r="D151" s="322" t="s">
        <v>3802</v>
      </c>
      <c r="F151" s="315"/>
      <c r="K151" s="318"/>
      <c r="L151" s="318"/>
      <c r="M151" s="316"/>
      <c r="N151" s="316"/>
      <c r="O151" s="316"/>
      <c r="P151" s="316"/>
      <c r="Q151" s="318"/>
      <c r="R151" s="318"/>
      <c r="S151" s="318"/>
      <c r="T151" s="318"/>
      <c r="U151" s="318"/>
      <c r="V151" s="318"/>
      <c r="W151" s="318"/>
      <c r="X151" s="318"/>
      <c r="Y151" s="318"/>
      <c r="Z151" s="318"/>
    </row>
    <row r="152" spans="2:37" ht="20.100000000000001" customHeight="1">
      <c r="E152" s="322" t="s">
        <v>1478</v>
      </c>
      <c r="F152" s="315"/>
      <c r="K152" s="318"/>
      <c r="L152" s="318"/>
      <c r="M152" s="316"/>
      <c r="N152" s="316"/>
      <c r="O152" s="316"/>
      <c r="Q152" s="318"/>
      <c r="R152" s="318"/>
      <c r="S152" s="318"/>
      <c r="T152" s="318"/>
      <c r="U152" s="318"/>
      <c r="V152" s="318"/>
      <c r="W152" s="318"/>
      <c r="X152" s="318"/>
      <c r="Y152" s="318"/>
      <c r="Z152" s="318"/>
    </row>
    <row r="153" spans="2:37" ht="20.100000000000001" customHeight="1">
      <c r="C153" s="322"/>
      <c r="D153" s="322"/>
      <c r="E153" s="322"/>
      <c r="F153" s="315"/>
      <c r="G153" s="322"/>
      <c r="H153" s="322"/>
      <c r="I153" s="322"/>
      <c r="J153" s="322"/>
      <c r="K153" s="1862" t="s">
        <v>1626</v>
      </c>
      <c r="L153" s="1862"/>
      <c r="M153" s="1862" t="s">
        <v>3306</v>
      </c>
      <c r="N153" s="1863">
        <v>9.81</v>
      </c>
      <c r="O153" s="1863"/>
      <c r="P153" s="1863"/>
      <c r="Q153" s="1859" t="s">
        <v>1627</v>
      </c>
      <c r="R153" s="1859"/>
      <c r="S153" s="1859"/>
      <c r="T153" s="1859"/>
      <c r="U153" s="1859"/>
      <c r="V153" s="1859"/>
      <c r="W153" s="315"/>
      <c r="X153" s="315"/>
      <c r="Y153" s="315"/>
      <c r="Z153" s="315"/>
    </row>
    <row r="154" spans="2:37" ht="20.100000000000001" customHeight="1">
      <c r="C154" s="322"/>
      <c r="D154" s="322"/>
      <c r="E154" s="322"/>
      <c r="F154" s="315"/>
      <c r="G154" s="322"/>
      <c r="H154" s="322"/>
      <c r="I154" s="322"/>
      <c r="J154" s="322"/>
      <c r="K154" s="1862"/>
      <c r="L154" s="1862"/>
      <c r="M154" s="1862"/>
      <c r="N154" s="1857">
        <v>16</v>
      </c>
      <c r="O154" s="1857"/>
      <c r="P154" s="1857"/>
      <c r="Q154" s="1859"/>
      <c r="R154" s="1859"/>
      <c r="S154" s="1859"/>
      <c r="T154" s="1859"/>
      <c r="U154" s="1859"/>
      <c r="V154" s="1859"/>
      <c r="W154" s="315"/>
      <c r="X154" s="315"/>
      <c r="Y154" s="315"/>
      <c r="Z154" s="315"/>
    </row>
    <row r="155" spans="2:37" ht="9.9499999999999993" customHeight="1">
      <c r="C155" s="322"/>
      <c r="D155" s="322"/>
      <c r="E155" s="322"/>
      <c r="F155" s="315"/>
      <c r="G155" s="322"/>
      <c r="H155" s="322"/>
      <c r="I155" s="322"/>
      <c r="J155" s="322"/>
      <c r="K155" s="318"/>
      <c r="L155" s="318"/>
      <c r="M155" s="1859" t="s">
        <v>3306</v>
      </c>
      <c r="N155" s="1907">
        <v>9.81</v>
      </c>
      <c r="O155" s="1907"/>
      <c r="P155" s="1907"/>
      <c r="Q155" s="1893" t="str">
        <f>". "&amp;AE159&amp;" . "&amp;AE160</f>
        <v>. 0,75 . 1,1</v>
      </c>
      <c r="R155" s="1893"/>
      <c r="S155" s="1893"/>
      <c r="T155" s="1893"/>
      <c r="U155" s="1893" t="str">
        <f>" . "&amp;Y161</f>
        <v xml:space="preserve"> . 30</v>
      </c>
      <c r="V155" s="1893"/>
      <c r="X155" s="1906" t="str">
        <f>". "&amp;Y162</f>
        <v>. 2,6</v>
      </c>
      <c r="Y155" s="1906"/>
      <c r="Z155" s="1859" t="s">
        <v>3306</v>
      </c>
      <c r="AA155" s="1900">
        <f>ROUND(((N155/N157)*AE159*AE160*(Y161^2)*Y162),2)</f>
        <v>1183.6400000000001</v>
      </c>
      <c r="AB155" s="1900"/>
      <c r="AC155" s="1900"/>
      <c r="AD155" s="1900"/>
      <c r="AE155" s="1900"/>
      <c r="AF155" s="1900"/>
      <c r="AG155" s="1900"/>
      <c r="AH155" s="511"/>
      <c r="AI155" s="511"/>
      <c r="AJ155" s="511"/>
      <c r="AK155" s="511"/>
    </row>
    <row r="156" spans="2:37" ht="9.9499999999999993" customHeight="1">
      <c r="C156" s="322"/>
      <c r="D156" s="322"/>
      <c r="E156" s="322"/>
      <c r="F156" s="315"/>
      <c r="G156" s="322"/>
      <c r="H156" s="322"/>
      <c r="I156" s="322"/>
      <c r="J156" s="322"/>
      <c r="K156" s="322"/>
      <c r="L156" s="322"/>
      <c r="M156" s="1859"/>
      <c r="N156" s="1908"/>
      <c r="O156" s="1908"/>
      <c r="P156" s="1908"/>
      <c r="Q156" s="1893"/>
      <c r="R156" s="1893"/>
      <c r="S156" s="1893"/>
      <c r="T156" s="1893"/>
      <c r="U156" s="1893"/>
      <c r="V156" s="1893"/>
      <c r="W156" s="360">
        <v>2</v>
      </c>
      <c r="X156" s="1906"/>
      <c r="Y156" s="1906"/>
      <c r="Z156" s="1859"/>
      <c r="AA156" s="1900"/>
      <c r="AB156" s="1900"/>
      <c r="AC156" s="1900"/>
      <c r="AD156" s="1900"/>
      <c r="AE156" s="1900"/>
      <c r="AF156" s="1900"/>
      <c r="AG156" s="1900"/>
      <c r="AH156" s="511"/>
      <c r="AI156" s="511"/>
      <c r="AJ156" s="511"/>
      <c r="AK156" s="511"/>
    </row>
    <row r="157" spans="2:37" ht="9.9499999999999993" customHeight="1">
      <c r="C157" s="322"/>
      <c r="D157" s="322"/>
      <c r="E157" s="322"/>
      <c r="F157" s="315"/>
      <c r="G157" s="322"/>
      <c r="H157" s="322"/>
      <c r="I157" s="322"/>
      <c r="J157" s="322"/>
      <c r="K157" s="322"/>
      <c r="L157" s="322"/>
      <c r="M157" s="1859"/>
      <c r="N157" s="1857">
        <v>16</v>
      </c>
      <c r="O157" s="1857"/>
      <c r="P157" s="1857"/>
      <c r="Q157" s="1893"/>
      <c r="R157" s="1893"/>
      <c r="S157" s="1893"/>
      <c r="T157" s="1893"/>
      <c r="U157" s="1893"/>
      <c r="V157" s="1893"/>
      <c r="W157" s="399"/>
      <c r="X157" s="1906"/>
      <c r="Y157" s="1906"/>
      <c r="Z157" s="1859"/>
      <c r="AA157" s="1900"/>
      <c r="AB157" s="1900"/>
      <c r="AC157" s="1900"/>
      <c r="AD157" s="1900"/>
      <c r="AE157" s="1900"/>
      <c r="AF157" s="1900"/>
      <c r="AG157" s="1900"/>
      <c r="AH157" s="511"/>
      <c r="AI157" s="511"/>
      <c r="AJ157" s="511"/>
      <c r="AK157" s="511"/>
    </row>
    <row r="158" spans="2:37" ht="9.9499999999999993" customHeight="1">
      <c r="C158" s="322"/>
      <c r="D158" s="322"/>
      <c r="E158" s="322"/>
      <c r="F158" s="315"/>
      <c r="G158" s="322"/>
      <c r="H158" s="322"/>
      <c r="I158" s="322"/>
      <c r="J158" s="322"/>
      <c r="K158" s="322"/>
      <c r="L158" s="322"/>
      <c r="M158" s="1859"/>
      <c r="N158" s="1859"/>
      <c r="O158" s="1859"/>
      <c r="P158" s="1859"/>
      <c r="Q158" s="1893"/>
      <c r="R158" s="1893"/>
      <c r="S158" s="1893"/>
      <c r="T158" s="1893"/>
      <c r="U158" s="1893"/>
      <c r="V158" s="1893"/>
      <c r="X158" s="1906"/>
      <c r="Y158" s="1906"/>
      <c r="Z158" s="1859"/>
      <c r="AA158" s="1900"/>
      <c r="AB158" s="1900"/>
      <c r="AC158" s="1900"/>
      <c r="AD158" s="1900"/>
      <c r="AE158" s="1900"/>
      <c r="AF158" s="1900"/>
      <c r="AG158" s="1900"/>
      <c r="AH158" s="511"/>
      <c r="AI158" s="511"/>
      <c r="AJ158" s="511"/>
      <c r="AK158" s="511"/>
    </row>
    <row r="159" spans="2:37" ht="20.100000000000001" customHeight="1">
      <c r="C159" s="322"/>
      <c r="D159" s="322"/>
      <c r="E159" s="315" t="s">
        <v>5603</v>
      </c>
      <c r="F159" s="315"/>
      <c r="G159" s="322"/>
      <c r="H159" s="322"/>
      <c r="I159" s="322"/>
      <c r="J159" s="322"/>
      <c r="K159" s="318"/>
      <c r="L159" s="318"/>
      <c r="M159" s="316"/>
      <c r="P159" s="316"/>
      <c r="Q159" s="318"/>
      <c r="R159" s="400"/>
      <c r="S159" s="400"/>
      <c r="T159" s="400"/>
      <c r="U159" s="400"/>
      <c r="V159" s="400"/>
      <c r="W159" s="400"/>
      <c r="X159" s="400"/>
      <c r="Y159" s="400"/>
      <c r="Z159" s="400"/>
      <c r="AA159" s="400"/>
      <c r="AB159" s="400"/>
      <c r="AC159" s="400"/>
      <c r="AD159" s="314" t="s">
        <v>5604</v>
      </c>
      <c r="AE159" s="1903">
        <v>0.75</v>
      </c>
      <c r="AF159" s="1903"/>
      <c r="AG159" s="1903"/>
      <c r="AK159" s="376"/>
    </row>
    <row r="160" spans="2:37" ht="20.100000000000001" customHeight="1">
      <c r="C160" s="322"/>
      <c r="D160" s="322"/>
      <c r="E160" s="315" t="s">
        <v>5605</v>
      </c>
      <c r="F160" s="315"/>
      <c r="G160" s="322"/>
      <c r="H160" s="322"/>
      <c r="I160" s="322"/>
      <c r="J160" s="322"/>
      <c r="K160" s="318"/>
      <c r="L160" s="318"/>
      <c r="M160" s="316"/>
      <c r="P160" s="316"/>
      <c r="Q160" s="318"/>
      <c r="R160" s="400"/>
      <c r="S160" s="400"/>
      <c r="T160" s="400"/>
      <c r="U160" s="400"/>
      <c r="V160" s="400"/>
      <c r="W160" s="400"/>
      <c r="X160" s="400"/>
      <c r="Y160" s="400"/>
      <c r="Z160" s="400"/>
      <c r="AA160" s="400"/>
      <c r="AB160" s="400"/>
      <c r="AC160" s="400"/>
      <c r="AD160" s="314" t="s">
        <v>5606</v>
      </c>
      <c r="AE160" s="1858">
        <v>1.1000000000000001</v>
      </c>
      <c r="AF160" s="1858"/>
      <c r="AK160" s="376"/>
    </row>
    <row r="161" spans="3:37" ht="20.100000000000001" customHeight="1">
      <c r="C161" s="322"/>
      <c r="D161" s="322"/>
      <c r="E161" s="315" t="s">
        <v>5607</v>
      </c>
      <c r="F161" s="315"/>
      <c r="G161" s="322"/>
      <c r="H161" s="322"/>
      <c r="I161" s="322"/>
      <c r="J161" s="322"/>
      <c r="K161" s="318"/>
      <c r="L161" s="318"/>
      <c r="M161" s="316"/>
      <c r="W161" s="314" t="s">
        <v>5608</v>
      </c>
      <c r="X161" s="314" t="s">
        <v>3306</v>
      </c>
      <c r="Y161" s="1858">
        <v>30</v>
      </c>
      <c r="Z161" s="1858"/>
      <c r="AA161" s="376" t="s">
        <v>5609</v>
      </c>
      <c r="AB161" s="400"/>
      <c r="AH161" s="400"/>
      <c r="AI161" s="400"/>
      <c r="AJ161" s="400"/>
      <c r="AK161" s="400"/>
    </row>
    <row r="162" spans="3:37" ht="20.100000000000001" customHeight="1">
      <c r="C162" s="316"/>
      <c r="D162" s="316"/>
      <c r="E162" s="315" t="s">
        <v>5610</v>
      </c>
      <c r="G162" s="316"/>
      <c r="H162" s="316"/>
      <c r="I162" s="316"/>
      <c r="J162" s="316"/>
      <c r="K162" s="316"/>
      <c r="L162" s="316"/>
      <c r="M162" s="316"/>
      <c r="W162" s="314" t="s">
        <v>3854</v>
      </c>
      <c r="X162" s="314" t="s">
        <v>3306</v>
      </c>
      <c r="Y162" s="1904">
        <f>VLOOKUP(NL!U48,NL!CE4:CK7,7)</f>
        <v>2.6</v>
      </c>
      <c r="Z162" s="1905"/>
      <c r="AA162" s="380" t="s">
        <v>5611</v>
      </c>
      <c r="AB162" s="402"/>
      <c r="AG162" s="380"/>
      <c r="AH162" s="380"/>
      <c r="AI162" s="380"/>
      <c r="AJ162" s="380"/>
      <c r="AK162" s="380"/>
    </row>
    <row r="163" spans="3:37" ht="20.100000000000001" customHeight="1">
      <c r="C163" s="316"/>
      <c r="D163" s="316"/>
      <c r="E163" s="315" t="s">
        <v>4923</v>
      </c>
      <c r="G163" s="316"/>
      <c r="H163" s="316"/>
      <c r="I163" s="316"/>
      <c r="J163" s="316"/>
      <c r="K163" s="316"/>
      <c r="L163" s="316"/>
      <c r="M163" s="316"/>
      <c r="Y163" s="401"/>
      <c r="Z163" s="401"/>
      <c r="AA163" s="380"/>
      <c r="AB163" s="402"/>
      <c r="AG163" s="380"/>
      <c r="AH163" s="380"/>
      <c r="AI163" s="380"/>
      <c r="AJ163" s="380"/>
      <c r="AK163" s="380"/>
    </row>
    <row r="164" spans="3:37" ht="20.100000000000001" customHeight="1">
      <c r="C164" s="316"/>
      <c r="D164" s="316"/>
      <c r="E164" s="315"/>
      <c r="G164" s="1862" t="s">
        <v>4924</v>
      </c>
      <c r="H164" s="1862"/>
      <c r="I164" s="1859" t="s">
        <v>3306</v>
      </c>
      <c r="J164" s="1863" t="s">
        <v>4925</v>
      </c>
      <c r="K164" s="1863"/>
      <c r="L164" s="1863"/>
      <c r="M164" s="1863"/>
      <c r="N164" s="1859" t="s">
        <v>4926</v>
      </c>
      <c r="O164" s="370" t="s">
        <v>4927</v>
      </c>
      <c r="P164" s="1859" t="s">
        <v>3306</v>
      </c>
      <c r="Q164" s="1863" t="str">
        <f>"2 ."&amp;VLOOKUP(NL!U48,NL!CE4:CK7,3)&amp;" + "&amp;VLOOKUP(NL!U48,NL!CE4:CK7,4)</f>
        <v>2 .190 + 323,3</v>
      </c>
      <c r="R164" s="1863"/>
      <c r="S164" s="1863"/>
      <c r="T164" s="1863"/>
      <c r="U164" s="1863"/>
      <c r="V164" s="1863"/>
      <c r="W164" s="1863"/>
      <c r="X164" s="1859" t="s">
        <v>4926</v>
      </c>
      <c r="Y164" s="1863">
        <f>VLOOKUP(NL!U48,NL!CE4:CK7,2)-VLOOKUP(NL!U48,NL!CE4:CK7,6)</f>
        <v>10</v>
      </c>
      <c r="Z164" s="1863"/>
      <c r="AA164" s="1863"/>
      <c r="AB164" s="1859" t="s">
        <v>3306</v>
      </c>
      <c r="AC164" s="1902">
        <f>ROUND((((2*VLOOKUP(NL!U48,NL!CE4:CK7,3))+VLOOKUP(NL!U48,NL!CE4:CK7,4))/(VLOOKUP(NL!U48,NL!CE4:CK7,3)+VLOOKUP(NL!U48,NL!CE4:CK7,4)))*((VLOOKUP(NL!U48,NL!CE4:CK7,2)-VLOOKUP(NL!U48,NL!CE4:CK7,6))/3),2)</f>
        <v>4.57</v>
      </c>
      <c r="AD164" s="1902"/>
      <c r="AE164" s="1902"/>
      <c r="AF164" s="1862" t="s">
        <v>2550</v>
      </c>
      <c r="AG164" s="1862"/>
      <c r="AH164" s="1862"/>
      <c r="AI164" s="1862"/>
      <c r="AJ164" s="1862"/>
      <c r="AK164" s="1862"/>
    </row>
    <row r="165" spans="3:37" ht="20.100000000000001" customHeight="1">
      <c r="C165" s="316"/>
      <c r="D165" s="316"/>
      <c r="E165" s="315"/>
      <c r="G165" s="1862"/>
      <c r="H165" s="1862"/>
      <c r="I165" s="1859"/>
      <c r="J165" s="1859" t="s">
        <v>4327</v>
      </c>
      <c r="K165" s="1859"/>
      <c r="L165" s="1859"/>
      <c r="M165" s="1859"/>
      <c r="N165" s="1859"/>
      <c r="O165" s="314">
        <v>3</v>
      </c>
      <c r="P165" s="1859"/>
      <c r="Q165" s="1857" t="str">
        <f>VLOOKUP(NL!U48,NL!CE4:CK7,3)&amp;" + "&amp;VLOOKUP(NL!U48,NL!CE4:CK7,4)</f>
        <v>190 + 323,3</v>
      </c>
      <c r="R165" s="1857"/>
      <c r="S165" s="1857"/>
      <c r="T165" s="1857"/>
      <c r="U165" s="1857"/>
      <c r="V165" s="1857"/>
      <c r="W165" s="1857"/>
      <c r="X165" s="1859"/>
      <c r="Y165" s="1859">
        <v>3</v>
      </c>
      <c r="Z165" s="1859"/>
      <c r="AA165" s="1859"/>
      <c r="AB165" s="1859"/>
      <c r="AC165" s="1902"/>
      <c r="AD165" s="1902"/>
      <c r="AE165" s="1902"/>
      <c r="AF165" s="1862"/>
      <c r="AG165" s="1862"/>
      <c r="AH165" s="1862"/>
      <c r="AI165" s="1862"/>
      <c r="AJ165" s="1862"/>
      <c r="AK165" s="1862"/>
    </row>
    <row r="166" spans="3:37" ht="20.100000000000001" customHeight="1">
      <c r="D166" s="322"/>
      <c r="E166" s="322" t="s">
        <v>4328</v>
      </c>
      <c r="F166" s="315"/>
      <c r="K166" s="318"/>
      <c r="L166" s="318"/>
      <c r="M166" s="316"/>
      <c r="N166" s="316"/>
      <c r="O166" s="316"/>
      <c r="P166" s="316"/>
      <c r="Q166" s="318"/>
      <c r="R166" s="318"/>
      <c r="S166" s="318"/>
      <c r="T166" s="318"/>
      <c r="U166" s="318"/>
      <c r="V166" s="318"/>
      <c r="W166" s="318"/>
      <c r="X166" s="318"/>
    </row>
    <row r="167" spans="3:37" ht="20.100000000000001" customHeight="1">
      <c r="C167" s="322"/>
      <c r="D167" s="322"/>
      <c r="E167" s="322"/>
      <c r="F167" s="315"/>
      <c r="G167" s="322"/>
      <c r="J167" s="314" t="s">
        <v>4329</v>
      </c>
      <c r="M167" s="314" t="s">
        <v>3306</v>
      </c>
      <c r="N167" s="314" t="s">
        <v>6294</v>
      </c>
      <c r="X167" s="315"/>
    </row>
    <row r="168" spans="3:37" ht="20.100000000000001" customHeight="1">
      <c r="C168" s="322"/>
      <c r="D168" s="322"/>
      <c r="E168" s="322"/>
      <c r="F168" s="315"/>
      <c r="G168" s="322"/>
      <c r="J168" s="314" t="s">
        <v>4331</v>
      </c>
      <c r="M168" s="314" t="s">
        <v>3306</v>
      </c>
      <c r="N168" s="315" t="e">
        <f>K26&amp;" . "&amp;V172&amp;" . "&amp;R174</f>
        <v>#N/A</v>
      </c>
      <c r="V168" s="316" t="s">
        <v>3306</v>
      </c>
      <c r="W168" s="1900" t="e">
        <f>ROUND(K26*V172*R174,2)</f>
        <v>#N/A</v>
      </c>
      <c r="X168" s="1900"/>
      <c r="Y168" s="1900"/>
      <c r="Z168" s="1900"/>
      <c r="AA168" s="1900"/>
      <c r="AB168" s="1900"/>
      <c r="AC168" s="1900"/>
      <c r="AD168" s="1900"/>
      <c r="AE168" s="1900"/>
      <c r="AF168" s="1900"/>
      <c r="AG168" s="1900"/>
      <c r="AH168" s="1900"/>
      <c r="AI168" s="1900"/>
      <c r="AJ168" s="1900"/>
    </row>
    <row r="169" spans="3:37" ht="20.100000000000001" customHeight="1">
      <c r="C169" s="322"/>
      <c r="D169" s="322"/>
      <c r="E169" s="322"/>
      <c r="F169" s="315"/>
      <c r="G169" s="322"/>
      <c r="H169" s="322"/>
      <c r="I169" s="322"/>
      <c r="J169" s="314" t="s">
        <v>4332</v>
      </c>
      <c r="M169" s="314" t="s">
        <v>3306</v>
      </c>
      <c r="N169" s="315" t="e">
        <f>K26&amp;" . "&amp;V173&amp;" . "&amp;R174</f>
        <v>#N/A</v>
      </c>
      <c r="V169" s="316" t="s">
        <v>3306</v>
      </c>
      <c r="W169" s="1900" t="e">
        <f>ROUND(K26*V173*R174,2)</f>
        <v>#N/A</v>
      </c>
      <c r="X169" s="1900"/>
      <c r="Y169" s="1900"/>
      <c r="Z169" s="1900"/>
      <c r="AA169" s="1900"/>
      <c r="AB169" s="1900"/>
      <c r="AC169" s="1900"/>
      <c r="AD169" s="1900"/>
      <c r="AE169" s="1900"/>
      <c r="AF169" s="1900"/>
      <c r="AG169" s="1900"/>
      <c r="AH169" s="1900"/>
      <c r="AI169" s="1900"/>
      <c r="AJ169" s="1900"/>
    </row>
    <row r="170" spans="3:37" ht="20.100000000000001" customHeight="1">
      <c r="D170" s="322"/>
      <c r="E170" s="322"/>
      <c r="F170" s="315"/>
      <c r="K170" s="314" t="s">
        <v>4329</v>
      </c>
      <c r="L170" s="318"/>
      <c r="M170" s="316" t="s">
        <v>3306</v>
      </c>
      <c r="N170" s="314" t="str">
        <f>IF(NL!U45=22,"3.","")</f>
        <v>3.</v>
      </c>
      <c r="O170" s="314" t="s">
        <v>4330</v>
      </c>
      <c r="P170" s="316"/>
      <c r="Q170" s="318"/>
      <c r="R170" s="318"/>
      <c r="S170" s="318"/>
      <c r="T170" s="318"/>
      <c r="U170" s="318"/>
      <c r="V170" s="318"/>
      <c r="W170" s="318"/>
      <c r="AG170" s="318"/>
      <c r="AH170" s="318"/>
      <c r="AI170" s="318"/>
      <c r="AJ170" s="318"/>
      <c r="AK170" s="318"/>
    </row>
    <row r="171" spans="3:37" ht="20.100000000000001" customHeight="1">
      <c r="D171" s="322"/>
      <c r="E171" s="322"/>
      <c r="F171" s="315"/>
      <c r="L171" s="318"/>
      <c r="M171" s="316" t="s">
        <v>3306</v>
      </c>
      <c r="N171" s="314" t="str">
        <f>IF(NL!U45=22,"3.","")</f>
        <v>3.</v>
      </c>
      <c r="O171" s="392" t="e">
        <f>W168&amp;" + "&amp;W169</f>
        <v>#N/A</v>
      </c>
      <c r="P171" s="392"/>
      <c r="Q171" s="392"/>
      <c r="R171" s="392"/>
      <c r="S171" s="392"/>
      <c r="T171" s="392"/>
      <c r="U171" s="392"/>
      <c r="V171" s="316" t="s">
        <v>3306</v>
      </c>
      <c r="W171" s="1900" t="e">
        <f>IF(NL!U45=22,3,1)*W168+W169</f>
        <v>#N/A</v>
      </c>
      <c r="X171" s="1900"/>
      <c r="Y171" s="1900"/>
      <c r="Z171" s="1900"/>
      <c r="AA171" s="1900"/>
      <c r="AB171" s="1900"/>
      <c r="AC171" s="1900"/>
      <c r="AD171" s="1900"/>
      <c r="AE171" s="1900"/>
      <c r="AF171" s="1900"/>
      <c r="AG171" s="1900"/>
      <c r="AH171" s="1900"/>
      <c r="AI171" s="1900"/>
      <c r="AJ171" s="1900"/>
      <c r="AK171" s="392"/>
    </row>
    <row r="172" spans="3:37" ht="20.100000000000001" customHeight="1">
      <c r="C172" s="316"/>
      <c r="D172" s="316"/>
      <c r="E172" s="315" t="s">
        <v>6293</v>
      </c>
      <c r="G172" s="316"/>
      <c r="H172" s="316"/>
      <c r="I172" s="316"/>
      <c r="J172" s="316"/>
      <c r="K172" s="316"/>
      <c r="L172" s="316"/>
      <c r="M172" s="316"/>
      <c r="O172" s="314" t="s">
        <v>3854</v>
      </c>
      <c r="Q172" s="314" t="s">
        <v>6344</v>
      </c>
      <c r="R172" s="314" t="s">
        <v>4333</v>
      </c>
      <c r="V172" s="1901" t="e">
        <f>VLOOKUP(NL!U46,NL!BY80:CE116,NL!CA76,FALSE)</f>
        <v>#N/A</v>
      </c>
      <c r="W172" s="1897"/>
      <c r="X172" s="1897"/>
      <c r="Y172" s="1897"/>
      <c r="Z172" s="1897"/>
      <c r="AA172" s="403"/>
      <c r="AB172" s="490"/>
      <c r="AC172" s="490"/>
      <c r="AD172" s="490"/>
      <c r="AE172" s="490"/>
      <c r="AF172" s="490"/>
      <c r="AG172" s="490"/>
      <c r="AH172" s="490"/>
      <c r="AI172" s="490"/>
      <c r="AJ172" s="490"/>
      <c r="AK172" s="490"/>
    </row>
    <row r="173" spans="3:37" ht="20.100000000000001" customHeight="1">
      <c r="C173" s="316"/>
      <c r="D173" s="316"/>
      <c r="E173" s="315"/>
      <c r="G173" s="316"/>
      <c r="H173" s="316"/>
      <c r="I173" s="316"/>
      <c r="J173" s="316"/>
      <c r="K173" s="316"/>
      <c r="L173" s="316"/>
      <c r="M173" s="316"/>
      <c r="Q173" s="314" t="s">
        <v>6344</v>
      </c>
      <c r="R173" s="314" t="s">
        <v>5240</v>
      </c>
      <c r="V173" s="1897">
        <f>VLOOKUP(NL!U47,NL!BY80:CE116,NL!CA76,FALSE)</f>
        <v>25</v>
      </c>
      <c r="W173" s="1897"/>
      <c r="X173" s="1897"/>
      <c r="Y173" s="1897"/>
      <c r="Z173" s="1897"/>
      <c r="AA173" s="403"/>
      <c r="AB173" s="490"/>
      <c r="AC173" s="490"/>
      <c r="AD173" s="490"/>
      <c r="AE173" s="490"/>
      <c r="AF173" s="490"/>
      <c r="AG173" s="490"/>
      <c r="AH173" s="490"/>
      <c r="AI173" s="490"/>
      <c r="AJ173" s="490"/>
      <c r="AK173" s="490"/>
    </row>
    <row r="174" spans="3:37" ht="20.100000000000001" customHeight="1">
      <c r="C174" s="316"/>
      <c r="D174" s="316"/>
      <c r="E174" s="315" t="s">
        <v>5241</v>
      </c>
      <c r="G174" s="316"/>
      <c r="H174" s="316"/>
      <c r="I174" s="316"/>
      <c r="J174" s="316"/>
      <c r="K174" s="316"/>
      <c r="L174" s="316"/>
      <c r="M174" s="316"/>
      <c r="O174" s="314" t="s">
        <v>3944</v>
      </c>
      <c r="Q174" s="314" t="s">
        <v>944</v>
      </c>
      <c r="R174" s="1898">
        <f>MAX(NL!U41:AL42)*1.02</f>
        <v>61.2</v>
      </c>
      <c r="S174" s="1898"/>
      <c r="T174" s="1898"/>
      <c r="U174" s="1898"/>
      <c r="V174" s="1898"/>
      <c r="W174" s="1898"/>
      <c r="X174" s="1898"/>
      <c r="Y174" s="1898"/>
      <c r="Z174" s="1898"/>
      <c r="AA174" s="1898"/>
      <c r="AB174" s="1898"/>
      <c r="AC174" s="1898"/>
      <c r="AD174" s="404"/>
      <c r="AE174" s="404"/>
      <c r="AF174" s="404"/>
      <c r="AG174" s="404"/>
      <c r="AH174" s="404"/>
      <c r="AI174" s="404"/>
      <c r="AJ174" s="404"/>
      <c r="AK174" s="404"/>
    </row>
    <row r="175" spans="3:37" ht="20.100000000000001" customHeight="1">
      <c r="C175" s="316"/>
      <c r="D175" s="316"/>
      <c r="E175" s="315" t="s">
        <v>4923</v>
      </c>
      <c r="G175" s="316"/>
      <c r="H175" s="316"/>
      <c r="I175" s="316"/>
      <c r="J175" s="316"/>
      <c r="K175" s="316"/>
      <c r="L175" s="316"/>
      <c r="M175" s="316"/>
      <c r="Q175" s="314" t="s">
        <v>5242</v>
      </c>
      <c r="S175" s="314" t="s">
        <v>3306</v>
      </c>
      <c r="T175" s="1858">
        <f>VLOOKUP(NL!U48,NL!CE4:CK7,2)-VLOOKUP(NL!U48,NL!CE4:CK7,6)</f>
        <v>10</v>
      </c>
      <c r="U175" s="1858"/>
      <c r="V175" s="1858"/>
      <c r="W175" s="314" t="s">
        <v>2550</v>
      </c>
      <c r="Y175" s="401"/>
      <c r="Z175" s="401"/>
      <c r="AA175" s="380"/>
      <c r="AB175" s="402"/>
      <c r="AG175" s="380"/>
      <c r="AH175" s="380"/>
      <c r="AI175" s="380"/>
      <c r="AJ175" s="380"/>
      <c r="AK175" s="380"/>
    </row>
    <row r="176" spans="3:37" ht="20.100000000000001" customHeight="1">
      <c r="C176" s="316"/>
      <c r="D176" s="316"/>
      <c r="E176" s="322" t="s">
        <v>5243</v>
      </c>
      <c r="G176" s="316"/>
      <c r="H176" s="316"/>
      <c r="I176" s="316"/>
      <c r="J176" s="316"/>
      <c r="K176" s="316"/>
      <c r="L176" s="316"/>
      <c r="M176" s="316"/>
      <c r="S176" s="396"/>
      <c r="T176" s="396"/>
      <c r="U176" s="396"/>
      <c r="V176" s="396"/>
      <c r="W176" s="396"/>
      <c r="X176" s="396"/>
      <c r="Y176" s="396"/>
      <c r="Z176" s="396"/>
      <c r="AA176" s="396"/>
      <c r="AB176" s="396"/>
      <c r="AC176" s="396"/>
      <c r="AD176" s="404"/>
      <c r="AE176" s="404"/>
      <c r="AF176" s="404"/>
      <c r="AG176" s="404"/>
      <c r="AH176" s="404"/>
      <c r="AI176" s="404"/>
      <c r="AJ176" s="404"/>
      <c r="AK176" s="404"/>
    </row>
    <row r="177" spans="3:37" ht="20.100000000000001" customHeight="1">
      <c r="D177" s="322"/>
      <c r="E177" s="322"/>
      <c r="F177" s="315"/>
      <c r="K177" s="314" t="s">
        <v>1628</v>
      </c>
      <c r="L177" s="318"/>
      <c r="M177" s="316" t="s">
        <v>3306</v>
      </c>
      <c r="O177" s="314" t="s">
        <v>1629</v>
      </c>
      <c r="P177" s="316"/>
      <c r="Q177" s="318"/>
      <c r="R177" s="318"/>
      <c r="S177" s="318"/>
      <c r="T177" s="318"/>
      <c r="U177" s="318"/>
      <c r="V177" s="318"/>
      <c r="W177" s="318"/>
      <c r="X177" s="318"/>
      <c r="Y177" s="318"/>
      <c r="Z177" s="318"/>
      <c r="AA177" s="318"/>
      <c r="AB177" s="318"/>
      <c r="AC177" s="318"/>
      <c r="AD177" s="318"/>
      <c r="AE177" s="318"/>
      <c r="AF177" s="318"/>
      <c r="AG177" s="318"/>
      <c r="AH177" s="318"/>
      <c r="AI177" s="318"/>
      <c r="AJ177" s="318"/>
      <c r="AK177" s="318"/>
    </row>
    <row r="178" spans="3:37" ht="20.100000000000001" customHeight="1">
      <c r="D178" s="322"/>
      <c r="E178" s="322"/>
      <c r="F178" s="315"/>
      <c r="L178" s="314" t="s">
        <v>1630</v>
      </c>
      <c r="M178" s="316"/>
      <c r="N178" s="314" t="s">
        <v>3306</v>
      </c>
      <c r="O178" s="314" t="s">
        <v>1631</v>
      </c>
      <c r="P178" s="316"/>
      <c r="Q178" s="318"/>
      <c r="R178" s="318"/>
      <c r="S178" s="318"/>
      <c r="T178" s="318"/>
      <c r="V178" s="318"/>
      <c r="W178" s="318"/>
      <c r="X178" s="318"/>
      <c r="Y178" s="318"/>
      <c r="Z178" s="318"/>
      <c r="AA178" s="318"/>
      <c r="AB178" s="318"/>
      <c r="AC178" s="318"/>
      <c r="AD178" s="318"/>
      <c r="AE178" s="318"/>
      <c r="AF178" s="318"/>
    </row>
    <row r="179" spans="3:37" ht="20.100000000000001" customHeight="1">
      <c r="D179" s="322"/>
      <c r="E179" s="322"/>
      <c r="F179" s="315"/>
      <c r="M179" s="316"/>
      <c r="N179" s="314" t="s">
        <v>3306</v>
      </c>
      <c r="O179" s="318" t="e">
        <f>AA155&amp;" . "&amp;AC164&amp;" + "&amp;W171&amp;" . "&amp;T175&amp;" ="</f>
        <v>#N/A</v>
      </c>
      <c r="P179" s="316"/>
      <c r="Q179" s="318"/>
      <c r="R179" s="318"/>
      <c r="S179" s="318"/>
      <c r="T179" s="318"/>
      <c r="U179" s="318"/>
      <c r="V179" s="318"/>
      <c r="W179" s="318"/>
      <c r="X179" s="318"/>
      <c r="Y179" s="318"/>
      <c r="Z179" s="318"/>
      <c r="AC179" s="1899" t="e">
        <f>(AA155*AC164)+(W171*T175)</f>
        <v>#N/A</v>
      </c>
      <c r="AD179" s="1899"/>
      <c r="AE179" s="1899"/>
      <c r="AF179" s="1899"/>
      <c r="AG179" s="1899"/>
      <c r="AH179" s="1899"/>
      <c r="AI179" s="1899"/>
      <c r="AJ179" s="1899"/>
      <c r="AK179" s="1899"/>
    </row>
    <row r="180" spans="3:37" ht="20.100000000000001" customHeight="1">
      <c r="D180" s="322"/>
      <c r="E180" s="322"/>
      <c r="F180" s="315"/>
      <c r="K180" s="314" t="s">
        <v>1628</v>
      </c>
      <c r="L180" s="318"/>
      <c r="M180" s="316" t="s">
        <v>3306</v>
      </c>
      <c r="O180" s="314" t="e">
        <f>"1,2 .["&amp;AC179&amp;" + 10%. "&amp;AC179&amp;"]"</f>
        <v>#N/A</v>
      </c>
      <c r="P180" s="316"/>
      <c r="Q180" s="318"/>
      <c r="R180" s="318"/>
      <c r="S180" s="318"/>
      <c r="T180" s="318"/>
      <c r="U180" s="318"/>
      <c r="V180" s="318"/>
      <c r="W180" s="318"/>
      <c r="X180" s="318"/>
      <c r="Y180" s="318"/>
      <c r="Z180" s="318"/>
      <c r="AA180" s="318"/>
      <c r="AB180" s="318"/>
      <c r="AC180" s="318"/>
      <c r="AD180" s="318"/>
      <c r="AE180" s="376"/>
      <c r="AF180" s="318"/>
      <c r="AG180" s="318"/>
      <c r="AH180" s="318"/>
      <c r="AI180" s="318"/>
      <c r="AJ180" s="318"/>
      <c r="AK180" s="318"/>
    </row>
    <row r="181" spans="3:37" ht="20.100000000000001" customHeight="1">
      <c r="C181" s="316"/>
      <c r="D181" s="316"/>
      <c r="E181" s="315"/>
      <c r="G181" s="316"/>
      <c r="H181" s="316"/>
      <c r="I181" s="316"/>
      <c r="J181" s="316"/>
      <c r="K181" s="316"/>
      <c r="L181" s="316"/>
      <c r="M181" s="316" t="s">
        <v>3306</v>
      </c>
      <c r="O181" s="1891" t="e">
        <f>1.2*(AC179 +(10%*AC179))</f>
        <v>#N/A</v>
      </c>
      <c r="P181" s="1891"/>
      <c r="Q181" s="1891"/>
      <c r="R181" s="1891"/>
      <c r="S181" s="1891"/>
      <c r="T181" s="1891"/>
      <c r="U181" s="1891"/>
      <c r="V181" s="1891"/>
      <c r="W181" s="1891"/>
      <c r="X181" s="1891"/>
      <c r="Y181" s="1891"/>
      <c r="Z181" s="1891"/>
      <c r="AA181" s="1891"/>
      <c r="AB181" s="1891"/>
      <c r="AC181" s="1891"/>
      <c r="AD181" s="1891"/>
      <c r="AE181" s="1891"/>
      <c r="AF181" s="1891"/>
      <c r="AG181" s="1891"/>
      <c r="AH181" s="1891"/>
      <c r="AI181" s="1891"/>
      <c r="AJ181" s="1891"/>
      <c r="AK181" s="1891"/>
    </row>
    <row r="182" spans="3:37" ht="20.100000000000001" customHeight="1">
      <c r="C182" s="316"/>
      <c r="D182" s="316"/>
      <c r="E182" s="315" t="s">
        <v>1632</v>
      </c>
      <c r="G182" s="316"/>
      <c r="H182" s="316"/>
      <c r="I182" s="316"/>
      <c r="J182" s="316"/>
      <c r="K182" s="316"/>
      <c r="L182" s="316"/>
      <c r="M182" s="316"/>
      <c r="O182" s="391"/>
      <c r="P182" s="391"/>
      <c r="Q182" s="391"/>
      <c r="R182" s="391"/>
      <c r="S182" s="391"/>
      <c r="T182" s="318"/>
      <c r="U182" s="397"/>
      <c r="V182" s="397"/>
      <c r="W182" s="397"/>
      <c r="X182" s="397"/>
      <c r="Y182" s="397"/>
      <c r="Z182" s="397"/>
      <c r="AA182" s="397"/>
      <c r="AB182" s="397"/>
      <c r="AC182" s="397"/>
      <c r="AD182" s="397"/>
      <c r="AE182" s="397"/>
      <c r="AF182" s="397"/>
      <c r="AG182" s="397"/>
      <c r="AH182" s="397"/>
      <c r="AI182" s="397"/>
      <c r="AJ182" s="397"/>
      <c r="AK182" s="397"/>
    </row>
    <row r="183" spans="3:37" ht="20.100000000000001" customHeight="1">
      <c r="C183" s="322"/>
      <c r="D183" s="322"/>
      <c r="E183" s="322"/>
      <c r="F183" s="315"/>
      <c r="G183" s="322"/>
      <c r="H183" s="322"/>
      <c r="I183" s="322"/>
      <c r="J183" s="322"/>
      <c r="K183" s="1862" t="s">
        <v>5964</v>
      </c>
      <c r="L183" s="1862"/>
      <c r="M183" s="1862" t="s">
        <v>3306</v>
      </c>
      <c r="N183" s="1863" t="s">
        <v>1628</v>
      </c>
      <c r="O183" s="1863"/>
      <c r="P183" s="1862" t="s">
        <v>3306</v>
      </c>
      <c r="Q183" s="1896" t="e">
        <f>O181</f>
        <v>#N/A</v>
      </c>
      <c r="R183" s="1896"/>
      <c r="S183" s="1896"/>
      <c r="T183" s="1896"/>
      <c r="U183" s="1896"/>
    </row>
    <row r="184" spans="3:37" ht="20.100000000000001" customHeight="1">
      <c r="C184" s="322"/>
      <c r="D184" s="322"/>
      <c r="E184" s="322"/>
      <c r="F184" s="315"/>
      <c r="G184" s="322"/>
      <c r="H184" s="322"/>
      <c r="I184" s="322"/>
      <c r="J184" s="322"/>
      <c r="K184" s="1862"/>
      <c r="L184" s="1862"/>
      <c r="M184" s="1862"/>
      <c r="N184" s="1857" t="s">
        <v>4927</v>
      </c>
      <c r="O184" s="1857"/>
      <c r="P184" s="1862"/>
      <c r="Q184" s="1859">
        <f>VLOOKUP(NL!U48,NL!CE4:CK7,2)-VLOOKUP(NL!U48,NL!CE4:CK7,6)</f>
        <v>10</v>
      </c>
      <c r="R184" s="1859"/>
      <c r="S184" s="1859"/>
      <c r="T184" s="1859"/>
      <c r="U184" s="1859"/>
    </row>
    <row r="185" spans="3:37" ht="20.100000000000001" customHeight="1">
      <c r="C185" s="316"/>
      <c r="D185" s="316"/>
      <c r="E185" s="315"/>
      <c r="G185" s="316"/>
      <c r="H185" s="316"/>
      <c r="I185" s="316"/>
      <c r="J185" s="316"/>
      <c r="K185" s="316"/>
      <c r="L185" s="316"/>
      <c r="M185" s="1862" t="s">
        <v>3306</v>
      </c>
      <c r="N185" s="1888" t="e">
        <f>ROUND(Q183/Q184,2)</f>
        <v>#N/A</v>
      </c>
      <c r="O185" s="1888"/>
      <c r="P185" s="1888"/>
      <c r="Q185" s="1888"/>
      <c r="R185" s="1888"/>
      <c r="S185" s="1888"/>
      <c r="T185" s="1888"/>
      <c r="U185" s="1862" t="s">
        <v>3306</v>
      </c>
      <c r="V185" s="1889" t="e">
        <f>ROUND(N185/9.81,2)</f>
        <v>#N/A</v>
      </c>
      <c r="W185" s="1889"/>
      <c r="X185" s="1889"/>
      <c r="Y185" s="1889"/>
      <c r="Z185" s="1889"/>
      <c r="AA185" s="1889"/>
      <c r="AB185" s="1889"/>
      <c r="AC185" s="397"/>
      <c r="AD185" s="397"/>
      <c r="AE185" s="397"/>
      <c r="AF185" s="397"/>
      <c r="AG185" s="397"/>
      <c r="AH185" s="397"/>
      <c r="AI185" s="397"/>
      <c r="AJ185" s="397"/>
      <c r="AK185" s="397"/>
    </row>
    <row r="186" spans="3:37" ht="20.100000000000001" customHeight="1">
      <c r="C186" s="316"/>
      <c r="D186" s="316"/>
      <c r="E186" s="315"/>
      <c r="G186" s="316"/>
      <c r="H186" s="316"/>
      <c r="I186" s="316"/>
      <c r="J186" s="316"/>
      <c r="K186" s="316"/>
      <c r="L186" s="316"/>
      <c r="M186" s="1862"/>
      <c r="N186" s="1888"/>
      <c r="O186" s="1888"/>
      <c r="P186" s="1888"/>
      <c r="Q186" s="1888"/>
      <c r="R186" s="1888"/>
      <c r="S186" s="1888"/>
      <c r="T186" s="1888"/>
      <c r="U186" s="1862"/>
      <c r="V186" s="1889"/>
      <c r="W186" s="1889"/>
      <c r="X186" s="1889"/>
      <c r="Y186" s="1889"/>
      <c r="Z186" s="1889"/>
      <c r="AA186" s="1889"/>
      <c r="AB186" s="1889"/>
      <c r="AC186" s="397"/>
      <c r="AD186" s="397"/>
      <c r="AE186" s="397"/>
      <c r="AF186" s="397"/>
      <c r="AG186" s="397"/>
      <c r="AH186" s="397"/>
      <c r="AI186" s="397"/>
      <c r="AJ186" s="397"/>
      <c r="AK186" s="397"/>
    </row>
    <row r="187" spans="3:37" ht="20.100000000000001" customHeight="1">
      <c r="C187" s="322"/>
      <c r="D187" s="322"/>
      <c r="E187" s="322"/>
      <c r="H187" s="322"/>
      <c r="K187" s="318" t="s">
        <v>5964</v>
      </c>
      <c r="M187" s="316" t="s">
        <v>4478</v>
      </c>
      <c r="O187" s="314" t="s">
        <v>1633</v>
      </c>
      <c r="W187" s="318"/>
      <c r="X187" s="318"/>
      <c r="Y187" s="318"/>
      <c r="Z187" s="318"/>
      <c r="AA187" s="318"/>
      <c r="AB187" s="318"/>
      <c r="AC187" s="318"/>
      <c r="AD187" s="318"/>
      <c r="AE187" s="318"/>
      <c r="AF187" s="318"/>
      <c r="AG187" s="318"/>
      <c r="AH187" s="318"/>
      <c r="AI187" s="318"/>
      <c r="AJ187" s="318"/>
      <c r="AK187" s="318"/>
    </row>
    <row r="188" spans="3:37" ht="20.100000000000001" customHeight="1">
      <c r="C188" s="322"/>
      <c r="D188" s="322"/>
      <c r="E188" s="322"/>
      <c r="F188" s="1895" t="e">
        <f>V185</f>
        <v>#N/A</v>
      </c>
      <c r="G188" s="1895"/>
      <c r="H188" s="1895"/>
      <c r="I188" s="1895"/>
      <c r="J188" s="1895"/>
      <c r="K188" s="1895"/>
      <c r="L188" s="374"/>
      <c r="M188" s="316" t="s">
        <v>3438</v>
      </c>
      <c r="O188" s="1887">
        <f>IF(NL!U48="BTLT 10,5m", 420,IF(NL!U48="BTLT 12m", 720,IF(NL!U48="BTLT 14m",850,IF(NL!U48="BTLT 20m",1000,""))))</f>
        <v>720</v>
      </c>
      <c r="P188" s="1887"/>
      <c r="Q188" s="1887"/>
      <c r="R188" s="1887"/>
      <c r="S188" s="1887"/>
      <c r="T188" s="1887"/>
      <c r="U188" s="368"/>
      <c r="W188" s="318"/>
      <c r="X188" s="318"/>
      <c r="Y188" s="318"/>
      <c r="Z188" s="318"/>
      <c r="AA188" s="318"/>
      <c r="AB188" s="318"/>
      <c r="AC188" s="318"/>
      <c r="AD188" s="318"/>
      <c r="AE188" s="318"/>
      <c r="AF188" s="318"/>
      <c r="AG188" s="318"/>
      <c r="AH188" s="318"/>
      <c r="AI188" s="318"/>
      <c r="AJ188" s="318"/>
      <c r="AK188" s="318"/>
    </row>
    <row r="189" spans="3:37" ht="20.100000000000001" customHeight="1">
      <c r="C189" s="316"/>
      <c r="D189" s="316"/>
      <c r="E189" s="322" t="s">
        <v>1475</v>
      </c>
      <c r="G189" s="316"/>
      <c r="H189" s="316"/>
      <c r="I189" s="316"/>
      <c r="J189" s="316"/>
      <c r="K189" s="316"/>
      <c r="L189" s="316"/>
      <c r="M189" s="316"/>
      <c r="S189" s="396"/>
      <c r="T189" s="396"/>
      <c r="U189" s="396"/>
      <c r="V189" s="396"/>
      <c r="W189" s="396"/>
      <c r="X189" s="396"/>
      <c r="Y189" s="396"/>
      <c r="Z189" s="396"/>
      <c r="AA189" s="396"/>
      <c r="AB189" s="396"/>
      <c r="AC189" s="396"/>
      <c r="AD189" s="404"/>
      <c r="AE189" s="404"/>
      <c r="AF189" s="404"/>
      <c r="AG189" s="404"/>
      <c r="AH189" s="404"/>
      <c r="AI189" s="404"/>
      <c r="AJ189" s="404"/>
      <c r="AK189" s="404"/>
    </row>
    <row r="190" spans="3:37" ht="20.100000000000001" customHeight="1">
      <c r="D190" s="322" t="s">
        <v>5090</v>
      </c>
      <c r="F190" s="315"/>
      <c r="K190" s="318"/>
      <c r="L190" s="318"/>
      <c r="M190" s="316"/>
      <c r="N190" s="316"/>
      <c r="O190" s="316"/>
      <c r="P190" s="316"/>
      <c r="Q190" s="318"/>
      <c r="R190" s="318"/>
      <c r="S190" s="318"/>
      <c r="T190" s="318"/>
      <c r="U190" s="318"/>
      <c r="V190" s="318"/>
      <c r="W190" s="318"/>
      <c r="X190" s="318"/>
      <c r="Y190" s="318"/>
      <c r="Z190" s="318"/>
      <c r="AA190" s="318"/>
      <c r="AB190" s="318"/>
      <c r="AC190" s="318"/>
      <c r="AD190" s="318"/>
      <c r="AE190" s="318"/>
      <c r="AF190" s="318"/>
      <c r="AG190" s="318"/>
      <c r="AH190" s="318"/>
      <c r="AI190" s="318"/>
      <c r="AJ190" s="318"/>
      <c r="AK190" s="318"/>
    </row>
    <row r="191" spans="3:37" ht="20.100000000000001" customHeight="1">
      <c r="E191" s="322" t="s">
        <v>437</v>
      </c>
      <c r="F191" s="315"/>
      <c r="K191" s="318"/>
      <c r="L191" s="318"/>
      <c r="M191" s="316"/>
      <c r="N191" s="316"/>
      <c r="O191" s="316"/>
      <c r="P191" s="316"/>
      <c r="Q191" s="318"/>
      <c r="R191" s="318"/>
      <c r="S191" s="318"/>
      <c r="T191" s="318"/>
      <c r="U191" s="318"/>
      <c r="V191" s="318"/>
      <c r="W191" s="318"/>
      <c r="X191" s="318"/>
      <c r="Y191" s="318"/>
      <c r="Z191" s="318"/>
      <c r="AA191" s="318"/>
      <c r="AB191" s="318"/>
      <c r="AC191" s="318"/>
      <c r="AD191" s="318"/>
      <c r="AE191" s="318"/>
      <c r="AF191" s="318"/>
      <c r="AG191" s="318"/>
      <c r="AH191" s="318"/>
      <c r="AI191" s="318"/>
      <c r="AJ191" s="318"/>
      <c r="AK191" s="318"/>
    </row>
    <row r="192" spans="3:37" ht="20.100000000000001" customHeight="1">
      <c r="E192" s="321" t="s">
        <v>1810</v>
      </c>
      <c r="F192" s="315"/>
      <c r="K192" s="318"/>
      <c r="L192" s="318"/>
      <c r="M192" s="316"/>
      <c r="N192" s="316"/>
      <c r="O192" s="316"/>
      <c r="P192" s="316"/>
      <c r="Q192" s="318"/>
      <c r="R192" s="318"/>
      <c r="S192" s="318"/>
      <c r="T192" s="318"/>
      <c r="U192" s="318"/>
      <c r="V192" s="318"/>
      <c r="W192" s="318"/>
      <c r="X192" s="318"/>
      <c r="Y192" s="318"/>
      <c r="Z192" s="318"/>
      <c r="AA192" s="318"/>
      <c r="AB192" s="318"/>
      <c r="AC192" s="318"/>
      <c r="AD192" s="318"/>
      <c r="AE192" s="318"/>
      <c r="AF192" s="318"/>
      <c r="AG192" s="318"/>
      <c r="AH192" s="318"/>
      <c r="AI192" s="318"/>
      <c r="AJ192" s="318"/>
      <c r="AK192" s="318"/>
    </row>
    <row r="193" spans="3:37" ht="20.100000000000001" customHeight="1">
      <c r="E193" s="322"/>
      <c r="F193" s="315"/>
      <c r="K193" s="318"/>
      <c r="L193" s="318"/>
      <c r="M193" s="316"/>
      <c r="N193" s="316"/>
      <c r="O193" s="316"/>
      <c r="P193" s="316"/>
      <c r="Q193" s="318"/>
      <c r="R193" s="318"/>
      <c r="S193" s="318"/>
      <c r="T193" s="318"/>
      <c r="U193" s="318"/>
      <c r="V193" s="318"/>
      <c r="W193" s="318"/>
      <c r="X193" s="318"/>
      <c r="Y193" s="318"/>
      <c r="Z193" s="318"/>
      <c r="AA193" s="318"/>
      <c r="AB193" s="318"/>
      <c r="AC193" s="318"/>
      <c r="AD193" s="318"/>
      <c r="AE193" s="318"/>
      <c r="AF193" s="318"/>
      <c r="AG193" s="318"/>
      <c r="AH193" s="318"/>
      <c r="AI193" s="318"/>
      <c r="AJ193" s="318"/>
      <c r="AK193" s="318"/>
    </row>
    <row r="194" spans="3:37" ht="20.100000000000001" customHeight="1">
      <c r="E194" s="322"/>
      <c r="F194" s="315"/>
      <c r="K194" s="318"/>
      <c r="L194" s="318"/>
      <c r="M194" s="316"/>
      <c r="N194" s="316"/>
      <c r="O194" s="316"/>
      <c r="P194" s="316"/>
      <c r="Q194" s="318"/>
      <c r="R194" s="318"/>
      <c r="S194" s="318"/>
      <c r="T194" s="318"/>
      <c r="U194" s="318"/>
      <c r="V194" s="318"/>
      <c r="W194" s="318"/>
      <c r="X194" s="318"/>
      <c r="Y194" s="318"/>
      <c r="Z194" s="318"/>
      <c r="AA194" s="318"/>
      <c r="AB194" s="318"/>
      <c r="AC194" s="318"/>
      <c r="AD194" s="318"/>
      <c r="AE194" s="318"/>
      <c r="AF194" s="318"/>
      <c r="AG194" s="318"/>
      <c r="AH194" s="318"/>
      <c r="AI194" s="318"/>
      <c r="AJ194" s="318"/>
      <c r="AK194" s="318"/>
    </row>
    <row r="195" spans="3:37" ht="20.100000000000001" customHeight="1">
      <c r="E195" s="322"/>
      <c r="F195" s="315"/>
      <c r="K195" s="318"/>
      <c r="L195" s="318"/>
      <c r="M195" s="316"/>
      <c r="N195" s="316"/>
      <c r="O195" s="316"/>
      <c r="P195" s="316"/>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row>
    <row r="196" spans="3:37" ht="20.100000000000001" customHeight="1">
      <c r="E196" s="322"/>
      <c r="F196" s="315"/>
      <c r="K196" s="318"/>
      <c r="L196" s="318"/>
      <c r="M196" s="316"/>
      <c r="N196" s="316"/>
      <c r="O196" s="316"/>
      <c r="P196" s="316"/>
      <c r="Q196" s="318"/>
      <c r="R196" s="318"/>
      <c r="S196" s="318"/>
      <c r="T196" s="318"/>
      <c r="U196" s="318"/>
      <c r="V196" s="318"/>
      <c r="W196" s="318"/>
      <c r="X196" s="318"/>
      <c r="Y196" s="318"/>
      <c r="Z196" s="318"/>
      <c r="AA196" s="318"/>
      <c r="AB196" s="318"/>
      <c r="AC196" s="318"/>
      <c r="AD196" s="318"/>
      <c r="AE196" s="318"/>
      <c r="AF196" s="318"/>
      <c r="AG196" s="318"/>
      <c r="AH196" s="318"/>
      <c r="AI196" s="318"/>
      <c r="AJ196" s="318"/>
      <c r="AK196" s="318"/>
    </row>
    <row r="197" spans="3:37" ht="20.100000000000001" customHeight="1">
      <c r="E197" s="322"/>
      <c r="F197" s="315"/>
      <c r="K197" s="318"/>
      <c r="L197" s="318"/>
      <c r="M197" s="316"/>
      <c r="N197" s="316"/>
      <c r="O197" s="316"/>
      <c r="P197" s="316"/>
      <c r="Q197" s="318"/>
      <c r="R197" s="318"/>
      <c r="S197" s="318"/>
      <c r="T197" s="318"/>
      <c r="U197" s="318"/>
      <c r="V197" s="318"/>
      <c r="W197" s="318"/>
      <c r="X197" s="318"/>
      <c r="Y197" s="318"/>
      <c r="Z197" s="318"/>
      <c r="AA197" s="318"/>
      <c r="AB197" s="318"/>
      <c r="AC197" s="318"/>
      <c r="AD197" s="318"/>
      <c r="AE197" s="318"/>
      <c r="AF197" s="318"/>
      <c r="AG197" s="318"/>
      <c r="AH197" s="318"/>
      <c r="AI197" s="318"/>
      <c r="AJ197" s="318"/>
      <c r="AK197" s="318"/>
    </row>
    <row r="198" spans="3:37" ht="20.100000000000001" customHeight="1">
      <c r="E198" s="315" t="s">
        <v>1476</v>
      </c>
      <c r="F198" s="315"/>
      <c r="K198" s="318"/>
      <c r="L198" s="318"/>
      <c r="M198" s="316"/>
      <c r="N198" s="316"/>
      <c r="O198" s="316"/>
      <c r="P198" s="316"/>
      <c r="Q198" s="318"/>
      <c r="R198" s="318"/>
      <c r="S198" s="318"/>
      <c r="T198" s="318"/>
      <c r="U198" s="318"/>
      <c r="V198" s="318"/>
      <c r="W198" s="318"/>
      <c r="X198" s="318"/>
      <c r="Y198" s="318"/>
      <c r="Z198" s="318"/>
      <c r="AA198" s="318"/>
      <c r="AB198" s="318"/>
      <c r="AC198" s="318"/>
      <c r="AD198" s="318"/>
      <c r="AE198" s="318"/>
      <c r="AF198" s="318"/>
      <c r="AG198" s="318"/>
      <c r="AH198" s="318"/>
      <c r="AI198" s="318"/>
      <c r="AJ198" s="318"/>
      <c r="AK198" s="318"/>
    </row>
    <row r="199" spans="3:37" ht="20.100000000000001" customHeight="1">
      <c r="D199" s="322"/>
      <c r="E199" s="322"/>
      <c r="F199" s="315"/>
      <c r="K199" s="1862" t="s">
        <v>1477</v>
      </c>
      <c r="L199" s="1862"/>
      <c r="M199" s="1859" t="s">
        <v>3306</v>
      </c>
      <c r="N199" s="1859" t="str">
        <f>IF(NL!U45=22,"3.","")</f>
        <v>3.</v>
      </c>
      <c r="O199" s="1863" t="s">
        <v>438</v>
      </c>
      <c r="P199" s="1863"/>
      <c r="Q199" s="1863"/>
      <c r="R199" s="1863"/>
      <c r="S199" s="1893" t="s">
        <v>5644</v>
      </c>
      <c r="T199" s="1863" t="s">
        <v>440</v>
      </c>
      <c r="U199" s="1863"/>
      <c r="V199" s="1863"/>
      <c r="W199" s="1863"/>
      <c r="X199" s="318"/>
      <c r="Y199" s="318"/>
      <c r="Z199" s="318"/>
      <c r="AA199" s="318"/>
      <c r="AB199" s="318"/>
      <c r="AC199" s="318"/>
      <c r="AD199" s="318"/>
      <c r="AE199" s="318"/>
      <c r="AF199" s="318"/>
      <c r="AG199" s="318"/>
      <c r="AH199" s="318"/>
      <c r="AI199" s="318"/>
      <c r="AJ199" s="318"/>
      <c r="AK199" s="318"/>
    </row>
    <row r="200" spans="3:37" ht="20.100000000000001" customHeight="1">
      <c r="E200" s="315"/>
      <c r="F200" s="315"/>
      <c r="K200" s="1862"/>
      <c r="L200" s="1862"/>
      <c r="M200" s="1859"/>
      <c r="N200" s="1859"/>
      <c r="O200" s="1859" t="s">
        <v>439</v>
      </c>
      <c r="P200" s="1859"/>
      <c r="Q200" s="1859"/>
      <c r="R200" s="1859"/>
      <c r="S200" s="1859"/>
      <c r="T200" s="1859" t="s">
        <v>439</v>
      </c>
      <c r="U200" s="1859"/>
      <c r="V200" s="1859"/>
      <c r="W200" s="1859"/>
      <c r="X200" s="318"/>
      <c r="Y200" s="318"/>
      <c r="Z200" s="318"/>
      <c r="AA200" s="318"/>
      <c r="AB200" s="318"/>
      <c r="AC200" s="318"/>
      <c r="AD200" s="318"/>
      <c r="AE200" s="318"/>
      <c r="AF200" s="318"/>
      <c r="AG200" s="318"/>
      <c r="AH200" s="318"/>
      <c r="AI200" s="318"/>
      <c r="AJ200" s="318"/>
      <c r="AK200" s="318"/>
    </row>
    <row r="201" spans="3:37" ht="20.100000000000001" customHeight="1">
      <c r="D201" s="322"/>
      <c r="E201" s="322"/>
      <c r="F201" s="315"/>
      <c r="K201" s="1862" t="s">
        <v>1477</v>
      </c>
      <c r="L201" s="1862"/>
      <c r="M201" s="1859" t="s">
        <v>3306</v>
      </c>
      <c r="N201" s="1859" t="str">
        <f>IF(NL!U45=22,"3.","")</f>
        <v>3.</v>
      </c>
      <c r="O201" s="1863" t="s">
        <v>441</v>
      </c>
      <c r="P201" s="1863"/>
      <c r="Q201" s="1863"/>
      <c r="R201" s="1863"/>
      <c r="S201" s="1893" t="s">
        <v>5644</v>
      </c>
      <c r="T201" s="1863" t="s">
        <v>442</v>
      </c>
      <c r="U201" s="1863"/>
      <c r="V201" s="1863"/>
      <c r="W201" s="1863"/>
      <c r="X201" s="318"/>
      <c r="Y201" s="318"/>
      <c r="Z201" s="318"/>
      <c r="AA201" s="318"/>
      <c r="AB201" s="318"/>
      <c r="AC201" s="318"/>
      <c r="AD201" s="318"/>
      <c r="AE201" s="318"/>
      <c r="AF201" s="318"/>
      <c r="AG201" s="318"/>
      <c r="AH201" s="318"/>
      <c r="AI201" s="318"/>
      <c r="AJ201" s="318"/>
      <c r="AK201" s="318"/>
    </row>
    <row r="202" spans="3:37" ht="20.100000000000001" customHeight="1">
      <c r="E202" s="315"/>
      <c r="F202" s="315"/>
      <c r="K202" s="1862"/>
      <c r="L202" s="1862"/>
      <c r="M202" s="1859"/>
      <c r="N202" s="1859"/>
      <c r="O202" s="1859" t="s">
        <v>439</v>
      </c>
      <c r="P202" s="1859"/>
      <c r="Q202" s="1859"/>
      <c r="R202" s="1859"/>
      <c r="S202" s="1859"/>
      <c r="T202" s="1859" t="s">
        <v>439</v>
      </c>
      <c r="U202" s="1859"/>
      <c r="V202" s="1859"/>
      <c r="W202" s="1859"/>
      <c r="X202" s="318"/>
      <c r="Y202" s="318"/>
      <c r="Z202" s="318"/>
      <c r="AA202" s="318"/>
      <c r="AB202" s="318"/>
      <c r="AC202" s="318"/>
      <c r="AD202" s="318"/>
      <c r="AE202" s="318"/>
      <c r="AF202" s="318"/>
      <c r="AG202" s="318"/>
      <c r="AH202" s="318"/>
      <c r="AI202" s="318"/>
      <c r="AJ202" s="318"/>
      <c r="AK202" s="318"/>
    </row>
    <row r="203" spans="3:37" ht="20.100000000000001" customHeight="1">
      <c r="D203" s="322"/>
      <c r="E203" s="322"/>
      <c r="F203" s="315"/>
      <c r="K203" s="1862" t="s">
        <v>1477</v>
      </c>
      <c r="L203" s="1862"/>
      <c r="M203" s="1859" t="s">
        <v>3306</v>
      </c>
      <c r="N203" s="1859" t="str">
        <f>IF(NL!U45=22,"3.","")</f>
        <v>3.</v>
      </c>
      <c r="O203" s="1894" t="e">
        <f>M69&amp;" . "&amp;VLOOKUP(NL!U46,NL!BY80:CE116,NL!CA76,FALSE)</f>
        <v>#N/A</v>
      </c>
      <c r="P203" s="1894"/>
      <c r="Q203" s="1894"/>
      <c r="R203" s="1894"/>
      <c r="S203" s="1894"/>
      <c r="T203" s="1893" t="s">
        <v>5644</v>
      </c>
      <c r="U203" s="1894" t="e">
        <f>M69&amp;" . "&amp;VLOOKUP(NL!U47,NL!BY80:CE116,NL!CA76,FALSE)</f>
        <v>#N/A</v>
      </c>
      <c r="V203" s="1894"/>
      <c r="W203" s="1894"/>
      <c r="X203" s="1894"/>
      <c r="Y203" s="1894"/>
      <c r="Z203" s="318"/>
      <c r="AA203" s="318"/>
      <c r="AB203" s="318"/>
      <c r="AH203" s="318"/>
      <c r="AI203" s="318"/>
      <c r="AJ203" s="318"/>
      <c r="AK203" s="318"/>
    </row>
    <row r="204" spans="3:37" ht="20.100000000000001" customHeight="1">
      <c r="E204" s="315"/>
      <c r="F204" s="315"/>
      <c r="K204" s="1862"/>
      <c r="L204" s="1862"/>
      <c r="M204" s="1859"/>
      <c r="N204" s="1859"/>
      <c r="O204" s="1859" t="s">
        <v>439</v>
      </c>
      <c r="P204" s="1859"/>
      <c r="Q204" s="1859"/>
      <c r="R204" s="1859"/>
      <c r="S204" s="1859"/>
      <c r="T204" s="1859"/>
      <c r="U204" s="1859" t="s">
        <v>439</v>
      </c>
      <c r="V204" s="1859"/>
      <c r="W204" s="1859"/>
      <c r="X204" s="1859"/>
      <c r="Y204" s="1859"/>
      <c r="Z204" s="318"/>
      <c r="AA204" s="318"/>
      <c r="AB204" s="318"/>
      <c r="AH204" s="318"/>
      <c r="AI204" s="318"/>
      <c r="AJ204" s="318"/>
      <c r="AK204" s="318"/>
    </row>
    <row r="205" spans="3:37" ht="20.100000000000001" customHeight="1">
      <c r="D205" s="322"/>
      <c r="E205" s="322"/>
      <c r="F205" s="315"/>
      <c r="K205" s="314" t="s">
        <v>1477</v>
      </c>
      <c r="L205" s="318"/>
      <c r="M205" s="316" t="s">
        <v>3306</v>
      </c>
      <c r="N205" s="1890" t="e">
        <f>ROUND(((IF(NL!U45=22,3,1)*(M69*VLOOKUP(NL!U46,NL!BY80:CE116,NL!CA76,FALSE))/COS(PI()/4))+((M69*VLOOKUP(NL!U47,NL!BY80:CE116,NL!CA76,FALSE))/COS(PI()/4))),2)</f>
        <v>#N/A</v>
      </c>
      <c r="O205" s="1890"/>
      <c r="P205" s="1890"/>
      <c r="Q205" s="1890"/>
      <c r="R205" s="1890"/>
      <c r="S205" s="1890"/>
      <c r="T205" s="318" t="s">
        <v>443</v>
      </c>
      <c r="U205" s="318"/>
      <c r="V205" s="318"/>
      <c r="W205" s="318"/>
      <c r="X205" s="318"/>
      <c r="Y205" s="318"/>
      <c r="Z205" s="318"/>
      <c r="AA205" s="318"/>
      <c r="AB205" s="318"/>
      <c r="AC205" s="318"/>
      <c r="AD205" s="318"/>
      <c r="AE205" s="318"/>
      <c r="AF205" s="318"/>
      <c r="AG205" s="318"/>
      <c r="AH205" s="318"/>
      <c r="AI205" s="318"/>
      <c r="AJ205" s="318"/>
      <c r="AK205" s="318"/>
    </row>
    <row r="206" spans="3:37" ht="20.100000000000001" customHeight="1">
      <c r="C206" s="316"/>
      <c r="D206" s="316"/>
      <c r="E206" s="315" t="s">
        <v>4923</v>
      </c>
      <c r="G206" s="316"/>
      <c r="H206" s="316"/>
      <c r="I206" s="316"/>
      <c r="J206" s="316"/>
      <c r="K206" s="316"/>
      <c r="L206" s="316"/>
      <c r="M206" s="316"/>
      <c r="Q206" s="314" t="s">
        <v>5242</v>
      </c>
      <c r="S206" s="314" t="s">
        <v>3306</v>
      </c>
      <c r="T206" s="1858">
        <f>VLOOKUP(NL!U48,NL!CE4:CK7,2)-VLOOKUP(NL!U48,NL!CE4:CK7,6)</f>
        <v>10</v>
      </c>
      <c r="U206" s="1858"/>
      <c r="V206" s="1858"/>
      <c r="W206" s="314" t="s">
        <v>2550</v>
      </c>
      <c r="Y206" s="401"/>
      <c r="Z206" s="401"/>
      <c r="AA206" s="380"/>
      <c r="AB206" s="402"/>
      <c r="AG206" s="380"/>
      <c r="AH206" s="380"/>
      <c r="AI206" s="380"/>
      <c r="AJ206" s="380"/>
      <c r="AK206" s="380"/>
    </row>
    <row r="207" spans="3:37" ht="20.100000000000001" customHeight="1">
      <c r="C207" s="316"/>
      <c r="D207" s="316"/>
      <c r="E207" s="322" t="s">
        <v>5243</v>
      </c>
      <c r="G207" s="316"/>
      <c r="H207" s="316"/>
      <c r="I207" s="316"/>
      <c r="J207" s="316"/>
      <c r="K207" s="316"/>
      <c r="L207" s="316"/>
      <c r="M207" s="316"/>
      <c r="S207" s="396"/>
      <c r="T207" s="396"/>
      <c r="U207" s="396"/>
      <c r="V207" s="396"/>
      <c r="W207" s="396"/>
      <c r="X207" s="396"/>
      <c r="Y207" s="396"/>
      <c r="Z207" s="396"/>
      <c r="AA207" s="396"/>
      <c r="AB207" s="396"/>
      <c r="AC207" s="396"/>
      <c r="AD207" s="404"/>
      <c r="AE207" s="404"/>
      <c r="AF207" s="404"/>
      <c r="AG207" s="404"/>
      <c r="AH207" s="404"/>
      <c r="AI207" s="404"/>
      <c r="AJ207" s="404"/>
      <c r="AK207" s="404"/>
    </row>
    <row r="208" spans="3:37" ht="20.100000000000001" customHeight="1">
      <c r="D208" s="322"/>
      <c r="E208" s="322"/>
      <c r="F208" s="315"/>
      <c r="K208" s="314" t="s">
        <v>1628</v>
      </c>
      <c r="L208" s="318"/>
      <c r="M208" s="316" t="s">
        <v>3306</v>
      </c>
      <c r="O208" s="314" t="s">
        <v>5850</v>
      </c>
      <c r="P208" s="316"/>
      <c r="Q208" s="318"/>
      <c r="R208" s="318"/>
      <c r="S208" s="318"/>
      <c r="T208" s="318"/>
      <c r="U208" s="318"/>
      <c r="V208" s="318"/>
      <c r="W208" s="318"/>
      <c r="X208" s="318"/>
      <c r="Y208" s="318"/>
      <c r="Z208" s="318"/>
      <c r="AA208" s="318"/>
      <c r="AB208" s="318"/>
      <c r="AC208" s="318"/>
      <c r="AD208" s="318"/>
      <c r="AE208" s="318"/>
      <c r="AF208" s="318"/>
      <c r="AG208" s="318"/>
      <c r="AH208" s="318"/>
      <c r="AI208" s="318"/>
      <c r="AJ208" s="318"/>
      <c r="AK208" s="318"/>
    </row>
    <row r="209" spans="3:37" ht="20.100000000000001" customHeight="1">
      <c r="D209" s="322"/>
      <c r="E209" s="322"/>
      <c r="F209" s="315"/>
      <c r="L209" s="318"/>
      <c r="M209" s="316" t="s">
        <v>3306</v>
      </c>
      <c r="O209" s="314" t="s">
        <v>5851</v>
      </c>
      <c r="P209" s="316"/>
      <c r="Q209" s="318"/>
      <c r="R209" s="318"/>
      <c r="S209" s="318"/>
      <c r="T209" s="318"/>
      <c r="U209" s="318"/>
      <c r="V209" s="318"/>
      <c r="W209" s="318"/>
      <c r="X209" s="318"/>
      <c r="Y209" s="318"/>
      <c r="Z209" s="318"/>
      <c r="AA209" s="318"/>
      <c r="AB209" s="318"/>
      <c r="AC209" s="318"/>
      <c r="AD209" s="318"/>
      <c r="AE209" s="318"/>
      <c r="AF209" s="318"/>
      <c r="AG209" s="318"/>
      <c r="AH209" s="318"/>
      <c r="AI209" s="318"/>
      <c r="AJ209" s="318"/>
      <c r="AK209" s="318"/>
    </row>
    <row r="210" spans="3:37" ht="20.100000000000001" customHeight="1">
      <c r="D210" s="322"/>
      <c r="E210" s="322"/>
      <c r="F210" s="315"/>
      <c r="M210" s="316" t="s">
        <v>3306</v>
      </c>
      <c r="O210" s="387" t="e">
        <f>"1,3 . "&amp;N205&amp;" . "&amp;T206</f>
        <v>#N/A</v>
      </c>
      <c r="P210" s="316"/>
      <c r="Q210" s="318"/>
      <c r="R210" s="318"/>
      <c r="S210" s="318"/>
      <c r="T210" s="318"/>
      <c r="U210" s="318"/>
      <c r="V210" s="318"/>
      <c r="W210" s="376"/>
      <c r="X210" s="318"/>
      <c r="Y210" s="318"/>
      <c r="Z210" s="318"/>
      <c r="AF210" s="318"/>
      <c r="AG210" s="318"/>
      <c r="AH210" s="318"/>
      <c r="AI210" s="318"/>
      <c r="AJ210" s="318"/>
      <c r="AK210" s="318"/>
    </row>
    <row r="211" spans="3:37" ht="20.100000000000001" customHeight="1">
      <c r="D211" s="322"/>
      <c r="E211" s="322"/>
      <c r="F211" s="315"/>
      <c r="M211" s="316" t="s">
        <v>3306</v>
      </c>
      <c r="O211" s="1891" t="e">
        <f>1.3*N205*T206</f>
        <v>#N/A</v>
      </c>
      <c r="P211" s="1891"/>
      <c r="Q211" s="1891"/>
      <c r="R211" s="1891"/>
      <c r="S211" s="1891"/>
      <c r="T211" s="1891"/>
      <c r="U211" s="1891"/>
      <c r="V211" s="1891"/>
      <c r="W211" s="1891"/>
      <c r="X211" s="1891"/>
      <c r="Y211" s="1891"/>
      <c r="Z211" s="1891"/>
      <c r="AA211" s="1891"/>
      <c r="AB211" s="1891"/>
      <c r="AC211" s="1891"/>
      <c r="AD211" s="1891"/>
      <c r="AE211" s="1891"/>
      <c r="AF211" s="1891"/>
      <c r="AG211" s="1891"/>
      <c r="AH211" s="1891"/>
      <c r="AI211" s="1891"/>
      <c r="AJ211" s="1891"/>
      <c r="AK211" s="1891"/>
    </row>
    <row r="212" spans="3:37" ht="20.100000000000001" customHeight="1">
      <c r="C212" s="316"/>
      <c r="D212" s="316"/>
      <c r="E212" s="315" t="s">
        <v>1632</v>
      </c>
      <c r="G212" s="316"/>
      <c r="H212" s="316"/>
      <c r="I212" s="316"/>
      <c r="J212" s="316"/>
      <c r="K212" s="316"/>
      <c r="L212" s="316"/>
      <c r="M212" s="316"/>
      <c r="O212" s="391"/>
      <c r="P212" s="391"/>
      <c r="Q212" s="391"/>
      <c r="R212" s="391"/>
      <c r="S212" s="391"/>
      <c r="T212" s="318"/>
      <c r="U212" s="397"/>
      <c r="V212" s="397"/>
      <c r="W212" s="397"/>
      <c r="X212" s="397"/>
      <c r="Y212" s="397"/>
      <c r="Z212" s="397"/>
      <c r="AA212" s="397"/>
      <c r="AB212" s="397"/>
      <c r="AC212" s="397"/>
      <c r="AD212" s="397"/>
      <c r="AE212" s="397"/>
      <c r="AF212" s="397"/>
      <c r="AG212" s="397"/>
      <c r="AH212" s="397"/>
      <c r="AI212" s="397"/>
      <c r="AJ212" s="397"/>
      <c r="AK212" s="397"/>
    </row>
    <row r="213" spans="3:37" ht="20.100000000000001" customHeight="1">
      <c r="C213" s="322"/>
      <c r="D213" s="322"/>
      <c r="E213" s="322"/>
      <c r="F213" s="315"/>
      <c r="G213" s="322"/>
      <c r="H213" s="322"/>
      <c r="I213" s="322"/>
      <c r="J213" s="322"/>
      <c r="K213" s="1862" t="s">
        <v>5964</v>
      </c>
      <c r="L213" s="1862"/>
      <c r="M213" s="1862" t="s">
        <v>3306</v>
      </c>
      <c r="N213" s="1863" t="s">
        <v>1628</v>
      </c>
      <c r="O213" s="1863"/>
      <c r="P213" s="1862" t="s">
        <v>3306</v>
      </c>
      <c r="Q213" s="1892" t="e">
        <f>O211</f>
        <v>#N/A</v>
      </c>
      <c r="R213" s="1892"/>
      <c r="S213" s="1892"/>
      <c r="T213" s="1892"/>
      <c r="U213" s="1892"/>
      <c r="V213" s="1892"/>
    </row>
    <row r="214" spans="3:37" ht="20.100000000000001" customHeight="1">
      <c r="C214" s="322"/>
      <c r="D214" s="322"/>
      <c r="E214" s="322"/>
      <c r="F214" s="315"/>
      <c r="G214" s="322"/>
      <c r="H214" s="322"/>
      <c r="I214" s="322"/>
      <c r="J214" s="322"/>
      <c r="K214" s="1862"/>
      <c r="L214" s="1862"/>
      <c r="M214" s="1862"/>
      <c r="N214" s="1857" t="s">
        <v>4927</v>
      </c>
      <c r="O214" s="1857"/>
      <c r="P214" s="1862"/>
      <c r="Q214" s="1857">
        <f>T206</f>
        <v>10</v>
      </c>
      <c r="R214" s="1857"/>
      <c r="S214" s="1857"/>
      <c r="T214" s="1857"/>
      <c r="U214" s="1857"/>
      <c r="V214" s="1857"/>
    </row>
    <row r="215" spans="3:37" ht="20.100000000000001" customHeight="1">
      <c r="C215" s="316"/>
      <c r="D215" s="316"/>
      <c r="E215" s="315"/>
      <c r="G215" s="316"/>
      <c r="H215" s="316"/>
      <c r="I215" s="316"/>
      <c r="J215" s="316"/>
      <c r="K215" s="316"/>
      <c r="L215" s="316"/>
      <c r="M215" s="1862" t="s">
        <v>3306</v>
      </c>
      <c r="N215" s="1888" t="e">
        <f>ROUND(Q213/Q214,2)</f>
        <v>#N/A</v>
      </c>
      <c r="O215" s="1888"/>
      <c r="P215" s="1888"/>
      <c r="Q215" s="1888"/>
      <c r="R215" s="1888"/>
      <c r="S215" s="1888"/>
      <c r="T215" s="1888"/>
      <c r="U215" s="1862" t="s">
        <v>3306</v>
      </c>
      <c r="V215" s="1889" t="e">
        <f>ROUND(N215/9.81,2)</f>
        <v>#N/A</v>
      </c>
      <c r="W215" s="1889"/>
      <c r="X215" s="1889"/>
      <c r="Y215" s="1889"/>
      <c r="Z215" s="1889"/>
      <c r="AA215" s="1889"/>
      <c r="AB215" s="1889"/>
      <c r="AC215" s="397"/>
      <c r="AD215" s="397"/>
      <c r="AE215" s="397"/>
      <c r="AF215" s="397"/>
      <c r="AG215" s="397"/>
      <c r="AH215" s="397"/>
      <c r="AI215" s="397"/>
      <c r="AJ215" s="397"/>
      <c r="AK215" s="397"/>
    </row>
    <row r="216" spans="3:37" ht="20.100000000000001" customHeight="1">
      <c r="C216" s="316"/>
      <c r="D216" s="316"/>
      <c r="E216" s="315"/>
      <c r="G216" s="316"/>
      <c r="H216" s="316"/>
      <c r="I216" s="316"/>
      <c r="J216" s="316"/>
      <c r="K216" s="316"/>
      <c r="L216" s="316"/>
      <c r="M216" s="1862"/>
      <c r="N216" s="1888"/>
      <c r="O216" s="1888"/>
      <c r="P216" s="1888"/>
      <c r="Q216" s="1888"/>
      <c r="R216" s="1888"/>
      <c r="S216" s="1888"/>
      <c r="T216" s="1888"/>
      <c r="U216" s="1862"/>
      <c r="V216" s="1889"/>
      <c r="W216" s="1889"/>
      <c r="X216" s="1889"/>
      <c r="Y216" s="1889"/>
      <c r="Z216" s="1889"/>
      <c r="AA216" s="1889"/>
      <c r="AB216" s="1889"/>
      <c r="AC216" s="397"/>
      <c r="AD216" s="397"/>
      <c r="AE216" s="397"/>
      <c r="AF216" s="397"/>
      <c r="AG216" s="397"/>
      <c r="AH216" s="397"/>
      <c r="AI216" s="397"/>
      <c r="AJ216" s="397"/>
      <c r="AK216" s="397"/>
    </row>
    <row r="217" spans="3:37" ht="20.100000000000001" customHeight="1">
      <c r="C217" s="322"/>
      <c r="D217" s="322"/>
      <c r="E217" s="1886" t="e">
        <f>V215</f>
        <v>#N/A</v>
      </c>
      <c r="F217" s="1886"/>
      <c r="G217" s="1886"/>
      <c r="H217" s="1886"/>
      <c r="I217" s="1886"/>
      <c r="J217" s="1886"/>
      <c r="K217" s="1886"/>
      <c r="L217" s="374"/>
      <c r="M217" s="316" t="s">
        <v>313</v>
      </c>
      <c r="O217" s="1887">
        <f>IF(NL!U48="BTLT 10,5m", 520,IF(NL!U48="BTLT 12m", 900,IF(NL!U48="BTLT 14m",1100,IF(NL!U48="BTLT 20m",1300,""))))</f>
        <v>900</v>
      </c>
      <c r="P217" s="1887"/>
      <c r="Q217" s="1887"/>
      <c r="R217" s="1887"/>
      <c r="S217" s="1887"/>
      <c r="T217" s="1887"/>
      <c r="U217" s="368"/>
      <c r="W217" s="318"/>
      <c r="X217" s="318"/>
      <c r="Y217" s="318"/>
      <c r="Z217" s="318"/>
      <c r="AA217" s="318"/>
      <c r="AB217" s="318"/>
      <c r="AC217" s="318"/>
      <c r="AD217" s="318"/>
      <c r="AE217" s="318"/>
      <c r="AF217" s="318"/>
      <c r="AG217" s="318"/>
      <c r="AH217" s="318"/>
      <c r="AI217" s="318"/>
      <c r="AJ217" s="318"/>
      <c r="AK217" s="318"/>
    </row>
    <row r="218" spans="3:37" ht="20.100000000000001" customHeight="1">
      <c r="C218" s="322"/>
      <c r="D218" s="322"/>
      <c r="E218" s="322"/>
      <c r="H218" s="322"/>
      <c r="K218" s="318" t="s">
        <v>5964</v>
      </c>
      <c r="M218" s="316" t="s">
        <v>313</v>
      </c>
      <c r="O218" s="314" t="s">
        <v>1633</v>
      </c>
      <c r="W218" s="318"/>
      <c r="X218" s="318"/>
      <c r="Y218" s="318"/>
      <c r="Z218" s="318"/>
      <c r="AA218" s="318"/>
      <c r="AB218" s="318"/>
      <c r="AC218" s="318"/>
      <c r="AD218" s="318"/>
      <c r="AE218" s="318"/>
      <c r="AF218" s="318"/>
      <c r="AG218" s="318"/>
      <c r="AH218" s="318"/>
      <c r="AI218" s="318"/>
      <c r="AJ218" s="318"/>
      <c r="AK218" s="318"/>
    </row>
    <row r="219" spans="3:37" ht="20.100000000000001" customHeight="1">
      <c r="C219" s="316"/>
      <c r="D219" s="316"/>
      <c r="E219" s="322" t="s">
        <v>5852</v>
      </c>
      <c r="G219" s="316"/>
      <c r="H219" s="316"/>
      <c r="I219" s="316"/>
      <c r="J219" s="316"/>
      <c r="K219" s="316"/>
      <c r="L219" s="316"/>
      <c r="M219" s="316"/>
      <c r="S219" s="396"/>
      <c r="T219" s="396"/>
      <c r="U219" s="396"/>
      <c r="V219" s="396"/>
      <c r="W219" s="396"/>
      <c r="X219" s="396"/>
      <c r="Y219" s="396"/>
      <c r="Z219" s="396"/>
      <c r="AA219" s="396"/>
      <c r="AB219" s="396"/>
      <c r="AC219" s="396"/>
      <c r="AD219" s="404"/>
      <c r="AE219" s="404"/>
      <c r="AF219" s="404"/>
      <c r="AG219" s="404"/>
      <c r="AH219" s="404"/>
      <c r="AI219" s="404"/>
      <c r="AJ219" s="404"/>
      <c r="AK219" s="404"/>
    </row>
    <row r="220" spans="3:37" ht="20.100000000000001" customHeight="1">
      <c r="C220" s="316"/>
      <c r="D220" s="316"/>
      <c r="E220" s="322"/>
      <c r="G220" s="316"/>
      <c r="H220" s="316"/>
      <c r="I220" s="316"/>
      <c r="J220" s="316"/>
      <c r="K220" s="316"/>
      <c r="L220" s="316"/>
      <c r="M220" s="316"/>
      <c r="S220" s="396"/>
      <c r="T220" s="396"/>
      <c r="U220" s="396"/>
      <c r="V220" s="396"/>
      <c r="W220" s="396"/>
      <c r="X220" s="396"/>
      <c r="Y220" s="396"/>
      <c r="Z220" s="396"/>
      <c r="AA220" s="396"/>
      <c r="AB220" s="396"/>
      <c r="AC220" s="396"/>
      <c r="AD220" s="404"/>
      <c r="AE220" s="404"/>
      <c r="AF220" s="404"/>
      <c r="AG220" s="404"/>
      <c r="AH220" s="404"/>
      <c r="AI220" s="404"/>
      <c r="AJ220" s="404"/>
      <c r="AK220" s="404"/>
    </row>
    <row r="221" spans="3:37" ht="20.100000000000001" customHeight="1">
      <c r="D221" s="322" t="s">
        <v>4896</v>
      </c>
      <c r="F221" s="315"/>
      <c r="K221" s="318"/>
      <c r="L221" s="318"/>
      <c r="M221" s="316"/>
      <c r="N221" s="316"/>
      <c r="O221" s="316"/>
      <c r="P221" s="316"/>
      <c r="Q221" s="318"/>
      <c r="R221" s="318"/>
      <c r="S221" s="318"/>
      <c r="T221" s="318"/>
      <c r="U221" s="318"/>
      <c r="V221" s="318"/>
      <c r="W221" s="318"/>
      <c r="X221" s="318"/>
      <c r="Y221" s="318"/>
      <c r="Z221" s="318"/>
      <c r="AA221" s="318"/>
      <c r="AB221" s="318"/>
      <c r="AC221" s="318"/>
      <c r="AD221" s="318"/>
      <c r="AE221" s="318"/>
      <c r="AF221" s="318"/>
      <c r="AG221" s="318"/>
      <c r="AH221" s="318"/>
      <c r="AI221" s="318"/>
      <c r="AJ221" s="318"/>
      <c r="AK221" s="318"/>
    </row>
    <row r="222" spans="3:37" ht="20.100000000000001" customHeight="1">
      <c r="E222" s="322" t="s">
        <v>3681</v>
      </c>
      <c r="F222" s="315"/>
      <c r="K222" s="318"/>
      <c r="L222" s="318"/>
      <c r="M222" s="316"/>
      <c r="N222" s="316"/>
      <c r="O222" s="316"/>
      <c r="P222" s="316"/>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row>
    <row r="223" spans="3:37" ht="20.100000000000001" customHeight="1">
      <c r="E223" s="321" t="s">
        <v>5849</v>
      </c>
      <c r="F223" s="315"/>
      <c r="K223" s="318"/>
      <c r="L223" s="318"/>
      <c r="M223" s="316"/>
      <c r="N223" s="316"/>
      <c r="O223" s="316"/>
      <c r="P223" s="316"/>
      <c r="Q223" s="318"/>
      <c r="R223" s="318"/>
      <c r="S223" s="318"/>
      <c r="T223" s="318"/>
      <c r="U223" s="318"/>
      <c r="V223" s="318"/>
      <c r="W223" s="318"/>
      <c r="X223" s="318"/>
      <c r="Y223" s="318"/>
      <c r="Z223" s="318"/>
      <c r="AA223" s="318"/>
      <c r="AB223" s="318"/>
      <c r="AC223" s="318"/>
      <c r="AD223" s="318"/>
      <c r="AE223" s="318"/>
      <c r="AF223" s="318"/>
      <c r="AG223" s="318"/>
      <c r="AH223" s="318"/>
      <c r="AI223" s="318"/>
      <c r="AJ223" s="318"/>
      <c r="AK223" s="318"/>
    </row>
    <row r="224" spans="3:37" ht="20.100000000000001" customHeight="1">
      <c r="E224" s="315" t="s">
        <v>1476</v>
      </c>
      <c r="F224" s="315"/>
      <c r="K224" s="318"/>
      <c r="L224" s="318"/>
      <c r="M224" s="316"/>
      <c r="N224" s="316"/>
      <c r="O224" s="316"/>
      <c r="P224" s="316"/>
      <c r="Q224" s="318"/>
      <c r="R224" s="318"/>
      <c r="S224" s="318"/>
      <c r="T224" s="318"/>
      <c r="U224" s="318"/>
      <c r="V224" s="318"/>
      <c r="W224" s="318"/>
      <c r="X224" s="318"/>
      <c r="Y224" s="318"/>
      <c r="Z224" s="318"/>
      <c r="AA224" s="318"/>
      <c r="AB224" s="318"/>
      <c r="AC224" s="318"/>
      <c r="AD224" s="318"/>
      <c r="AE224" s="318"/>
      <c r="AF224" s="318"/>
      <c r="AG224" s="318"/>
      <c r="AH224" s="318"/>
      <c r="AI224" s="318"/>
      <c r="AJ224" s="318"/>
      <c r="AK224" s="318"/>
    </row>
    <row r="225" spans="3:37" ht="20.100000000000001" customHeight="1">
      <c r="D225" s="322"/>
      <c r="E225" s="322"/>
      <c r="F225" s="315"/>
      <c r="K225" s="314" t="s">
        <v>1477</v>
      </c>
      <c r="M225" s="314" t="s">
        <v>3306</v>
      </c>
      <c r="N225" s="314" t="str">
        <f>IF(NL!U45=22,"3.","")</f>
        <v>3.</v>
      </c>
      <c r="O225" s="1859" t="s">
        <v>438</v>
      </c>
      <c r="P225" s="1859"/>
      <c r="Q225" s="1859"/>
      <c r="R225" s="1859"/>
      <c r="S225" s="315" t="s">
        <v>5644</v>
      </c>
      <c r="T225" s="1859" t="s">
        <v>440</v>
      </c>
      <c r="U225" s="1859"/>
      <c r="V225" s="1859"/>
      <c r="W225" s="1859"/>
      <c r="X225" s="318"/>
      <c r="Y225" s="318"/>
      <c r="Z225" s="318"/>
      <c r="AA225" s="318"/>
      <c r="AB225" s="318"/>
      <c r="AC225" s="318"/>
      <c r="AD225" s="318"/>
      <c r="AE225" s="318"/>
      <c r="AF225" s="318"/>
      <c r="AG225" s="318"/>
      <c r="AH225" s="318"/>
      <c r="AI225" s="318"/>
      <c r="AJ225" s="318"/>
      <c r="AK225" s="318"/>
    </row>
    <row r="226" spans="3:37" ht="20.100000000000001" customHeight="1">
      <c r="D226" s="322"/>
      <c r="E226" s="322"/>
      <c r="F226" s="315"/>
      <c r="K226" s="314" t="s">
        <v>1477</v>
      </c>
      <c r="M226" s="314" t="s">
        <v>3306</v>
      </c>
      <c r="N226" s="314" t="str">
        <f>IF(NL!U45=22,"3.","")</f>
        <v>3.</v>
      </c>
      <c r="O226" s="1859" t="s">
        <v>441</v>
      </c>
      <c r="P226" s="1859"/>
      <c r="Q226" s="1859"/>
      <c r="R226" s="1859"/>
      <c r="S226" s="326" t="s">
        <v>5644</v>
      </c>
      <c r="T226" s="1859" t="s">
        <v>442</v>
      </c>
      <c r="U226" s="1859"/>
      <c r="V226" s="1859"/>
      <c r="W226" s="1859"/>
      <c r="X226" s="318"/>
      <c r="Y226" s="318"/>
      <c r="Z226" s="318"/>
      <c r="AA226" s="318"/>
      <c r="AB226" s="318"/>
      <c r="AC226" s="318"/>
      <c r="AD226" s="318"/>
      <c r="AE226" s="318"/>
      <c r="AF226" s="318"/>
      <c r="AG226" s="318"/>
      <c r="AH226" s="318"/>
      <c r="AI226" s="318"/>
      <c r="AJ226" s="318"/>
      <c r="AK226" s="318"/>
    </row>
    <row r="227" spans="3:37" ht="20.100000000000001" customHeight="1">
      <c r="D227" s="322"/>
      <c r="E227" s="322"/>
      <c r="F227" s="315"/>
      <c r="K227" s="314" t="s">
        <v>1477</v>
      </c>
      <c r="M227" s="314" t="s">
        <v>3306</v>
      </c>
      <c r="N227" s="314" t="str">
        <f>IF(NL!U45=22,"3.","")</f>
        <v>3.</v>
      </c>
      <c r="O227" s="1893" t="e">
        <f>M69&amp;" . "&amp;VLOOKUP(NL!U46,NL!BY80:CE116,NL!CA76,FALSE)</f>
        <v>#N/A</v>
      </c>
      <c r="P227" s="1893"/>
      <c r="Q227" s="1893"/>
      <c r="R227" s="1893"/>
      <c r="S227" s="1893"/>
      <c r="T227" s="315" t="s">
        <v>5644</v>
      </c>
      <c r="U227" s="1893" t="e">
        <f>M69&amp;" . "&amp;VLOOKUP(NL!U47,NL!BY80:CE116,NL!CA76,FALSE)</f>
        <v>#N/A</v>
      </c>
      <c r="V227" s="1893"/>
      <c r="W227" s="1893"/>
      <c r="X227" s="1893"/>
      <c r="Y227" s="1893"/>
      <c r="Z227" s="318"/>
      <c r="AA227" s="318"/>
      <c r="AB227" s="318"/>
      <c r="AH227" s="318"/>
      <c r="AI227" s="318"/>
      <c r="AJ227" s="318"/>
      <c r="AK227" s="318"/>
    </row>
    <row r="228" spans="3:37" ht="20.100000000000001" customHeight="1">
      <c r="D228" s="322"/>
      <c r="E228" s="322"/>
      <c r="F228" s="315"/>
      <c r="K228" s="314" t="s">
        <v>1477</v>
      </c>
      <c r="L228" s="318"/>
      <c r="M228" s="316" t="s">
        <v>3306</v>
      </c>
      <c r="N228" s="1890" t="e">
        <f>ROUND(((IF(NL!U45=22,3,1)*(M69*VLOOKUP(NL!U46,NL!BY80:CE116,NL!CA76,FALSE)))+((M69*VLOOKUP(NL!U47,NL!BY80:CE116,NL!CA76,FALSE)))),2)</f>
        <v>#N/A</v>
      </c>
      <c r="O228" s="1890"/>
      <c r="P228" s="1890"/>
      <c r="Q228" s="1890"/>
      <c r="R228" s="1890"/>
      <c r="S228" s="1890"/>
      <c r="T228" s="318" t="s">
        <v>443</v>
      </c>
      <c r="U228" s="318"/>
      <c r="V228" s="318"/>
      <c r="W228" s="318"/>
      <c r="X228" s="318"/>
      <c r="Y228" s="318"/>
      <c r="Z228" s="318"/>
      <c r="AA228" s="318"/>
      <c r="AB228" s="318"/>
      <c r="AC228" s="318"/>
      <c r="AD228" s="318"/>
      <c r="AE228" s="318"/>
      <c r="AF228" s="318"/>
      <c r="AG228" s="318"/>
      <c r="AH228" s="318"/>
      <c r="AI228" s="318"/>
      <c r="AJ228" s="318"/>
      <c r="AK228" s="318"/>
    </row>
    <row r="229" spans="3:37" ht="20.100000000000001" customHeight="1">
      <c r="C229" s="316"/>
      <c r="D229" s="316"/>
      <c r="E229" s="315" t="s">
        <v>4923</v>
      </c>
      <c r="G229" s="316"/>
      <c r="H229" s="316"/>
      <c r="I229" s="316"/>
      <c r="J229" s="316"/>
      <c r="K229" s="316"/>
      <c r="L229" s="316"/>
      <c r="M229" s="316"/>
      <c r="Q229" s="314" t="s">
        <v>5242</v>
      </c>
      <c r="S229" s="314" t="s">
        <v>3306</v>
      </c>
      <c r="T229" s="1858">
        <f>VLOOKUP(NL!U48,NL!CE4:CK7,2)-VLOOKUP(NL!U48,NL!CE4:CK7,6)</f>
        <v>10</v>
      </c>
      <c r="U229" s="1858"/>
      <c r="V229" s="1858"/>
      <c r="W229" s="314" t="s">
        <v>2550</v>
      </c>
      <c r="Y229" s="401"/>
      <c r="Z229" s="401"/>
      <c r="AA229" s="380"/>
      <c r="AB229" s="402"/>
      <c r="AG229" s="380"/>
      <c r="AH229" s="380"/>
      <c r="AI229" s="380"/>
      <c r="AJ229" s="380"/>
      <c r="AK229" s="380"/>
    </row>
    <row r="230" spans="3:37" ht="20.100000000000001" customHeight="1">
      <c r="C230" s="316"/>
      <c r="D230" s="316"/>
      <c r="E230" s="322" t="s">
        <v>5243</v>
      </c>
      <c r="G230" s="316"/>
      <c r="H230" s="316"/>
      <c r="I230" s="316"/>
      <c r="J230" s="316"/>
      <c r="K230" s="316"/>
      <c r="L230" s="316"/>
      <c r="M230" s="316"/>
      <c r="S230" s="396"/>
      <c r="T230" s="396"/>
      <c r="U230" s="396"/>
      <c r="V230" s="396"/>
      <c r="W230" s="396"/>
      <c r="X230" s="396"/>
      <c r="Y230" s="396"/>
      <c r="Z230" s="396"/>
      <c r="AA230" s="396"/>
      <c r="AB230" s="396"/>
      <c r="AC230" s="396"/>
      <c r="AD230" s="404"/>
      <c r="AE230" s="404"/>
      <c r="AF230" s="404"/>
      <c r="AG230" s="404"/>
      <c r="AH230" s="404"/>
      <c r="AI230" s="404"/>
      <c r="AJ230" s="404"/>
      <c r="AK230" s="404"/>
    </row>
    <row r="231" spans="3:37" ht="20.100000000000001" customHeight="1">
      <c r="D231" s="322"/>
      <c r="E231" s="322"/>
      <c r="F231" s="315"/>
      <c r="K231" s="314" t="s">
        <v>1628</v>
      </c>
      <c r="L231" s="318"/>
      <c r="M231" s="316" t="s">
        <v>3306</v>
      </c>
      <c r="O231" s="314" t="s">
        <v>5850</v>
      </c>
      <c r="P231" s="316"/>
      <c r="Q231" s="318"/>
      <c r="R231" s="318"/>
      <c r="S231" s="318"/>
      <c r="T231" s="318"/>
      <c r="U231" s="318"/>
      <c r="V231" s="318"/>
      <c r="W231" s="318"/>
      <c r="X231" s="318"/>
      <c r="Y231" s="318"/>
      <c r="Z231" s="318"/>
      <c r="AA231" s="318"/>
      <c r="AB231" s="318"/>
      <c r="AC231" s="318"/>
      <c r="AD231" s="318"/>
      <c r="AE231" s="318"/>
      <c r="AF231" s="318"/>
      <c r="AG231" s="318"/>
      <c r="AH231" s="318"/>
      <c r="AI231" s="318"/>
      <c r="AJ231" s="318"/>
      <c r="AK231" s="318"/>
    </row>
    <row r="232" spans="3:37" ht="20.100000000000001" customHeight="1">
      <c r="D232" s="322"/>
      <c r="E232" s="322"/>
      <c r="F232" s="315"/>
      <c r="L232" s="318"/>
      <c r="M232" s="316" t="s">
        <v>3306</v>
      </c>
      <c r="O232" s="314" t="s">
        <v>5851</v>
      </c>
      <c r="P232" s="316"/>
      <c r="Q232" s="318"/>
      <c r="R232" s="318"/>
      <c r="S232" s="318"/>
      <c r="T232" s="318"/>
      <c r="U232" s="318"/>
      <c r="V232" s="318"/>
      <c r="W232" s="318"/>
      <c r="X232" s="318"/>
      <c r="Y232" s="318"/>
      <c r="Z232" s="318"/>
      <c r="AA232" s="318"/>
      <c r="AB232" s="318"/>
      <c r="AC232" s="318"/>
      <c r="AD232" s="318"/>
      <c r="AE232" s="318"/>
      <c r="AF232" s="318"/>
      <c r="AG232" s="318"/>
      <c r="AH232" s="318"/>
      <c r="AI232" s="318"/>
      <c r="AJ232" s="318"/>
      <c r="AK232" s="318"/>
    </row>
    <row r="233" spans="3:37" ht="20.100000000000001" customHeight="1">
      <c r="D233" s="322"/>
      <c r="E233" s="322"/>
      <c r="F233" s="315"/>
      <c r="M233" s="316" t="s">
        <v>3306</v>
      </c>
      <c r="O233" s="387" t="e">
        <f>"1,3 . "&amp;N228&amp;" . "&amp;T229</f>
        <v>#N/A</v>
      </c>
      <c r="P233" s="316"/>
      <c r="Q233" s="318"/>
      <c r="R233" s="318"/>
      <c r="S233" s="318"/>
      <c r="T233" s="318"/>
      <c r="U233" s="318"/>
      <c r="V233" s="318"/>
      <c r="W233" s="376"/>
      <c r="X233" s="318"/>
      <c r="Y233" s="318"/>
      <c r="Z233" s="318"/>
      <c r="AF233" s="318"/>
      <c r="AG233" s="318"/>
      <c r="AH233" s="318"/>
      <c r="AI233" s="318"/>
      <c r="AJ233" s="318"/>
      <c r="AK233" s="318"/>
    </row>
    <row r="234" spans="3:37" ht="20.100000000000001" customHeight="1">
      <c r="D234" s="322"/>
      <c r="E234" s="322"/>
      <c r="F234" s="315"/>
      <c r="M234" s="316" t="s">
        <v>3306</v>
      </c>
      <c r="O234" s="1891" t="e">
        <f>1.3*N228*T229</f>
        <v>#N/A</v>
      </c>
      <c r="P234" s="1891"/>
      <c r="Q234" s="1891"/>
      <c r="R234" s="1891"/>
      <c r="S234" s="1891"/>
      <c r="T234" s="1891"/>
      <c r="U234" s="1891"/>
      <c r="V234" s="1891"/>
      <c r="W234" s="1891"/>
      <c r="X234" s="1891"/>
      <c r="Y234" s="1891"/>
      <c r="Z234" s="1891"/>
      <c r="AA234" s="1891"/>
      <c r="AB234" s="1891"/>
      <c r="AC234" s="1891"/>
      <c r="AD234" s="1891"/>
      <c r="AE234" s="1891"/>
      <c r="AF234" s="1891"/>
      <c r="AG234" s="1891"/>
      <c r="AH234" s="1891"/>
      <c r="AI234" s="1891"/>
      <c r="AJ234" s="1891"/>
      <c r="AK234" s="1891"/>
    </row>
    <row r="235" spans="3:37" ht="20.100000000000001" customHeight="1">
      <c r="C235" s="316"/>
      <c r="D235" s="316"/>
      <c r="E235" s="315" t="s">
        <v>1632</v>
      </c>
      <c r="G235" s="316"/>
      <c r="H235" s="316"/>
      <c r="I235" s="316"/>
      <c r="J235" s="316"/>
      <c r="K235" s="316"/>
      <c r="L235" s="316"/>
      <c r="M235" s="316"/>
      <c r="O235" s="391"/>
      <c r="P235" s="391"/>
      <c r="Q235" s="391"/>
      <c r="R235" s="391"/>
      <c r="S235" s="391"/>
      <c r="T235" s="318"/>
      <c r="U235" s="397"/>
      <c r="V235" s="397"/>
      <c r="W235" s="397"/>
      <c r="X235" s="397"/>
      <c r="Y235" s="397"/>
      <c r="Z235" s="397"/>
      <c r="AA235" s="397"/>
      <c r="AB235" s="397"/>
      <c r="AC235" s="397"/>
      <c r="AD235" s="397"/>
      <c r="AE235" s="397"/>
      <c r="AF235" s="397"/>
      <c r="AG235" s="397"/>
      <c r="AH235" s="397"/>
      <c r="AI235" s="397"/>
      <c r="AJ235" s="397"/>
      <c r="AK235" s="397"/>
    </row>
    <row r="236" spans="3:37" ht="20.100000000000001" customHeight="1">
      <c r="C236" s="322"/>
      <c r="D236" s="322"/>
      <c r="E236" s="322"/>
      <c r="F236" s="315"/>
      <c r="G236" s="322"/>
      <c r="H236" s="322"/>
      <c r="I236" s="322"/>
      <c r="J236" s="322"/>
      <c r="K236" s="1862" t="s">
        <v>5964</v>
      </c>
      <c r="L236" s="1862"/>
      <c r="M236" s="1862" t="s">
        <v>3306</v>
      </c>
      <c r="N236" s="1863" t="s">
        <v>1628</v>
      </c>
      <c r="O236" s="1863"/>
      <c r="P236" s="1862" t="s">
        <v>3306</v>
      </c>
      <c r="Q236" s="1892" t="e">
        <f>O234</f>
        <v>#N/A</v>
      </c>
      <c r="R236" s="1892"/>
      <c r="S236" s="1892"/>
      <c r="T236" s="1892"/>
      <c r="U236" s="1892"/>
      <c r="V236" s="1892"/>
    </row>
    <row r="237" spans="3:37" ht="20.100000000000001" customHeight="1">
      <c r="C237" s="322"/>
      <c r="D237" s="322"/>
      <c r="E237" s="322"/>
      <c r="F237" s="315"/>
      <c r="G237" s="322"/>
      <c r="H237" s="322"/>
      <c r="I237" s="322"/>
      <c r="J237" s="322"/>
      <c r="K237" s="1862"/>
      <c r="L237" s="1862"/>
      <c r="M237" s="1862"/>
      <c r="N237" s="1857" t="s">
        <v>4927</v>
      </c>
      <c r="O237" s="1857"/>
      <c r="P237" s="1862"/>
      <c r="Q237" s="1857">
        <f>T229</f>
        <v>10</v>
      </c>
      <c r="R237" s="1857"/>
      <c r="S237" s="1857"/>
      <c r="T237" s="1857"/>
      <c r="U237" s="1857"/>
      <c r="V237" s="1857"/>
    </row>
    <row r="238" spans="3:37" ht="20.100000000000001" customHeight="1">
      <c r="C238" s="316"/>
      <c r="D238" s="316"/>
      <c r="E238" s="315"/>
      <c r="G238" s="316"/>
      <c r="H238" s="316"/>
      <c r="I238" s="316"/>
      <c r="J238" s="316"/>
      <c r="K238" s="316"/>
      <c r="L238" s="316"/>
      <c r="M238" s="1862" t="s">
        <v>3306</v>
      </c>
      <c r="N238" s="1888" t="e">
        <f>ROUND(Q236/Q237,2)</f>
        <v>#N/A</v>
      </c>
      <c r="O238" s="1888"/>
      <c r="P238" s="1888"/>
      <c r="Q238" s="1888"/>
      <c r="R238" s="1888"/>
      <c r="S238" s="1888"/>
      <c r="T238" s="1888"/>
      <c r="U238" s="1862" t="s">
        <v>3306</v>
      </c>
      <c r="V238" s="1889" t="e">
        <f>ROUND(N238/9.81,2)</f>
        <v>#N/A</v>
      </c>
      <c r="W238" s="1889"/>
      <c r="X238" s="1889"/>
      <c r="Y238" s="1889"/>
      <c r="Z238" s="1889"/>
      <c r="AA238" s="1889"/>
      <c r="AB238" s="1889"/>
      <c r="AC238" s="397"/>
      <c r="AD238" s="397"/>
      <c r="AE238" s="397"/>
      <c r="AF238" s="397"/>
      <c r="AG238" s="397"/>
      <c r="AH238" s="397"/>
      <c r="AI238" s="397"/>
      <c r="AJ238" s="397"/>
      <c r="AK238" s="397"/>
    </row>
    <row r="239" spans="3:37" ht="20.100000000000001" customHeight="1">
      <c r="C239" s="316"/>
      <c r="D239" s="316"/>
      <c r="E239" s="315"/>
      <c r="G239" s="316"/>
      <c r="H239" s="316"/>
      <c r="I239" s="316"/>
      <c r="J239" s="316"/>
      <c r="K239" s="316"/>
      <c r="L239" s="316"/>
      <c r="M239" s="1862"/>
      <c r="N239" s="1888"/>
      <c r="O239" s="1888"/>
      <c r="P239" s="1888"/>
      <c r="Q239" s="1888"/>
      <c r="R239" s="1888"/>
      <c r="S239" s="1888"/>
      <c r="T239" s="1888"/>
      <c r="U239" s="1862"/>
      <c r="V239" s="1889"/>
      <c r="W239" s="1889"/>
      <c r="X239" s="1889"/>
      <c r="Y239" s="1889"/>
      <c r="Z239" s="1889"/>
      <c r="AA239" s="1889"/>
      <c r="AB239" s="1889"/>
      <c r="AC239" s="397"/>
      <c r="AD239" s="397"/>
      <c r="AE239" s="397"/>
      <c r="AF239" s="397"/>
      <c r="AG239" s="397"/>
      <c r="AH239" s="397"/>
      <c r="AI239" s="397"/>
      <c r="AJ239" s="397"/>
      <c r="AK239" s="397"/>
    </row>
    <row r="240" spans="3:37" ht="20.100000000000001" customHeight="1">
      <c r="C240" s="322"/>
      <c r="D240" s="322"/>
      <c r="E240" s="1886" t="e">
        <f>V238</f>
        <v>#N/A</v>
      </c>
      <c r="F240" s="1886"/>
      <c r="G240" s="1886"/>
      <c r="H240" s="1886"/>
      <c r="I240" s="1886"/>
      <c r="J240" s="1886"/>
      <c r="K240" s="1886"/>
      <c r="L240" s="374"/>
      <c r="M240" s="316" t="s">
        <v>313</v>
      </c>
      <c r="O240" s="1887">
        <f>IF(NL!U48="BTLT 10,5m", 520,IF(NL!U48="BTLT 12m", 900,IF(NL!U48="BTLT 14m",1100,IF(NL!U48="BTLT 20m",1300,""))))</f>
        <v>900</v>
      </c>
      <c r="P240" s="1887"/>
      <c r="Q240" s="1887"/>
      <c r="R240" s="1887"/>
      <c r="S240" s="1887"/>
      <c r="T240" s="1887"/>
      <c r="U240" s="368"/>
      <c r="W240" s="318"/>
      <c r="X240" s="318"/>
      <c r="Y240" s="318"/>
      <c r="Z240" s="318"/>
      <c r="AA240" s="318"/>
      <c r="AB240" s="318"/>
      <c r="AC240" s="318"/>
      <c r="AD240" s="318"/>
      <c r="AE240" s="318"/>
      <c r="AF240" s="318"/>
      <c r="AG240" s="318"/>
      <c r="AH240" s="318"/>
      <c r="AI240" s="318"/>
      <c r="AJ240" s="318"/>
      <c r="AK240" s="318"/>
    </row>
    <row r="241" spans="3:37" ht="20.100000000000001" customHeight="1">
      <c r="C241" s="322"/>
      <c r="D241" s="322"/>
      <c r="E241" s="322"/>
      <c r="H241" s="322"/>
      <c r="K241" s="318" t="s">
        <v>5964</v>
      </c>
      <c r="M241" s="316" t="s">
        <v>313</v>
      </c>
      <c r="O241" s="314" t="s">
        <v>1633</v>
      </c>
      <c r="W241" s="318"/>
      <c r="X241" s="318"/>
      <c r="Y241" s="318"/>
      <c r="Z241" s="318"/>
      <c r="AA241" s="318"/>
      <c r="AB241" s="318"/>
      <c r="AC241" s="318"/>
      <c r="AD241" s="318"/>
      <c r="AE241" s="318"/>
      <c r="AF241" s="318"/>
      <c r="AG241" s="318"/>
      <c r="AH241" s="318"/>
      <c r="AI241" s="318"/>
      <c r="AJ241" s="318"/>
      <c r="AK241" s="318"/>
    </row>
    <row r="242" spans="3:37" ht="20.100000000000001" customHeight="1">
      <c r="C242" s="316"/>
      <c r="D242" s="316"/>
      <c r="E242" s="322" t="s">
        <v>2840</v>
      </c>
      <c r="G242" s="316"/>
      <c r="H242" s="316"/>
      <c r="I242" s="316"/>
      <c r="J242" s="316"/>
      <c r="K242" s="316"/>
      <c r="L242" s="316"/>
      <c r="M242" s="316"/>
      <c r="S242" s="396"/>
      <c r="T242" s="396"/>
      <c r="U242" s="396"/>
      <c r="V242" s="396"/>
      <c r="W242" s="396"/>
      <c r="X242" s="396"/>
      <c r="Y242" s="396"/>
      <c r="Z242" s="396"/>
      <c r="AA242" s="396"/>
      <c r="AB242" s="396"/>
      <c r="AC242" s="396"/>
      <c r="AD242" s="404"/>
      <c r="AE242" s="404"/>
      <c r="AF242" s="404"/>
      <c r="AG242" s="404"/>
      <c r="AH242" s="404"/>
      <c r="AI242" s="404"/>
      <c r="AJ242" s="404"/>
      <c r="AK242" s="404"/>
    </row>
    <row r="243" spans="3:37" ht="20.100000000000001" customHeight="1">
      <c r="C243" s="316"/>
      <c r="D243" s="316"/>
      <c r="E243" s="322"/>
      <c r="G243" s="316"/>
      <c r="H243" s="316"/>
      <c r="I243" s="316"/>
      <c r="J243" s="316"/>
      <c r="K243" s="316"/>
      <c r="L243" s="316"/>
      <c r="M243" s="316"/>
      <c r="S243" s="396"/>
      <c r="T243" s="396"/>
      <c r="U243" s="396"/>
      <c r="V243" s="396"/>
      <c r="W243" s="396"/>
      <c r="X243" s="396"/>
      <c r="Y243" s="396"/>
      <c r="Z243" s="396"/>
      <c r="AA243" s="396"/>
      <c r="AB243" s="396"/>
      <c r="AC243" s="396"/>
      <c r="AD243" s="404"/>
      <c r="AE243" s="404"/>
      <c r="AF243" s="404"/>
      <c r="AG243" s="404"/>
      <c r="AH243" s="404"/>
      <c r="AI243" s="404"/>
      <c r="AJ243" s="404"/>
      <c r="AK243" s="404"/>
    </row>
    <row r="244" spans="3:37" s="405" customFormat="1" ht="20.100000000000001" customHeight="1">
      <c r="C244" s="406" t="s">
        <v>2841</v>
      </c>
      <c r="D244" s="406"/>
      <c r="E244" s="406"/>
      <c r="F244" s="406"/>
      <c r="G244" s="406"/>
      <c r="H244" s="406"/>
      <c r="I244" s="406"/>
      <c r="J244" s="406"/>
      <c r="K244" s="406"/>
      <c r="L244" s="406"/>
      <c r="T244" s="499"/>
    </row>
    <row r="245" spans="3:37" s="405" customFormat="1" ht="20.100000000000001" customHeight="1">
      <c r="D245" s="406" t="s">
        <v>2843</v>
      </c>
      <c r="F245" s="409"/>
      <c r="K245" s="408"/>
      <c r="L245" s="408"/>
      <c r="M245" s="407"/>
      <c r="N245" s="407"/>
      <c r="O245" s="407"/>
      <c r="P245" s="407"/>
      <c r="Q245" s="408"/>
      <c r="R245" s="408"/>
      <c r="S245" s="408"/>
      <c r="T245" s="408"/>
      <c r="U245" s="408"/>
      <c r="V245" s="408"/>
      <c r="W245" s="408"/>
      <c r="X245" s="408"/>
      <c r="Y245" s="499"/>
      <c r="Z245" s="408"/>
      <c r="AA245" s="408"/>
      <c r="AB245" s="408"/>
      <c r="AC245" s="408"/>
      <c r="AD245" s="408"/>
      <c r="AE245" s="408"/>
      <c r="AF245" s="408"/>
      <c r="AG245" s="408"/>
      <c r="AH245" s="408"/>
      <c r="AI245" s="408"/>
      <c r="AJ245" s="408"/>
      <c r="AK245" s="408"/>
    </row>
    <row r="246" spans="3:37" s="405" customFormat="1" ht="20.100000000000001" customHeight="1">
      <c r="D246" s="406"/>
      <c r="E246" s="405" t="s">
        <v>21</v>
      </c>
      <c r="F246" s="409"/>
      <c r="K246" s="408"/>
      <c r="L246" s="408"/>
      <c r="M246" s="407"/>
      <c r="N246" s="407"/>
      <c r="O246" s="407"/>
      <c r="P246" s="407"/>
      <c r="Q246" s="408"/>
      <c r="R246" s="408"/>
      <c r="S246" s="408"/>
      <c r="T246" s="408"/>
      <c r="U246" s="408"/>
      <c r="V246" s="408"/>
      <c r="W246" s="408"/>
      <c r="X246" s="408"/>
      <c r="Y246" s="499"/>
      <c r="Z246" s="408"/>
      <c r="AA246" s="408"/>
      <c r="AB246" s="408"/>
      <c r="AC246" s="408"/>
      <c r="AD246" s="408"/>
      <c r="AE246" s="408"/>
      <c r="AF246" s="408"/>
      <c r="AG246" s="408"/>
      <c r="AH246" s="408"/>
      <c r="AI246" s="408"/>
      <c r="AJ246" s="408"/>
      <c r="AK246" s="408"/>
    </row>
    <row r="247" spans="3:37" s="405" customFormat="1" ht="20.100000000000001" customHeight="1">
      <c r="D247" s="406"/>
      <c r="E247" s="406"/>
      <c r="F247" s="409"/>
      <c r="K247" s="1879" t="s">
        <v>20</v>
      </c>
      <c r="L247" s="1879"/>
      <c r="M247" s="1879" t="s">
        <v>3306</v>
      </c>
      <c r="O247" s="1884" t="s">
        <v>5018</v>
      </c>
      <c r="P247" s="1884"/>
      <c r="Q247" s="1884"/>
      <c r="R247" s="1884"/>
      <c r="S247" s="1884"/>
      <c r="T247" s="1884"/>
      <c r="U247" s="1879" t="s">
        <v>5644</v>
      </c>
      <c r="V247" s="1879" t="s">
        <v>1812</v>
      </c>
      <c r="Y247" s="408"/>
      <c r="Z247" s="408"/>
      <c r="AA247" s="408"/>
      <c r="AB247" s="408"/>
      <c r="AC247" s="408"/>
      <c r="AD247" s="408"/>
      <c r="AE247" s="408"/>
      <c r="AF247" s="408"/>
      <c r="AG247" s="408"/>
      <c r="AH247" s="408"/>
      <c r="AI247" s="408"/>
      <c r="AJ247" s="408"/>
      <c r="AK247" s="408"/>
    </row>
    <row r="248" spans="3:37" s="405" customFormat="1" ht="20.100000000000001" customHeight="1">
      <c r="D248" s="406"/>
      <c r="F248" s="409"/>
      <c r="K248" s="1879"/>
      <c r="L248" s="1879"/>
      <c r="M248" s="1879"/>
      <c r="N248" s="407"/>
      <c r="O248" s="1876" t="s">
        <v>1813</v>
      </c>
      <c r="P248" s="1876"/>
      <c r="Q248" s="1876"/>
      <c r="R248" s="1876"/>
      <c r="S248" s="1876"/>
      <c r="T248" s="1876"/>
      <c r="U248" s="1879"/>
      <c r="V248" s="1879"/>
      <c r="Y248" s="408"/>
      <c r="Z248" s="408"/>
      <c r="AA248" s="408"/>
      <c r="AB248" s="408"/>
      <c r="AC248" s="408"/>
      <c r="AD248" s="408"/>
      <c r="AE248" s="408"/>
      <c r="AF248" s="408"/>
      <c r="AG248" s="408"/>
      <c r="AH248" s="408"/>
      <c r="AI248" s="408"/>
      <c r="AJ248" s="408"/>
      <c r="AK248" s="408"/>
    </row>
    <row r="249" spans="3:37" s="405" customFormat="1" ht="20.100000000000001" customHeight="1">
      <c r="D249" s="406"/>
      <c r="E249" s="409" t="str">
        <f>"- Đối với:"&amp;NL!U48&amp;"; "&amp;NL!U49</f>
        <v>- Đối với:BTLT 12m; M12ba</v>
      </c>
      <c r="F249" s="409"/>
      <c r="G249" s="409"/>
      <c r="H249" s="409"/>
      <c r="I249" s="409"/>
      <c r="J249" s="409"/>
      <c r="K249" s="409"/>
      <c r="L249" s="409"/>
      <c r="M249" s="409"/>
      <c r="N249" s="407"/>
      <c r="O249" s="407"/>
      <c r="P249" s="407"/>
      <c r="Q249" s="408"/>
      <c r="R249" s="408"/>
      <c r="S249" s="408"/>
      <c r="T249" s="408"/>
      <c r="U249" s="408"/>
      <c r="V249" s="408"/>
      <c r="W249" s="408"/>
      <c r="X249" s="408"/>
      <c r="Y249" s="408"/>
      <c r="Z249" s="408"/>
      <c r="AA249" s="408"/>
      <c r="AB249" s="408"/>
      <c r="AC249" s="408"/>
      <c r="AD249" s="408"/>
      <c r="AE249" s="408"/>
      <c r="AF249" s="408"/>
      <c r="AG249" s="408"/>
      <c r="AH249" s="408"/>
      <c r="AI249" s="408"/>
      <c r="AJ249" s="408"/>
      <c r="AK249" s="408"/>
    </row>
    <row r="250" spans="3:37" s="405" customFormat="1" ht="20.100000000000001" customHeight="1">
      <c r="D250" s="406"/>
      <c r="E250" s="409"/>
      <c r="F250" s="409"/>
      <c r="G250" s="405" t="s">
        <v>5644</v>
      </c>
      <c r="H250" s="405" t="s">
        <v>25</v>
      </c>
      <c r="I250" s="409"/>
      <c r="J250" s="409"/>
      <c r="K250" s="409"/>
      <c r="L250" s="1885">
        <f>VLOOKUP(NL!U50,NL!CS4:DC17,NL!CX4,FALSE)</f>
        <v>0.83899999999999997</v>
      </c>
      <c r="M250" s="1885"/>
      <c r="N250" s="1885"/>
      <c r="O250" s="500"/>
      <c r="P250" s="407"/>
      <c r="Q250" s="408"/>
      <c r="R250" s="408"/>
      <c r="S250" s="408"/>
      <c r="T250" s="408"/>
      <c r="U250" s="408"/>
      <c r="V250" s="408"/>
      <c r="W250" s="408"/>
      <c r="X250" s="408"/>
      <c r="Y250" s="408"/>
      <c r="Z250" s="408"/>
      <c r="AA250" s="408"/>
      <c r="AB250" s="408"/>
      <c r="AC250" s="408"/>
      <c r="AD250" s="408"/>
      <c r="AE250" s="408"/>
      <c r="AF250" s="408"/>
      <c r="AG250" s="408"/>
      <c r="AH250" s="408"/>
      <c r="AI250" s="408"/>
      <c r="AJ250" s="408"/>
      <c r="AK250" s="408"/>
    </row>
    <row r="251" spans="3:37" s="405" customFormat="1" ht="20.100000000000001" customHeight="1">
      <c r="D251" s="406"/>
      <c r="F251" s="409"/>
      <c r="G251" s="405" t="s">
        <v>5644</v>
      </c>
      <c r="H251" s="405" t="s">
        <v>639</v>
      </c>
      <c r="K251" s="408" t="s">
        <v>3306</v>
      </c>
      <c r="L251" s="1883">
        <f>VLOOKUP(NL!U50,NL!CS4:DC17,NL!CY4,FALSE)</f>
        <v>67.7</v>
      </c>
      <c r="M251" s="1883"/>
      <c r="N251" s="1883"/>
      <c r="O251" s="407"/>
      <c r="P251" s="407"/>
      <c r="Q251" s="408"/>
      <c r="R251" s="408"/>
      <c r="S251" s="408"/>
      <c r="T251" s="408"/>
      <c r="U251" s="408"/>
      <c r="V251" s="408"/>
      <c r="W251" s="408"/>
      <c r="X251" s="408"/>
      <c r="Y251" s="408"/>
      <c r="Z251" s="408"/>
      <c r="AA251" s="408"/>
      <c r="AB251" s="408"/>
      <c r="AC251" s="408"/>
      <c r="AD251" s="408"/>
      <c r="AE251" s="408"/>
      <c r="AF251" s="408"/>
      <c r="AG251" s="408"/>
      <c r="AH251" s="408"/>
      <c r="AI251" s="408"/>
      <c r="AJ251" s="408"/>
      <c r="AK251" s="408"/>
    </row>
    <row r="252" spans="3:37" s="405" customFormat="1" ht="20.100000000000001" customHeight="1">
      <c r="D252" s="406"/>
      <c r="F252" s="409"/>
      <c r="G252" s="405" t="s">
        <v>5644</v>
      </c>
      <c r="H252" s="405" t="s">
        <v>1814</v>
      </c>
      <c r="K252" s="408"/>
      <c r="L252" s="408"/>
      <c r="M252" s="407"/>
      <c r="N252" s="407"/>
      <c r="O252" s="407"/>
      <c r="P252" s="407"/>
      <c r="Q252" s="408"/>
      <c r="R252" s="408"/>
      <c r="S252" s="408"/>
      <c r="T252" s="408"/>
      <c r="U252" s="408"/>
      <c r="V252" s="408"/>
      <c r="W252" s="408"/>
      <c r="X252" s="408"/>
      <c r="Y252" s="408"/>
      <c r="Z252" s="408"/>
      <c r="AA252" s="408"/>
      <c r="AB252" s="408"/>
      <c r="AC252" s="408"/>
      <c r="AD252" s="408"/>
      <c r="AE252" s="408"/>
      <c r="AF252" s="408"/>
      <c r="AG252" s="408"/>
      <c r="AH252" s="408"/>
      <c r="AI252" s="408"/>
      <c r="AJ252" s="408"/>
      <c r="AK252" s="408"/>
    </row>
    <row r="253" spans="3:37" s="405" customFormat="1" ht="20.100000000000001" customHeight="1">
      <c r="D253" s="406"/>
      <c r="F253" s="409"/>
      <c r="K253" s="408"/>
      <c r="L253" s="408"/>
      <c r="M253" s="407"/>
      <c r="N253" s="407"/>
      <c r="O253" s="407"/>
      <c r="P253" s="407"/>
      <c r="Q253" s="408"/>
      <c r="R253" s="408"/>
      <c r="S253" s="408"/>
      <c r="T253" s="408"/>
      <c r="U253" s="408"/>
      <c r="V253" s="408"/>
      <c r="W253" s="408"/>
      <c r="X253" s="408"/>
      <c r="Y253" s="408"/>
      <c r="Z253" s="408"/>
      <c r="AA253" s="408"/>
      <c r="AB253" s="408"/>
      <c r="AC253" s="408"/>
      <c r="AD253" s="408"/>
      <c r="AE253" s="408"/>
      <c r="AF253" s="408"/>
      <c r="AG253" s="408"/>
      <c r="AH253" s="408"/>
      <c r="AI253" s="408"/>
      <c r="AJ253" s="408"/>
      <c r="AK253" s="408"/>
    </row>
    <row r="254" spans="3:37" s="405" customFormat="1" ht="20.100000000000001" customHeight="1">
      <c r="D254" s="406"/>
      <c r="F254" s="409"/>
      <c r="K254" s="408"/>
      <c r="L254" s="408"/>
      <c r="M254" s="407"/>
      <c r="N254" s="407"/>
      <c r="O254" s="407"/>
      <c r="P254" s="407"/>
      <c r="Q254" s="408"/>
      <c r="R254" s="408"/>
      <c r="S254" s="408"/>
      <c r="T254" s="408"/>
      <c r="U254" s="408"/>
      <c r="V254" s="408"/>
      <c r="W254" s="408"/>
      <c r="X254" s="408"/>
      <c r="Y254" s="408"/>
      <c r="Z254" s="408"/>
      <c r="AA254" s="408"/>
      <c r="AB254" s="408"/>
      <c r="AC254" s="408"/>
      <c r="AD254" s="408"/>
      <c r="AE254" s="408"/>
      <c r="AF254" s="408"/>
      <c r="AG254" s="408"/>
      <c r="AH254" s="408"/>
      <c r="AI254" s="408"/>
      <c r="AJ254" s="408"/>
      <c r="AK254" s="408"/>
    </row>
    <row r="255" spans="3:37" s="405" customFormat="1" ht="20.100000000000001" customHeight="1">
      <c r="D255" s="406"/>
      <c r="E255" s="406"/>
      <c r="F255" s="409"/>
      <c r="K255" s="1879" t="s">
        <v>2844</v>
      </c>
      <c r="L255" s="1879"/>
      <c r="M255" s="1879" t="s">
        <v>3438</v>
      </c>
      <c r="O255" s="1884">
        <v>1</v>
      </c>
      <c r="P255" s="1884"/>
      <c r="Q255" s="1879" t="s">
        <v>1815</v>
      </c>
      <c r="R255" s="1879"/>
      <c r="S255" s="1879"/>
      <c r="T255" s="1879"/>
      <c r="U255" s="408"/>
      <c r="V255" s="408"/>
      <c r="W255" s="408"/>
      <c r="X255" s="408"/>
      <c r="Y255" s="408"/>
      <c r="Z255" s="408"/>
      <c r="AA255" s="408"/>
      <c r="AB255" s="408"/>
      <c r="AC255" s="408"/>
      <c r="AD255" s="408"/>
      <c r="AE255" s="408"/>
      <c r="AF255" s="408"/>
      <c r="AG255" s="408"/>
      <c r="AH255" s="408"/>
      <c r="AI255" s="408"/>
      <c r="AJ255" s="408"/>
      <c r="AK255" s="408"/>
    </row>
    <row r="256" spans="3:37" s="405" customFormat="1" ht="20.100000000000001" customHeight="1">
      <c r="D256" s="406"/>
      <c r="F256" s="409"/>
      <c r="K256" s="1879"/>
      <c r="L256" s="1879"/>
      <c r="M256" s="1879"/>
      <c r="N256" s="407"/>
      <c r="O256" s="1879" t="s">
        <v>2845</v>
      </c>
      <c r="P256" s="1879"/>
      <c r="Q256" s="1879"/>
      <c r="R256" s="1879"/>
      <c r="S256" s="1879"/>
      <c r="T256" s="1879"/>
      <c r="U256" s="408"/>
      <c r="V256" s="408"/>
      <c r="W256" s="408"/>
      <c r="X256" s="408"/>
      <c r="Y256" s="408"/>
      <c r="Z256" s="408"/>
      <c r="AA256" s="408"/>
      <c r="AB256" s="408"/>
      <c r="AC256" s="408"/>
      <c r="AD256" s="408"/>
      <c r="AE256" s="408"/>
      <c r="AF256" s="408"/>
      <c r="AG256" s="408"/>
      <c r="AH256" s="408"/>
      <c r="AI256" s="408"/>
      <c r="AJ256" s="408"/>
      <c r="AK256" s="408"/>
    </row>
    <row r="257" spans="2:37" s="405" customFormat="1" ht="20.100000000000001" customHeight="1">
      <c r="C257" s="407"/>
      <c r="D257" s="407"/>
      <c r="E257" s="1878" t="str">
        <f>"- Đối với:"&amp;NL!U48</f>
        <v>- Đối với:BTLT 12m</v>
      </c>
      <c r="F257" s="1878"/>
      <c r="G257" s="1878"/>
      <c r="H257" s="1878"/>
      <c r="I257" s="1878"/>
      <c r="J257" s="1878"/>
      <c r="K257" s="1878"/>
      <c r="L257" s="1878"/>
      <c r="M257" s="1878"/>
      <c r="N257" s="1879" t="s">
        <v>2846</v>
      </c>
      <c r="O257" s="1879"/>
      <c r="P257" s="1880" t="s">
        <v>2847</v>
      </c>
      <c r="Q257" s="1880"/>
      <c r="R257" s="1874" t="s">
        <v>3306</v>
      </c>
      <c r="S257" s="1881">
        <f>VLOOKUP(NL!U48,NL!CE4:CK7,2)-VLOOKUP(NL!U48,NL!CE4:CK7,6)</f>
        <v>10</v>
      </c>
      <c r="T257" s="1881"/>
      <c r="U257" s="1881"/>
      <c r="V257" s="1874" t="s">
        <v>3306</v>
      </c>
      <c r="W257" s="1875">
        <f>S257/S258</f>
        <v>5</v>
      </c>
      <c r="X257" s="1875"/>
      <c r="Y257" s="1875"/>
      <c r="Z257" s="1875"/>
      <c r="AA257" s="501"/>
      <c r="AB257" s="501"/>
      <c r="AC257" s="501"/>
      <c r="AD257" s="501"/>
      <c r="AE257" s="501"/>
      <c r="AF257" s="501"/>
      <c r="AG257" s="501"/>
      <c r="AH257" s="501"/>
      <c r="AI257" s="501"/>
      <c r="AJ257" s="501"/>
      <c r="AK257" s="501"/>
    </row>
    <row r="258" spans="2:37" s="405" customFormat="1" ht="20.100000000000001" customHeight="1">
      <c r="D258" s="406"/>
      <c r="E258" s="1878"/>
      <c r="F258" s="1878"/>
      <c r="G258" s="1878"/>
      <c r="H258" s="1878"/>
      <c r="I258" s="1878"/>
      <c r="J258" s="1878"/>
      <c r="K258" s="1878"/>
      <c r="L258" s="1878"/>
      <c r="M258" s="1878"/>
      <c r="N258" s="1879"/>
      <c r="O258" s="1879"/>
      <c r="P258" s="1876" t="s">
        <v>4927</v>
      </c>
      <c r="Q258" s="1876"/>
      <c r="R258" s="1874"/>
      <c r="S258" s="1877">
        <f>VLOOKUP(NL!U48,NL!CE4:CK7,6)</f>
        <v>2</v>
      </c>
      <c r="T258" s="1877"/>
      <c r="U258" s="1877"/>
      <c r="V258" s="1874"/>
      <c r="W258" s="1875"/>
      <c r="X258" s="1875"/>
      <c r="Y258" s="1875"/>
      <c r="Z258" s="1875"/>
      <c r="AA258" s="408"/>
      <c r="AB258" s="408"/>
      <c r="AC258" s="408"/>
      <c r="AD258" s="408"/>
      <c r="AE258" s="408"/>
      <c r="AF258" s="408"/>
      <c r="AG258" s="408"/>
      <c r="AH258" s="408"/>
      <c r="AI258" s="408"/>
      <c r="AJ258" s="408"/>
      <c r="AK258" s="408"/>
    </row>
    <row r="259" spans="2:37" s="405" customFormat="1" ht="20.100000000000001" customHeight="1">
      <c r="D259" s="406"/>
      <c r="F259" s="409"/>
      <c r="G259" s="405" t="s">
        <v>1420</v>
      </c>
      <c r="K259" s="408"/>
      <c r="L259" s="408"/>
      <c r="M259" s="407"/>
      <c r="N259" s="407"/>
      <c r="O259" s="407"/>
      <c r="P259" s="407"/>
      <c r="Q259" s="408"/>
      <c r="R259" s="408"/>
      <c r="S259" s="408"/>
      <c r="T259" s="408"/>
      <c r="U259" s="408"/>
      <c r="V259" s="408"/>
      <c r="W259" s="408"/>
      <c r="X259" s="408"/>
      <c r="Y259" s="408"/>
      <c r="Z259" s="408"/>
      <c r="AA259" s="408"/>
      <c r="AB259" s="408"/>
      <c r="AC259" s="408"/>
      <c r="AD259" s="408"/>
      <c r="AE259" s="408"/>
      <c r="AF259" s="408"/>
      <c r="AG259" s="408"/>
      <c r="AH259" s="408"/>
      <c r="AI259" s="408"/>
      <c r="AJ259" s="408"/>
      <c r="AK259" s="408"/>
    </row>
    <row r="260" spans="2:37" s="405" customFormat="1" ht="20.100000000000001" customHeight="1">
      <c r="D260" s="406"/>
      <c r="F260" s="409"/>
      <c r="G260" s="405" t="s">
        <v>1421</v>
      </c>
      <c r="K260" s="408"/>
      <c r="L260" s="408"/>
      <c r="M260" s="407"/>
      <c r="N260" s="407"/>
      <c r="O260" s="407"/>
      <c r="P260" s="407"/>
      <c r="Q260" s="408"/>
      <c r="R260" s="408"/>
      <c r="S260" s="408"/>
      <c r="T260" s="408"/>
      <c r="U260" s="408"/>
      <c r="V260" s="408"/>
      <c r="W260" s="408"/>
      <c r="X260" s="408"/>
      <c r="Y260" s="408"/>
      <c r="Z260" s="408"/>
      <c r="AA260" s="408"/>
      <c r="AB260" s="408"/>
      <c r="AC260" s="408"/>
      <c r="AD260" s="408"/>
      <c r="AE260" s="408"/>
      <c r="AF260" s="408"/>
      <c r="AG260" s="408"/>
      <c r="AH260" s="408"/>
      <c r="AI260" s="408"/>
      <c r="AJ260" s="408"/>
      <c r="AK260" s="408"/>
    </row>
    <row r="261" spans="2:37" s="405" customFormat="1" ht="20.100000000000001" customHeight="1">
      <c r="D261" s="406"/>
      <c r="E261" s="409" t="s">
        <v>1816</v>
      </c>
      <c r="F261" s="409"/>
      <c r="K261" s="408"/>
      <c r="L261" s="408"/>
      <c r="M261" s="407"/>
      <c r="N261" s="407"/>
      <c r="O261" s="1882">
        <f>VLOOKUP(NL!U50,NL!CS4:CZ17,NL!CY4,FALSE)</f>
        <v>67.7</v>
      </c>
      <c r="P261" s="1882"/>
      <c r="Q261" s="1882"/>
      <c r="R261" s="499"/>
      <c r="S261" s="502"/>
      <c r="T261" s="408"/>
      <c r="U261" s="408"/>
      <c r="V261" s="408"/>
      <c r="W261" s="408"/>
      <c r="X261" s="408"/>
      <c r="Y261" s="408"/>
      <c r="Z261" s="408"/>
      <c r="AA261" s="408"/>
      <c r="AB261" s="408"/>
      <c r="AC261" s="408"/>
      <c r="AD261" s="408"/>
      <c r="AE261" s="408"/>
      <c r="AF261" s="408"/>
      <c r="AG261" s="408"/>
      <c r="AH261" s="408"/>
      <c r="AI261" s="408"/>
      <c r="AJ261" s="408"/>
      <c r="AK261" s="408"/>
    </row>
    <row r="262" spans="2:37" s="405" customFormat="1" ht="20.100000000000001" customHeight="1">
      <c r="D262" s="406"/>
      <c r="F262" s="409"/>
      <c r="K262" s="408"/>
      <c r="L262" s="408"/>
      <c r="M262" s="407"/>
      <c r="N262" s="407"/>
      <c r="O262" s="407"/>
      <c r="P262" s="407"/>
      <c r="Q262" s="408"/>
      <c r="R262" s="408"/>
      <c r="S262" s="408"/>
      <c r="T262" s="408"/>
      <c r="U262" s="408"/>
      <c r="V262" s="408"/>
      <c r="W262" s="408"/>
      <c r="X262" s="408"/>
      <c r="Y262" s="408"/>
      <c r="Z262" s="408"/>
      <c r="AA262" s="408"/>
      <c r="AB262" s="408"/>
      <c r="AC262" s="408"/>
      <c r="AD262" s="408"/>
      <c r="AE262" s="408"/>
      <c r="AF262" s="408"/>
      <c r="AG262" s="408"/>
      <c r="AH262" s="408"/>
      <c r="AI262" s="408"/>
      <c r="AJ262" s="408"/>
      <c r="AK262" s="408"/>
    </row>
    <row r="263" spans="2:37" s="405" customFormat="1" ht="20.100000000000001" customHeight="1">
      <c r="D263" s="406"/>
      <c r="F263" s="409"/>
      <c r="K263" s="408"/>
      <c r="L263" s="408"/>
      <c r="M263" s="407"/>
      <c r="N263" s="407"/>
      <c r="O263" s="407"/>
      <c r="P263" s="407"/>
      <c r="Q263" s="408"/>
      <c r="R263" s="408"/>
      <c r="S263" s="408"/>
      <c r="T263" s="408"/>
      <c r="U263" s="408"/>
      <c r="V263" s="408"/>
      <c r="W263" s="408"/>
      <c r="X263" s="408"/>
      <c r="Y263" s="408"/>
      <c r="Z263" s="408"/>
      <c r="AA263" s="408"/>
      <c r="AB263" s="408"/>
      <c r="AC263" s="408"/>
      <c r="AD263" s="408"/>
      <c r="AE263" s="408"/>
      <c r="AF263" s="408"/>
      <c r="AG263" s="408"/>
      <c r="AH263" s="408"/>
      <c r="AI263" s="408"/>
      <c r="AJ263" s="408"/>
      <c r="AK263" s="408"/>
    </row>
    <row r="264" spans="2:37" s="405" customFormat="1" ht="20.100000000000001" customHeight="1">
      <c r="D264" s="406"/>
      <c r="F264" s="409"/>
      <c r="K264" s="408"/>
      <c r="L264" s="408"/>
      <c r="M264" s="407"/>
      <c r="N264" s="407"/>
      <c r="O264" s="407"/>
      <c r="P264" s="407"/>
      <c r="Q264" s="408"/>
      <c r="R264" s="408"/>
      <c r="S264" s="408"/>
      <c r="T264" s="408"/>
      <c r="U264" s="408"/>
      <c r="V264" s="408"/>
      <c r="W264" s="408"/>
      <c r="X264" s="408"/>
      <c r="Y264" s="408"/>
      <c r="Z264" s="408"/>
      <c r="AA264" s="408"/>
      <c r="AB264" s="408"/>
      <c r="AC264" s="408"/>
      <c r="AD264" s="408"/>
      <c r="AE264" s="408"/>
      <c r="AF264" s="408"/>
      <c r="AG264" s="408"/>
      <c r="AH264" s="408"/>
      <c r="AI264" s="408"/>
      <c r="AJ264" s="408"/>
      <c r="AK264" s="408"/>
    </row>
    <row r="265" spans="2:37" s="405" customFormat="1" ht="20.100000000000001" customHeight="1">
      <c r="D265" s="406"/>
      <c r="F265" s="409"/>
      <c r="K265" s="408"/>
      <c r="L265" s="408"/>
      <c r="M265" s="407"/>
      <c r="N265" s="407"/>
      <c r="O265" s="407"/>
      <c r="P265" s="407"/>
      <c r="Q265" s="408"/>
      <c r="R265" s="408"/>
      <c r="S265" s="408"/>
      <c r="T265" s="408"/>
      <c r="U265" s="408"/>
      <c r="V265" s="408"/>
      <c r="W265" s="408"/>
      <c r="X265" s="408"/>
      <c r="Y265" s="408"/>
      <c r="Z265" s="408"/>
      <c r="AA265" s="408"/>
      <c r="AB265" s="408"/>
      <c r="AC265" s="408"/>
      <c r="AD265" s="408"/>
      <c r="AE265" s="408"/>
      <c r="AF265" s="408"/>
      <c r="AG265" s="408"/>
      <c r="AH265" s="408"/>
      <c r="AI265" s="408"/>
      <c r="AJ265" s="408"/>
      <c r="AK265" s="408"/>
    </row>
    <row r="266" spans="2:37" s="405" customFormat="1" ht="20.100000000000001" customHeight="1">
      <c r="D266" s="406"/>
      <c r="F266" s="409"/>
      <c r="K266" s="408"/>
      <c r="L266" s="408"/>
      <c r="M266" s="407"/>
      <c r="N266" s="407"/>
      <c r="O266" s="407"/>
      <c r="P266" s="407"/>
      <c r="Q266" s="408"/>
      <c r="R266" s="408"/>
      <c r="S266" s="408"/>
      <c r="T266" s="408"/>
      <c r="U266" s="408"/>
      <c r="V266" s="408"/>
      <c r="W266" s="408"/>
      <c r="X266" s="408"/>
      <c r="Y266" s="408"/>
      <c r="Z266" s="408"/>
      <c r="AA266" s="408"/>
      <c r="AB266" s="408"/>
      <c r="AC266" s="408"/>
      <c r="AD266" s="408"/>
      <c r="AE266" s="408"/>
      <c r="AF266" s="408"/>
      <c r="AG266" s="408"/>
      <c r="AH266" s="408"/>
      <c r="AI266" s="408"/>
      <c r="AJ266" s="408"/>
      <c r="AK266" s="408"/>
    </row>
    <row r="267" spans="2:37" s="405" customFormat="1" ht="20.100000000000001" customHeight="1">
      <c r="D267" s="406"/>
      <c r="F267" s="409"/>
      <c r="K267" s="408"/>
      <c r="L267" s="408"/>
      <c r="M267" s="407"/>
      <c r="N267" s="407"/>
      <c r="O267" s="407"/>
      <c r="P267" s="407"/>
      <c r="Q267" s="408"/>
      <c r="R267" s="408"/>
      <c r="S267" s="408"/>
      <c r="T267" s="408"/>
      <c r="U267" s="408"/>
      <c r="V267" s="408"/>
      <c r="W267" s="408"/>
      <c r="X267" s="408"/>
      <c r="Y267" s="408"/>
      <c r="Z267" s="408"/>
      <c r="AA267" s="408"/>
      <c r="AB267" s="408"/>
      <c r="AC267" s="408"/>
      <c r="AD267" s="408"/>
      <c r="AE267" s="408"/>
      <c r="AF267" s="408"/>
      <c r="AG267" s="408"/>
      <c r="AH267" s="408"/>
      <c r="AI267" s="408"/>
      <c r="AJ267" s="408"/>
      <c r="AK267" s="408"/>
    </row>
    <row r="268" spans="2:37" s="405" customFormat="1" ht="20.100000000000001" customHeight="1">
      <c r="D268" s="406"/>
      <c r="F268" s="409"/>
      <c r="K268" s="408"/>
      <c r="L268" s="408"/>
      <c r="M268" s="407"/>
      <c r="N268" s="407"/>
      <c r="O268" s="407"/>
      <c r="P268" s="407"/>
      <c r="Q268" s="408"/>
      <c r="R268" s="408"/>
      <c r="S268" s="408"/>
      <c r="T268" s="408"/>
      <c r="U268" s="408"/>
      <c r="V268" s="408"/>
      <c r="W268" s="408"/>
      <c r="X268" s="408"/>
      <c r="Y268" s="408"/>
      <c r="Z268" s="408"/>
      <c r="AA268" s="408"/>
      <c r="AB268" s="408"/>
      <c r="AC268" s="408"/>
      <c r="AD268" s="408"/>
      <c r="AE268" s="408"/>
      <c r="AF268" s="408"/>
      <c r="AG268" s="408"/>
      <c r="AH268" s="408"/>
      <c r="AI268" s="408"/>
      <c r="AJ268" s="408"/>
      <c r="AK268" s="408"/>
    </row>
    <row r="269" spans="2:37" ht="9.75" customHeight="1">
      <c r="B269" s="327"/>
      <c r="C269" s="327"/>
      <c r="D269" s="327"/>
      <c r="E269" s="327"/>
      <c r="F269" s="327"/>
      <c r="G269" s="327"/>
      <c r="H269" s="327"/>
      <c r="I269" s="327"/>
      <c r="J269" s="327"/>
      <c r="K269" s="327"/>
      <c r="L269" s="327"/>
      <c r="M269" s="338"/>
      <c r="N269" s="327"/>
      <c r="O269" s="327"/>
      <c r="P269" s="327"/>
      <c r="Q269" s="327"/>
      <c r="R269" s="327"/>
      <c r="S269" s="327"/>
      <c r="T269" s="327"/>
      <c r="U269" s="327"/>
      <c r="V269" s="327"/>
      <c r="W269" s="327"/>
      <c r="X269" s="327"/>
      <c r="Y269" s="328"/>
      <c r="Z269" s="328"/>
      <c r="AA269" s="328"/>
      <c r="AB269" s="328"/>
      <c r="AC269" s="328"/>
      <c r="AD269" s="328"/>
      <c r="AE269" s="328"/>
      <c r="AF269" s="328"/>
      <c r="AG269" s="328"/>
      <c r="AH269" s="328"/>
      <c r="AI269" s="328"/>
      <c r="AJ269" s="328"/>
      <c r="AK269" s="328"/>
    </row>
    <row r="270" spans="2:37" ht="20.100000000000001" customHeight="1">
      <c r="B270" s="323"/>
      <c r="C270" s="323"/>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row>
    <row r="271" spans="2:37" ht="20.100000000000001" customHeight="1">
      <c r="B271" s="323"/>
      <c r="C271" s="323"/>
      <c r="E271" s="323"/>
      <c r="F271" s="323"/>
      <c r="G271" s="324"/>
    </row>
    <row r="272" spans="2:37" ht="20.100000000000001" customHeight="1">
      <c r="B272" s="323"/>
      <c r="C272" s="323"/>
      <c r="E272" s="323"/>
      <c r="F272" s="323"/>
      <c r="G272" s="324"/>
    </row>
    <row r="273" spans="1:37" ht="20.100000000000001" customHeight="1">
      <c r="B273" s="323"/>
      <c r="C273" s="323"/>
      <c r="E273" s="323"/>
      <c r="F273" s="323"/>
      <c r="G273" s="324"/>
    </row>
    <row r="274" spans="1:37" ht="20.100000000000001" customHeight="1">
      <c r="B274" s="323"/>
      <c r="C274" s="323"/>
      <c r="E274" s="323"/>
      <c r="F274" s="323"/>
      <c r="G274" s="324"/>
    </row>
    <row r="275" spans="1:37" ht="20.100000000000001" customHeight="1">
      <c r="B275" s="323"/>
      <c r="C275" s="323"/>
      <c r="E275" s="323"/>
      <c r="F275" s="323"/>
      <c r="G275" s="324"/>
    </row>
    <row r="276" spans="1:37" ht="20.100000000000001" customHeight="1">
      <c r="B276" s="323"/>
      <c r="C276" s="323"/>
      <c r="E276" s="323"/>
      <c r="F276" s="323"/>
      <c r="G276" s="324"/>
    </row>
    <row r="277" spans="1:37" ht="20.100000000000001" customHeight="1">
      <c r="B277" s="323"/>
      <c r="C277" s="323"/>
      <c r="E277" s="323"/>
      <c r="F277" s="323"/>
      <c r="G277" s="324"/>
    </row>
    <row r="278" spans="1:37" ht="20.100000000000001" customHeight="1">
      <c r="B278" s="323"/>
      <c r="C278" s="323"/>
      <c r="E278" s="323"/>
      <c r="F278" s="323"/>
      <c r="G278" s="324"/>
    </row>
    <row r="279" spans="1:37" ht="20.100000000000001" customHeight="1">
      <c r="B279" s="323"/>
      <c r="C279" s="323"/>
      <c r="E279" s="323"/>
      <c r="F279" s="323"/>
      <c r="G279" s="324"/>
    </row>
    <row r="280" spans="1:37" ht="20.100000000000001" customHeight="1">
      <c r="B280" s="323"/>
      <c r="C280" s="323"/>
      <c r="E280" s="323"/>
      <c r="F280" s="323"/>
      <c r="G280" s="324"/>
    </row>
    <row r="281" spans="1:37" ht="20.100000000000001" customHeight="1">
      <c r="B281" s="323"/>
      <c r="C281" s="323"/>
      <c r="E281" s="323"/>
      <c r="F281" s="323"/>
      <c r="G281" s="324"/>
    </row>
    <row r="282" spans="1:37" ht="20.100000000000001" customHeight="1">
      <c r="B282" s="323"/>
      <c r="C282" s="323"/>
      <c r="E282" s="323"/>
      <c r="F282" s="323"/>
      <c r="G282" s="324"/>
    </row>
    <row r="283" spans="1:37" ht="20.100000000000001" customHeight="1">
      <c r="B283" s="323"/>
      <c r="C283" s="323"/>
      <c r="E283" s="323"/>
      <c r="F283" s="323"/>
      <c r="G283" s="324"/>
    </row>
    <row r="284" spans="1:37" ht="20.100000000000001" customHeight="1">
      <c r="B284" s="323"/>
      <c r="C284" s="323"/>
      <c r="E284" s="323"/>
      <c r="F284" s="323"/>
      <c r="G284" s="324"/>
    </row>
    <row r="285" spans="1:37" ht="20.100000000000001" customHeight="1">
      <c r="A285" s="315"/>
      <c r="B285" s="1873" t="s">
        <v>1818</v>
      </c>
      <c r="C285" s="1873"/>
      <c r="D285" s="1873"/>
      <c r="E285" s="1873"/>
      <c r="F285" s="1873"/>
      <c r="G285" s="1873"/>
      <c r="H285" s="1873"/>
      <c r="I285" s="1873"/>
      <c r="J285" s="1873"/>
      <c r="K285" s="1873"/>
      <c r="L285" s="1873"/>
      <c r="M285" s="1873"/>
      <c r="N285" s="1873"/>
      <c r="O285" s="1873"/>
      <c r="P285" s="1873"/>
      <c r="Q285" s="1873"/>
      <c r="R285" s="1873"/>
      <c r="S285" s="1873"/>
      <c r="T285" s="1873"/>
      <c r="U285" s="1873"/>
      <c r="V285" s="1873"/>
      <c r="W285" s="1873"/>
      <c r="X285" s="1873"/>
      <c r="Y285" s="1873"/>
      <c r="Z285" s="1873"/>
      <c r="AA285" s="1873"/>
      <c r="AB285" s="1873"/>
      <c r="AC285" s="1873"/>
      <c r="AD285" s="1873"/>
      <c r="AE285" s="1873"/>
      <c r="AF285" s="1873"/>
      <c r="AG285" s="1873"/>
      <c r="AH285" s="1873"/>
      <c r="AI285" s="1873"/>
      <c r="AJ285" s="1873"/>
      <c r="AK285" s="1873"/>
    </row>
    <row r="286" spans="1:37" ht="19.5" customHeight="1">
      <c r="D286" s="316"/>
      <c r="E286" s="318"/>
      <c r="F286" s="315"/>
      <c r="G286" s="316"/>
      <c r="H286" s="316"/>
      <c r="I286" s="316"/>
      <c r="J286" s="316"/>
      <c r="K286" s="316"/>
      <c r="L286" s="316"/>
      <c r="M286" s="316"/>
    </row>
    <row r="287" spans="1:37" s="349" customFormat="1" ht="20.100000000000001" customHeight="1">
      <c r="C287" s="350" t="s">
        <v>3436</v>
      </c>
      <c r="I287" s="371"/>
      <c r="J287" s="372"/>
      <c r="N287" s="314"/>
      <c r="W287" s="314"/>
      <c r="X287" s="314"/>
      <c r="Y287" s="314"/>
      <c r="Z287" s="314"/>
      <c r="AA287" s="314"/>
      <c r="AB287" s="314"/>
      <c r="AC287" s="314"/>
      <c r="AD287" s="314"/>
      <c r="AE287" s="314"/>
      <c r="AF287" s="314"/>
      <c r="AG287" s="314"/>
      <c r="AH287" s="314"/>
      <c r="AI287" s="314"/>
      <c r="AJ287" s="314"/>
      <c r="AK287" s="314"/>
    </row>
    <row r="288" spans="1:37" s="349" customFormat="1" ht="20.100000000000001" customHeight="1">
      <c r="C288" s="350"/>
      <c r="I288" s="371"/>
      <c r="J288" s="372"/>
      <c r="L288" s="318" t="s">
        <v>3940</v>
      </c>
      <c r="N288" s="314"/>
      <c r="O288" s="314"/>
      <c r="P288" s="342" t="s">
        <v>3939</v>
      </c>
      <c r="Q288" s="314"/>
      <c r="R288" s="1869">
        <f>VLOOKUP(NL!U29,NL!BZ29:DD50,NL!CB26,FALSE)</f>
        <v>160</v>
      </c>
      <c r="S288" s="1869"/>
      <c r="T288" s="1869"/>
      <c r="U288" s="1869"/>
      <c r="V288" s="314" t="s">
        <v>4220</v>
      </c>
      <c r="W288" s="314"/>
      <c r="X288" s="314"/>
      <c r="Y288" s="314"/>
      <c r="Z288" s="314"/>
      <c r="AA288" s="314"/>
      <c r="AB288" s="314"/>
      <c r="AC288" s="314"/>
      <c r="AD288" s="314"/>
      <c r="AE288" s="314"/>
      <c r="AF288" s="314"/>
      <c r="AG288" s="314"/>
      <c r="AH288" s="314"/>
      <c r="AI288" s="314"/>
      <c r="AJ288" s="314"/>
      <c r="AK288" s="314"/>
    </row>
    <row r="289" spans="2:37" ht="20.100000000000001" customHeight="1">
      <c r="B289" s="315"/>
      <c r="K289" s="319" t="s">
        <v>5652</v>
      </c>
      <c r="L289" s="318" t="s">
        <v>3285</v>
      </c>
      <c r="M289" s="314"/>
      <c r="P289" s="316" t="s">
        <v>3306</v>
      </c>
      <c r="R289" s="1869" t="e">
        <f>IF(#REF!=0.38,R288/3,IF(#REF!=0.44,R288/2,R288))</f>
        <v>#REF!</v>
      </c>
      <c r="S289" s="1869"/>
      <c r="T289" s="1869"/>
      <c r="U289" s="1869"/>
      <c r="V289" s="314" t="s">
        <v>4220</v>
      </c>
      <c r="W289" s="508"/>
      <c r="X289" s="508"/>
      <c r="Y289" s="508"/>
      <c r="Z289" s="508"/>
      <c r="AA289" s="508"/>
      <c r="AB289" s="508"/>
      <c r="AC289" s="508"/>
      <c r="AD289" s="508"/>
      <c r="AE289" s="508"/>
      <c r="AF289" s="508"/>
      <c r="AG289" s="508"/>
      <c r="AH289" s="508"/>
      <c r="AI289" s="508"/>
      <c r="AJ289" s="508"/>
      <c r="AK289" s="508"/>
    </row>
    <row r="290" spans="2:37" ht="20.100000000000001" customHeight="1">
      <c r="C290" s="350" t="s">
        <v>6399</v>
      </c>
      <c r="D290" s="316"/>
      <c r="E290" s="318"/>
      <c r="F290" s="315"/>
      <c r="G290" s="316"/>
      <c r="H290" s="316"/>
      <c r="I290" s="316"/>
      <c r="J290" s="316"/>
      <c r="K290" s="316"/>
      <c r="L290" s="316"/>
      <c r="M290" s="316" t="s">
        <v>3944</v>
      </c>
      <c r="P290" s="314" t="s">
        <v>3306</v>
      </c>
      <c r="R290" s="1858">
        <f>NL!U40</f>
        <v>17</v>
      </c>
      <c r="S290" s="1858"/>
      <c r="T290" s="1858"/>
      <c r="U290" s="1858"/>
      <c r="V290" s="314" t="s">
        <v>2550</v>
      </c>
      <c r="X290" s="318" t="s">
        <v>3306</v>
      </c>
      <c r="Y290" s="1864">
        <f>R290/1000</f>
        <v>1.7000000000000001E-2</v>
      </c>
      <c r="Z290" s="1864"/>
      <c r="AA290" s="1864"/>
      <c r="AB290" s="1864"/>
      <c r="AC290" s="318" t="s">
        <v>3392</v>
      </c>
      <c r="AD290" s="318"/>
    </row>
    <row r="291" spans="2:37" ht="20.100000000000001" customHeight="1">
      <c r="C291" s="350" t="s">
        <v>4266</v>
      </c>
      <c r="D291" s="316"/>
      <c r="E291" s="318"/>
      <c r="F291" s="315"/>
      <c r="G291" s="316"/>
      <c r="H291" s="316"/>
      <c r="I291" s="316"/>
      <c r="J291" s="316"/>
      <c r="K291" s="316"/>
      <c r="L291" s="316"/>
      <c r="M291" s="316"/>
      <c r="P291" s="314" t="s">
        <v>3306</v>
      </c>
      <c r="R291" s="314" t="str">
        <f>NL!U43</f>
        <v>145 -  472PH</v>
      </c>
    </row>
    <row r="292" spans="2:37" ht="20.100000000000001" customHeight="1">
      <c r="C292" s="350" t="s">
        <v>4052</v>
      </c>
      <c r="D292" s="316"/>
      <c r="E292" s="318"/>
      <c r="F292" s="315"/>
      <c r="G292" s="316"/>
      <c r="H292" s="316"/>
      <c r="I292" s="316"/>
      <c r="J292" s="316"/>
      <c r="K292" s="316"/>
      <c r="L292" s="316"/>
      <c r="M292" s="316"/>
    </row>
    <row r="293" spans="2:37" ht="20.100000000000001" customHeight="1">
      <c r="C293" s="350"/>
      <c r="D293" s="318" t="s">
        <v>4189</v>
      </c>
      <c r="E293" s="318"/>
      <c r="F293" s="315"/>
      <c r="G293" s="316"/>
      <c r="H293" s="316"/>
      <c r="I293" s="316"/>
      <c r="J293" s="316"/>
      <c r="K293" s="316"/>
      <c r="L293" s="316"/>
      <c r="M293" s="316"/>
    </row>
    <row r="294" spans="2:37" ht="20.100000000000001" customHeight="1">
      <c r="C294" s="350"/>
      <c r="D294" s="316"/>
      <c r="E294" s="318"/>
      <c r="F294" s="315"/>
      <c r="G294" s="316"/>
      <c r="H294" s="316"/>
      <c r="I294" s="316"/>
      <c r="J294" s="316"/>
      <c r="K294" s="316"/>
      <c r="L294" s="316"/>
      <c r="M294" s="318" t="s">
        <v>4053</v>
      </c>
      <c r="P294" s="314" t="s">
        <v>3306</v>
      </c>
      <c r="R294" s="1858">
        <f>NL!U44</f>
        <v>21.5</v>
      </c>
      <c r="S294" s="1858"/>
      <c r="T294" s="1858"/>
      <c r="U294" s="1858"/>
      <c r="V294" s="314" t="s">
        <v>3319</v>
      </c>
    </row>
    <row r="295" spans="2:37" ht="20.100000000000001" customHeight="1">
      <c r="C295" s="350"/>
      <c r="D295" s="316"/>
      <c r="E295" s="503"/>
      <c r="F295" s="315"/>
      <c r="G295" s="316"/>
      <c r="H295" s="316"/>
      <c r="I295" s="316"/>
      <c r="J295" s="316"/>
      <c r="K295" s="316"/>
      <c r="L295" s="319" t="s">
        <v>5652</v>
      </c>
      <c r="M295" s="318" t="s">
        <v>2406</v>
      </c>
      <c r="P295" s="314" t="s">
        <v>3306</v>
      </c>
      <c r="R295" s="1869">
        <f>ROUND(IF(NL!U45=22,R294/SQRT(3),IF(NL!U45=12.7,R294,0)),1)</f>
        <v>12.4</v>
      </c>
      <c r="S295" s="1869"/>
      <c r="T295" s="1869"/>
      <c r="U295" s="1869"/>
      <c r="V295" s="314" t="s">
        <v>3319</v>
      </c>
      <c r="W295" s="318"/>
      <c r="X295" s="318"/>
      <c r="Y295" s="318"/>
      <c r="Z295" s="318"/>
      <c r="AA295" s="318"/>
      <c r="AB295" s="318"/>
      <c r="AC295" s="318"/>
      <c r="AD295" s="318"/>
      <c r="AE295" s="318"/>
      <c r="AF295" s="318"/>
      <c r="AG295" s="318"/>
      <c r="AH295" s="318"/>
      <c r="AI295" s="318"/>
      <c r="AJ295" s="318"/>
      <c r="AK295" s="318"/>
    </row>
    <row r="296" spans="2:37" ht="20.100000000000001" customHeight="1">
      <c r="C296" s="350" t="s">
        <v>3384</v>
      </c>
      <c r="D296" s="316"/>
      <c r="E296" s="503"/>
      <c r="F296" s="315"/>
      <c r="G296" s="316"/>
      <c r="H296" s="316"/>
      <c r="I296" s="316"/>
      <c r="J296" s="316"/>
      <c r="K296" s="316"/>
      <c r="L296" s="319"/>
      <c r="R296" s="506"/>
      <c r="S296" s="506"/>
      <c r="T296" s="506"/>
      <c r="U296" s="506"/>
      <c r="W296" s="318"/>
      <c r="X296" s="318"/>
      <c r="Y296" s="318"/>
      <c r="Z296" s="318"/>
      <c r="AA296" s="318"/>
      <c r="AB296" s="318"/>
      <c r="AC296" s="318"/>
      <c r="AD296" s="318"/>
      <c r="AE296" s="318"/>
      <c r="AF296" s="318"/>
      <c r="AG296" s="318"/>
      <c r="AH296" s="318"/>
      <c r="AI296" s="318"/>
      <c r="AJ296" s="318"/>
      <c r="AK296" s="318"/>
    </row>
    <row r="297" spans="2:37" ht="20.100000000000001" customHeight="1">
      <c r="C297" s="350"/>
      <c r="D297" s="316"/>
      <c r="E297" s="503"/>
      <c r="F297" s="315"/>
      <c r="G297" s="316"/>
      <c r="H297" s="316"/>
      <c r="I297" s="316"/>
      <c r="J297" s="316"/>
      <c r="K297" s="316"/>
      <c r="L297" s="319"/>
      <c r="M297" s="1862" t="s">
        <v>1381</v>
      </c>
      <c r="N297" s="1862"/>
      <c r="O297" s="1862"/>
      <c r="P297" s="1859" t="s">
        <v>3306</v>
      </c>
      <c r="Q297" s="1863" t="s">
        <v>1919</v>
      </c>
      <c r="R297" s="1863"/>
      <c r="S297" s="1863"/>
      <c r="T297" s="1863"/>
      <c r="U297" s="1863"/>
      <c r="V297" s="1863"/>
      <c r="W297" s="1863"/>
      <c r="X297" s="1861">
        <v>1</v>
      </c>
      <c r="Y297" s="1861"/>
      <c r="Z297" s="1861"/>
      <c r="AA297" s="318"/>
      <c r="AE297" s="318"/>
      <c r="AF297" s="318"/>
      <c r="AG297" s="318"/>
      <c r="AH297" s="318"/>
      <c r="AI297" s="318"/>
      <c r="AJ297" s="318"/>
      <c r="AK297" s="318"/>
    </row>
    <row r="298" spans="2:37" ht="20.100000000000001" customHeight="1">
      <c r="C298" s="350"/>
      <c r="D298" s="316"/>
      <c r="E298" s="503"/>
      <c r="F298" s="315"/>
      <c r="G298" s="316"/>
      <c r="H298" s="316"/>
      <c r="I298" s="316"/>
      <c r="J298" s="316"/>
      <c r="K298" s="316"/>
      <c r="L298" s="319"/>
      <c r="M298" s="1862"/>
      <c r="N298" s="1862"/>
      <c r="O298" s="1862"/>
      <c r="P298" s="1859"/>
      <c r="Q298" s="1857" t="s">
        <v>5623</v>
      </c>
      <c r="R298" s="1857"/>
      <c r="S298" s="1857"/>
      <c r="T298" s="1857"/>
      <c r="U298" s="1857"/>
      <c r="V298" s="1857"/>
      <c r="W298" s="1857"/>
      <c r="X298" s="1861"/>
      <c r="Y298" s="1861"/>
      <c r="Z298" s="1861"/>
      <c r="AA298" s="318"/>
      <c r="AE298" s="318"/>
      <c r="AF298" s="318"/>
      <c r="AG298" s="318"/>
      <c r="AH298" s="318"/>
      <c r="AI298" s="318"/>
      <c r="AJ298" s="318"/>
      <c r="AK298" s="318"/>
    </row>
    <row r="299" spans="2:37" ht="20.100000000000001" customHeight="1">
      <c r="C299" s="350"/>
      <c r="D299" s="316"/>
      <c r="E299" s="503"/>
      <c r="F299" s="315"/>
      <c r="G299" s="316"/>
      <c r="H299" s="316"/>
      <c r="I299" s="316"/>
      <c r="J299" s="316"/>
      <c r="K299" s="316"/>
      <c r="L299" s="319"/>
      <c r="N299" s="318"/>
      <c r="O299" s="318"/>
      <c r="P299" s="1859" t="s">
        <v>3306</v>
      </c>
      <c r="Q299" s="1863" t="str">
        <f>"12,7 - "&amp;R295</f>
        <v>12,7 - 12,4</v>
      </c>
      <c r="R299" s="1863"/>
      <c r="S299" s="1863"/>
      <c r="T299" s="1863"/>
      <c r="U299" s="1863"/>
      <c r="V299" s="1861">
        <v>1</v>
      </c>
      <c r="W299" s="1861"/>
      <c r="X299" s="1861"/>
      <c r="Y299" s="1859" t="s">
        <v>3306</v>
      </c>
      <c r="Z299" s="1858">
        <f>ROUND(((12.7-R295)/12.7)*100,3)</f>
        <v>2.3620000000000001</v>
      </c>
      <c r="AA299" s="1858"/>
      <c r="AB299" s="1858"/>
      <c r="AC299" s="1858"/>
      <c r="AD299" s="1858"/>
      <c r="AE299" s="1861" t="s">
        <v>3385</v>
      </c>
      <c r="AF299" s="1861"/>
      <c r="AG299" s="318"/>
      <c r="AH299" s="318"/>
      <c r="AI299" s="318"/>
      <c r="AJ299" s="318"/>
      <c r="AK299" s="318"/>
    </row>
    <row r="300" spans="2:37" ht="20.100000000000001" customHeight="1">
      <c r="C300" s="350"/>
      <c r="D300" s="316"/>
      <c r="E300" s="503"/>
      <c r="F300" s="315"/>
      <c r="G300" s="316"/>
      <c r="H300" s="316"/>
      <c r="I300" s="316"/>
      <c r="J300" s="316"/>
      <c r="K300" s="316"/>
      <c r="L300" s="319"/>
      <c r="N300" s="318"/>
      <c r="O300" s="318"/>
      <c r="P300" s="1859"/>
      <c r="Q300" s="1857">
        <v>12.7</v>
      </c>
      <c r="R300" s="1857"/>
      <c r="S300" s="1857"/>
      <c r="T300" s="1857"/>
      <c r="U300" s="1857"/>
      <c r="V300" s="1861"/>
      <c r="W300" s="1861"/>
      <c r="X300" s="1861"/>
      <c r="Y300" s="1859"/>
      <c r="Z300" s="1858"/>
      <c r="AA300" s="1858"/>
      <c r="AB300" s="1858"/>
      <c r="AC300" s="1858"/>
      <c r="AD300" s="1858"/>
      <c r="AE300" s="1861"/>
      <c r="AF300" s="1861"/>
      <c r="AG300" s="318"/>
      <c r="AH300" s="318"/>
      <c r="AI300" s="318"/>
      <c r="AJ300" s="318"/>
      <c r="AK300" s="318"/>
    </row>
    <row r="301" spans="2:37" ht="20.100000000000001" customHeight="1">
      <c r="C301" s="350" t="s">
        <v>3324</v>
      </c>
      <c r="D301" s="316"/>
      <c r="E301" s="318"/>
      <c r="F301" s="315"/>
      <c r="G301" s="316"/>
      <c r="H301" s="316"/>
      <c r="I301" s="316"/>
      <c r="J301" s="316"/>
      <c r="K301" s="316"/>
      <c r="L301" s="316"/>
      <c r="M301" s="318" t="s">
        <v>3325</v>
      </c>
      <c r="P301" s="342" t="s">
        <v>3939</v>
      </c>
      <c r="R301" s="1869">
        <f>VLOOKUP(NL!AU27,NL!AU28:BU38,24,FALSE)</f>
        <v>0.8</v>
      </c>
      <c r="S301" s="1869"/>
      <c r="T301" s="1869"/>
      <c r="U301" s="1869"/>
      <c r="V301" s="503" t="s">
        <v>3326</v>
      </c>
      <c r="W301" s="318"/>
      <c r="X301" s="318" t="s">
        <v>3327</v>
      </c>
      <c r="Y301" s="318"/>
      <c r="Z301" s="318" t="s">
        <v>3306</v>
      </c>
      <c r="AA301" s="318"/>
      <c r="AB301" s="1872">
        <f>SIN(ACOS(R301))</f>
        <v>0.59999999999999987</v>
      </c>
      <c r="AC301" s="1872"/>
      <c r="AD301" s="1872"/>
      <c r="AE301" s="1872"/>
      <c r="AF301" s="318"/>
      <c r="AG301" s="318"/>
      <c r="AH301" s="318"/>
      <c r="AI301" s="318"/>
      <c r="AJ301" s="318"/>
      <c r="AK301" s="318"/>
    </row>
    <row r="302" spans="2:37" ht="20.100000000000001" customHeight="1">
      <c r="C302" s="350" t="s">
        <v>3884</v>
      </c>
      <c r="D302" s="316"/>
      <c r="E302" s="318"/>
      <c r="F302" s="315"/>
      <c r="G302" s="316"/>
      <c r="H302" s="316"/>
      <c r="I302" s="316"/>
      <c r="J302" s="316"/>
      <c r="K302" s="316"/>
      <c r="L302" s="316"/>
      <c r="M302" s="316"/>
      <c r="P302" s="318" t="s">
        <v>3320</v>
      </c>
      <c r="S302" s="342" t="s">
        <v>3939</v>
      </c>
      <c r="U302" s="1869">
        <f>R288*R301</f>
        <v>128</v>
      </c>
      <c r="V302" s="1869"/>
      <c r="W302" s="1869"/>
      <c r="X302" s="1869"/>
      <c r="Y302" s="314" t="s">
        <v>3321</v>
      </c>
    </row>
    <row r="303" spans="2:37" ht="20.100000000000001" customHeight="1">
      <c r="C303" s="350"/>
      <c r="D303" s="316"/>
      <c r="E303" s="318"/>
      <c r="F303" s="315"/>
      <c r="G303" s="316"/>
      <c r="H303" s="316"/>
      <c r="I303" s="316"/>
      <c r="J303" s="316"/>
      <c r="K303" s="316"/>
      <c r="L303" s="316"/>
      <c r="M303" s="316"/>
      <c r="P303" s="318" t="s">
        <v>3195</v>
      </c>
      <c r="S303" s="342" t="s">
        <v>3939</v>
      </c>
      <c r="U303" s="1869">
        <f>ROUND(IF(NL!U45=22,U302/3,IF(NL!U45=12.7,U302,0)),1)</f>
        <v>42.7</v>
      </c>
      <c r="V303" s="1869"/>
      <c r="W303" s="1869"/>
      <c r="X303" s="1869"/>
      <c r="Y303" s="314" t="s">
        <v>3321</v>
      </c>
    </row>
    <row r="304" spans="2:37" ht="20.100000000000001" customHeight="1">
      <c r="C304" s="350" t="s">
        <v>3885</v>
      </c>
      <c r="D304" s="316"/>
      <c r="E304" s="318"/>
      <c r="F304" s="315"/>
      <c r="G304" s="316"/>
      <c r="H304" s="316"/>
      <c r="I304" s="316"/>
      <c r="J304" s="316"/>
      <c r="K304" s="316"/>
      <c r="L304" s="316"/>
      <c r="M304" s="316"/>
      <c r="P304" s="318" t="s">
        <v>3322</v>
      </c>
      <c r="S304" s="342" t="s">
        <v>3939</v>
      </c>
      <c r="U304" s="1869">
        <f>R288*AB301</f>
        <v>95.999999999999972</v>
      </c>
      <c r="V304" s="1869"/>
      <c r="W304" s="1869"/>
      <c r="X304" s="1869"/>
      <c r="Y304" s="314" t="s">
        <v>3323</v>
      </c>
      <c r="Z304" s="318"/>
      <c r="AA304" s="318"/>
    </row>
    <row r="305" spans="3:37" ht="20.100000000000001" customHeight="1">
      <c r="C305" s="350"/>
      <c r="D305" s="316"/>
      <c r="E305" s="318"/>
      <c r="F305" s="315"/>
      <c r="G305" s="316"/>
      <c r="H305" s="316"/>
      <c r="I305" s="316"/>
      <c r="J305" s="316"/>
      <c r="K305" s="316"/>
      <c r="L305" s="316"/>
      <c r="M305" s="316"/>
      <c r="P305" s="318" t="s">
        <v>3196</v>
      </c>
      <c r="S305" s="342" t="s">
        <v>3939</v>
      </c>
      <c r="U305" s="1869">
        <f>ROUND(IF(NL!U45=22,U304/3,IF(NL!U45=12.7,U304,0)),1)</f>
        <v>32</v>
      </c>
      <c r="V305" s="1869"/>
      <c r="W305" s="1869"/>
      <c r="X305" s="1869"/>
      <c r="Y305" s="314" t="s">
        <v>3323</v>
      </c>
      <c r="Z305" s="318"/>
      <c r="AA305" s="318"/>
    </row>
    <row r="306" spans="3:37" ht="20.100000000000001" customHeight="1">
      <c r="C306" s="350" t="s">
        <v>3328</v>
      </c>
      <c r="D306" s="316"/>
      <c r="E306" s="318"/>
      <c r="F306" s="315"/>
      <c r="G306" s="316"/>
      <c r="H306" s="316"/>
      <c r="I306" s="316"/>
      <c r="J306" s="316"/>
      <c r="K306" s="316"/>
      <c r="L306" s="316"/>
      <c r="M306" s="316"/>
      <c r="P306" s="318" t="s">
        <v>3329</v>
      </c>
      <c r="S306" s="314" t="s">
        <v>3306</v>
      </c>
      <c r="U306" s="1871">
        <v>5</v>
      </c>
      <c r="V306" s="1871"/>
      <c r="W306" s="1871"/>
      <c r="X306" s="1871"/>
      <c r="Y306" s="318" t="s">
        <v>3385</v>
      </c>
      <c r="Z306" s="318"/>
      <c r="AA306" s="318"/>
      <c r="AB306" s="318"/>
      <c r="AC306" s="318"/>
      <c r="AD306" s="318"/>
      <c r="AE306" s="318"/>
      <c r="AF306" s="318"/>
      <c r="AG306" s="318"/>
      <c r="AH306" s="318"/>
      <c r="AI306" s="318"/>
      <c r="AJ306" s="318"/>
      <c r="AK306" s="318"/>
    </row>
    <row r="307" spans="3:37" ht="20.100000000000001" customHeight="1">
      <c r="C307" s="351" t="s">
        <v>3330</v>
      </c>
      <c r="D307" s="316"/>
      <c r="E307" s="318"/>
      <c r="F307" s="315"/>
      <c r="G307" s="316"/>
      <c r="H307" s="316"/>
      <c r="I307" s="316"/>
      <c r="J307" s="316"/>
      <c r="K307" s="316"/>
      <c r="L307" s="316"/>
      <c r="M307" s="316"/>
      <c r="R307" s="318"/>
      <c r="S307" s="318"/>
      <c r="T307" s="318"/>
      <c r="U307" s="318"/>
      <c r="V307" s="318"/>
      <c r="W307" s="318"/>
      <c r="X307" s="318"/>
      <c r="Y307" s="318"/>
      <c r="Z307" s="318"/>
      <c r="AA307" s="318"/>
      <c r="AB307" s="318"/>
      <c r="AC307" s="318"/>
      <c r="AD307" s="318"/>
      <c r="AE307" s="318"/>
      <c r="AF307" s="318"/>
      <c r="AG307" s="318"/>
      <c r="AH307" s="318"/>
      <c r="AI307" s="318"/>
      <c r="AJ307" s="318"/>
      <c r="AK307" s="318"/>
    </row>
    <row r="308" spans="3:37" ht="20.100000000000001" customHeight="1">
      <c r="C308" s="350" t="s">
        <v>4865</v>
      </c>
      <c r="D308" s="316"/>
      <c r="E308" s="318"/>
      <c r="F308" s="315"/>
      <c r="G308" s="316"/>
      <c r="H308" s="316"/>
      <c r="I308" s="316"/>
      <c r="J308" s="316"/>
      <c r="K308" s="316"/>
      <c r="L308" s="316"/>
      <c r="M308" s="318" t="str">
        <f>NL!U46</f>
        <v>CXV 24kV 25mm2</v>
      </c>
      <c r="R308" s="318"/>
      <c r="S308" s="318"/>
      <c r="T308" s="318"/>
      <c r="U308" s="318"/>
      <c r="V308" s="318"/>
      <c r="W308" s="318"/>
      <c r="X308" s="318"/>
      <c r="Y308" s="318"/>
      <c r="Z308" s="318"/>
      <c r="AA308" s="318"/>
      <c r="AB308" s="318"/>
      <c r="AC308" s="318"/>
      <c r="AD308" s="318"/>
      <c r="AE308" s="318"/>
      <c r="AF308" s="318"/>
      <c r="AG308" s="318"/>
      <c r="AH308" s="318"/>
      <c r="AI308" s="318"/>
      <c r="AJ308" s="318"/>
      <c r="AK308" s="318"/>
    </row>
    <row r="309" spans="3:37" ht="20.100000000000001" customHeight="1">
      <c r="C309" s="350"/>
      <c r="D309" s="503" t="s">
        <v>809</v>
      </c>
      <c r="E309" s="318"/>
      <c r="F309" s="315"/>
      <c r="G309" s="316"/>
      <c r="H309" s="316"/>
      <c r="I309" s="316"/>
      <c r="J309" s="316"/>
      <c r="K309" s="316"/>
      <c r="L309" s="316"/>
      <c r="M309" s="318" t="s">
        <v>1252</v>
      </c>
      <c r="P309" s="314" t="s">
        <v>3306</v>
      </c>
      <c r="R309" s="1869" t="e">
        <f>VLOOKUP(M308,NL!BY80:CK116,NL!CB76,FALSE)</f>
        <v>#N/A</v>
      </c>
      <c r="S309" s="1869"/>
      <c r="T309" s="1869"/>
      <c r="U309" s="1869"/>
      <c r="V309" s="318" t="s">
        <v>810</v>
      </c>
      <c r="W309" s="318"/>
      <c r="X309" s="318"/>
      <c r="Y309" s="318"/>
      <c r="Z309" s="318"/>
      <c r="AA309" s="318"/>
      <c r="AB309" s="318"/>
      <c r="AC309" s="318"/>
      <c r="AD309" s="318"/>
      <c r="AE309" s="318"/>
      <c r="AF309" s="318"/>
      <c r="AG309" s="318"/>
    </row>
    <row r="310" spans="3:37" ht="20.100000000000001" customHeight="1">
      <c r="C310" s="350"/>
      <c r="D310" s="316"/>
      <c r="E310" s="503" t="s">
        <v>4049</v>
      </c>
      <c r="F310" s="315"/>
      <c r="G310" s="316"/>
      <c r="H310" s="316"/>
      <c r="I310" s="316"/>
      <c r="J310" s="316"/>
      <c r="K310" s="316"/>
      <c r="L310" s="316"/>
      <c r="M310" s="318" t="s">
        <v>4050</v>
      </c>
      <c r="P310" s="314" t="s">
        <v>3306</v>
      </c>
      <c r="R310" s="1869" t="e">
        <f>R309/2</f>
        <v>#N/A</v>
      </c>
      <c r="S310" s="1869"/>
      <c r="T310" s="1869"/>
      <c r="U310" s="1869"/>
      <c r="V310" s="318" t="s">
        <v>810</v>
      </c>
      <c r="W310" s="318"/>
      <c r="X310" s="318"/>
      <c r="Y310" s="318" t="s">
        <v>3306</v>
      </c>
      <c r="Z310" s="1870" t="e">
        <f>R310/1000</f>
        <v>#N/A</v>
      </c>
      <c r="AA310" s="1870"/>
      <c r="AB310" s="1870"/>
      <c r="AC310" s="1870"/>
      <c r="AD310" s="318" t="s">
        <v>2550</v>
      </c>
      <c r="AE310" s="318"/>
      <c r="AF310" s="318"/>
      <c r="AG310" s="318"/>
      <c r="AH310" s="318"/>
      <c r="AI310" s="318"/>
      <c r="AJ310" s="318"/>
      <c r="AK310" s="318"/>
    </row>
    <row r="311" spans="3:37" ht="20.100000000000001" customHeight="1">
      <c r="C311" s="350"/>
      <c r="D311" s="503" t="s">
        <v>811</v>
      </c>
      <c r="E311" s="318"/>
      <c r="F311" s="315"/>
      <c r="G311" s="316"/>
      <c r="H311" s="316"/>
      <c r="I311" s="316"/>
      <c r="J311" s="316"/>
      <c r="K311" s="316"/>
      <c r="L311" s="316"/>
      <c r="M311" s="318" t="s">
        <v>812</v>
      </c>
      <c r="P311" s="314" t="s">
        <v>3306</v>
      </c>
      <c r="R311" s="1870" t="e">
        <f>VLOOKUP(M308,NL!BY80:CK116,NL!CK76,FALSE)</f>
        <v>#N/A</v>
      </c>
      <c r="S311" s="1870"/>
      <c r="T311" s="1870"/>
      <c r="U311" s="1870"/>
      <c r="V311" s="318" t="s">
        <v>5655</v>
      </c>
      <c r="W311" s="318"/>
      <c r="X311" s="318"/>
      <c r="Y311" s="318"/>
      <c r="Z311" s="318"/>
      <c r="AA311" s="318"/>
      <c r="AB311" s="318"/>
      <c r="AC311" s="318"/>
      <c r="AD311" s="318"/>
      <c r="AE311" s="318"/>
      <c r="AF311" s="318"/>
      <c r="AG311" s="318"/>
      <c r="AH311" s="318"/>
      <c r="AI311" s="318"/>
      <c r="AJ311" s="318"/>
      <c r="AK311" s="318"/>
    </row>
    <row r="312" spans="3:37" ht="20.100000000000001" customHeight="1">
      <c r="C312" s="350"/>
      <c r="D312" s="503"/>
      <c r="E312" s="318"/>
      <c r="F312" s="315"/>
      <c r="G312" s="316"/>
      <c r="H312" s="316"/>
      <c r="I312" s="316"/>
      <c r="J312" s="316"/>
      <c r="K312" s="316"/>
      <c r="L312" s="319" t="s">
        <v>5652</v>
      </c>
      <c r="M312" s="318" t="s">
        <v>755</v>
      </c>
      <c r="P312" s="314" t="s">
        <v>3306</v>
      </c>
      <c r="R312" s="507" t="s">
        <v>756</v>
      </c>
      <c r="S312" s="505"/>
      <c r="T312" s="314" t="s">
        <v>3306</v>
      </c>
      <c r="U312" s="507" t="e">
        <f>Y290&amp;" . "&amp;R311</f>
        <v>#N/A</v>
      </c>
      <c r="V312" s="318"/>
      <c r="W312" s="318"/>
      <c r="X312" s="318"/>
      <c r="Y312" s="318"/>
      <c r="AA312" s="318" t="s">
        <v>3306</v>
      </c>
      <c r="AB312" s="1864" t="e">
        <f>ROUND(Y290*R311,3)</f>
        <v>#N/A</v>
      </c>
      <c r="AC312" s="1864"/>
      <c r="AD312" s="1864"/>
      <c r="AE312" s="1864"/>
      <c r="AF312" s="318" t="s">
        <v>757</v>
      </c>
      <c r="AG312" s="318"/>
      <c r="AH312" s="318"/>
      <c r="AI312" s="318"/>
      <c r="AJ312" s="318"/>
      <c r="AK312" s="318"/>
    </row>
    <row r="313" spans="3:37" ht="20.100000000000001" customHeight="1">
      <c r="C313" s="350"/>
      <c r="D313" s="503" t="s">
        <v>814</v>
      </c>
      <c r="E313" s="318"/>
      <c r="F313" s="315"/>
      <c r="G313" s="316"/>
      <c r="H313" s="316"/>
      <c r="I313" s="316"/>
      <c r="J313" s="316"/>
      <c r="K313" s="316"/>
      <c r="L313" s="316"/>
      <c r="M313" s="318" t="s">
        <v>815</v>
      </c>
      <c r="P313" s="314" t="s">
        <v>3306</v>
      </c>
      <c r="R313" s="1871" t="e">
        <f>VLOOKUP(M308,NL!BY80:CL116,NL!CL76,FALSE)</f>
        <v>#N/A</v>
      </c>
      <c r="S313" s="1871"/>
      <c r="T313" s="1871"/>
      <c r="U313" s="1871"/>
      <c r="V313" s="318" t="s">
        <v>4219</v>
      </c>
      <c r="W313" s="318"/>
      <c r="X313" s="318"/>
      <c r="Y313" s="318"/>
      <c r="Z313" s="318"/>
      <c r="AA313" s="318"/>
      <c r="AB313" s="318"/>
      <c r="AC313" s="318"/>
      <c r="AD313" s="318"/>
      <c r="AE313" s="318"/>
      <c r="AF313" s="318"/>
      <c r="AG313" s="318"/>
      <c r="AH313" s="318"/>
      <c r="AI313" s="318"/>
      <c r="AJ313" s="318"/>
      <c r="AK313" s="318"/>
    </row>
    <row r="314" spans="3:37" ht="20.100000000000001" customHeight="1">
      <c r="C314" s="350" t="s">
        <v>4051</v>
      </c>
      <c r="D314" s="503"/>
      <c r="E314" s="318"/>
      <c r="F314" s="315"/>
      <c r="G314" s="316"/>
      <c r="H314" s="316"/>
      <c r="I314" s="316"/>
      <c r="J314" s="316"/>
      <c r="K314" s="316"/>
      <c r="L314" s="316"/>
      <c r="M314" s="316"/>
      <c r="R314" s="505"/>
      <c r="S314" s="505"/>
      <c r="T314" s="505"/>
      <c r="U314" s="505"/>
      <c r="V314" s="318"/>
      <c r="W314" s="318"/>
      <c r="X314" s="318"/>
      <c r="Y314" s="318"/>
      <c r="Z314" s="318"/>
      <c r="AA314" s="318"/>
      <c r="AB314" s="318"/>
      <c r="AC314" s="318"/>
      <c r="AD314" s="318"/>
      <c r="AE314" s="318"/>
      <c r="AF314" s="318"/>
      <c r="AG314" s="318"/>
      <c r="AH314" s="318"/>
      <c r="AI314" s="318"/>
      <c r="AJ314" s="318"/>
      <c r="AK314" s="318"/>
    </row>
    <row r="315" spans="3:37" ht="20.100000000000001" customHeight="1">
      <c r="C315" s="350"/>
      <c r="D315" s="503"/>
      <c r="E315" s="318"/>
      <c r="F315" s="315"/>
      <c r="G315" s="316"/>
      <c r="H315" s="316"/>
      <c r="I315" s="316"/>
      <c r="J315" s="316"/>
      <c r="K315" s="316"/>
      <c r="L315" s="316"/>
      <c r="M315" s="1862" t="s">
        <v>2407</v>
      </c>
      <c r="N315" s="1862"/>
      <c r="O315" s="1862"/>
      <c r="P315" s="1859" t="s">
        <v>3306</v>
      </c>
      <c r="Q315" s="1863" t="s">
        <v>3285</v>
      </c>
      <c r="R315" s="1863"/>
      <c r="S315" s="1863"/>
      <c r="T315" s="1863"/>
      <c r="U315" s="1859" t="s">
        <v>3306</v>
      </c>
      <c r="V315" s="1865" t="e">
        <f>R289</f>
        <v>#REF!</v>
      </c>
      <c r="W315" s="1865"/>
      <c r="X315" s="1865"/>
      <c r="Y315" s="1865"/>
      <c r="Z315" s="1859" t="s">
        <v>3306</v>
      </c>
      <c r="AA315" s="1858" t="e">
        <f>V315/V316</f>
        <v>#REF!</v>
      </c>
      <c r="AB315" s="1858"/>
      <c r="AC315" s="1858"/>
      <c r="AD315" s="1862" t="s">
        <v>4219</v>
      </c>
      <c r="AE315" s="1862"/>
      <c r="AF315" s="318"/>
      <c r="AG315" s="318"/>
      <c r="AH315" s="318"/>
      <c r="AI315" s="318"/>
      <c r="AJ315" s="318"/>
      <c r="AK315" s="318"/>
    </row>
    <row r="316" spans="3:37" ht="20.100000000000001" customHeight="1">
      <c r="C316" s="350"/>
      <c r="D316" s="503"/>
      <c r="E316" s="318"/>
      <c r="F316" s="315"/>
      <c r="G316" s="316"/>
      <c r="H316" s="316"/>
      <c r="I316" s="316"/>
      <c r="J316" s="316"/>
      <c r="K316" s="316"/>
      <c r="L316" s="316"/>
      <c r="M316" s="1862"/>
      <c r="N316" s="1862"/>
      <c r="O316" s="1862"/>
      <c r="P316" s="1859"/>
      <c r="Q316" s="1857" t="s">
        <v>2406</v>
      </c>
      <c r="R316" s="1857"/>
      <c r="S316" s="1857"/>
      <c r="T316" s="1857"/>
      <c r="U316" s="1859"/>
      <c r="V316" s="1868">
        <f>R295</f>
        <v>12.4</v>
      </c>
      <c r="W316" s="1857"/>
      <c r="X316" s="1857"/>
      <c r="Y316" s="1857"/>
      <c r="Z316" s="1859"/>
      <c r="AA316" s="1858"/>
      <c r="AB316" s="1858"/>
      <c r="AC316" s="1858"/>
      <c r="AD316" s="1862"/>
      <c r="AE316" s="1862"/>
      <c r="AF316" s="318"/>
      <c r="AG316" s="318"/>
      <c r="AH316" s="318"/>
      <c r="AI316" s="318"/>
      <c r="AJ316" s="318"/>
      <c r="AK316" s="318"/>
    </row>
    <row r="317" spans="3:37" ht="20.100000000000001" customHeight="1">
      <c r="C317" s="350" t="s">
        <v>2408</v>
      </c>
      <c r="D317" s="503"/>
      <c r="E317" s="318"/>
      <c r="F317" s="315"/>
      <c r="G317" s="316"/>
      <c r="H317" s="316"/>
      <c r="I317" s="316"/>
      <c r="J317" s="316"/>
      <c r="K317" s="316"/>
      <c r="L317" s="316"/>
      <c r="N317" s="318"/>
      <c r="O317" s="318"/>
      <c r="P317" s="316"/>
      <c r="Q317" s="316"/>
      <c r="R317" s="316"/>
      <c r="S317" s="316"/>
      <c r="T317" s="316"/>
      <c r="V317" s="318"/>
      <c r="W317" s="318"/>
      <c r="X317" s="318" t="s">
        <v>2409</v>
      </c>
      <c r="AA317" s="314" t="s">
        <v>3306</v>
      </c>
      <c r="AB317" s="1869">
        <v>1.3</v>
      </c>
      <c r="AC317" s="1869"/>
      <c r="AD317" s="1869"/>
      <c r="AE317" s="1869"/>
      <c r="AF317" s="318" t="s">
        <v>2550</v>
      </c>
      <c r="AG317" s="318"/>
      <c r="AH317" s="318"/>
      <c r="AI317" s="318"/>
      <c r="AJ317" s="318"/>
      <c r="AK317" s="318"/>
    </row>
    <row r="318" spans="3:37" ht="20.100000000000001" customHeight="1">
      <c r="C318" s="350"/>
      <c r="D318" s="503" t="s">
        <v>1920</v>
      </c>
      <c r="E318" s="318"/>
      <c r="F318" s="315"/>
      <c r="G318" s="316"/>
      <c r="H318" s="316"/>
      <c r="I318" s="316"/>
      <c r="J318" s="316"/>
      <c r="K318" s="316"/>
      <c r="L318" s="316"/>
      <c r="M318" s="1862" t="s">
        <v>3943</v>
      </c>
      <c r="N318" s="1862"/>
      <c r="O318" s="1862"/>
      <c r="P318" s="1859" t="s">
        <v>3306</v>
      </c>
      <c r="Q318" s="1859" t="s">
        <v>2410</v>
      </c>
      <c r="R318" s="1859"/>
      <c r="S318" s="1859"/>
      <c r="T318" s="1859"/>
      <c r="U318" s="1859"/>
      <c r="V318" s="1863" t="s">
        <v>2409</v>
      </c>
      <c r="W318" s="1863"/>
      <c r="X318" s="1858" t="s">
        <v>5644</v>
      </c>
      <c r="Y318" s="1867">
        <v>1.6E-2</v>
      </c>
      <c r="Z318" s="1867"/>
      <c r="AA318" s="1867"/>
      <c r="AB318" s="318"/>
      <c r="AC318" s="318"/>
      <c r="AD318" s="318"/>
      <c r="AE318" s="318"/>
      <c r="AF318" s="318"/>
      <c r="AG318" s="318"/>
      <c r="AH318" s="318"/>
      <c r="AI318" s="318"/>
      <c r="AJ318" s="318"/>
      <c r="AK318" s="318"/>
    </row>
    <row r="319" spans="3:37" ht="20.100000000000001" customHeight="1">
      <c r="C319" s="350"/>
      <c r="D319" s="316"/>
      <c r="E319" s="318"/>
      <c r="F319" s="315"/>
      <c r="G319" s="316"/>
      <c r="H319" s="316"/>
      <c r="I319" s="316"/>
      <c r="J319" s="316"/>
      <c r="K319" s="316"/>
      <c r="L319" s="316"/>
      <c r="M319" s="1862"/>
      <c r="N319" s="1862"/>
      <c r="O319" s="1862"/>
      <c r="P319" s="1859"/>
      <c r="Q319" s="1859"/>
      <c r="R319" s="1859"/>
      <c r="S319" s="1859"/>
      <c r="T319" s="1859"/>
      <c r="U319" s="1859"/>
      <c r="V319" s="1859" t="s">
        <v>4050</v>
      </c>
      <c r="W319" s="1859"/>
      <c r="X319" s="1858"/>
      <c r="Y319" s="1867"/>
      <c r="Z319" s="1867"/>
      <c r="AA319" s="1867"/>
      <c r="AB319" s="318"/>
      <c r="AC319" s="318"/>
      <c r="AD319" s="318"/>
      <c r="AE319" s="318"/>
      <c r="AF319" s="318"/>
      <c r="AG319" s="318"/>
      <c r="AH319" s="318"/>
      <c r="AI319" s="318"/>
      <c r="AJ319" s="318"/>
      <c r="AK319" s="318"/>
    </row>
    <row r="320" spans="3:37" ht="20.100000000000001" customHeight="1">
      <c r="C320" s="350"/>
      <c r="D320" s="316"/>
      <c r="E320" s="318"/>
      <c r="F320" s="315"/>
      <c r="G320" s="316"/>
      <c r="H320" s="316"/>
      <c r="I320" s="316"/>
      <c r="J320" s="316"/>
      <c r="K320" s="316"/>
      <c r="L320" s="316"/>
      <c r="M320" s="314"/>
      <c r="P320" s="1859" t="s">
        <v>3306</v>
      </c>
      <c r="Q320" s="1859" t="s">
        <v>2410</v>
      </c>
      <c r="R320" s="1859"/>
      <c r="S320" s="1859"/>
      <c r="T320" s="1859"/>
      <c r="U320" s="1859"/>
      <c r="V320" s="1865">
        <f>AB317</f>
        <v>1.3</v>
      </c>
      <c r="W320" s="1865"/>
      <c r="X320" s="1865"/>
      <c r="Y320" s="1865"/>
      <c r="Z320" s="1858" t="s">
        <v>5644</v>
      </c>
      <c r="AA320" s="1867">
        <v>1.6E-2</v>
      </c>
      <c r="AB320" s="1867"/>
      <c r="AC320" s="1867"/>
      <c r="AD320" s="1859" t="s">
        <v>3306</v>
      </c>
      <c r="AE320" s="1858" t="e">
        <f>ROUND(0.114*LOG(V320/V321)+0.016,2)</f>
        <v>#N/A</v>
      </c>
      <c r="AF320" s="1858"/>
      <c r="AG320" s="1858"/>
      <c r="AH320" s="1862" t="s">
        <v>5655</v>
      </c>
      <c r="AI320" s="1862"/>
      <c r="AJ320" s="1862"/>
      <c r="AK320" s="1862"/>
    </row>
    <row r="321" spans="3:37" ht="20.100000000000001" customHeight="1">
      <c r="C321" s="350"/>
      <c r="D321" s="316"/>
      <c r="E321" s="318"/>
      <c r="F321" s="315"/>
      <c r="G321" s="316"/>
      <c r="H321" s="316"/>
      <c r="I321" s="316"/>
      <c r="J321" s="316"/>
      <c r="K321" s="316"/>
      <c r="L321" s="316"/>
      <c r="M321" s="314"/>
      <c r="P321" s="1859"/>
      <c r="Q321" s="1859"/>
      <c r="R321" s="1859"/>
      <c r="S321" s="1859"/>
      <c r="T321" s="1859"/>
      <c r="U321" s="1859"/>
      <c r="V321" s="1866" t="e">
        <f>Z310</f>
        <v>#N/A</v>
      </c>
      <c r="W321" s="1866"/>
      <c r="X321" s="1866"/>
      <c r="Y321" s="1866"/>
      <c r="Z321" s="1858"/>
      <c r="AA321" s="1867"/>
      <c r="AB321" s="1867"/>
      <c r="AC321" s="1867"/>
      <c r="AD321" s="1859"/>
      <c r="AE321" s="1858"/>
      <c r="AF321" s="1858"/>
      <c r="AG321" s="1858"/>
      <c r="AH321" s="1862"/>
      <c r="AI321" s="1862"/>
      <c r="AJ321" s="1862"/>
      <c r="AK321" s="1862"/>
    </row>
    <row r="322" spans="3:37" ht="20.100000000000001" customHeight="1">
      <c r="C322" s="350"/>
      <c r="D322" s="503"/>
      <c r="E322" s="318"/>
      <c r="F322" s="315"/>
      <c r="G322" s="316"/>
      <c r="H322" s="316"/>
      <c r="I322" s="316"/>
      <c r="J322" s="316"/>
      <c r="K322" s="316"/>
      <c r="L322" s="319" t="s">
        <v>5652</v>
      </c>
      <c r="M322" s="318" t="s">
        <v>758</v>
      </c>
      <c r="P322" s="314" t="s">
        <v>3306</v>
      </c>
      <c r="R322" s="507" t="s">
        <v>759</v>
      </c>
      <c r="S322" s="505"/>
      <c r="T322" s="505"/>
      <c r="U322" s="314" t="s">
        <v>3306</v>
      </c>
      <c r="W322" s="507" t="e">
        <f>Y290&amp;" . "&amp;AE320</f>
        <v>#N/A</v>
      </c>
      <c r="X322" s="505"/>
      <c r="Y322" s="505"/>
      <c r="Z322" s="505"/>
      <c r="AA322" s="318"/>
      <c r="AB322" s="318" t="s">
        <v>3306</v>
      </c>
      <c r="AD322" s="1864" t="e">
        <f>ROUND(Y290*AE320,3)</f>
        <v>#N/A</v>
      </c>
      <c r="AE322" s="1864"/>
      <c r="AF322" s="1864"/>
      <c r="AG322" s="1864"/>
      <c r="AH322" s="318" t="s">
        <v>757</v>
      </c>
      <c r="AI322" s="318"/>
      <c r="AJ322" s="318"/>
      <c r="AK322" s="318"/>
    </row>
    <row r="323" spans="3:37" ht="20.100000000000001" customHeight="1">
      <c r="C323" s="350"/>
      <c r="D323" s="503"/>
      <c r="E323" s="318"/>
      <c r="F323" s="315"/>
      <c r="G323" s="316"/>
      <c r="H323" s="316"/>
      <c r="I323" s="316"/>
      <c r="J323" s="316"/>
      <c r="K323" s="316"/>
      <c r="L323" s="319"/>
      <c r="R323" s="507"/>
      <c r="S323" s="505"/>
      <c r="T323" s="505"/>
      <c r="W323" s="507"/>
      <c r="X323" s="505"/>
      <c r="Y323" s="505"/>
      <c r="Z323" s="505"/>
      <c r="AA323" s="318"/>
      <c r="AB323" s="318"/>
      <c r="AD323" s="504"/>
      <c r="AE323" s="504"/>
      <c r="AF323" s="504"/>
      <c r="AG323" s="504"/>
      <c r="AH323" s="318"/>
      <c r="AI323" s="318"/>
      <c r="AJ323" s="318"/>
      <c r="AK323" s="318"/>
    </row>
    <row r="324" spans="3:37" ht="20.100000000000001" customHeight="1">
      <c r="C324" s="350" t="s">
        <v>5938</v>
      </c>
      <c r="D324" s="316"/>
      <c r="E324" s="318"/>
      <c r="F324" s="315"/>
      <c r="G324" s="316"/>
      <c r="H324" s="316"/>
      <c r="I324" s="316"/>
      <c r="J324" s="316"/>
      <c r="K324" s="316"/>
      <c r="L324" s="316"/>
      <c r="M324" s="316"/>
      <c r="R324" s="318"/>
      <c r="S324" s="318"/>
      <c r="T324" s="318"/>
      <c r="U324" s="318"/>
      <c r="V324" s="318"/>
      <c r="W324" s="318"/>
      <c r="X324" s="318"/>
      <c r="Y324" s="318"/>
      <c r="Z324" s="318"/>
      <c r="AA324" s="318"/>
      <c r="AB324" s="318"/>
      <c r="AC324" s="318"/>
      <c r="AD324" s="318"/>
      <c r="AE324" s="318"/>
      <c r="AF324" s="318"/>
      <c r="AG324" s="318"/>
      <c r="AH324" s="318"/>
      <c r="AI324" s="318"/>
      <c r="AJ324" s="318"/>
      <c r="AK324" s="318"/>
    </row>
    <row r="325" spans="3:37" ht="20.100000000000001" customHeight="1">
      <c r="C325" s="350"/>
      <c r="D325" s="316"/>
      <c r="E325" s="318"/>
      <c r="F325" s="315"/>
      <c r="G325" s="316"/>
      <c r="H325" s="316"/>
      <c r="I325" s="316"/>
      <c r="J325" s="316"/>
      <c r="K325" s="316"/>
      <c r="L325" s="316"/>
      <c r="M325" s="1862" t="s">
        <v>1382</v>
      </c>
      <c r="N325" s="1862"/>
      <c r="O325" s="1862"/>
      <c r="P325" s="1859" t="s">
        <v>3306</v>
      </c>
      <c r="Q325" s="1863" t="s">
        <v>2785</v>
      </c>
      <c r="R325" s="1863"/>
      <c r="S325" s="1863"/>
      <c r="T325" s="1863"/>
      <c r="U325" s="1863"/>
      <c r="V325" s="1863"/>
      <c r="W325" s="1863"/>
      <c r="X325" s="318"/>
      <c r="Y325" s="318"/>
      <c r="Z325" s="318"/>
      <c r="AA325" s="318"/>
      <c r="AB325" s="318"/>
      <c r="AC325" s="318"/>
      <c r="AD325" s="318"/>
      <c r="AE325" s="318"/>
      <c r="AF325" s="318"/>
      <c r="AG325" s="318"/>
      <c r="AH325" s="318"/>
      <c r="AI325" s="318"/>
      <c r="AJ325" s="318"/>
      <c r="AK325" s="318"/>
    </row>
    <row r="326" spans="3:37" ht="20.100000000000001" customHeight="1">
      <c r="C326" s="350"/>
      <c r="D326" s="316"/>
      <c r="E326" s="318"/>
      <c r="F326" s="315"/>
      <c r="G326" s="316"/>
      <c r="H326" s="316"/>
      <c r="I326" s="316"/>
      <c r="J326" s="316"/>
      <c r="K326" s="316"/>
      <c r="L326" s="316"/>
      <c r="M326" s="1862"/>
      <c r="N326" s="1862"/>
      <c r="O326" s="1862"/>
      <c r="P326" s="1859"/>
      <c r="Q326" s="1859" t="s">
        <v>5623</v>
      </c>
      <c r="R326" s="1859"/>
      <c r="S326" s="1859"/>
      <c r="T326" s="1859"/>
      <c r="U326" s="1859"/>
      <c r="V326" s="1859"/>
      <c r="W326" s="1859"/>
      <c r="X326" s="318"/>
      <c r="Y326" s="318"/>
      <c r="Z326" s="318"/>
      <c r="AA326" s="318"/>
      <c r="AB326" s="318"/>
      <c r="AC326" s="318"/>
      <c r="AD326" s="318"/>
      <c r="AE326" s="318"/>
      <c r="AF326" s="318"/>
      <c r="AG326" s="318"/>
      <c r="AH326" s="318"/>
      <c r="AI326" s="318"/>
      <c r="AJ326" s="318"/>
      <c r="AK326" s="318"/>
    </row>
    <row r="327" spans="3:37" ht="20.100000000000001" customHeight="1">
      <c r="C327" s="350"/>
      <c r="D327" s="316"/>
      <c r="E327" s="318"/>
      <c r="F327" s="315"/>
      <c r="G327" s="316"/>
      <c r="H327" s="316"/>
      <c r="I327" s="316"/>
      <c r="J327" s="316"/>
      <c r="K327" s="316"/>
      <c r="L327" s="316"/>
      <c r="M327" s="316"/>
      <c r="P327" s="1859" t="s">
        <v>3306</v>
      </c>
      <c r="Q327" s="1863" t="e">
        <f>U303&amp;" . "&amp;AB312&amp;" + "&amp;U305&amp;" . "&amp;AD322</f>
        <v>#N/A</v>
      </c>
      <c r="R327" s="1863"/>
      <c r="S327" s="1863"/>
      <c r="T327" s="1863"/>
      <c r="U327" s="1863"/>
      <c r="V327" s="1863"/>
      <c r="W327" s="1863"/>
      <c r="X327" s="1863"/>
      <c r="Y327" s="1863"/>
      <c r="Z327" s="1863"/>
      <c r="AA327" s="1859" t="s">
        <v>3306</v>
      </c>
      <c r="AB327" s="1864" t="e">
        <f>ROUND(((U302*AB312)+(U304+AD322))/Q328,3)</f>
        <v>#N/A</v>
      </c>
      <c r="AC327" s="1864"/>
      <c r="AD327" s="1864"/>
      <c r="AE327" s="1864"/>
      <c r="AF327" s="1862" t="s">
        <v>5937</v>
      </c>
      <c r="AG327" s="1862"/>
      <c r="AH327" s="492"/>
      <c r="AI327" s="318"/>
      <c r="AJ327" s="318"/>
      <c r="AK327" s="318"/>
    </row>
    <row r="328" spans="3:37" ht="20.100000000000001" customHeight="1">
      <c r="C328" s="350"/>
      <c r="D328" s="316"/>
      <c r="E328" s="318"/>
      <c r="F328" s="315"/>
      <c r="G328" s="316"/>
      <c r="H328" s="316"/>
      <c r="I328" s="316"/>
      <c r="J328" s="316"/>
      <c r="K328" s="316"/>
      <c r="L328" s="316"/>
      <c r="M328" s="316"/>
      <c r="P328" s="1859"/>
      <c r="Q328" s="1857">
        <v>12.7</v>
      </c>
      <c r="R328" s="1857"/>
      <c r="S328" s="1857"/>
      <c r="T328" s="1857"/>
      <c r="U328" s="1857"/>
      <c r="V328" s="1857"/>
      <c r="W328" s="1857"/>
      <c r="X328" s="1857"/>
      <c r="Y328" s="1857"/>
      <c r="Z328" s="1857"/>
      <c r="AA328" s="1859"/>
      <c r="AB328" s="1864"/>
      <c r="AC328" s="1864"/>
      <c r="AD328" s="1864"/>
      <c r="AE328" s="1864"/>
      <c r="AF328" s="1862"/>
      <c r="AG328" s="1862"/>
      <c r="AH328" s="318"/>
      <c r="AI328" s="318"/>
      <c r="AJ328" s="318"/>
      <c r="AK328" s="318"/>
    </row>
    <row r="329" spans="3:37" ht="20.100000000000001" customHeight="1">
      <c r="C329" s="350" t="s">
        <v>1380</v>
      </c>
      <c r="D329" s="316"/>
      <c r="E329" s="503"/>
      <c r="F329" s="315"/>
      <c r="G329" s="316"/>
      <c r="H329" s="316"/>
      <c r="I329" s="316"/>
      <c r="J329" s="316"/>
      <c r="K329" s="316"/>
      <c r="L329" s="319"/>
      <c r="R329" s="506"/>
      <c r="S329" s="506"/>
      <c r="T329" s="506"/>
      <c r="U329" s="506"/>
      <c r="W329" s="318"/>
      <c r="X329" s="318"/>
      <c r="Y329" s="318"/>
      <c r="Z329" s="318"/>
      <c r="AA329" s="318"/>
      <c r="AB329" s="318"/>
      <c r="AC329" s="318"/>
      <c r="AD329" s="318"/>
      <c r="AE329" s="318"/>
      <c r="AF329" s="318"/>
      <c r="AG329" s="318"/>
      <c r="AH329" s="318"/>
      <c r="AI329" s="318"/>
      <c r="AJ329" s="318"/>
      <c r="AK329" s="318"/>
    </row>
    <row r="330" spans="3:37" ht="20.100000000000001" customHeight="1">
      <c r="C330" s="350"/>
      <c r="D330" s="316"/>
      <c r="E330" s="503"/>
      <c r="F330" s="315"/>
      <c r="G330" s="316"/>
      <c r="H330" s="316"/>
      <c r="I330" s="316"/>
      <c r="J330" s="316"/>
      <c r="K330" s="316"/>
      <c r="L330" s="319"/>
      <c r="M330" s="1862" t="s">
        <v>1383</v>
      </c>
      <c r="N330" s="1862"/>
      <c r="O330" s="1862"/>
      <c r="P330" s="1859" t="s">
        <v>3306</v>
      </c>
      <c r="Q330" s="1863" t="s">
        <v>1383</v>
      </c>
      <c r="R330" s="1863"/>
      <c r="S330" s="1863"/>
      <c r="T330" s="1863"/>
      <c r="U330" s="1863"/>
      <c r="V330" s="1861">
        <v>1</v>
      </c>
      <c r="W330" s="1861"/>
      <c r="X330" s="1861"/>
      <c r="Y330" s="318"/>
      <c r="Z330" s="318"/>
      <c r="AA330" s="318"/>
      <c r="AB330" s="318"/>
      <c r="AC330" s="318"/>
      <c r="AD330" s="318"/>
      <c r="AE330" s="318"/>
      <c r="AF330" s="318"/>
      <c r="AG330" s="318"/>
      <c r="AH330" s="318"/>
      <c r="AI330" s="318"/>
      <c r="AJ330" s="318"/>
      <c r="AK330" s="318"/>
    </row>
    <row r="331" spans="3:37" ht="20.100000000000001" customHeight="1">
      <c r="C331" s="350"/>
      <c r="D331" s="316"/>
      <c r="E331" s="503"/>
      <c r="F331" s="315"/>
      <c r="G331" s="316"/>
      <c r="H331" s="316"/>
      <c r="I331" s="316"/>
      <c r="J331" s="316"/>
      <c r="K331" s="316"/>
      <c r="L331" s="319"/>
      <c r="M331" s="1862"/>
      <c r="N331" s="1862"/>
      <c r="O331" s="1862"/>
      <c r="P331" s="1859"/>
      <c r="Q331" s="1857" t="s">
        <v>1077</v>
      </c>
      <c r="R331" s="1857"/>
      <c r="S331" s="1857"/>
      <c r="T331" s="1857"/>
      <c r="U331" s="1857"/>
      <c r="V331" s="1861"/>
      <c r="W331" s="1861"/>
      <c r="X331" s="1861"/>
      <c r="Y331" s="318"/>
      <c r="Z331" s="318"/>
      <c r="AA331" s="318"/>
      <c r="AB331" s="318"/>
      <c r="AC331" s="318"/>
      <c r="AD331" s="318"/>
      <c r="AE331" s="318"/>
      <c r="AF331" s="318"/>
      <c r="AG331" s="318"/>
      <c r="AH331" s="318"/>
      <c r="AI331" s="318"/>
      <c r="AJ331" s="318"/>
      <c r="AK331" s="318"/>
    </row>
    <row r="332" spans="3:37" ht="20.100000000000001" customHeight="1">
      <c r="C332" s="350"/>
      <c r="D332" s="316"/>
      <c r="E332" s="503"/>
      <c r="F332" s="315"/>
      <c r="G332" s="316"/>
      <c r="H332" s="316"/>
      <c r="I332" s="316"/>
      <c r="J332" s="316"/>
      <c r="K332" s="316"/>
      <c r="L332" s="319"/>
      <c r="N332" s="318"/>
      <c r="O332" s="318"/>
      <c r="P332" s="1859" t="s">
        <v>3306</v>
      </c>
      <c r="Q332" s="1860" t="e">
        <f>AB327</f>
        <v>#N/A</v>
      </c>
      <c r="R332" s="1860"/>
      <c r="S332" s="1860"/>
      <c r="T332" s="370" t="s">
        <v>6110</v>
      </c>
      <c r="U332" s="370"/>
      <c r="V332" s="1861">
        <v>1</v>
      </c>
      <c r="W332" s="1861"/>
      <c r="X332" s="1861"/>
      <c r="Y332" s="1859" t="s">
        <v>3306</v>
      </c>
      <c r="Z332" s="1858" t="e">
        <f>ROUND(((Q332*10^-3)/22)*100,3)</f>
        <v>#N/A</v>
      </c>
      <c r="AA332" s="1858"/>
      <c r="AB332" s="1858"/>
      <c r="AC332" s="1858"/>
      <c r="AD332" s="1858"/>
      <c r="AE332" s="1856" t="s">
        <v>3385</v>
      </c>
      <c r="AF332" s="1856"/>
      <c r="AG332" s="509"/>
      <c r="AH332" s="318"/>
      <c r="AI332" s="318"/>
      <c r="AJ332" s="318"/>
      <c r="AK332" s="318"/>
    </row>
    <row r="333" spans="3:37" ht="20.100000000000001" customHeight="1">
      <c r="C333" s="350"/>
      <c r="D333" s="316"/>
      <c r="E333" s="503"/>
      <c r="F333" s="315"/>
      <c r="G333" s="316"/>
      <c r="H333" s="316"/>
      <c r="I333" s="316"/>
      <c r="J333" s="316"/>
      <c r="K333" s="316"/>
      <c r="L333" s="319"/>
      <c r="N333" s="318"/>
      <c r="O333" s="318"/>
      <c r="P333" s="1859"/>
      <c r="Q333" s="1857">
        <v>22</v>
      </c>
      <c r="R333" s="1857"/>
      <c r="S333" s="1857"/>
      <c r="T333" s="1857"/>
      <c r="U333" s="1857"/>
      <c r="V333" s="1861"/>
      <c r="W333" s="1861"/>
      <c r="X333" s="1861"/>
      <c r="Y333" s="1859"/>
      <c r="Z333" s="1858"/>
      <c r="AA333" s="1858"/>
      <c r="AB333" s="1858"/>
      <c r="AC333" s="1858"/>
      <c r="AD333" s="1858"/>
      <c r="AE333" s="1856"/>
      <c r="AF333" s="1856"/>
      <c r="AG333" s="318"/>
      <c r="AH333" s="318"/>
      <c r="AI333" s="318"/>
      <c r="AJ333" s="318"/>
      <c r="AK333" s="318"/>
    </row>
    <row r="334" spans="3:37" ht="20.100000000000001" customHeight="1">
      <c r="C334" s="350" t="s">
        <v>1915</v>
      </c>
      <c r="D334" s="316"/>
      <c r="E334" s="318"/>
      <c r="F334" s="315"/>
      <c r="G334" s="316"/>
      <c r="H334" s="316"/>
      <c r="I334" s="316"/>
      <c r="J334" s="316"/>
      <c r="K334" s="316"/>
      <c r="L334" s="316"/>
      <c r="M334" s="316"/>
      <c r="R334" s="318"/>
      <c r="S334" s="318"/>
      <c r="T334" s="318"/>
      <c r="U334" s="318"/>
      <c r="V334" s="318"/>
      <c r="W334" s="318"/>
      <c r="X334" s="318"/>
      <c r="Y334" s="318"/>
      <c r="Z334" s="318"/>
      <c r="AA334" s="318"/>
      <c r="AB334" s="318"/>
      <c r="AC334" s="318"/>
      <c r="AD334" s="318"/>
      <c r="AE334" s="318"/>
      <c r="AF334" s="318"/>
      <c r="AG334" s="318"/>
      <c r="AH334" s="318"/>
      <c r="AI334" s="318"/>
      <c r="AJ334" s="318"/>
      <c r="AK334" s="318"/>
    </row>
    <row r="335" spans="3:37" ht="20.100000000000001" customHeight="1">
      <c r="C335" s="350"/>
      <c r="D335" s="316"/>
      <c r="E335" s="318"/>
      <c r="F335" s="315"/>
      <c r="G335" s="316"/>
      <c r="H335" s="316"/>
      <c r="I335" s="316"/>
      <c r="J335" s="316"/>
      <c r="K335" s="316"/>
      <c r="L335" s="316"/>
      <c r="M335" s="314" t="s">
        <v>5097</v>
      </c>
      <c r="P335" s="314" t="s">
        <v>3306</v>
      </c>
      <c r="Q335" s="314" t="s">
        <v>1916</v>
      </c>
      <c r="T335" s="318"/>
      <c r="U335" s="318"/>
      <c r="V335" s="318"/>
      <c r="W335" s="318"/>
      <c r="X335" s="318"/>
      <c r="Y335" s="318"/>
      <c r="Z335" s="318"/>
      <c r="AA335" s="318"/>
      <c r="AB335" s="318"/>
      <c r="AC335" s="318"/>
      <c r="AD335" s="318"/>
      <c r="AE335" s="318"/>
      <c r="AF335" s="318"/>
      <c r="AG335" s="318"/>
      <c r="AH335" s="318"/>
      <c r="AI335" s="318"/>
      <c r="AJ335" s="318"/>
      <c r="AK335" s="318"/>
    </row>
    <row r="336" spans="3:37" ht="20.100000000000001" customHeight="1">
      <c r="C336" s="350"/>
      <c r="D336" s="316"/>
      <c r="E336" s="318"/>
      <c r="F336" s="315"/>
      <c r="G336" s="316"/>
      <c r="H336" s="316"/>
      <c r="I336" s="316"/>
      <c r="J336" s="316"/>
      <c r="K336" s="316"/>
      <c r="L336" s="316"/>
      <c r="M336" s="314"/>
      <c r="P336" s="314" t="s">
        <v>3306</v>
      </c>
      <c r="Q336" s="314" t="e">
        <f>Z299&amp;" + "&amp;Z332</f>
        <v>#N/A</v>
      </c>
      <c r="V336" s="318"/>
      <c r="W336" s="314" t="s">
        <v>3306</v>
      </c>
      <c r="X336" s="1858" t="e">
        <f>Z299+Z332</f>
        <v>#N/A</v>
      </c>
      <c r="Y336" s="1858"/>
      <c r="Z336" s="1858"/>
      <c r="AA336" s="1858"/>
      <c r="AB336" s="1858"/>
      <c r="AC336" s="510" t="s">
        <v>3385</v>
      </c>
      <c r="AD336" s="318"/>
      <c r="AE336" s="318"/>
      <c r="AF336" s="318"/>
      <c r="AG336" s="318"/>
      <c r="AH336" s="318"/>
      <c r="AI336" s="318"/>
      <c r="AJ336" s="318"/>
      <c r="AK336" s="318"/>
    </row>
    <row r="337" spans="3:37" ht="20.100000000000001" customHeight="1">
      <c r="C337" s="350"/>
      <c r="D337" s="316"/>
      <c r="E337" s="318"/>
      <c r="F337" s="315"/>
      <c r="G337" s="316"/>
      <c r="H337" s="316"/>
      <c r="I337" s="1858">
        <v>5</v>
      </c>
      <c r="J337" s="1858"/>
      <c r="K337" s="1858"/>
      <c r="L337" s="1858"/>
      <c r="M337" s="1858"/>
      <c r="N337" s="510" t="s">
        <v>3385</v>
      </c>
      <c r="P337" s="314" t="s">
        <v>313</v>
      </c>
      <c r="Q337" s="1858" t="e">
        <f>X336</f>
        <v>#N/A</v>
      </c>
      <c r="R337" s="1858"/>
      <c r="S337" s="1858"/>
      <c r="T337" s="1858"/>
      <c r="U337" s="1858"/>
      <c r="V337" s="510" t="s">
        <v>3385</v>
      </c>
      <c r="W337" s="318"/>
      <c r="X337" s="318"/>
      <c r="Y337" s="318"/>
      <c r="Z337" s="318"/>
      <c r="AA337" s="318"/>
      <c r="AB337" s="318"/>
      <c r="AC337" s="318"/>
      <c r="AD337" s="318"/>
      <c r="AE337" s="318"/>
      <c r="AF337" s="318"/>
      <c r="AG337" s="318"/>
      <c r="AH337" s="318"/>
      <c r="AI337" s="318"/>
      <c r="AJ337" s="318"/>
      <c r="AK337" s="318"/>
    </row>
    <row r="338" spans="3:37" ht="20.100000000000001" customHeight="1">
      <c r="C338" s="350"/>
      <c r="D338" s="316"/>
      <c r="E338" s="318"/>
      <c r="F338" s="315"/>
      <c r="G338" s="316"/>
      <c r="H338" s="316"/>
      <c r="I338" s="316"/>
      <c r="L338" s="318" t="s">
        <v>3329</v>
      </c>
      <c r="M338" s="316"/>
      <c r="P338" s="314" t="s">
        <v>313</v>
      </c>
      <c r="R338" s="318" t="s">
        <v>1917</v>
      </c>
      <c r="S338" s="318"/>
      <c r="T338" s="318"/>
      <c r="U338" s="318"/>
      <c r="V338" s="318"/>
      <c r="W338" s="318"/>
      <c r="X338" s="318"/>
      <c r="Y338" s="318"/>
      <c r="Z338" s="318"/>
      <c r="AA338" s="318"/>
      <c r="AB338" s="318"/>
      <c r="AC338" s="318"/>
      <c r="AD338" s="318"/>
      <c r="AE338" s="318"/>
      <c r="AF338" s="318"/>
      <c r="AG338" s="318"/>
      <c r="AH338" s="318"/>
      <c r="AI338" s="318"/>
      <c r="AJ338" s="318"/>
      <c r="AK338" s="318"/>
    </row>
    <row r="339" spans="3:37" ht="20.100000000000001" customHeight="1">
      <c r="C339" s="350"/>
      <c r="D339" s="316"/>
      <c r="E339" s="322" t="s">
        <v>1918</v>
      </c>
      <c r="F339" s="315"/>
      <c r="G339" s="316"/>
      <c r="H339" s="316"/>
      <c r="I339" s="316"/>
      <c r="J339" s="316"/>
      <c r="K339" s="316"/>
      <c r="L339" s="316"/>
      <c r="M339" s="316"/>
      <c r="R339" s="318"/>
      <c r="S339" s="318"/>
      <c r="T339" s="318"/>
      <c r="U339" s="318"/>
      <c r="V339" s="318"/>
      <c r="W339" s="318"/>
      <c r="X339" s="318"/>
      <c r="Y339" s="318"/>
      <c r="Z339" s="318"/>
      <c r="AA339" s="318"/>
      <c r="AB339" s="318"/>
      <c r="AC339" s="318"/>
      <c r="AD339" s="318"/>
      <c r="AE339" s="318"/>
      <c r="AF339" s="318"/>
      <c r="AG339" s="318"/>
      <c r="AH339" s="318"/>
      <c r="AI339" s="318"/>
      <c r="AJ339" s="318"/>
      <c r="AK339" s="318"/>
    </row>
    <row r="340" spans="3:37" ht="20.100000000000001" customHeight="1">
      <c r="C340" s="350"/>
      <c r="D340" s="316"/>
      <c r="E340" s="318"/>
      <c r="F340" s="315"/>
      <c r="G340" s="316"/>
      <c r="H340" s="316"/>
      <c r="I340" s="316"/>
      <c r="J340" s="316"/>
      <c r="K340" s="316"/>
      <c r="L340" s="316"/>
      <c r="M340" s="316"/>
      <c r="R340" s="318"/>
      <c r="S340" s="318"/>
      <c r="T340" s="318"/>
      <c r="U340" s="318"/>
      <c r="V340" s="318"/>
      <c r="W340" s="318"/>
      <c r="X340" s="318"/>
      <c r="Y340" s="318"/>
      <c r="Z340" s="318"/>
      <c r="AA340" s="318"/>
      <c r="AB340" s="318"/>
      <c r="AC340" s="318"/>
      <c r="AD340" s="318"/>
      <c r="AE340" s="318"/>
      <c r="AF340" s="318"/>
      <c r="AG340" s="318"/>
      <c r="AH340" s="318"/>
      <c r="AI340" s="318"/>
      <c r="AJ340" s="318"/>
      <c r="AK340" s="318"/>
    </row>
    <row r="341" spans="3:37" ht="20.100000000000001" customHeight="1">
      <c r="C341" s="350"/>
      <c r="D341" s="316"/>
      <c r="E341" s="318"/>
      <c r="F341" s="315"/>
      <c r="G341" s="316"/>
      <c r="H341" s="316"/>
      <c r="I341" s="316"/>
      <c r="J341" s="316"/>
      <c r="K341" s="316"/>
      <c r="L341" s="316"/>
      <c r="M341" s="316"/>
      <c r="R341" s="318"/>
      <c r="S341" s="318"/>
      <c r="T341" s="318"/>
      <c r="U341" s="318"/>
      <c r="V341" s="318"/>
      <c r="W341" s="318"/>
      <c r="X341" s="318"/>
      <c r="Y341" s="318"/>
      <c r="Z341" s="318"/>
      <c r="AA341" s="318"/>
      <c r="AB341" s="318"/>
      <c r="AC341" s="318"/>
      <c r="AD341" s="318"/>
      <c r="AE341" s="318"/>
      <c r="AF341" s="318"/>
      <c r="AG341" s="318"/>
      <c r="AH341" s="318"/>
      <c r="AI341" s="318"/>
      <c r="AJ341" s="318"/>
      <c r="AK341" s="318"/>
    </row>
    <row r="342" spans="3:37" ht="20.100000000000001" customHeight="1">
      <c r="C342" s="350"/>
      <c r="D342" s="316"/>
      <c r="E342" s="318"/>
      <c r="F342" s="315"/>
      <c r="G342" s="316"/>
      <c r="H342" s="316"/>
      <c r="I342" s="316"/>
      <c r="J342" s="316"/>
      <c r="K342" s="316"/>
      <c r="L342" s="316"/>
      <c r="M342" s="316"/>
      <c r="R342" s="318"/>
      <c r="S342" s="318"/>
      <c r="T342" s="318"/>
      <c r="U342" s="318"/>
      <c r="V342" s="318"/>
      <c r="W342" s="318"/>
      <c r="X342" s="318"/>
      <c r="Y342" s="318"/>
      <c r="Z342" s="318"/>
      <c r="AA342" s="318"/>
      <c r="AB342" s="318"/>
      <c r="AC342" s="318"/>
      <c r="AD342" s="318"/>
      <c r="AE342" s="318"/>
      <c r="AF342" s="318"/>
      <c r="AG342" s="318"/>
      <c r="AH342" s="318"/>
      <c r="AI342" s="318"/>
      <c r="AJ342" s="318"/>
      <c r="AK342" s="318"/>
    </row>
    <row r="343" spans="3:37" ht="20.100000000000001" customHeight="1">
      <c r="C343" s="350"/>
      <c r="D343" s="316"/>
      <c r="E343" s="318"/>
      <c r="F343" s="315"/>
      <c r="G343" s="316"/>
      <c r="H343" s="316"/>
      <c r="I343" s="316"/>
      <c r="J343" s="316"/>
      <c r="K343" s="316"/>
      <c r="L343" s="316"/>
      <c r="M343" s="316"/>
      <c r="R343" s="318"/>
      <c r="S343" s="318"/>
      <c r="T343" s="318"/>
      <c r="U343" s="318"/>
      <c r="V343" s="318"/>
      <c r="W343" s="318"/>
      <c r="X343" s="318"/>
      <c r="Y343" s="318"/>
      <c r="Z343" s="318"/>
      <c r="AA343" s="318"/>
      <c r="AB343" s="318"/>
      <c r="AC343" s="318"/>
      <c r="AD343" s="318"/>
      <c r="AE343" s="318"/>
      <c r="AF343" s="318"/>
      <c r="AG343" s="318"/>
      <c r="AH343" s="318"/>
      <c r="AI343" s="318"/>
      <c r="AJ343" s="318"/>
      <c r="AK343" s="318"/>
    </row>
    <row r="344" spans="3:37" ht="20.100000000000001" customHeight="1">
      <c r="C344" s="350"/>
      <c r="D344" s="316"/>
      <c r="E344" s="318"/>
      <c r="F344" s="315"/>
      <c r="G344" s="316"/>
      <c r="H344" s="316"/>
      <c r="I344" s="316"/>
      <c r="J344" s="316"/>
      <c r="K344" s="316"/>
      <c r="L344" s="316"/>
      <c r="M344" s="316"/>
      <c r="R344" s="318"/>
      <c r="S344" s="318"/>
      <c r="T344" s="318"/>
      <c r="U344" s="318"/>
      <c r="V344" s="318"/>
      <c r="W344" s="318"/>
      <c r="X344" s="318"/>
      <c r="Y344" s="318"/>
      <c r="Z344" s="318"/>
      <c r="AA344" s="318"/>
      <c r="AB344" s="318"/>
      <c r="AC344" s="318"/>
      <c r="AD344" s="318"/>
      <c r="AE344" s="318"/>
      <c r="AF344" s="318"/>
      <c r="AG344" s="318"/>
      <c r="AH344" s="318"/>
      <c r="AI344" s="318"/>
      <c r="AJ344" s="318"/>
      <c r="AK344" s="318"/>
    </row>
    <row r="345" spans="3:37" ht="20.100000000000001" customHeight="1">
      <c r="C345" s="350"/>
      <c r="D345" s="316"/>
      <c r="E345" s="318"/>
      <c r="F345" s="315"/>
      <c r="G345" s="316"/>
      <c r="H345" s="316"/>
      <c r="I345" s="316"/>
      <c r="J345" s="316"/>
      <c r="K345" s="316"/>
      <c r="L345" s="316"/>
      <c r="M345" s="316"/>
      <c r="R345" s="318"/>
      <c r="S345" s="318"/>
      <c r="T345" s="318"/>
      <c r="U345" s="318"/>
      <c r="V345" s="318"/>
      <c r="W345" s="318"/>
      <c r="X345" s="318"/>
      <c r="Y345" s="318"/>
      <c r="Z345" s="318"/>
      <c r="AA345" s="318"/>
      <c r="AB345" s="318"/>
      <c r="AC345" s="318"/>
      <c r="AD345" s="318"/>
      <c r="AE345" s="318"/>
      <c r="AF345" s="318"/>
      <c r="AG345" s="318"/>
      <c r="AH345" s="318"/>
      <c r="AI345" s="318"/>
      <c r="AJ345" s="318"/>
      <c r="AK345" s="318"/>
    </row>
    <row r="346" spans="3:37"/>
    <row r="347" spans="3:37"/>
    <row r="348" spans="3:37"/>
    <row r="349" spans="3:37"/>
    <row r="350" spans="3:37"/>
    <row r="351" spans="3:37"/>
    <row r="352" spans="3:37"/>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sheetData>
  <mergeCells count="433">
    <mergeCell ref="B1:AK1"/>
    <mergeCell ref="B3:AK3"/>
    <mergeCell ref="H6:I7"/>
    <mergeCell ref="J6:J7"/>
    <mergeCell ref="K6:M7"/>
    <mergeCell ref="K10:P10"/>
    <mergeCell ref="N6:P6"/>
    <mergeCell ref="N7:P7"/>
    <mergeCell ref="H8:I9"/>
    <mergeCell ref="J8:J9"/>
    <mergeCell ref="H11:I12"/>
    <mergeCell ref="J11:J12"/>
    <mergeCell ref="K11:M12"/>
    <mergeCell ref="N11:S11"/>
    <mergeCell ref="N12:S12"/>
    <mergeCell ref="K8:M9"/>
    <mergeCell ref="N8:P8"/>
    <mergeCell ref="N9:P9"/>
    <mergeCell ref="H21:I22"/>
    <mergeCell ref="J21:J22"/>
    <mergeCell ref="K21:P21"/>
    <mergeCell ref="K22:P22"/>
    <mergeCell ref="K15:P15"/>
    <mergeCell ref="W12:AC12"/>
    <mergeCell ref="J13:J14"/>
    <mergeCell ref="K13:M14"/>
    <mergeCell ref="N13:Z13"/>
    <mergeCell ref="N14:Z14"/>
    <mergeCell ref="J23:J25"/>
    <mergeCell ref="K23:T24"/>
    <mergeCell ref="U35:X36"/>
    <mergeCell ref="N37:R37"/>
    <mergeCell ref="P41:V41"/>
    <mergeCell ref="K35:K36"/>
    <mergeCell ref="U23:V24"/>
    <mergeCell ref="K25:R25"/>
    <mergeCell ref="S25:W25"/>
    <mergeCell ref="Q32:Q33"/>
    <mergeCell ref="R32:R33"/>
    <mergeCell ref="K26:P26"/>
    <mergeCell ref="K32:K33"/>
    <mergeCell ref="M32:M33"/>
    <mergeCell ref="O32:O33"/>
    <mergeCell ref="U43:U44"/>
    <mergeCell ref="V43:Y44"/>
    <mergeCell ref="M45:AK45"/>
    <mergeCell ref="J48:K49"/>
    <mergeCell ref="L48:L49"/>
    <mergeCell ref="M48:N48"/>
    <mergeCell ref="M35:M36"/>
    <mergeCell ref="O35:R36"/>
    <mergeCell ref="T48:U49"/>
    <mergeCell ref="K42:K44"/>
    <mergeCell ref="L42:L44"/>
    <mergeCell ref="M42:N44"/>
    <mergeCell ref="P42:T42"/>
    <mergeCell ref="P43:S44"/>
    <mergeCell ref="T35:T36"/>
    <mergeCell ref="M49:N49"/>
    <mergeCell ref="P49:R49"/>
    <mergeCell ref="O48:O49"/>
    <mergeCell ref="P48:R48"/>
    <mergeCell ref="S48:S49"/>
    <mergeCell ref="K40:K41"/>
    <mergeCell ref="L40:L41"/>
    <mergeCell ref="M40:N41"/>
    <mergeCell ref="P40:V40"/>
    <mergeCell ref="J51:K52"/>
    <mergeCell ref="L51:L52"/>
    <mergeCell ref="M51:S51"/>
    <mergeCell ref="M52:S52"/>
    <mergeCell ref="M55:P55"/>
    <mergeCell ref="J57:K58"/>
    <mergeCell ref="L57:L58"/>
    <mergeCell ref="M57:Q57"/>
    <mergeCell ref="M58:Q58"/>
    <mergeCell ref="L53:L54"/>
    <mergeCell ref="M53:T53"/>
    <mergeCell ref="U53:V53"/>
    <mergeCell ref="W53:AC53"/>
    <mergeCell ref="M54:T54"/>
    <mergeCell ref="U54:V54"/>
    <mergeCell ref="W54:AC54"/>
    <mergeCell ref="M61:P61"/>
    <mergeCell ref="J63:K64"/>
    <mergeCell ref="L63:L64"/>
    <mergeCell ref="M63:N63"/>
    <mergeCell ref="O63:O64"/>
    <mergeCell ref="P63:R63"/>
    <mergeCell ref="L59:L60"/>
    <mergeCell ref="M59:W59"/>
    <mergeCell ref="M60:Q60"/>
    <mergeCell ref="R60:S60"/>
    <mergeCell ref="T60:W60"/>
    <mergeCell ref="I65:K66"/>
    <mergeCell ref="L65:L66"/>
    <mergeCell ref="M65:Y65"/>
    <mergeCell ref="M66:Y66"/>
    <mergeCell ref="S63:S64"/>
    <mergeCell ref="T63:V64"/>
    <mergeCell ref="W63:Z64"/>
    <mergeCell ref="M64:N64"/>
    <mergeCell ref="P64:R64"/>
    <mergeCell ref="I70:K71"/>
    <mergeCell ref="L70:L71"/>
    <mergeCell ref="M70:Y70"/>
    <mergeCell ref="M71:Y71"/>
    <mergeCell ref="W67:X67"/>
    <mergeCell ref="Y67:AA67"/>
    <mergeCell ref="AB67:AE67"/>
    <mergeCell ref="M68:U68"/>
    <mergeCell ref="V68:X68"/>
    <mergeCell ref="L67:L68"/>
    <mergeCell ref="M67:Q67"/>
    <mergeCell ref="R67:S67"/>
    <mergeCell ref="T67:V67"/>
    <mergeCell ref="Y72:AA72"/>
    <mergeCell ref="AB72:AE72"/>
    <mergeCell ref="M73:U73"/>
    <mergeCell ref="V73:X73"/>
    <mergeCell ref="L72:L73"/>
    <mergeCell ref="M72:Q72"/>
    <mergeCell ref="R72:S72"/>
    <mergeCell ref="T72:V72"/>
    <mergeCell ref="M69:P69"/>
    <mergeCell ref="R77:T78"/>
    <mergeCell ref="Q78:Q79"/>
    <mergeCell ref="N79:P80"/>
    <mergeCell ref="R79:T80"/>
    <mergeCell ref="M74:P74"/>
    <mergeCell ref="K76:K78"/>
    <mergeCell ref="L76:L78"/>
    <mergeCell ref="N77:P78"/>
    <mergeCell ref="W72:X72"/>
    <mergeCell ref="N87:Q87"/>
    <mergeCell ref="F91:I92"/>
    <mergeCell ref="J91:O91"/>
    <mergeCell ref="P91:P92"/>
    <mergeCell ref="Q91:T92"/>
    <mergeCell ref="J92:O92"/>
    <mergeCell ref="S83:V84"/>
    <mergeCell ref="R84:R85"/>
    <mergeCell ref="N85:Q86"/>
    <mergeCell ref="S85:V86"/>
    <mergeCell ref="K82:K84"/>
    <mergeCell ref="L82:L84"/>
    <mergeCell ref="N82:P82"/>
    <mergeCell ref="N83:Q84"/>
    <mergeCell ref="B94:E97"/>
    <mergeCell ref="F94:I95"/>
    <mergeCell ref="K94:N95"/>
    <mergeCell ref="P94:P97"/>
    <mergeCell ref="U91:Z91"/>
    <mergeCell ref="AA91:AA92"/>
    <mergeCell ref="AB91:AC91"/>
    <mergeCell ref="AD91:AH92"/>
    <mergeCell ref="U92:Z92"/>
    <mergeCell ref="AB92:AC92"/>
    <mergeCell ref="AG94:AH95"/>
    <mergeCell ref="AI94:AK97"/>
    <mergeCell ref="F96:I97"/>
    <mergeCell ref="J96:K97"/>
    <mergeCell ref="L96:O97"/>
    <mergeCell ref="T96:W97"/>
    <mergeCell ref="X96:Y97"/>
    <mergeCell ref="Z96:AB97"/>
    <mergeCell ref="AD96:AF97"/>
    <mergeCell ref="AG96:AH97"/>
    <mergeCell ref="Q94:S97"/>
    <mergeCell ref="T94:W95"/>
    <mergeCell ref="Y94:AB95"/>
    <mergeCell ref="AD94:AF95"/>
    <mergeCell ref="I104:L104"/>
    <mergeCell ref="O104:Q104"/>
    <mergeCell ref="R114:AK114"/>
    <mergeCell ref="R115:AK115"/>
    <mergeCell ref="G103:J103"/>
    <mergeCell ref="L103:N103"/>
    <mergeCell ref="O103:R103"/>
    <mergeCell ref="T103:V103"/>
    <mergeCell ref="F99:I102"/>
    <mergeCell ref="J99:O100"/>
    <mergeCell ref="P99:P102"/>
    <mergeCell ref="Q99:U102"/>
    <mergeCell ref="J101:O102"/>
    <mergeCell ref="R126:X126"/>
    <mergeCell ref="D127:AK127"/>
    <mergeCell ref="K128:L129"/>
    <mergeCell ref="M128:M129"/>
    <mergeCell ref="N128:Q128"/>
    <mergeCell ref="N129:Q129"/>
    <mergeCell ref="N121:S121"/>
    <mergeCell ref="R123:X123"/>
    <mergeCell ref="R124:X124"/>
    <mergeCell ref="R125:X125"/>
    <mergeCell ref="R140:X140"/>
    <mergeCell ref="R141:X141"/>
    <mergeCell ref="R143:X143"/>
    <mergeCell ref="G146:K146"/>
    <mergeCell ref="F134:K134"/>
    <mergeCell ref="O134:R134"/>
    <mergeCell ref="X138:AC138"/>
    <mergeCell ref="R139:X139"/>
    <mergeCell ref="M130:M132"/>
    <mergeCell ref="N130:T131"/>
    <mergeCell ref="V130:V132"/>
    <mergeCell ref="W130:AB132"/>
    <mergeCell ref="N132:U132"/>
    <mergeCell ref="X155:Y158"/>
    <mergeCell ref="Z155:Z158"/>
    <mergeCell ref="AA155:AG158"/>
    <mergeCell ref="N157:P158"/>
    <mergeCell ref="M155:M158"/>
    <mergeCell ref="N155:P156"/>
    <mergeCell ref="Q155:T158"/>
    <mergeCell ref="U155:V158"/>
    <mergeCell ref="G147:K147"/>
    <mergeCell ref="O147:U147"/>
    <mergeCell ref="K153:L154"/>
    <mergeCell ref="M153:M154"/>
    <mergeCell ref="N153:P153"/>
    <mergeCell ref="Q153:V154"/>
    <mergeCell ref="N154:P154"/>
    <mergeCell ref="G164:H165"/>
    <mergeCell ref="I164:I165"/>
    <mergeCell ref="J164:M164"/>
    <mergeCell ref="N164:N165"/>
    <mergeCell ref="W169:AJ169"/>
    <mergeCell ref="AE159:AG159"/>
    <mergeCell ref="AE160:AF160"/>
    <mergeCell ref="Y161:Z161"/>
    <mergeCell ref="Y162:Z162"/>
    <mergeCell ref="J165:M165"/>
    <mergeCell ref="P164:P165"/>
    <mergeCell ref="Q164:W164"/>
    <mergeCell ref="X164:X165"/>
    <mergeCell ref="Y164:AA164"/>
    <mergeCell ref="V173:Z173"/>
    <mergeCell ref="R174:AC174"/>
    <mergeCell ref="T175:V175"/>
    <mergeCell ref="AC179:AK179"/>
    <mergeCell ref="W171:AJ171"/>
    <mergeCell ref="V172:Z172"/>
    <mergeCell ref="AB164:AB165"/>
    <mergeCell ref="AC164:AE165"/>
    <mergeCell ref="AF164:AK165"/>
    <mergeCell ref="Y165:AA165"/>
    <mergeCell ref="W168:AJ168"/>
    <mergeCell ref="Q165:W165"/>
    <mergeCell ref="M185:M186"/>
    <mergeCell ref="N185:T186"/>
    <mergeCell ref="U185:U186"/>
    <mergeCell ref="V185:AB186"/>
    <mergeCell ref="O181:AK181"/>
    <mergeCell ref="K183:L184"/>
    <mergeCell ref="M183:M184"/>
    <mergeCell ref="N183:O183"/>
    <mergeCell ref="P183:P184"/>
    <mergeCell ref="Q183:U183"/>
    <mergeCell ref="N184:O184"/>
    <mergeCell ref="Q184:U184"/>
    <mergeCell ref="F188:K188"/>
    <mergeCell ref="O188:T188"/>
    <mergeCell ref="K199:L200"/>
    <mergeCell ref="M199:M200"/>
    <mergeCell ref="N199:N200"/>
    <mergeCell ref="O199:R199"/>
    <mergeCell ref="S199:S200"/>
    <mergeCell ref="T199:W199"/>
    <mergeCell ref="O200:R200"/>
    <mergeCell ref="T200:W200"/>
    <mergeCell ref="T203:T204"/>
    <mergeCell ref="U203:Y203"/>
    <mergeCell ref="O204:S204"/>
    <mergeCell ref="U204:Y204"/>
    <mergeCell ref="K203:L204"/>
    <mergeCell ref="M203:M204"/>
    <mergeCell ref="N203:N204"/>
    <mergeCell ref="O203:S203"/>
    <mergeCell ref="S201:S202"/>
    <mergeCell ref="T201:W201"/>
    <mergeCell ref="O202:R202"/>
    <mergeCell ref="T202:W202"/>
    <mergeCell ref="K201:L202"/>
    <mergeCell ref="M201:M202"/>
    <mergeCell ref="N201:N202"/>
    <mergeCell ref="O201:R201"/>
    <mergeCell ref="N205:S205"/>
    <mergeCell ref="T206:V206"/>
    <mergeCell ref="O211:AK211"/>
    <mergeCell ref="K213:L214"/>
    <mergeCell ref="M213:M214"/>
    <mergeCell ref="N213:O213"/>
    <mergeCell ref="P213:P214"/>
    <mergeCell ref="Q213:V213"/>
    <mergeCell ref="N214:O214"/>
    <mergeCell ref="Q214:V214"/>
    <mergeCell ref="O226:R226"/>
    <mergeCell ref="T226:W226"/>
    <mergeCell ref="O227:S227"/>
    <mergeCell ref="U227:Y227"/>
    <mergeCell ref="E217:K217"/>
    <mergeCell ref="O217:T217"/>
    <mergeCell ref="O225:R225"/>
    <mergeCell ref="T225:W225"/>
    <mergeCell ref="M215:M216"/>
    <mergeCell ref="N215:T216"/>
    <mergeCell ref="U215:U216"/>
    <mergeCell ref="V215:AB216"/>
    <mergeCell ref="N228:S228"/>
    <mergeCell ref="T229:V229"/>
    <mergeCell ref="O234:AK234"/>
    <mergeCell ref="K236:L237"/>
    <mergeCell ref="M236:M237"/>
    <mergeCell ref="N236:O236"/>
    <mergeCell ref="P236:P237"/>
    <mergeCell ref="Q236:V236"/>
    <mergeCell ref="N237:O237"/>
    <mergeCell ref="Q237:V237"/>
    <mergeCell ref="E240:K240"/>
    <mergeCell ref="O240:T240"/>
    <mergeCell ref="K247:L248"/>
    <mergeCell ref="M247:M248"/>
    <mergeCell ref="O247:T247"/>
    <mergeCell ref="M238:M239"/>
    <mergeCell ref="N238:T239"/>
    <mergeCell ref="U238:U239"/>
    <mergeCell ref="V238:AB239"/>
    <mergeCell ref="L251:N251"/>
    <mergeCell ref="K255:L256"/>
    <mergeCell ref="M255:M256"/>
    <mergeCell ref="O255:P255"/>
    <mergeCell ref="U247:U248"/>
    <mergeCell ref="V247:V248"/>
    <mergeCell ref="O248:T248"/>
    <mergeCell ref="L250:N250"/>
    <mergeCell ref="Q255:T256"/>
    <mergeCell ref="O256:P256"/>
    <mergeCell ref="R290:U290"/>
    <mergeCell ref="Y290:AB290"/>
    <mergeCell ref="R294:U294"/>
    <mergeCell ref="R295:U295"/>
    <mergeCell ref="B285:AK285"/>
    <mergeCell ref="R288:U288"/>
    <mergeCell ref="R289:U289"/>
    <mergeCell ref="V257:V258"/>
    <mergeCell ref="W257:Z258"/>
    <mergeCell ref="P258:Q258"/>
    <mergeCell ref="S258:U258"/>
    <mergeCell ref="E257:M258"/>
    <mergeCell ref="N257:O258"/>
    <mergeCell ref="P257:Q257"/>
    <mergeCell ref="R257:R258"/>
    <mergeCell ref="S257:U257"/>
    <mergeCell ref="O261:Q261"/>
    <mergeCell ref="P299:P300"/>
    <mergeCell ref="Q299:U299"/>
    <mergeCell ref="V299:X300"/>
    <mergeCell ref="Y299:Y300"/>
    <mergeCell ref="M297:O298"/>
    <mergeCell ref="P297:P298"/>
    <mergeCell ref="Q297:W297"/>
    <mergeCell ref="X297:Z298"/>
    <mergeCell ref="Q298:W298"/>
    <mergeCell ref="U302:X302"/>
    <mergeCell ref="U303:X303"/>
    <mergeCell ref="U304:X304"/>
    <mergeCell ref="U305:X305"/>
    <mergeCell ref="Z299:AD300"/>
    <mergeCell ref="AE299:AF300"/>
    <mergeCell ref="Q300:U300"/>
    <mergeCell ref="R301:U301"/>
    <mergeCell ref="AB301:AE301"/>
    <mergeCell ref="M315:O316"/>
    <mergeCell ref="P315:P316"/>
    <mergeCell ref="Q315:T315"/>
    <mergeCell ref="U315:U316"/>
    <mergeCell ref="V315:Y315"/>
    <mergeCell ref="Z315:Z316"/>
    <mergeCell ref="U306:X306"/>
    <mergeCell ref="R309:U309"/>
    <mergeCell ref="R310:U310"/>
    <mergeCell ref="Z310:AC310"/>
    <mergeCell ref="AD315:AE316"/>
    <mergeCell ref="Q316:T316"/>
    <mergeCell ref="V316:Y316"/>
    <mergeCell ref="AB317:AE317"/>
    <mergeCell ref="P320:P321"/>
    <mergeCell ref="R311:U311"/>
    <mergeCell ref="AB312:AE312"/>
    <mergeCell ref="R313:U313"/>
    <mergeCell ref="AA315:AC316"/>
    <mergeCell ref="AA320:AC321"/>
    <mergeCell ref="AH320:AK321"/>
    <mergeCell ref="V321:Y321"/>
    <mergeCell ref="AE320:AG321"/>
    <mergeCell ref="M318:O319"/>
    <mergeCell ref="P318:P319"/>
    <mergeCell ref="Q318:U319"/>
    <mergeCell ref="V318:W318"/>
    <mergeCell ref="X318:X319"/>
    <mergeCell ref="Y318:AA319"/>
    <mergeCell ref="V319:W319"/>
    <mergeCell ref="M330:O331"/>
    <mergeCell ref="P330:P331"/>
    <mergeCell ref="Q330:U330"/>
    <mergeCell ref="V330:X331"/>
    <mergeCell ref="Q331:U331"/>
    <mergeCell ref="Z320:Z321"/>
    <mergeCell ref="AD322:AG322"/>
    <mergeCell ref="AF327:AG328"/>
    <mergeCell ref="Q328:Z328"/>
    <mergeCell ref="P327:P328"/>
    <mergeCell ref="Q327:Z327"/>
    <mergeCell ref="AA327:AA328"/>
    <mergeCell ref="AB327:AE328"/>
    <mergeCell ref="AD320:AD321"/>
    <mergeCell ref="M325:O326"/>
    <mergeCell ref="P325:P326"/>
    <mergeCell ref="Q325:W325"/>
    <mergeCell ref="Q326:W326"/>
    <mergeCell ref="Q320:U321"/>
    <mergeCell ref="V320:Y320"/>
    <mergeCell ref="AE332:AF333"/>
    <mergeCell ref="Q333:U333"/>
    <mergeCell ref="X336:AB336"/>
    <mergeCell ref="P332:P333"/>
    <mergeCell ref="Q332:S332"/>
    <mergeCell ref="V332:X333"/>
    <mergeCell ref="Y332:Y333"/>
    <mergeCell ref="I337:M337"/>
    <mergeCell ref="Q337:U337"/>
    <mergeCell ref="Z332:AD333"/>
  </mergeCells>
  <phoneticPr fontId="152" type="noConversion"/>
  <dataValidations count="1">
    <dataValidation allowBlank="1" showInputMessage="1" showErrorMessage="1" prompt="chiều dài 2 nữa khoảng trụ = khoảng trụ xa nhất" sqref="R174:AC174" xr:uid="{00000000-0002-0000-0200-000000000000}"/>
  </dataValidations>
  <pageMargins left="0.75" right="0.75" top="1" bottom="1" header="0.5" footer="0.5"/>
  <headerFooter alignWithMargins="0"/>
  <drawing r:id="rId1"/>
  <legacyDrawing r:id="rId2"/>
  <oleObjects>
    <mc:AlternateContent xmlns:mc="http://schemas.openxmlformats.org/markup-compatibility/2006">
      <mc:Choice Requires="x14">
        <oleObject progId="Visio.Drawing.11" shapeId="66639" r:id="rId3">
          <objectPr defaultSize="0" autoPict="0" r:id="rId4">
            <anchor moveWithCells="1">
              <from>
                <xdr:col>4</xdr:col>
                <xdr:colOff>76200</xdr:colOff>
                <xdr:row>104</xdr:row>
                <xdr:rowOff>142875</xdr:rowOff>
              </from>
              <to>
                <xdr:col>4</xdr:col>
                <xdr:colOff>76200</xdr:colOff>
                <xdr:row>113</xdr:row>
                <xdr:rowOff>38100</xdr:rowOff>
              </to>
            </anchor>
          </objectPr>
        </oleObject>
      </mc:Choice>
      <mc:Fallback>
        <oleObject progId="Visio.Drawing.11" shapeId="66639" r:id="rId3"/>
      </mc:Fallback>
    </mc:AlternateContent>
    <mc:AlternateContent xmlns:mc="http://schemas.openxmlformats.org/markup-compatibility/2006">
      <mc:Choice Requires="x14">
        <oleObject progId="Visio.Drawing.11" shapeId="66642" r:id="rId5">
          <objectPr defaultSize="0" r:id="rId6">
            <anchor moveWithCells="1">
              <from>
                <xdr:col>7</xdr:col>
                <xdr:colOff>0</xdr:colOff>
                <xdr:row>192</xdr:row>
                <xdr:rowOff>0</xdr:rowOff>
              </from>
              <to>
                <xdr:col>7</xdr:col>
                <xdr:colOff>0</xdr:colOff>
                <xdr:row>196</xdr:row>
                <xdr:rowOff>161925</xdr:rowOff>
              </to>
            </anchor>
          </objectPr>
        </oleObject>
      </mc:Choice>
      <mc:Fallback>
        <oleObject progId="Visio.Drawing.11" shapeId="66642" r:id="rId5"/>
      </mc:Fallback>
    </mc:AlternateContent>
    <mc:AlternateContent xmlns:mc="http://schemas.openxmlformats.org/markup-compatibility/2006">
      <mc:Choice Requires="x14">
        <oleObject progId="Visio.Drawing.11" shapeId="66643" r:id="rId7">
          <objectPr defaultSize="0" r:id="rId8">
            <anchor moveWithCells="1">
              <from>
                <xdr:col>20</xdr:col>
                <xdr:colOff>123825</xdr:colOff>
                <xdr:row>317</xdr:row>
                <xdr:rowOff>9525</xdr:rowOff>
              </from>
              <to>
                <xdr:col>20</xdr:col>
                <xdr:colOff>123825</xdr:colOff>
                <xdr:row>319</xdr:row>
                <xdr:rowOff>9525</xdr:rowOff>
              </to>
            </anchor>
          </objectPr>
        </oleObject>
      </mc:Choice>
      <mc:Fallback>
        <oleObject progId="Visio.Drawing.11" shapeId="66643" r:id="rId7"/>
      </mc:Fallback>
    </mc:AlternateContent>
    <mc:AlternateContent xmlns:mc="http://schemas.openxmlformats.org/markup-compatibility/2006">
      <mc:Choice Requires="x14">
        <oleObject progId="Visio.Drawing.11" shapeId="66644" r:id="rId9">
          <objectPr defaultSize="0" r:id="rId10">
            <anchor moveWithCells="1">
              <from>
                <xdr:col>20</xdr:col>
                <xdr:colOff>123825</xdr:colOff>
                <xdr:row>319</xdr:row>
                <xdr:rowOff>9525</xdr:rowOff>
              </from>
              <to>
                <xdr:col>20</xdr:col>
                <xdr:colOff>123825</xdr:colOff>
                <xdr:row>321</xdr:row>
                <xdr:rowOff>9525</xdr:rowOff>
              </to>
            </anchor>
          </objectPr>
        </oleObject>
      </mc:Choice>
      <mc:Fallback>
        <oleObject progId="Visio.Drawing.11" shapeId="66644" r:id="rId9"/>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2">
    <tabColor indexed="52"/>
  </sheetPr>
  <dimension ref="A1:T46"/>
  <sheetViews>
    <sheetView showGridLines="0" showRuler="0" view="pageLayout" topLeftCell="A13" zoomScaleNormal="100" workbookViewId="0">
      <selection activeCell="C10" sqref="C10:D10"/>
    </sheetView>
  </sheetViews>
  <sheetFormatPr defaultColWidth="8.83203125" defaultRowHeight="15" zeroHeight="1"/>
  <cols>
    <col min="1" max="1" width="4.83203125" style="265" customWidth="1"/>
    <col min="2" max="2" width="64" style="260" customWidth="1"/>
    <col min="3" max="3" width="8" style="265" customWidth="1"/>
    <col min="4" max="4" width="29.83203125" style="260" customWidth="1"/>
    <col min="5" max="5" width="17.83203125" style="260" customWidth="1"/>
    <col min="6" max="6" width="7.83203125" style="260" customWidth="1"/>
    <col min="7" max="7" width="13.6640625" style="260" customWidth="1"/>
    <col min="8" max="8" width="18.83203125" style="260" customWidth="1"/>
    <col min="9" max="9" width="0.83203125" style="260" customWidth="1"/>
    <col min="10" max="10" width="4.1640625" style="260" customWidth="1"/>
    <col min="11" max="11" width="7.33203125" style="260" customWidth="1"/>
    <col min="12" max="12" width="10.83203125" style="260" customWidth="1"/>
    <col min="13" max="16384" width="8.83203125" style="260"/>
  </cols>
  <sheetData>
    <row r="1" spans="1:11" ht="18.75">
      <c r="A1" s="2028" t="s">
        <v>6246</v>
      </c>
      <c r="B1" s="2028"/>
      <c r="C1" s="2028"/>
      <c r="D1" s="2028"/>
      <c r="E1" s="2028"/>
      <c r="F1" s="2028"/>
      <c r="G1" s="2028"/>
      <c r="H1" s="2028"/>
    </row>
    <row r="2" spans="1:11" ht="15.75">
      <c r="A2" s="2029" t="s">
        <v>490</v>
      </c>
      <c r="B2" s="2029"/>
      <c r="C2" s="2029"/>
      <c r="D2" s="2029"/>
      <c r="E2" s="2029"/>
      <c r="F2" s="2029"/>
      <c r="G2" s="2029"/>
      <c r="H2" s="2029"/>
    </row>
    <row r="3" spans="1:11" ht="5.0999999999999996" customHeight="1">
      <c r="A3" s="1248"/>
      <c r="B3" s="261"/>
      <c r="C3" s="262"/>
      <c r="D3" s="261"/>
      <c r="E3" s="261"/>
      <c r="F3" s="263"/>
    </row>
    <row r="4" spans="1:11" ht="38.25" customHeight="1">
      <c r="A4" s="518" t="s">
        <v>6345</v>
      </c>
      <c r="B4" s="518" t="s">
        <v>3311</v>
      </c>
      <c r="C4" s="520" t="s">
        <v>3312</v>
      </c>
      <c r="D4" s="520" t="s">
        <v>3313</v>
      </c>
      <c r="E4" s="520" t="s">
        <v>4391</v>
      </c>
      <c r="F4" s="158" t="s">
        <v>807</v>
      </c>
      <c r="G4" s="158" t="s">
        <v>808</v>
      </c>
      <c r="H4" s="158" t="s">
        <v>3315</v>
      </c>
    </row>
    <row r="5" spans="1:11" ht="18" customHeight="1">
      <c r="A5" s="521" t="s">
        <v>5284</v>
      </c>
      <c r="B5" s="522" t="s">
        <v>3316</v>
      </c>
      <c r="C5" s="535" t="s">
        <v>3317</v>
      </c>
      <c r="D5" s="1118" t="s">
        <v>841</v>
      </c>
      <c r="E5" s="1126">
        <f>SUM(E6:E7)</f>
        <v>50565660</v>
      </c>
      <c r="F5" s="1126"/>
      <c r="G5" s="1126">
        <f>SUM(G6:G7)</f>
        <v>5056566</v>
      </c>
      <c r="H5" s="1126">
        <f>SUM(H6:H7)</f>
        <v>55622226</v>
      </c>
    </row>
    <row r="6" spans="1:11" ht="18" customHeight="1">
      <c r="A6" s="1101" t="s">
        <v>1237</v>
      </c>
      <c r="B6" s="1063" t="s">
        <v>2571</v>
      </c>
      <c r="C6" s="528" t="s">
        <v>5665</v>
      </c>
      <c r="D6" s="525" t="s">
        <v>3798</v>
      </c>
      <c r="E6" s="1126">
        <f>'II.3.1.vltram'!I12</f>
        <v>41101712</v>
      </c>
      <c r="F6" s="1124" t="s">
        <v>5279</v>
      </c>
      <c r="G6" s="1132">
        <f>ROUND(E6*10%,0)</f>
        <v>4110171</v>
      </c>
      <c r="H6" s="1132">
        <f>E6+G6</f>
        <v>45211883</v>
      </c>
    </row>
    <row r="7" spans="1:11" s="264" customFormat="1" ht="15.95" customHeight="1">
      <c r="A7" s="1102" t="s">
        <v>154</v>
      </c>
      <c r="B7" s="536" t="s">
        <v>3480</v>
      </c>
      <c r="C7" s="528" t="s">
        <v>5666</v>
      </c>
      <c r="D7" s="525"/>
      <c r="E7" s="1132">
        <f>SUM(E8:E9)</f>
        <v>9463948</v>
      </c>
      <c r="F7" s="1124" t="s">
        <v>5279</v>
      </c>
      <c r="G7" s="1132">
        <f>SUM(G8:G9)</f>
        <v>946395</v>
      </c>
      <c r="H7" s="1132">
        <f>SUM(H8:H9)</f>
        <v>10410343</v>
      </c>
      <c r="I7" s="260"/>
      <c r="J7" s="260"/>
      <c r="K7" s="260"/>
    </row>
    <row r="8" spans="1:11" s="264" customFormat="1">
      <c r="A8" s="524">
        <v>1</v>
      </c>
      <c r="B8" s="527" t="s">
        <v>5169</v>
      </c>
      <c r="C8" s="528"/>
      <c r="D8" s="525" t="s">
        <v>4868</v>
      </c>
      <c r="E8" s="865">
        <f>ROUND('II.3.2.xdtram'!I16,0)</f>
        <v>222973</v>
      </c>
      <c r="F8" s="1124" t="s">
        <v>5279</v>
      </c>
      <c r="G8" s="865">
        <f>ROUND(E8*10%,0)</f>
        <v>22297</v>
      </c>
      <c r="H8" s="865">
        <f>E8+G8</f>
        <v>245270</v>
      </c>
      <c r="I8" s="260"/>
      <c r="J8" s="260"/>
      <c r="K8" s="260"/>
    </row>
    <row r="9" spans="1:11" s="264" customFormat="1">
      <c r="A9" s="524">
        <v>2</v>
      </c>
      <c r="B9" s="527" t="s">
        <v>3479</v>
      </c>
      <c r="C9" s="528"/>
      <c r="D9" s="525" t="s">
        <v>5170</v>
      </c>
      <c r="E9" s="865">
        <f>ROUND('II.3.4.ldvltram'!I16,0)</f>
        <v>9240975</v>
      </c>
      <c r="F9" s="1124" t="s">
        <v>5279</v>
      </c>
      <c r="G9" s="865">
        <f>ROUND(E9*10%,0)</f>
        <v>924098</v>
      </c>
      <c r="H9" s="865">
        <f>E9+G9</f>
        <v>10165073</v>
      </c>
      <c r="I9" s="260"/>
      <c r="J9" s="260"/>
      <c r="K9" s="260"/>
    </row>
    <row r="10" spans="1:11" ht="18" customHeight="1">
      <c r="A10" s="521" t="s">
        <v>1233</v>
      </c>
      <c r="B10" s="522" t="s">
        <v>5280</v>
      </c>
      <c r="C10" s="535" t="s">
        <v>5281</v>
      </c>
      <c r="D10" s="1117" t="s">
        <v>842</v>
      </c>
      <c r="E10" s="1126">
        <f>E11+E14</f>
        <v>197908603</v>
      </c>
      <c r="F10" s="1126"/>
      <c r="G10" s="1126">
        <f>G11+G14</f>
        <v>19790860</v>
      </c>
      <c r="H10" s="1126">
        <f>E10+G10</f>
        <v>217699463</v>
      </c>
    </row>
    <row r="11" spans="1:11" s="264" customFormat="1">
      <c r="A11" s="539" t="s">
        <v>1238</v>
      </c>
      <c r="B11" s="536" t="s">
        <v>1234</v>
      </c>
      <c r="C11" s="1106" t="s">
        <v>5669</v>
      </c>
      <c r="D11" s="525"/>
      <c r="E11" s="1132">
        <f>SUM(E12:E13)</f>
        <v>189315000</v>
      </c>
      <c r="F11" s="1133"/>
      <c r="G11" s="1132">
        <f>SUM(G12:G13)</f>
        <v>18931500</v>
      </c>
      <c r="H11" s="1132">
        <f>SUM(H12:H13)</f>
        <v>208246500</v>
      </c>
      <c r="I11" s="260"/>
      <c r="J11" s="260"/>
      <c r="K11" s="260"/>
    </row>
    <row r="12" spans="1:11" s="264" customFormat="1">
      <c r="A12" s="524">
        <v>1</v>
      </c>
      <c r="B12" s="527" t="s">
        <v>4480</v>
      </c>
      <c r="C12" s="540"/>
      <c r="D12" s="525" t="s">
        <v>5141</v>
      </c>
      <c r="E12" s="865">
        <f>ROUND('II.3.5.nc+mtcTRAM'!J20,0)</f>
        <v>189315000</v>
      </c>
      <c r="F12" s="1124" t="s">
        <v>5279</v>
      </c>
      <c r="G12" s="865">
        <f>ROUND(E12*10%,0)</f>
        <v>18931500</v>
      </c>
      <c r="H12" s="865">
        <f>E12+G12</f>
        <v>208246500</v>
      </c>
      <c r="I12" s="260"/>
      <c r="J12" s="260"/>
      <c r="K12" s="260"/>
    </row>
    <row r="13" spans="1:11" s="264" customFormat="1">
      <c r="A13" s="524">
        <v>2</v>
      </c>
      <c r="B13" s="527" t="s">
        <v>806</v>
      </c>
      <c r="C13" s="540"/>
      <c r="D13" s="525"/>
      <c r="E13" s="865"/>
      <c r="F13" s="1124" t="s">
        <v>5279</v>
      </c>
      <c r="G13" s="865"/>
      <c r="H13" s="865">
        <f>E13+G13</f>
        <v>0</v>
      </c>
      <c r="I13" s="260"/>
      <c r="J13" s="260"/>
      <c r="K13" s="260"/>
    </row>
    <row r="14" spans="1:11" s="264" customFormat="1">
      <c r="A14" s="539" t="s">
        <v>1239</v>
      </c>
      <c r="B14" s="536" t="s">
        <v>994</v>
      </c>
      <c r="C14" s="1106" t="s">
        <v>5527</v>
      </c>
      <c r="D14" s="525"/>
      <c r="E14" s="1132">
        <f>SUM(E15:E16)</f>
        <v>8593603</v>
      </c>
      <c r="F14" s="1134"/>
      <c r="G14" s="1132">
        <f>SUM(G15:G16)</f>
        <v>859360</v>
      </c>
      <c r="H14" s="1132">
        <f>SUM(H15:H16)</f>
        <v>9452963</v>
      </c>
      <c r="I14" s="260"/>
      <c r="J14" s="260"/>
      <c r="K14" s="260"/>
    </row>
    <row r="15" spans="1:11" s="264" customFormat="1">
      <c r="A15" s="524">
        <v>1</v>
      </c>
      <c r="B15" s="527" t="s">
        <v>3796</v>
      </c>
      <c r="C15" s="540"/>
      <c r="D15" s="525" t="s">
        <v>3799</v>
      </c>
      <c r="E15" s="865">
        <f>ROUND('II.3.3.ldtbtram'!I16,0)</f>
        <v>8593603</v>
      </c>
      <c r="F15" s="1124" t="s">
        <v>5279</v>
      </c>
      <c r="G15" s="865">
        <f>ROUND(E15*10%,0)</f>
        <v>859360</v>
      </c>
      <c r="H15" s="865">
        <f>E15+G15</f>
        <v>9452963</v>
      </c>
      <c r="I15" s="260"/>
      <c r="J15" s="260"/>
      <c r="K15" s="260"/>
    </row>
    <row r="16" spans="1:11" s="264" customFormat="1">
      <c r="A16" s="524">
        <v>2</v>
      </c>
      <c r="B16" s="527" t="s">
        <v>1524</v>
      </c>
      <c r="C16" s="540"/>
      <c r="D16" s="525"/>
      <c r="E16" s="865"/>
      <c r="F16" s="1124"/>
      <c r="G16" s="865"/>
      <c r="H16" s="865">
        <f>E16+G16</f>
        <v>0</v>
      </c>
      <c r="I16" s="260"/>
      <c r="J16" s="260"/>
      <c r="K16" s="260"/>
    </row>
    <row r="17" spans="1:20" ht="18" customHeight="1">
      <c r="A17" s="521" t="s">
        <v>4085</v>
      </c>
      <c r="B17" s="522" t="s">
        <v>1784</v>
      </c>
      <c r="C17" s="535" t="s">
        <v>513</v>
      </c>
      <c r="D17" s="1117" t="str">
        <f>K17&amp;"% x (GXD+ GTB)"</f>
        <v>3,453% x (GXD+ GTB)</v>
      </c>
      <c r="E17" s="1310">
        <f>ROUND(K17%*(E5+E10),0)</f>
        <v>8579816</v>
      </c>
      <c r="F17" s="1124" t="s">
        <v>5279</v>
      </c>
      <c r="G17" s="865">
        <f>ROUND(E17*10%,0)</f>
        <v>857982</v>
      </c>
      <c r="H17" s="1132">
        <f>E17+G17</f>
        <v>9437798</v>
      </c>
      <c r="K17" s="89">
        <f>'Noi suy'!O22</f>
        <v>3.4529999999999998</v>
      </c>
      <c r="L17" s="85" t="s">
        <v>5709</v>
      </c>
    </row>
    <row r="18" spans="1:20" ht="18" customHeight="1">
      <c r="A18" s="521" t="s">
        <v>4065</v>
      </c>
      <c r="B18" s="522" t="s">
        <v>512</v>
      </c>
      <c r="C18" s="535" t="s">
        <v>514</v>
      </c>
      <c r="D18" s="526"/>
      <c r="E18" s="1126">
        <f>SUM(E19:E26)</f>
        <v>16960437</v>
      </c>
      <c r="F18" s="1124"/>
      <c r="G18" s="1126">
        <f>SUM(G19:G26)</f>
        <v>1696045</v>
      </c>
      <c r="H18" s="1126">
        <f>SUM(H19:H26)</f>
        <v>18656482</v>
      </c>
      <c r="K18" s="85"/>
      <c r="L18" s="85"/>
    </row>
    <row r="19" spans="1:20" s="264" customFormat="1" ht="15.95" customHeight="1">
      <c r="A19" s="524">
        <v>1</v>
      </c>
      <c r="B19" s="864" t="s">
        <v>13</v>
      </c>
      <c r="C19" s="528" t="s">
        <v>629</v>
      </c>
      <c r="D19" s="1110" t="s">
        <v>3647</v>
      </c>
      <c r="E19" s="865">
        <f>ROUND('II.9.tuvan'!M59/1.1,0)</f>
        <v>11131647</v>
      </c>
      <c r="F19" s="1124" t="s">
        <v>5279</v>
      </c>
      <c r="G19" s="865">
        <f t="shared" ref="G19:G26" si="0">ROUND(E19*10%,0)</f>
        <v>1113165</v>
      </c>
      <c r="H19" s="865">
        <f t="shared" ref="H19:H26" si="1">E19+G19</f>
        <v>12244812</v>
      </c>
      <c r="I19" s="260"/>
      <c r="J19" s="260"/>
      <c r="K19" s="1241">
        <f>'Noi suy'!G58</f>
        <v>4.4800000000000004</v>
      </c>
      <c r="L19" s="260" t="s">
        <v>1516</v>
      </c>
    </row>
    <row r="20" spans="1:20" s="264" customFormat="1" ht="15.95" customHeight="1">
      <c r="A20" s="524">
        <v>2</v>
      </c>
      <c r="B20" s="529" t="s">
        <v>1517</v>
      </c>
      <c r="C20" s="528" t="s">
        <v>764</v>
      </c>
      <c r="D20" s="1111" t="str">
        <f>K20&amp;"% x GXD"</f>
        <v>0,29% x GXD</v>
      </c>
      <c r="E20" s="865">
        <f>ROUND(K20%*($E$5),0)</f>
        <v>146640</v>
      </c>
      <c r="F20" s="1124" t="s">
        <v>5279</v>
      </c>
      <c r="G20" s="865">
        <f t="shared" si="0"/>
        <v>14664</v>
      </c>
      <c r="H20" s="865">
        <f t="shared" si="1"/>
        <v>161304</v>
      </c>
      <c r="K20" s="1189">
        <f>'Noi suy'!N166</f>
        <v>0.28999999999999998</v>
      </c>
      <c r="L20" s="85" t="s">
        <v>1518</v>
      </c>
    </row>
    <row r="21" spans="1:20" s="264" customFormat="1" ht="15.95" customHeight="1">
      <c r="A21" s="524">
        <v>3</v>
      </c>
      <c r="B21" s="529" t="s">
        <v>1519</v>
      </c>
      <c r="C21" s="528" t="s">
        <v>765</v>
      </c>
      <c r="D21" s="1111" t="str">
        <f>K21&amp;"% x GXD"</f>
        <v>0,282% x GXD</v>
      </c>
      <c r="E21" s="865">
        <f>ROUND(K21%*($E$5),0)</f>
        <v>142595</v>
      </c>
      <c r="F21" s="1124" t="s">
        <v>5279</v>
      </c>
      <c r="G21" s="865">
        <f t="shared" si="0"/>
        <v>14260</v>
      </c>
      <c r="H21" s="865">
        <f t="shared" si="1"/>
        <v>156855</v>
      </c>
      <c r="K21" s="89">
        <f>'Noi suy'!N178</f>
        <v>0.28199999999999997</v>
      </c>
      <c r="L21" s="85" t="s">
        <v>4025</v>
      </c>
    </row>
    <row r="22" spans="1:20" s="264" customFormat="1" ht="15.95" customHeight="1">
      <c r="A22" s="524">
        <v>4</v>
      </c>
      <c r="B22" s="529" t="s">
        <v>5224</v>
      </c>
      <c r="C22" s="528" t="s">
        <v>1438</v>
      </c>
      <c r="D22" s="1190" t="str">
        <f>K22&amp;"% x GTV"</f>
        <v>0,816% x GTV</v>
      </c>
      <c r="E22" s="865">
        <f>ROUND(K22%*E36,0)</f>
        <v>131577</v>
      </c>
      <c r="F22" s="1124" t="s">
        <v>5279</v>
      </c>
      <c r="G22" s="865">
        <f t="shared" si="0"/>
        <v>13158</v>
      </c>
      <c r="H22" s="865">
        <f t="shared" si="1"/>
        <v>144735</v>
      </c>
      <c r="K22" s="89">
        <f>'Noi suy'!J189</f>
        <v>0.81599999999999995</v>
      </c>
      <c r="L22" s="85" t="s">
        <v>5227</v>
      </c>
      <c r="M22" s="135"/>
      <c r="N22" s="135"/>
      <c r="O22" s="135"/>
      <c r="P22" s="135"/>
      <c r="Q22" s="135"/>
      <c r="R22" s="135"/>
      <c r="S22" s="135"/>
      <c r="T22" s="135"/>
    </row>
    <row r="23" spans="1:20" s="264" customFormat="1" ht="15.95" customHeight="1">
      <c r="A23" s="524">
        <v>5</v>
      </c>
      <c r="B23" s="529" t="s">
        <v>5225</v>
      </c>
      <c r="C23" s="528" t="s">
        <v>766</v>
      </c>
      <c r="D23" s="1111" t="str">
        <f>K23&amp;"% x GXD"</f>
        <v>0,549% x GXD</v>
      </c>
      <c r="E23" s="865">
        <f>ROUND(K23%*($E$5),0)</f>
        <v>277605</v>
      </c>
      <c r="F23" s="1124" t="s">
        <v>5279</v>
      </c>
      <c r="G23" s="865">
        <f t="shared" si="0"/>
        <v>27761</v>
      </c>
      <c r="H23" s="865">
        <f t="shared" si="1"/>
        <v>305366</v>
      </c>
      <c r="K23" s="89">
        <f>'Noi suy'!K198</f>
        <v>0.54900000000000004</v>
      </c>
      <c r="L23" s="85" t="s">
        <v>4026</v>
      </c>
      <c r="M23" s="135"/>
      <c r="N23" s="135"/>
      <c r="O23" s="135"/>
      <c r="P23" s="135"/>
      <c r="Q23" s="135"/>
      <c r="R23" s="135"/>
      <c r="S23" s="135"/>
      <c r="T23" s="135"/>
    </row>
    <row r="24" spans="1:20" s="264" customFormat="1" ht="15.95" customHeight="1">
      <c r="A24" s="524">
        <v>6</v>
      </c>
      <c r="B24" s="529" t="s">
        <v>4027</v>
      </c>
      <c r="C24" s="528" t="s">
        <v>626</v>
      </c>
      <c r="D24" s="1111" t="str">
        <f>K24&amp;"% x GTB"</f>
        <v>0,549% x GTB</v>
      </c>
      <c r="E24" s="865">
        <f>ROUND(K24%*($E$10),0)</f>
        <v>1086518</v>
      </c>
      <c r="F24" s="1124" t="s">
        <v>5279</v>
      </c>
      <c r="G24" s="865">
        <f t="shared" si="0"/>
        <v>108652</v>
      </c>
      <c r="H24" s="865">
        <f t="shared" si="1"/>
        <v>1195170</v>
      </c>
      <c r="K24" s="89">
        <f>'Noi suy'!K210</f>
        <v>0.54900000000000004</v>
      </c>
      <c r="L24" s="85" t="s">
        <v>4028</v>
      </c>
      <c r="M24" s="135"/>
      <c r="N24" s="135"/>
      <c r="O24" s="135"/>
      <c r="P24" s="135"/>
      <c r="Q24" s="135"/>
      <c r="R24" s="135"/>
      <c r="S24" s="135"/>
      <c r="T24" s="135"/>
    </row>
    <row r="25" spans="1:20" s="264" customFormat="1" ht="15.95" customHeight="1">
      <c r="A25" s="524">
        <v>7</v>
      </c>
      <c r="B25" s="529" t="s">
        <v>5771</v>
      </c>
      <c r="C25" s="528" t="s">
        <v>627</v>
      </c>
      <c r="D25" s="1111" t="str">
        <f>K25&amp;"% x GXD"</f>
        <v>3,508% x GXD</v>
      </c>
      <c r="E25" s="865">
        <f>ROUND(K25%*($E$5),0)</f>
        <v>1773843</v>
      </c>
      <c r="F25" s="1124" t="s">
        <v>5279</v>
      </c>
      <c r="G25" s="865">
        <f t="shared" si="0"/>
        <v>177384</v>
      </c>
      <c r="H25" s="865">
        <f t="shared" si="1"/>
        <v>1951227</v>
      </c>
      <c r="K25" s="89">
        <f>'Noi suy'!N222</f>
        <v>3.508</v>
      </c>
      <c r="L25" s="85" t="s">
        <v>4029</v>
      </c>
      <c r="M25" s="135"/>
      <c r="N25" s="135"/>
      <c r="O25" s="135"/>
      <c r="P25" s="135"/>
      <c r="Q25" s="135"/>
      <c r="R25" s="135"/>
      <c r="S25" s="135"/>
      <c r="T25" s="135"/>
    </row>
    <row r="26" spans="1:20" s="264" customFormat="1" ht="15.95" customHeight="1">
      <c r="A26" s="524">
        <v>8</v>
      </c>
      <c r="B26" s="529" t="s">
        <v>5772</v>
      </c>
      <c r="C26" s="528" t="s">
        <v>628</v>
      </c>
      <c r="D26" s="1111" t="str">
        <f>K26&amp;"% x GTB"</f>
        <v>1,147% x GTB</v>
      </c>
      <c r="E26" s="865">
        <f>ROUND(K26%*($E$10),0)</f>
        <v>2270012</v>
      </c>
      <c r="F26" s="1124" t="s">
        <v>5279</v>
      </c>
      <c r="G26" s="865">
        <f t="shared" si="0"/>
        <v>227001</v>
      </c>
      <c r="H26" s="865">
        <f t="shared" si="1"/>
        <v>2497013</v>
      </c>
      <c r="K26" s="89">
        <f>'Noi suy'!N234</f>
        <v>1.147</v>
      </c>
      <c r="L26" s="85" t="s">
        <v>4030</v>
      </c>
      <c r="M26" s="135"/>
      <c r="N26" s="135"/>
      <c r="O26" s="135"/>
      <c r="P26" s="135"/>
      <c r="Q26" s="135"/>
      <c r="R26" s="135"/>
      <c r="S26" s="135"/>
      <c r="T26" s="135"/>
    </row>
    <row r="27" spans="1:20" s="264" customFormat="1" ht="18" customHeight="1">
      <c r="A27" s="521" t="s">
        <v>173</v>
      </c>
      <c r="B27" s="541" t="s">
        <v>3304</v>
      </c>
      <c r="C27" s="535" t="s">
        <v>5282</v>
      </c>
      <c r="D27" s="542"/>
      <c r="E27" s="1126">
        <f>SUM(E28:E33)</f>
        <v>11890673</v>
      </c>
      <c r="F27" s="1137"/>
      <c r="G27" s="1138">
        <f>SUM(G28:G33)</f>
        <v>942068</v>
      </c>
      <c r="H27" s="1138">
        <f>SUM(H28:H33)</f>
        <v>12832741</v>
      </c>
      <c r="L27" s="1242"/>
      <c r="M27" s="135"/>
      <c r="N27" s="135"/>
      <c r="O27" s="135"/>
      <c r="P27" s="135"/>
      <c r="Q27" s="135"/>
      <c r="R27" s="135"/>
      <c r="S27" s="135"/>
      <c r="T27" s="135"/>
    </row>
    <row r="28" spans="1:20" s="264" customFormat="1">
      <c r="A28" s="524">
        <v>1</v>
      </c>
      <c r="B28" s="527" t="s">
        <v>5773</v>
      </c>
      <c r="C28" s="528" t="s">
        <v>630</v>
      </c>
      <c r="D28" s="526" t="str">
        <f>K28&amp;"% x (GXD+ GTB)"</f>
        <v>0,35% x (GXD+ GTB)</v>
      </c>
      <c r="E28" s="865">
        <f>ROUND(K28%*(E5+E10),0)</f>
        <v>869660</v>
      </c>
      <c r="F28" s="1124" t="s">
        <v>5279</v>
      </c>
      <c r="G28" s="865">
        <f>ROUND(E28*10%,0)</f>
        <v>86966</v>
      </c>
      <c r="H28" s="865">
        <f t="shared" ref="H28:H34" si="2">E28+G28</f>
        <v>956626</v>
      </c>
      <c r="K28" s="89">
        <f>'II.ThopXD,TB,A,DP'!K27</f>
        <v>0.35</v>
      </c>
      <c r="L28" s="260" t="s">
        <v>4521</v>
      </c>
      <c r="M28" s="135"/>
      <c r="N28" s="135"/>
      <c r="O28" s="135"/>
      <c r="P28" s="135"/>
      <c r="Q28" s="135"/>
      <c r="R28" s="135"/>
      <c r="S28" s="135"/>
      <c r="T28" s="135"/>
    </row>
    <row r="29" spans="1:20" s="264" customFormat="1">
      <c r="A29" s="524">
        <v>2</v>
      </c>
      <c r="B29" s="527" t="s">
        <v>469</v>
      </c>
      <c r="C29" s="528" t="s">
        <v>631</v>
      </c>
      <c r="D29" s="526" t="str">
        <f>K29&amp;"% x TMĐT"</f>
        <v>0,821% x TMĐT</v>
      </c>
      <c r="E29" s="865">
        <f>ROUND(K29%*E39,0)</f>
        <v>2470004</v>
      </c>
      <c r="F29" s="1124"/>
      <c r="G29" s="865"/>
      <c r="H29" s="865">
        <f t="shared" si="2"/>
        <v>2470004</v>
      </c>
      <c r="K29" s="922">
        <f>'Noi suy'!J343</f>
        <v>0.82099999999999995</v>
      </c>
      <c r="L29" s="85" t="s">
        <v>3241</v>
      </c>
      <c r="M29" s="135"/>
      <c r="N29" s="135"/>
      <c r="O29" s="135"/>
      <c r="P29" s="135"/>
      <c r="Q29" s="135"/>
      <c r="R29" s="135"/>
      <c r="S29" s="135"/>
      <c r="T29" s="135"/>
    </row>
    <row r="30" spans="1:20" s="264" customFormat="1">
      <c r="A30" s="524">
        <v>3</v>
      </c>
      <c r="B30" s="530" t="s">
        <v>470</v>
      </c>
      <c r="C30" s="528" t="s">
        <v>632</v>
      </c>
      <c r="D30" s="526" t="str">
        <f>K30&amp;"% x TMĐT"</f>
        <v>1,375% x TMĐT</v>
      </c>
      <c r="E30" s="865">
        <f>ROUND(K30%*E39,0)</f>
        <v>4136730</v>
      </c>
      <c r="F30" s="1124" t="s">
        <v>5279</v>
      </c>
      <c r="G30" s="865">
        <f>ROUND(E30*10%,0)</f>
        <v>413673</v>
      </c>
      <c r="H30" s="865">
        <f t="shared" si="2"/>
        <v>4550403</v>
      </c>
      <c r="K30" s="922">
        <f>'Noi suy'!J350</f>
        <v>1.375</v>
      </c>
      <c r="L30" s="85" t="s">
        <v>3241</v>
      </c>
      <c r="M30" s="135"/>
      <c r="N30" s="135"/>
      <c r="O30" s="135"/>
      <c r="P30" s="135"/>
      <c r="Q30" s="135"/>
      <c r="R30" s="135"/>
      <c r="S30" s="135"/>
      <c r="T30" s="135"/>
    </row>
    <row r="31" spans="1:20" s="264" customFormat="1" ht="15.95" customHeight="1">
      <c r="A31" s="524">
        <v>4</v>
      </c>
      <c r="B31" s="530" t="s">
        <v>5525</v>
      </c>
      <c r="C31" s="538" t="s">
        <v>5528</v>
      </c>
      <c r="D31" s="526" t="str">
        <f>K31&amp;"% x (GXD+GLTTB)"</f>
        <v>2% x (GXD+GLTTB)</v>
      </c>
      <c r="E31" s="865">
        <f>ROUND(2%*(E5+E14),0)</f>
        <v>1183185</v>
      </c>
      <c r="F31" s="1124" t="s">
        <v>5279</v>
      </c>
      <c r="G31" s="865">
        <f>ROUND(E31*10%,0)</f>
        <v>118319</v>
      </c>
      <c r="H31" s="865">
        <f t="shared" si="2"/>
        <v>1301504</v>
      </c>
      <c r="I31" s="260"/>
      <c r="J31" s="260"/>
      <c r="K31" s="1243">
        <v>2</v>
      </c>
      <c r="L31" s="85" t="s">
        <v>3242</v>
      </c>
      <c r="M31" s="135"/>
      <c r="N31" s="135"/>
      <c r="O31" s="135"/>
      <c r="P31" s="135"/>
      <c r="Q31" s="135"/>
      <c r="R31" s="135"/>
      <c r="S31" s="135"/>
      <c r="T31" s="135"/>
    </row>
    <row r="32" spans="1:20" s="264" customFormat="1" ht="15.95" customHeight="1">
      <c r="A32" s="524">
        <v>5</v>
      </c>
      <c r="B32" s="530" t="s">
        <v>4869</v>
      </c>
      <c r="C32" s="538" t="s">
        <v>5529</v>
      </c>
      <c r="D32" s="526" t="str">
        <f>K32&amp;"% x (GXD+GLTTB)"</f>
        <v>2% x (GXD+GLTTB)</v>
      </c>
      <c r="E32" s="865">
        <f>ROUND(2%*(E5+E14),0)</f>
        <v>1183185</v>
      </c>
      <c r="F32" s="1124" t="s">
        <v>5279</v>
      </c>
      <c r="G32" s="865">
        <f>ROUND(E32*10%,0)</f>
        <v>118319</v>
      </c>
      <c r="H32" s="865">
        <f t="shared" si="2"/>
        <v>1301504</v>
      </c>
      <c r="I32" s="260"/>
      <c r="J32" s="260"/>
      <c r="K32" s="1243">
        <v>2</v>
      </c>
      <c r="L32" s="85" t="s">
        <v>3243</v>
      </c>
      <c r="M32" s="135"/>
      <c r="N32" s="135"/>
      <c r="O32" s="135"/>
      <c r="P32" s="135"/>
      <c r="Q32" s="135"/>
      <c r="R32" s="135"/>
      <c r="S32" s="135"/>
      <c r="T32" s="135"/>
    </row>
    <row r="33" spans="1:20" s="264" customFormat="1" ht="15" customHeight="1">
      <c r="A33" s="524">
        <v>6</v>
      </c>
      <c r="B33" s="527" t="s">
        <v>1622</v>
      </c>
      <c r="C33" s="528" t="s">
        <v>1623</v>
      </c>
      <c r="D33" s="526" t="str">
        <f>IF(NL!C29="TBA Xây dựng mới",K33&amp;"% x GXD",IF(NL!C29="TBA Cải tạo (Chỉ thay MBA)",K33&amp;"% x 3.5 x GXD","Nhập lại"))</f>
        <v>4,05% x GXD</v>
      </c>
      <c r="E33" s="865">
        <f>ROUND(IF(NL!C29="TBA Xây dựng mới",K33%*E5,IF(NL!C29="TBA Cải tạo (Chỉ thay MBA)",K33%*3.5*E5,"Nhập lại")),0)</f>
        <v>2047909</v>
      </c>
      <c r="F33" s="1124" t="s">
        <v>5279</v>
      </c>
      <c r="G33" s="865">
        <f>ROUND(E33*10%,0)</f>
        <v>204791</v>
      </c>
      <c r="H33" s="865">
        <f t="shared" si="2"/>
        <v>2252700</v>
      </c>
      <c r="J33" s="260"/>
      <c r="K33" s="821">
        <v>4.05</v>
      </c>
      <c r="L33" s="85" t="s">
        <v>1624</v>
      </c>
      <c r="M33" s="135"/>
      <c r="N33" s="135"/>
      <c r="O33" s="135"/>
      <c r="P33" s="135"/>
      <c r="Q33" s="135"/>
      <c r="R33" s="135"/>
      <c r="S33" s="135"/>
      <c r="T33" s="135"/>
    </row>
    <row r="34" spans="1:20" s="264" customFormat="1" ht="18" customHeight="1">
      <c r="A34" s="531" t="s">
        <v>3344</v>
      </c>
      <c r="B34" s="543" t="s">
        <v>3305</v>
      </c>
      <c r="C34" s="544" t="s">
        <v>1236</v>
      </c>
      <c r="D34" s="534" t="s">
        <v>1808</v>
      </c>
      <c r="E34" s="1129">
        <f>ROUND(5%*(E5+E10+E17+E18+E27),0)</f>
        <v>14295259</v>
      </c>
      <c r="F34" s="1130"/>
      <c r="G34" s="1129">
        <f>ROUND(5%*(G5+G10+G17+G18+G27),0)</f>
        <v>1417176</v>
      </c>
      <c r="H34" s="1131">
        <f t="shared" si="2"/>
        <v>15712435</v>
      </c>
      <c r="L34" s="260" t="s">
        <v>4521</v>
      </c>
      <c r="M34" s="135"/>
      <c r="N34" s="135"/>
      <c r="O34" s="135"/>
      <c r="P34" s="135"/>
      <c r="Q34" s="135"/>
      <c r="R34" s="135"/>
      <c r="S34" s="135"/>
      <c r="T34" s="135"/>
    </row>
    <row r="35" spans="1:20" s="264" customFormat="1" ht="18" customHeight="1">
      <c r="A35" s="923"/>
      <c r="B35" s="924"/>
      <c r="C35" s="925"/>
      <c r="D35" s="1196" t="s">
        <v>6330</v>
      </c>
      <c r="E35" s="1197">
        <f>E18</f>
        <v>16960437</v>
      </c>
      <c r="F35" s="2026" t="s">
        <v>6329</v>
      </c>
      <c r="G35" s="2026"/>
      <c r="H35" s="926"/>
      <c r="L35" s="260"/>
      <c r="M35" s="135"/>
      <c r="N35" s="135"/>
      <c r="O35" s="135"/>
      <c r="P35" s="135"/>
      <c r="Q35" s="135"/>
      <c r="R35" s="135"/>
      <c r="S35" s="135"/>
      <c r="T35" s="135"/>
    </row>
    <row r="36" spans="1:20" s="264" customFormat="1" ht="18" customHeight="1">
      <c r="A36" s="923"/>
      <c r="B36" s="924"/>
      <c r="C36" s="925"/>
      <c r="D36" s="1193" t="s">
        <v>4859</v>
      </c>
      <c r="E36" s="1198">
        <v>16124609</v>
      </c>
      <c r="F36" s="2027">
        <f>E35-E36</f>
        <v>835828</v>
      </c>
      <c r="G36" s="2027"/>
      <c r="H36" s="926"/>
      <c r="L36" s="260"/>
      <c r="M36" s="135"/>
      <c r="N36" s="135"/>
      <c r="O36" s="135"/>
      <c r="P36" s="135"/>
      <c r="Q36" s="135"/>
      <c r="R36" s="135"/>
      <c r="S36" s="135"/>
      <c r="T36" s="135"/>
    </row>
    <row r="37" spans="1:20">
      <c r="C37" s="1191"/>
      <c r="D37" s="1193"/>
      <c r="E37" s="1199"/>
      <c r="F37" s="1200"/>
      <c r="G37" s="1200"/>
    </row>
    <row r="38" spans="1:20">
      <c r="C38" s="1191"/>
      <c r="D38" s="1192" t="s">
        <v>6328</v>
      </c>
      <c r="E38" s="1201">
        <f>E5+E10+E17+E18+E27+E34</f>
        <v>300200448</v>
      </c>
      <c r="F38" s="2024" t="s">
        <v>6329</v>
      </c>
      <c r="G38" s="2024"/>
    </row>
    <row r="39" spans="1:20">
      <c r="D39" s="1193" t="s">
        <v>6331</v>
      </c>
      <c r="E39" s="1201">
        <v>300853075</v>
      </c>
      <c r="F39" s="2025">
        <f>E38-E39</f>
        <v>-652627</v>
      </c>
      <c r="G39" s="2025"/>
    </row>
    <row r="40" spans="1:20"/>
    <row r="41" spans="1:20"/>
    <row r="42" spans="1:20"/>
    <row r="43" spans="1:20"/>
    <row r="44" spans="1:20"/>
    <row r="45" spans="1:20"/>
    <row r="46" spans="1:20"/>
  </sheetData>
  <mergeCells count="6">
    <mergeCell ref="F38:G38"/>
    <mergeCell ref="F39:G39"/>
    <mergeCell ref="A1:H1"/>
    <mergeCell ref="A2:H2"/>
    <mergeCell ref="F35:G35"/>
    <mergeCell ref="F36:G36"/>
  </mergeCells>
  <phoneticPr fontId="0" type="noConversion"/>
  <printOptions horizontalCentered="1"/>
  <pageMargins left="0.19685039370078741" right="0.19685039370078741" top="0.51181102362204722" bottom="0.19685039370078741" header="0.19685039370078741" footer="0.19685039370078741"/>
  <pageSetup paperSize="9" scale="95" firstPageNumber="32" orientation="landscape" blackAndWhite="1" useFirstPageNumber="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tabColor indexed="52"/>
  </sheetPr>
  <dimension ref="B1:L43"/>
  <sheetViews>
    <sheetView showZeros="0" workbookViewId="0">
      <selection activeCell="C10" sqref="C10:D10"/>
    </sheetView>
  </sheetViews>
  <sheetFormatPr defaultColWidth="0" defaultRowHeight="15" customHeight="1" zeroHeight="1"/>
  <cols>
    <col min="1" max="1" width="3.5" style="85" customWidth="1"/>
    <col min="2" max="2" width="4.83203125" style="87" customWidth="1"/>
    <col min="3" max="3" width="36.83203125" style="85" customWidth="1"/>
    <col min="4" max="4" width="9" style="85" customWidth="1"/>
    <col min="5" max="5" width="35.33203125" style="85" customWidth="1"/>
    <col min="6" max="6" width="18.83203125" style="85" customWidth="1"/>
    <col min="7" max="8" width="11.6640625" style="85" hidden="1" customWidth="1"/>
    <col min="9" max="9" width="18.83203125" style="85" customWidth="1"/>
    <col min="10" max="10" width="9.33203125" style="85" customWidth="1"/>
    <col min="11" max="16384" width="0" style="85" hidden="1"/>
  </cols>
  <sheetData>
    <row r="1" spans="2:12"/>
    <row r="2" spans="2:12" ht="18.75">
      <c r="B2" s="2028" t="s">
        <v>2562</v>
      </c>
      <c r="C2" s="2028"/>
      <c r="D2" s="2028"/>
      <c r="E2" s="2028"/>
      <c r="F2" s="2028"/>
      <c r="G2" s="2028"/>
      <c r="H2" s="2028"/>
      <c r="I2" s="2028"/>
    </row>
    <row r="3" spans="2:12" ht="15.75">
      <c r="B3" s="2030" t="s">
        <v>490</v>
      </c>
      <c r="C3" s="2030"/>
      <c r="D3" s="2030"/>
      <c r="E3" s="2030"/>
      <c r="F3" s="2030"/>
      <c r="G3" s="2030"/>
      <c r="H3" s="2030"/>
      <c r="I3" s="2030"/>
      <c r="J3" s="106"/>
      <c r="K3" s="106"/>
      <c r="L3" s="106"/>
    </row>
    <row r="4" spans="2:12" ht="15.75">
      <c r="B4" s="1249"/>
      <c r="C4" s="160"/>
      <c r="D4" s="160"/>
      <c r="E4" s="161"/>
      <c r="F4" s="161"/>
      <c r="G4" s="161"/>
      <c r="H4" s="161"/>
      <c r="I4" s="545"/>
    </row>
    <row r="5" spans="2:12">
      <c r="B5" s="2034" t="s">
        <v>6345</v>
      </c>
      <c r="C5" s="2034" t="s">
        <v>1097</v>
      </c>
      <c r="D5" s="2034" t="s">
        <v>1098</v>
      </c>
      <c r="E5" s="2034" t="s">
        <v>5017</v>
      </c>
      <c r="F5" s="2031" t="s">
        <v>5516</v>
      </c>
      <c r="G5" s="2032"/>
      <c r="H5" s="2033"/>
      <c r="I5" s="2034" t="s">
        <v>6346</v>
      </c>
    </row>
    <row r="6" spans="2:12" ht="24">
      <c r="B6" s="2035"/>
      <c r="C6" s="2035"/>
      <c r="D6" s="2035"/>
      <c r="E6" s="2035"/>
      <c r="F6" s="551" t="s">
        <v>153</v>
      </c>
      <c r="G6" s="551" t="s">
        <v>3801</v>
      </c>
      <c r="H6" s="551" t="s">
        <v>3803</v>
      </c>
      <c r="I6" s="2035"/>
    </row>
    <row r="7" spans="2:12">
      <c r="B7" s="165" t="s">
        <v>5284</v>
      </c>
      <c r="C7" s="166" t="s">
        <v>428</v>
      </c>
      <c r="D7" s="546" t="s">
        <v>5023</v>
      </c>
      <c r="E7" s="170" t="s">
        <v>843</v>
      </c>
      <c r="F7" s="1140">
        <f>SUM(F8:F11)</f>
        <v>41101712</v>
      </c>
      <c r="G7" s="1140">
        <f>SUM(G8:G11)</f>
        <v>0</v>
      </c>
      <c r="H7" s="1140">
        <f>SUM(H8:H11)</f>
        <v>0</v>
      </c>
      <c r="I7" s="1140">
        <f>SUM(F7:H7)</f>
        <v>41101712</v>
      </c>
    </row>
    <row r="8" spans="2:12">
      <c r="B8" s="168">
        <v>1</v>
      </c>
      <c r="C8" s="1062" t="s">
        <v>2563</v>
      </c>
      <c r="D8" s="169" t="s">
        <v>5165</v>
      </c>
      <c r="E8" s="169" t="s">
        <v>5141</v>
      </c>
      <c r="F8" s="1141">
        <f>ROUND('II.3.5.nc+mtcTRAM'!J19+'II.3.5.nc+mtcTRAM'!J21,0)</f>
        <v>40319394</v>
      </c>
      <c r="G8" s="1141">
        <f>SUM(G9)</f>
        <v>0</v>
      </c>
      <c r="H8" s="1141">
        <f>SUM(H9)</f>
        <v>0</v>
      </c>
      <c r="I8" s="1141">
        <f>SUM(F8:H8)</f>
        <v>40319394</v>
      </c>
    </row>
    <row r="9" spans="2:12">
      <c r="B9" s="168">
        <v>2</v>
      </c>
      <c r="C9" s="1062" t="s">
        <v>2994</v>
      </c>
      <c r="D9" s="169" t="s">
        <v>5164</v>
      </c>
      <c r="E9" s="169" t="s">
        <v>5141</v>
      </c>
      <c r="F9" s="1142">
        <f>ROUND(SUM('II.3.5.nc+mtcTRAM'!K19:K21),0)</f>
        <v>0</v>
      </c>
      <c r="G9" s="1142"/>
      <c r="H9" s="1142"/>
      <c r="I9" s="1142">
        <f t="shared" ref="I9:I14" si="0">SUM(F9:H9)</f>
        <v>0</v>
      </c>
    </row>
    <row r="10" spans="2:12">
      <c r="B10" s="168">
        <v>3</v>
      </c>
      <c r="C10" s="1062" t="s">
        <v>2995</v>
      </c>
      <c r="D10" s="169" t="s">
        <v>5167</v>
      </c>
      <c r="E10" s="169" t="s">
        <v>5141</v>
      </c>
      <c r="F10" s="1142"/>
      <c r="G10" s="1151"/>
      <c r="H10" s="1151"/>
      <c r="I10" s="1152">
        <f t="shared" si="0"/>
        <v>0</v>
      </c>
    </row>
    <row r="11" spans="2:12">
      <c r="B11" s="168">
        <v>4</v>
      </c>
      <c r="C11" s="1062" t="s">
        <v>3478</v>
      </c>
      <c r="D11" s="169" t="s">
        <v>269</v>
      </c>
      <c r="E11" s="169" t="s">
        <v>1908</v>
      </c>
      <c r="F11" s="1142">
        <f>ROUND(vcTR!I11/1.05,0)</f>
        <v>782318</v>
      </c>
      <c r="G11" s="1151"/>
      <c r="H11" s="1151"/>
      <c r="I11" s="1152">
        <f>SUM(F11:H11)</f>
        <v>782318</v>
      </c>
    </row>
    <row r="12" spans="2:12">
      <c r="B12" s="173"/>
      <c r="C12" s="174" t="s">
        <v>4063</v>
      </c>
      <c r="D12" s="175" t="s">
        <v>5866</v>
      </c>
      <c r="E12" s="170" t="s">
        <v>5023</v>
      </c>
      <c r="F12" s="1153">
        <f>F7</f>
        <v>41101712</v>
      </c>
      <c r="G12" s="1153">
        <f>G7</f>
        <v>0</v>
      </c>
      <c r="H12" s="1153">
        <f>H7</f>
        <v>0</v>
      </c>
      <c r="I12" s="1154">
        <f t="shared" si="0"/>
        <v>41101712</v>
      </c>
    </row>
    <row r="13" spans="2:12">
      <c r="B13" s="170" t="s">
        <v>1233</v>
      </c>
      <c r="C13" s="171" t="s">
        <v>4066</v>
      </c>
      <c r="D13" s="176" t="s">
        <v>4098</v>
      </c>
      <c r="E13" s="170" t="s">
        <v>5867</v>
      </c>
      <c r="F13" s="1144">
        <f>ROUND(F12*10%,0)</f>
        <v>4110171</v>
      </c>
      <c r="G13" s="1144">
        <f>ROUND(G12*10%,0)</f>
        <v>0</v>
      </c>
      <c r="H13" s="1144">
        <f>ROUND(H12*10%,0)</f>
        <v>0</v>
      </c>
      <c r="I13" s="1144">
        <f t="shared" si="0"/>
        <v>4110171</v>
      </c>
    </row>
    <row r="14" spans="2:12">
      <c r="B14" s="167"/>
      <c r="C14" s="171" t="s">
        <v>5163</v>
      </c>
      <c r="D14" s="175" t="s">
        <v>4099</v>
      </c>
      <c r="E14" s="553" t="s">
        <v>5868</v>
      </c>
      <c r="F14" s="1146">
        <f>ROUND(F12+F13,0)</f>
        <v>45211883</v>
      </c>
      <c r="G14" s="1146">
        <f>ROUND(G12+G13,0)</f>
        <v>0</v>
      </c>
      <c r="H14" s="1146">
        <f>ROUND(H12+H13,0)</f>
        <v>0</v>
      </c>
      <c r="I14" s="1147">
        <f t="shared" si="0"/>
        <v>45211883</v>
      </c>
    </row>
    <row r="15" spans="2:12">
      <c r="B15" s="178"/>
      <c r="C15" s="179"/>
      <c r="D15" s="180"/>
      <c r="E15" s="181"/>
      <c r="F15" s="181"/>
      <c r="G15" s="181"/>
      <c r="H15" s="181"/>
      <c r="I15" s="548"/>
    </row>
    <row r="16" spans="2:12">
      <c r="B16" s="1250"/>
      <c r="C16" s="183"/>
      <c r="D16" s="183"/>
      <c r="E16" s="183"/>
      <c r="F16" s="183"/>
      <c r="G16" s="183"/>
      <c r="H16" s="183"/>
      <c r="I16" s="183"/>
    </row>
    <row r="17" spans="2:3" hidden="1">
      <c r="B17" s="87" t="s">
        <v>993</v>
      </c>
    </row>
    <row r="18" spans="2:3" hidden="1">
      <c r="B18" s="87" t="s">
        <v>3797</v>
      </c>
    </row>
    <row r="19" spans="2:3" hidden="1">
      <c r="B19" s="87" t="s">
        <v>1251</v>
      </c>
      <c r="C19" s="772">
        <f>'II.1.1.vlTA'!C28</f>
        <v>0</v>
      </c>
    </row>
    <row r="20" spans="2:3" hidden="1">
      <c r="B20" s="87" t="s">
        <v>1251</v>
      </c>
      <c r="C20" s="773">
        <f>'II.3.2.xdtram'!C24</f>
        <v>1</v>
      </c>
    </row>
    <row r="22" spans="2:3"/>
    <row r="23" spans="2:3"/>
    <row r="24" spans="2:3"/>
    <row r="25" spans="2:3"/>
    <row r="26" spans="2:3"/>
    <row r="27" spans="2:3"/>
    <row r="28" spans="2:3"/>
    <row r="29" spans="2:3"/>
    <row r="30" spans="2:3"/>
    <row r="31" spans="2:3" ht="15" customHeight="1"/>
    <row r="32" spans="2: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sheetData>
  <sheetProtection password="E3F0" sheet="1" objects="1" scenarios="1"/>
  <mergeCells count="8">
    <mergeCell ref="B2:I2"/>
    <mergeCell ref="B3:I3"/>
    <mergeCell ref="B5:B6"/>
    <mergeCell ref="C5:C6"/>
    <mergeCell ref="D5:D6"/>
    <mergeCell ref="E5:E6"/>
    <mergeCell ref="F5:H5"/>
    <mergeCell ref="I5:I6"/>
  </mergeCells>
  <phoneticPr fontId="152" type="noConversion"/>
  <printOptions horizontalCentered="1"/>
  <pageMargins left="0.11811023622047245" right="0.11811023622047245" top="0.39370078740157483" bottom="0.39370078740157483" header="0.19685039370078741" footer="0.19685039370078741"/>
  <pageSetup paperSize="9" scale="95" firstPageNumber="32" orientation="landscape" blackAndWhite="1" useFirstPageNumber="1" r:id="rId1"/>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indexed="52"/>
  </sheetPr>
  <dimension ref="B1:L35"/>
  <sheetViews>
    <sheetView showGridLines="0" showZeros="0" showRuler="0" view="pageLayout" zoomScaleNormal="100" workbookViewId="0">
      <selection activeCell="C10" sqref="C10:D10"/>
    </sheetView>
  </sheetViews>
  <sheetFormatPr defaultColWidth="0" defaultRowHeight="15" zeroHeight="1"/>
  <cols>
    <col min="1" max="1" width="3.33203125" style="85" customWidth="1"/>
    <col min="2" max="2" width="4.83203125" style="87" customWidth="1"/>
    <col min="3" max="3" width="36.1640625" style="85" customWidth="1"/>
    <col min="4" max="4" width="9.5" style="85" customWidth="1"/>
    <col min="5" max="5" width="38.5" style="85" customWidth="1"/>
    <col min="6" max="6" width="18.83203125" style="85" customWidth="1"/>
    <col min="7" max="8" width="11.6640625" style="85" hidden="1" customWidth="1"/>
    <col min="9" max="9" width="18.83203125" style="85" customWidth="1"/>
    <col min="10" max="10" width="7.83203125" style="85" customWidth="1"/>
    <col min="11" max="16384" width="0" style="85" hidden="1"/>
  </cols>
  <sheetData>
    <row r="1" spans="2:12"/>
    <row r="2" spans="2:12" ht="18.75">
      <c r="B2" s="2028" t="s">
        <v>6108</v>
      </c>
      <c r="C2" s="2028"/>
      <c r="D2" s="2028"/>
      <c r="E2" s="2028"/>
      <c r="F2" s="2028"/>
      <c r="G2" s="2028"/>
      <c r="H2" s="2028"/>
      <c r="I2" s="2028"/>
    </row>
    <row r="3" spans="2:12" ht="15.75">
      <c r="B3" s="2030" t="s">
        <v>490</v>
      </c>
      <c r="C3" s="2030"/>
      <c r="D3" s="2030"/>
      <c r="E3" s="2030"/>
      <c r="F3" s="2030"/>
      <c r="G3" s="2030"/>
      <c r="H3" s="2030"/>
      <c r="I3" s="2030"/>
      <c r="J3" s="106"/>
      <c r="K3" s="106"/>
      <c r="L3" s="106"/>
    </row>
    <row r="4" spans="2:12" ht="15.75">
      <c r="B4" s="1249"/>
      <c r="C4" s="160"/>
      <c r="D4" s="160"/>
      <c r="E4" s="161"/>
      <c r="F4" s="161"/>
      <c r="G4" s="161"/>
      <c r="H4" s="161"/>
      <c r="I4" s="545"/>
    </row>
    <row r="5" spans="2:12">
      <c r="B5" s="2034" t="s">
        <v>6345</v>
      </c>
      <c r="C5" s="2034" t="s">
        <v>1097</v>
      </c>
      <c r="D5" s="2034" t="s">
        <v>1098</v>
      </c>
      <c r="E5" s="2034" t="s">
        <v>5017</v>
      </c>
      <c r="F5" s="2031" t="s">
        <v>5516</v>
      </c>
      <c r="G5" s="2032"/>
      <c r="H5" s="2033"/>
      <c r="I5" s="2034" t="s">
        <v>6346</v>
      </c>
    </row>
    <row r="6" spans="2:12" ht="24">
      <c r="B6" s="2035"/>
      <c r="C6" s="2035"/>
      <c r="D6" s="2035"/>
      <c r="E6" s="2035"/>
      <c r="F6" s="551" t="s">
        <v>3722</v>
      </c>
      <c r="G6" s="551" t="s">
        <v>3801</v>
      </c>
      <c r="H6" s="551" t="s">
        <v>3803</v>
      </c>
      <c r="I6" s="2035"/>
    </row>
    <row r="7" spans="2:12">
      <c r="B7" s="165" t="s">
        <v>5284</v>
      </c>
      <c r="C7" s="166" t="s">
        <v>3148</v>
      </c>
      <c r="D7" s="546" t="s">
        <v>5020</v>
      </c>
      <c r="E7" s="1097" t="s">
        <v>4867</v>
      </c>
      <c r="F7" s="1140">
        <f>F8+F9+F11</f>
        <v>199386</v>
      </c>
      <c r="G7" s="1140">
        <f>G8+G9+G11</f>
        <v>0</v>
      </c>
      <c r="H7" s="1140">
        <f>H8+H9+H11</f>
        <v>0</v>
      </c>
      <c r="I7" s="1140">
        <f>SUM(F7:H7)</f>
        <v>199386</v>
      </c>
    </row>
    <row r="8" spans="2:12">
      <c r="B8" s="168">
        <v>1</v>
      </c>
      <c r="C8" s="1062" t="s">
        <v>3149</v>
      </c>
      <c r="D8" s="168" t="s">
        <v>3302</v>
      </c>
      <c r="E8" s="169" t="s">
        <v>5141</v>
      </c>
      <c r="F8" s="1141">
        <f>ROUND('II.3.5.nc+mtcTRAM'!L19,0)</f>
        <v>0</v>
      </c>
      <c r="G8" s="1141"/>
      <c r="H8" s="1141"/>
      <c r="I8" s="1152">
        <f>SUM(F8:H8)</f>
        <v>0</v>
      </c>
    </row>
    <row r="9" spans="2:12">
      <c r="B9" s="169">
        <v>2</v>
      </c>
      <c r="C9" s="1099" t="s">
        <v>3150</v>
      </c>
      <c r="D9" s="169" t="s">
        <v>3303</v>
      </c>
      <c r="E9" s="169" t="s">
        <v>5141</v>
      </c>
      <c r="F9" s="1308">
        <f>ROUND('II.3.5.nc+mtcTRAM'!M19,0)</f>
        <v>199386</v>
      </c>
      <c r="G9" s="1151"/>
      <c r="H9" s="1151"/>
      <c r="I9" s="1152">
        <f t="shared" ref="I9:I18" si="0">SUM(F9:H9)</f>
        <v>199386</v>
      </c>
    </row>
    <row r="10" spans="2:12">
      <c r="B10" s="169"/>
      <c r="C10" s="1099"/>
      <c r="D10" s="169"/>
      <c r="E10" s="547" t="s">
        <v>3625</v>
      </c>
      <c r="F10" s="1263"/>
      <c r="G10" s="1166"/>
      <c r="H10" s="1166"/>
      <c r="I10" s="1167">
        <f t="shared" si="0"/>
        <v>0</v>
      </c>
    </row>
    <row r="11" spans="2:12">
      <c r="B11" s="1098">
        <v>3</v>
      </c>
      <c r="C11" s="1100" t="s">
        <v>5251</v>
      </c>
      <c r="D11" s="1098" t="s">
        <v>5022</v>
      </c>
      <c r="E11" s="1098" t="s">
        <v>5141</v>
      </c>
      <c r="F11" s="1149">
        <f>ROUND('II.3.5.nc+mtcTRAM'!N19,0)</f>
        <v>0</v>
      </c>
      <c r="G11" s="1168"/>
      <c r="H11" s="1168"/>
      <c r="I11" s="1167">
        <f t="shared" si="0"/>
        <v>0</v>
      </c>
    </row>
    <row r="12" spans="2:12">
      <c r="B12" s="1098"/>
      <c r="C12" s="1100"/>
      <c r="D12" s="1098"/>
      <c r="E12" s="547" t="s">
        <v>3625</v>
      </c>
      <c r="F12" s="1143"/>
      <c r="G12" s="1166"/>
      <c r="H12" s="1166"/>
      <c r="I12" s="1167">
        <f t="shared" si="0"/>
        <v>0</v>
      </c>
    </row>
    <row r="13" spans="2:12">
      <c r="B13" s="170" t="s">
        <v>1233</v>
      </c>
      <c r="C13" s="171" t="s">
        <v>5252</v>
      </c>
      <c r="D13" s="170" t="s">
        <v>5023</v>
      </c>
      <c r="E13" s="170" t="s">
        <v>5253</v>
      </c>
      <c r="F13" s="1144">
        <f>ROUND(5.5%*F7,0)</f>
        <v>10966</v>
      </c>
      <c r="G13" s="1144">
        <f>ROUND(5.5%*G7,0)</f>
        <v>0</v>
      </c>
      <c r="H13" s="1144">
        <f>ROUND(5.5%*H7,0)</f>
        <v>0</v>
      </c>
      <c r="I13" s="1169">
        <f t="shared" si="0"/>
        <v>10966</v>
      </c>
    </row>
    <row r="14" spans="2:12">
      <c r="B14" s="167"/>
      <c r="C14" s="171" t="s">
        <v>5254</v>
      </c>
      <c r="D14" s="169" t="s">
        <v>5019</v>
      </c>
      <c r="E14" s="172" t="s">
        <v>5255</v>
      </c>
      <c r="F14" s="1145">
        <f>ROUND(F7+F13,0)</f>
        <v>210352</v>
      </c>
      <c r="G14" s="1145">
        <f>ROUND(G7+G13,0)</f>
        <v>0</v>
      </c>
      <c r="H14" s="1145">
        <f>ROUND(H7+H13,0)</f>
        <v>0</v>
      </c>
      <c r="I14" s="1169">
        <f t="shared" si="0"/>
        <v>210352</v>
      </c>
    </row>
    <row r="15" spans="2:12">
      <c r="B15" s="170" t="s">
        <v>4085</v>
      </c>
      <c r="C15" s="171" t="s">
        <v>4060</v>
      </c>
      <c r="D15" s="170" t="s">
        <v>4061</v>
      </c>
      <c r="E15" s="170" t="s">
        <v>4062</v>
      </c>
      <c r="F15" s="1144">
        <f>ROUND(6%*(F7+F13),0)</f>
        <v>12621</v>
      </c>
      <c r="G15" s="1144">
        <f>ROUND(6%*(G7+G13),0)</f>
        <v>0</v>
      </c>
      <c r="H15" s="1144">
        <f>ROUND(6%*(H7+H13),0)</f>
        <v>0</v>
      </c>
      <c r="I15" s="1169">
        <f t="shared" si="0"/>
        <v>12621</v>
      </c>
    </row>
    <row r="16" spans="2:12">
      <c r="B16" s="173"/>
      <c r="C16" s="174" t="s">
        <v>4063</v>
      </c>
      <c r="D16" s="175" t="s">
        <v>5866</v>
      </c>
      <c r="E16" s="170" t="s">
        <v>4064</v>
      </c>
      <c r="F16" s="1144">
        <f>ROUND(F7+F13+F15,0)</f>
        <v>222973</v>
      </c>
      <c r="G16" s="1144">
        <f>ROUND(G7+G13+G15,0)</f>
        <v>0</v>
      </c>
      <c r="H16" s="1144">
        <f>ROUND(H7+H13+H15,0)</f>
        <v>0</v>
      </c>
      <c r="I16" s="1169">
        <f t="shared" si="0"/>
        <v>222973</v>
      </c>
    </row>
    <row r="17" spans="2:9">
      <c r="B17" s="170" t="s">
        <v>4065</v>
      </c>
      <c r="C17" s="171" t="s">
        <v>4066</v>
      </c>
      <c r="D17" s="176" t="s">
        <v>4098</v>
      </c>
      <c r="E17" s="170" t="s">
        <v>5867</v>
      </c>
      <c r="F17" s="1144">
        <f>ROUND(F16*10%,0)</f>
        <v>22297</v>
      </c>
      <c r="G17" s="1144">
        <f>ROUND(G16*10%,0)</f>
        <v>0</v>
      </c>
      <c r="H17" s="1144">
        <f>ROUND(H16*10%,0)</f>
        <v>0</v>
      </c>
      <c r="I17" s="1169">
        <f t="shared" si="0"/>
        <v>22297</v>
      </c>
    </row>
    <row r="18" spans="2:9">
      <c r="B18" s="167"/>
      <c r="C18" s="171" t="s">
        <v>5148</v>
      </c>
      <c r="D18" s="175" t="s">
        <v>4099</v>
      </c>
      <c r="E18" s="177" t="s">
        <v>5868</v>
      </c>
      <c r="F18" s="1146">
        <f>ROUND(F16+F17,0)</f>
        <v>245270</v>
      </c>
      <c r="G18" s="1146">
        <f>ROUND(G16+G17,0)</f>
        <v>0</v>
      </c>
      <c r="H18" s="1146">
        <f>ROUND(H16+H17,0)</f>
        <v>0</v>
      </c>
      <c r="I18" s="1169">
        <f t="shared" si="0"/>
        <v>245270</v>
      </c>
    </row>
    <row r="19" spans="2:9">
      <c r="B19" s="178"/>
      <c r="C19" s="179"/>
      <c r="D19" s="180"/>
      <c r="E19" s="181"/>
      <c r="F19" s="181"/>
      <c r="G19" s="181"/>
      <c r="H19" s="181"/>
      <c r="I19" s="548"/>
    </row>
    <row r="20" spans="2:9">
      <c r="B20" s="1250"/>
      <c r="C20" s="183"/>
      <c r="D20" s="183"/>
      <c r="E20" s="183"/>
      <c r="F20" s="183"/>
      <c r="G20" s="183"/>
      <c r="H20" s="183"/>
      <c r="I20" s="183"/>
    </row>
    <row r="21" spans="2:9" hidden="1">
      <c r="B21" s="87" t="s">
        <v>993</v>
      </c>
    </row>
    <row r="22" spans="2:9" hidden="1">
      <c r="B22" s="87" t="s">
        <v>3797</v>
      </c>
    </row>
    <row r="23" spans="2:9" hidden="1">
      <c r="B23" s="87" t="s">
        <v>1251</v>
      </c>
      <c r="C23" s="877">
        <f>IF(NL!AJ2="","",IF(NL!AJ2=3,NL!J85,IF(NL!AJ2=4,NL!Q85)))</f>
        <v>1</v>
      </c>
    </row>
    <row r="24" spans="2:9" hidden="1">
      <c r="B24" s="87" t="s">
        <v>1251</v>
      </c>
      <c r="C24" s="917">
        <f>IF(NL!AJ2="","",IF(NL!AJ2=3,NL!J87,IF(NL!AJ2=4,NL!Q87)))</f>
        <v>1</v>
      </c>
    </row>
    <row r="26" spans="2:9"/>
    <row r="27" spans="2:9"/>
    <row r="28" spans="2:9"/>
    <row r="29" spans="2:9"/>
    <row r="30" spans="2:9"/>
    <row r="31" spans="2:9"/>
    <row r="32" spans="2:9"/>
    <row r="33"/>
    <row r="34"/>
    <row r="35"/>
  </sheetData>
  <sheetProtection password="E3F0" sheet="1"/>
  <mergeCells count="8">
    <mergeCell ref="B2:I2"/>
    <mergeCell ref="B3:I3"/>
    <mergeCell ref="B5:B6"/>
    <mergeCell ref="C5:C6"/>
    <mergeCell ref="D5:D6"/>
    <mergeCell ref="E5:E6"/>
    <mergeCell ref="F5:H5"/>
    <mergeCell ref="I5:I6"/>
  </mergeCells>
  <phoneticPr fontId="0" type="noConversion"/>
  <printOptions horizontalCentered="1"/>
  <pageMargins left="0.11811023622047245" right="0.11811023622047245" top="0.39370078740157483" bottom="0.39370078740157483" header="0.19685039370078741" footer="0.19685039370078741"/>
  <pageSetup paperSize="9" scale="95" firstPageNumber="32" orientation="landscape" blackAndWhite="1" useFirstPageNumber="1"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indexed="52"/>
  </sheetPr>
  <dimension ref="B1:L38"/>
  <sheetViews>
    <sheetView showGridLines="0" showZeros="0" showRuler="0" view="pageLayout" zoomScaleNormal="100" workbookViewId="0">
      <selection activeCell="C10" sqref="C10:D10"/>
    </sheetView>
  </sheetViews>
  <sheetFormatPr defaultColWidth="0" defaultRowHeight="15" zeroHeight="1"/>
  <cols>
    <col min="1" max="1" width="3.5" style="85" customWidth="1"/>
    <col min="2" max="2" width="4.83203125" style="85" customWidth="1"/>
    <col min="3" max="3" width="36.83203125" style="85" customWidth="1"/>
    <col min="4" max="4" width="9" style="85" customWidth="1"/>
    <col min="5" max="5" width="35.33203125" style="85" customWidth="1"/>
    <col min="6" max="6" width="18.83203125" style="85" customWidth="1"/>
    <col min="7" max="7" width="18.33203125" style="85" hidden="1" customWidth="1"/>
    <col min="8" max="8" width="11.6640625" style="85" hidden="1" customWidth="1"/>
    <col min="9" max="9" width="18.83203125" style="85" customWidth="1"/>
    <col min="10" max="10" width="9.33203125" style="85" customWidth="1"/>
    <col min="11" max="16384" width="0" style="85" hidden="1"/>
  </cols>
  <sheetData>
    <row r="1" spans="2:12"/>
    <row r="2" spans="2:12" ht="18.75">
      <c r="B2" s="2028" t="s">
        <v>6299</v>
      </c>
      <c r="C2" s="2028"/>
      <c r="D2" s="2028"/>
      <c r="E2" s="2028"/>
      <c r="F2" s="2028"/>
      <c r="G2" s="2028"/>
      <c r="H2" s="2028"/>
      <c r="I2" s="2028"/>
    </row>
    <row r="3" spans="2:12" ht="15.75">
      <c r="B3" s="2030" t="s">
        <v>490</v>
      </c>
      <c r="C3" s="2030"/>
      <c r="D3" s="2030"/>
      <c r="E3" s="2030"/>
      <c r="F3" s="2030"/>
      <c r="G3" s="2030"/>
      <c r="H3" s="2030"/>
      <c r="I3" s="2030"/>
      <c r="J3" s="106"/>
      <c r="K3" s="106"/>
      <c r="L3" s="106"/>
    </row>
    <row r="4" spans="2:12" ht="15.75">
      <c r="B4" s="159"/>
      <c r="C4" s="160"/>
      <c r="D4" s="160"/>
      <c r="E4" s="161"/>
      <c r="F4" s="161"/>
      <c r="G4" s="161"/>
      <c r="H4" s="161"/>
      <c r="I4" s="545"/>
    </row>
    <row r="5" spans="2:12" s="900" customFormat="1" ht="12.75">
      <c r="B5" s="2034" t="s">
        <v>6345</v>
      </c>
      <c r="C5" s="2034" t="s">
        <v>1097</v>
      </c>
      <c r="D5" s="2034" t="s">
        <v>1098</v>
      </c>
      <c r="E5" s="2034" t="s">
        <v>5017</v>
      </c>
      <c r="F5" s="2031" t="s">
        <v>5516</v>
      </c>
      <c r="G5" s="2032"/>
      <c r="H5" s="2033"/>
      <c r="I5" s="2034" t="s">
        <v>6346</v>
      </c>
    </row>
    <row r="6" spans="2:12" s="900" customFormat="1" ht="25.5">
      <c r="B6" s="2035"/>
      <c r="C6" s="2035"/>
      <c r="D6" s="2035"/>
      <c r="E6" s="2035"/>
      <c r="F6" s="1239" t="s">
        <v>153</v>
      </c>
      <c r="G6" s="1239" t="s">
        <v>3801</v>
      </c>
      <c r="H6" s="1239" t="s">
        <v>3803</v>
      </c>
      <c r="I6" s="2035"/>
    </row>
    <row r="7" spans="2:12">
      <c r="B7" s="165" t="s">
        <v>5284</v>
      </c>
      <c r="C7" s="166" t="s">
        <v>3148</v>
      </c>
      <c r="D7" s="546" t="s">
        <v>5020</v>
      </c>
      <c r="E7" s="1097" t="s">
        <v>4867</v>
      </c>
      <c r="F7" s="1140">
        <f>SUM(F8:F12)</f>
        <v>6197721</v>
      </c>
      <c r="G7" s="1140">
        <f>SUM(G8:G12)</f>
        <v>0</v>
      </c>
      <c r="H7" s="1140">
        <f>SUM(H8:H12)</f>
        <v>0</v>
      </c>
      <c r="I7" s="1140">
        <f>SUM(F7:H7)</f>
        <v>6197721</v>
      </c>
    </row>
    <row r="8" spans="2:12">
      <c r="B8" s="168">
        <v>1</v>
      </c>
      <c r="C8" s="1062" t="s">
        <v>3149</v>
      </c>
      <c r="D8" s="168" t="s">
        <v>3302</v>
      </c>
      <c r="E8" s="169" t="s">
        <v>5141</v>
      </c>
      <c r="F8" s="1311">
        <f>ROUND('II.3.5.nc+mtcTRAM'!L20,0)</f>
        <v>2294223</v>
      </c>
      <c r="G8" s="1141"/>
      <c r="H8" s="1141"/>
      <c r="I8" s="1141">
        <f>SUM(F8:H8)</f>
        <v>2294223</v>
      </c>
    </row>
    <row r="9" spans="2:12">
      <c r="B9" s="169">
        <v>2</v>
      </c>
      <c r="C9" s="1099" t="s">
        <v>3150</v>
      </c>
      <c r="D9" s="169" t="s">
        <v>3303</v>
      </c>
      <c r="E9" s="169" t="s">
        <v>96</v>
      </c>
      <c r="F9" s="1308">
        <f>ROUND('II.3.5.nc+mtcTRAM'!M20,0)</f>
        <v>2937618</v>
      </c>
      <c r="G9" s="1142"/>
      <c r="H9" s="1142"/>
      <c r="I9" s="1142">
        <f t="shared" ref="I9:I18" si="0">SUM(F9:H9)</f>
        <v>2937618</v>
      </c>
    </row>
    <row r="10" spans="2:12">
      <c r="B10" s="169"/>
      <c r="C10" s="1099"/>
      <c r="D10" s="169"/>
      <c r="E10" s="547" t="s">
        <v>2570</v>
      </c>
      <c r="F10" s="1263"/>
      <c r="G10" s="1143"/>
      <c r="H10" s="1143"/>
      <c r="I10" s="1143">
        <f t="shared" si="0"/>
        <v>0</v>
      </c>
    </row>
    <row r="11" spans="2:12">
      <c r="B11" s="1098">
        <v>3</v>
      </c>
      <c r="C11" s="1100" t="s">
        <v>5251</v>
      </c>
      <c r="D11" s="1098" t="s">
        <v>5022</v>
      </c>
      <c r="E11" s="1098" t="s">
        <v>5141</v>
      </c>
      <c r="F11" s="1309">
        <f>ROUND('II.3.5.nc+mtcTRAM'!N20,0)</f>
        <v>965880</v>
      </c>
      <c r="G11" s="1149"/>
      <c r="H11" s="1149"/>
      <c r="I11" s="1149">
        <f t="shared" si="0"/>
        <v>965880</v>
      </c>
    </row>
    <row r="12" spans="2:12">
      <c r="B12" s="1098"/>
      <c r="C12" s="1100"/>
      <c r="D12" s="1098"/>
      <c r="E12" s="547" t="s">
        <v>2570</v>
      </c>
      <c r="F12" s="1143"/>
      <c r="G12" s="1143"/>
      <c r="H12" s="1143"/>
      <c r="I12" s="1143">
        <f t="shared" si="0"/>
        <v>0</v>
      </c>
    </row>
    <row r="13" spans="2:12">
      <c r="B13" s="170" t="s">
        <v>1233</v>
      </c>
      <c r="C13" s="171" t="s">
        <v>5252</v>
      </c>
      <c r="D13" s="170" t="s">
        <v>5023</v>
      </c>
      <c r="E13" s="170" t="s">
        <v>5869</v>
      </c>
      <c r="F13" s="1144">
        <f>ROUND(65%*F9,0)</f>
        <v>1909452</v>
      </c>
      <c r="G13" s="1144">
        <f>ROUND(65%*G9,0)</f>
        <v>0</v>
      </c>
      <c r="H13" s="1144">
        <f>ROUND(65%*H9,0)</f>
        <v>0</v>
      </c>
      <c r="I13" s="1144">
        <f t="shared" si="0"/>
        <v>1909452</v>
      </c>
    </row>
    <row r="14" spans="2:12">
      <c r="B14" s="167"/>
      <c r="C14" s="171" t="s">
        <v>5254</v>
      </c>
      <c r="D14" s="169" t="s">
        <v>5019</v>
      </c>
      <c r="E14" s="172" t="s">
        <v>5255</v>
      </c>
      <c r="F14" s="1145">
        <f>ROUND(F7+F13,0)</f>
        <v>8107173</v>
      </c>
      <c r="G14" s="1145">
        <f>ROUND(G7+G13,0)</f>
        <v>0</v>
      </c>
      <c r="H14" s="1145">
        <f>ROUND(H7+H13,0)</f>
        <v>0</v>
      </c>
      <c r="I14" s="1144">
        <f t="shared" si="0"/>
        <v>8107173</v>
      </c>
    </row>
    <row r="15" spans="2:12">
      <c r="B15" s="170" t="s">
        <v>4085</v>
      </c>
      <c r="C15" s="171" t="s">
        <v>4060</v>
      </c>
      <c r="D15" s="170" t="s">
        <v>4061</v>
      </c>
      <c r="E15" s="170" t="s">
        <v>4062</v>
      </c>
      <c r="F15" s="1144">
        <f>ROUND(6%*(F7+F13),0)</f>
        <v>486430</v>
      </c>
      <c r="G15" s="1144">
        <f>ROUND(6%*(G7+G13),0)</f>
        <v>0</v>
      </c>
      <c r="H15" s="1144">
        <f>ROUND(6%*(H7+H13),0)</f>
        <v>0</v>
      </c>
      <c r="I15" s="1144">
        <f t="shared" si="0"/>
        <v>486430</v>
      </c>
    </row>
    <row r="16" spans="2:12">
      <c r="B16" s="173"/>
      <c r="C16" s="174" t="s">
        <v>4063</v>
      </c>
      <c r="D16" s="175" t="s">
        <v>5866</v>
      </c>
      <c r="E16" s="170" t="s">
        <v>4064</v>
      </c>
      <c r="F16" s="1144">
        <f>ROUND(F7+F13+F15,0)</f>
        <v>8593603</v>
      </c>
      <c r="G16" s="1144">
        <f>ROUND(G7+G13+G15,0)</f>
        <v>0</v>
      </c>
      <c r="H16" s="1144">
        <f>ROUND(H7+H13+H15,0)</f>
        <v>0</v>
      </c>
      <c r="I16" s="1144">
        <f t="shared" si="0"/>
        <v>8593603</v>
      </c>
    </row>
    <row r="17" spans="2:9">
      <c r="B17" s="170" t="s">
        <v>4065</v>
      </c>
      <c r="C17" s="171" t="s">
        <v>4066</v>
      </c>
      <c r="D17" s="176" t="s">
        <v>4098</v>
      </c>
      <c r="E17" s="170" t="s">
        <v>5867</v>
      </c>
      <c r="F17" s="1144">
        <f>ROUND(F16*10%,0)</f>
        <v>859360</v>
      </c>
      <c r="G17" s="1144">
        <f>ROUND(G16*10%,0)</f>
        <v>0</v>
      </c>
      <c r="H17" s="1144">
        <f>ROUND(H16*10%,0)</f>
        <v>0</v>
      </c>
      <c r="I17" s="1144">
        <f t="shared" si="0"/>
        <v>859360</v>
      </c>
    </row>
    <row r="18" spans="2:9">
      <c r="B18" s="167"/>
      <c r="C18" s="171" t="s">
        <v>3800</v>
      </c>
      <c r="D18" s="175" t="s">
        <v>4099</v>
      </c>
      <c r="E18" s="553" t="s">
        <v>5868</v>
      </c>
      <c r="F18" s="1146">
        <f>ROUND(F16+F17,0)</f>
        <v>9452963</v>
      </c>
      <c r="G18" s="1146">
        <f>ROUND(G16+G17,0)</f>
        <v>0</v>
      </c>
      <c r="H18" s="1146">
        <f>ROUND(H16+H17,0)</f>
        <v>0</v>
      </c>
      <c r="I18" s="1147">
        <f t="shared" si="0"/>
        <v>9452963</v>
      </c>
    </row>
    <row r="19" spans="2:9">
      <c r="B19" s="178"/>
      <c r="C19" s="179"/>
      <c r="D19" s="180"/>
      <c r="E19" s="181"/>
      <c r="F19" s="181"/>
      <c r="G19" s="181"/>
      <c r="H19" s="181"/>
      <c r="I19" s="548"/>
    </row>
    <row r="20" spans="2:9">
      <c r="B20" s="183"/>
      <c r="C20" s="183"/>
      <c r="D20" s="183"/>
      <c r="E20" s="183"/>
      <c r="F20" s="183"/>
      <c r="G20" s="183"/>
      <c r="H20" s="183"/>
      <c r="I20" s="183"/>
    </row>
    <row r="21" spans="2:9" hidden="1">
      <c r="B21" s="85" t="s">
        <v>993</v>
      </c>
    </row>
    <row r="22" spans="2:9" hidden="1">
      <c r="B22" s="85" t="s">
        <v>3797</v>
      </c>
    </row>
    <row r="23" spans="2:9" hidden="1">
      <c r="B23" s="146" t="s">
        <v>1251</v>
      </c>
      <c r="C23" s="772">
        <f>'II.1.1.vlTA'!C28</f>
        <v>0</v>
      </c>
    </row>
    <row r="24" spans="2:9" hidden="1">
      <c r="B24" s="146" t="s">
        <v>1251</v>
      </c>
      <c r="C24" s="773">
        <f>'II.3.2.xdtram'!C24</f>
        <v>1</v>
      </c>
    </row>
    <row r="26" spans="2:9"/>
    <row r="27" spans="2:9"/>
    <row r="28" spans="2:9"/>
    <row r="29" spans="2:9"/>
    <row r="30" spans="2:9"/>
    <row r="31" spans="2:9"/>
    <row r="32" spans="2:9"/>
    <row r="33"/>
    <row r="34"/>
    <row r="35"/>
    <row r="36"/>
    <row r="37"/>
    <row r="38"/>
  </sheetData>
  <sheetProtection password="E3F0" sheet="1"/>
  <mergeCells count="8">
    <mergeCell ref="B2:I2"/>
    <mergeCell ref="B3:I3"/>
    <mergeCell ref="B5:B6"/>
    <mergeCell ref="C5:C6"/>
    <mergeCell ref="D5:D6"/>
    <mergeCell ref="E5:E6"/>
    <mergeCell ref="F5:H5"/>
    <mergeCell ref="I5:I6"/>
  </mergeCells>
  <phoneticPr fontId="0" type="noConversion"/>
  <printOptions horizontalCentered="1"/>
  <pageMargins left="0.11811023622047245" right="0.11811023622047245" top="0.39370078740157483" bottom="0.39370078740157483" header="0.19685039370078741" footer="0.19685039370078741"/>
  <pageSetup paperSize="9" scale="95" firstPageNumber="32" orientation="landscape" blackAndWhite="1" useFirstPageNumber="1"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2">
    <tabColor indexed="52"/>
  </sheetPr>
  <dimension ref="B1:L38"/>
  <sheetViews>
    <sheetView showZeros="0" workbookViewId="0">
      <selection activeCell="C10" sqref="C10:D10"/>
    </sheetView>
  </sheetViews>
  <sheetFormatPr defaultColWidth="0" defaultRowHeight="15" customHeight="1" zeroHeight="1"/>
  <cols>
    <col min="1" max="1" width="3.5" style="85" customWidth="1"/>
    <col min="2" max="2" width="4.83203125" style="87" customWidth="1"/>
    <col min="3" max="3" width="36.83203125" style="85" customWidth="1"/>
    <col min="4" max="4" width="9" style="85" customWidth="1"/>
    <col min="5" max="5" width="35.33203125" style="85" customWidth="1"/>
    <col min="6" max="6" width="18.83203125" style="85" customWidth="1"/>
    <col min="7" max="8" width="11.6640625" style="85" hidden="1" customWidth="1"/>
    <col min="9" max="9" width="18.83203125" style="85" customWidth="1"/>
    <col min="10" max="10" width="9.83203125" style="85" customWidth="1"/>
    <col min="11" max="16384" width="0" style="85" hidden="1"/>
  </cols>
  <sheetData>
    <row r="1" spans="2:12"/>
    <row r="2" spans="2:12" ht="18.75">
      <c r="B2" s="2028" t="s">
        <v>1140</v>
      </c>
      <c r="C2" s="2028"/>
      <c r="D2" s="2028"/>
      <c r="E2" s="2028"/>
      <c r="F2" s="2028"/>
      <c r="G2" s="2028"/>
      <c r="H2" s="2028"/>
      <c r="I2" s="2028"/>
    </row>
    <row r="3" spans="2:12" ht="15.75">
      <c r="B3" s="2030" t="s">
        <v>490</v>
      </c>
      <c r="C3" s="2030"/>
      <c r="D3" s="2030"/>
      <c r="E3" s="2030"/>
      <c r="F3" s="2030"/>
      <c r="G3" s="2030"/>
      <c r="H3" s="2030"/>
      <c r="I3" s="2030"/>
      <c r="J3" s="106"/>
      <c r="K3" s="106"/>
      <c r="L3" s="106"/>
    </row>
    <row r="4" spans="2:12" ht="15.75">
      <c r="B4" s="1249"/>
      <c r="C4" s="160"/>
      <c r="D4" s="160"/>
      <c r="E4" s="161"/>
      <c r="F4" s="161"/>
      <c r="G4" s="161"/>
      <c r="H4" s="161"/>
      <c r="I4" s="545"/>
    </row>
    <row r="5" spans="2:12" s="900" customFormat="1" ht="12.75">
      <c r="B5" s="2034" t="s">
        <v>6345</v>
      </c>
      <c r="C5" s="2034" t="s">
        <v>1097</v>
      </c>
      <c r="D5" s="2034" t="s">
        <v>1098</v>
      </c>
      <c r="E5" s="2034" t="s">
        <v>5017</v>
      </c>
      <c r="F5" s="2031" t="s">
        <v>5516</v>
      </c>
      <c r="G5" s="2032"/>
      <c r="H5" s="2033"/>
      <c r="I5" s="2034" t="s">
        <v>6346</v>
      </c>
    </row>
    <row r="6" spans="2:12" s="900" customFormat="1" ht="25.5">
      <c r="B6" s="2035"/>
      <c r="C6" s="2035"/>
      <c r="D6" s="2035"/>
      <c r="E6" s="2035"/>
      <c r="F6" s="1239" t="s">
        <v>153</v>
      </c>
      <c r="G6" s="1239" t="s">
        <v>3801</v>
      </c>
      <c r="H6" s="1239" t="s">
        <v>3803</v>
      </c>
      <c r="I6" s="2035"/>
    </row>
    <row r="7" spans="2:12">
      <c r="B7" s="165" t="s">
        <v>5284</v>
      </c>
      <c r="C7" s="166" t="s">
        <v>3148</v>
      </c>
      <c r="D7" s="546" t="s">
        <v>5020</v>
      </c>
      <c r="E7" s="1097" t="s">
        <v>4867</v>
      </c>
      <c r="F7" s="1140">
        <f>SUM(F8:F12)</f>
        <v>8263413</v>
      </c>
      <c r="G7" s="1140">
        <f>SUM(G8:G12)</f>
        <v>0</v>
      </c>
      <c r="H7" s="1140">
        <f>SUM(H8:H12)</f>
        <v>0</v>
      </c>
      <c r="I7" s="1140">
        <f>SUM(F7:H7)</f>
        <v>8263413</v>
      </c>
    </row>
    <row r="8" spans="2:12">
      <c r="B8" s="168">
        <v>1</v>
      </c>
      <c r="C8" s="1062" t="s">
        <v>3149</v>
      </c>
      <c r="D8" s="168" t="s">
        <v>3302</v>
      </c>
      <c r="E8" s="168" t="s">
        <v>5141</v>
      </c>
      <c r="F8" s="1141">
        <f>ROUND('II.3.5.nc+mtcTRAM'!L21,0)</f>
        <v>747714</v>
      </c>
      <c r="G8" s="1141"/>
      <c r="H8" s="1141"/>
      <c r="I8" s="1141">
        <f>SUM(F8:H8)</f>
        <v>747714</v>
      </c>
    </row>
    <row r="9" spans="2:12">
      <c r="B9" s="169">
        <v>2</v>
      </c>
      <c r="C9" s="1099" t="s">
        <v>3150</v>
      </c>
      <c r="D9" s="169" t="s">
        <v>3303</v>
      </c>
      <c r="E9" s="169" t="s">
        <v>96</v>
      </c>
      <c r="F9" s="1308">
        <f>ROUND('II.3.5.nc+mtcTRAM'!M21,0)</f>
        <v>7016109</v>
      </c>
      <c r="G9" s="1142"/>
      <c r="H9" s="1142"/>
      <c r="I9" s="1142">
        <f t="shared" ref="I9:I18" si="0">SUM(F9:H9)</f>
        <v>7016109</v>
      </c>
    </row>
    <row r="10" spans="2:12">
      <c r="B10" s="169"/>
      <c r="C10" s="1099"/>
      <c r="D10" s="169"/>
      <c r="E10" s="547" t="s">
        <v>2570</v>
      </c>
      <c r="F10" s="1143"/>
      <c r="G10" s="1143"/>
      <c r="H10" s="1143"/>
      <c r="I10" s="1143">
        <f t="shared" si="0"/>
        <v>0</v>
      </c>
    </row>
    <row r="11" spans="2:12">
      <c r="B11" s="169">
        <v>3</v>
      </c>
      <c r="C11" s="1100" t="s">
        <v>5251</v>
      </c>
      <c r="D11" s="1098" t="s">
        <v>5022</v>
      </c>
      <c r="E11" s="1098" t="s">
        <v>5141</v>
      </c>
      <c r="F11" s="1149">
        <f>ROUND('II.3.5.nc+mtcTRAM'!N21,0)</f>
        <v>499590</v>
      </c>
      <c r="G11" s="1149"/>
      <c r="H11" s="1149"/>
      <c r="I11" s="1149">
        <f t="shared" si="0"/>
        <v>499590</v>
      </c>
    </row>
    <row r="12" spans="2:12">
      <c r="B12" s="169"/>
      <c r="C12" s="1100"/>
      <c r="D12" s="1098"/>
      <c r="E12" s="547" t="s">
        <v>2570</v>
      </c>
      <c r="F12" s="1143"/>
      <c r="G12" s="1143"/>
      <c r="H12" s="1143"/>
      <c r="I12" s="1143">
        <f t="shared" si="0"/>
        <v>0</v>
      </c>
    </row>
    <row r="13" spans="2:12">
      <c r="B13" s="170" t="s">
        <v>1233</v>
      </c>
      <c r="C13" s="171" t="s">
        <v>5252</v>
      </c>
      <c r="D13" s="170" t="s">
        <v>5023</v>
      </c>
      <c r="E13" s="170" t="s">
        <v>5253</v>
      </c>
      <c r="F13" s="1144">
        <f>ROUND(5.5%*F7,0)</f>
        <v>454488</v>
      </c>
      <c r="G13" s="1144">
        <f>ROUND(5.5%*G7,0)</f>
        <v>0</v>
      </c>
      <c r="H13" s="1144">
        <f>ROUND(5.5%*H7,0)</f>
        <v>0</v>
      </c>
      <c r="I13" s="1144">
        <f t="shared" si="0"/>
        <v>454488</v>
      </c>
    </row>
    <row r="14" spans="2:12">
      <c r="B14" s="167"/>
      <c r="C14" s="171" t="s">
        <v>5254</v>
      </c>
      <c r="D14" s="169" t="s">
        <v>5019</v>
      </c>
      <c r="E14" s="172" t="s">
        <v>5255</v>
      </c>
      <c r="F14" s="1145">
        <f>ROUND(F7+F13,0)</f>
        <v>8717901</v>
      </c>
      <c r="G14" s="1145">
        <f>ROUND(G7+G13,0)</f>
        <v>0</v>
      </c>
      <c r="H14" s="1145">
        <f>ROUND(H7+H13,0)</f>
        <v>0</v>
      </c>
      <c r="I14" s="1144">
        <f t="shared" si="0"/>
        <v>8717901</v>
      </c>
    </row>
    <row r="15" spans="2:12">
      <c r="B15" s="170" t="s">
        <v>4085</v>
      </c>
      <c r="C15" s="171" t="s">
        <v>4060</v>
      </c>
      <c r="D15" s="170" t="s">
        <v>4061</v>
      </c>
      <c r="E15" s="170" t="s">
        <v>4062</v>
      </c>
      <c r="F15" s="1144">
        <f>ROUND(6%*(F7+F13),0)</f>
        <v>523074</v>
      </c>
      <c r="G15" s="1144">
        <f>ROUND(6%*(G7+G13),0)</f>
        <v>0</v>
      </c>
      <c r="H15" s="1144">
        <f>ROUND(6%*(H7+H13),0)</f>
        <v>0</v>
      </c>
      <c r="I15" s="1144">
        <f t="shared" si="0"/>
        <v>523074</v>
      </c>
    </row>
    <row r="16" spans="2:12">
      <c r="B16" s="173"/>
      <c r="C16" s="174" t="s">
        <v>4063</v>
      </c>
      <c r="D16" s="175" t="s">
        <v>5866</v>
      </c>
      <c r="E16" s="170" t="s">
        <v>4064</v>
      </c>
      <c r="F16" s="1144">
        <f>ROUND(F7+F13+F15,0)</f>
        <v>9240975</v>
      </c>
      <c r="G16" s="1144">
        <f>ROUND(G7+G13+G15,0)</f>
        <v>0</v>
      </c>
      <c r="H16" s="1144">
        <f>ROUND(H7+H13+H15,0)</f>
        <v>0</v>
      </c>
      <c r="I16" s="1144">
        <f t="shared" si="0"/>
        <v>9240975</v>
      </c>
    </row>
    <row r="17" spans="2:9">
      <c r="B17" s="170" t="s">
        <v>4065</v>
      </c>
      <c r="C17" s="171" t="s">
        <v>4066</v>
      </c>
      <c r="D17" s="176" t="s">
        <v>4098</v>
      </c>
      <c r="E17" s="170" t="s">
        <v>5867</v>
      </c>
      <c r="F17" s="1144">
        <f>ROUND(F16*10%,0)</f>
        <v>924098</v>
      </c>
      <c r="G17" s="1144">
        <f>ROUND(G16*10%,0)</f>
        <v>0</v>
      </c>
      <c r="H17" s="1144">
        <f>ROUND(H16*10%,0)</f>
        <v>0</v>
      </c>
      <c r="I17" s="1144">
        <f t="shared" si="0"/>
        <v>924098</v>
      </c>
    </row>
    <row r="18" spans="2:9">
      <c r="B18" s="167"/>
      <c r="C18" s="171" t="s">
        <v>3800</v>
      </c>
      <c r="D18" s="175" t="s">
        <v>4099</v>
      </c>
      <c r="E18" s="553" t="s">
        <v>5868</v>
      </c>
      <c r="F18" s="1146">
        <f>ROUND(F16+F17,0)</f>
        <v>10165073</v>
      </c>
      <c r="G18" s="1146">
        <f>ROUND(G16+G17,0)</f>
        <v>0</v>
      </c>
      <c r="H18" s="1146">
        <f>ROUND(H16+H17,0)</f>
        <v>0</v>
      </c>
      <c r="I18" s="1147">
        <f t="shared" si="0"/>
        <v>10165073</v>
      </c>
    </row>
    <row r="19" spans="2:9">
      <c r="B19" s="178"/>
      <c r="C19" s="179"/>
      <c r="D19" s="180"/>
      <c r="E19" s="181"/>
      <c r="F19" s="181"/>
      <c r="G19" s="181"/>
      <c r="H19" s="181"/>
      <c r="I19" s="548"/>
    </row>
    <row r="20" spans="2:9">
      <c r="B20" s="1250"/>
      <c r="C20" s="183"/>
      <c r="D20" s="183"/>
      <c r="E20" s="183"/>
      <c r="F20" s="183"/>
      <c r="G20" s="183"/>
      <c r="H20" s="183"/>
      <c r="I20" s="183"/>
    </row>
    <row r="21" spans="2:9" hidden="1">
      <c r="B21" s="87" t="s">
        <v>993</v>
      </c>
    </row>
    <row r="22" spans="2:9" hidden="1">
      <c r="B22" s="87" t="s">
        <v>3797</v>
      </c>
    </row>
    <row r="23" spans="2:9" hidden="1">
      <c r="B23" s="87" t="s">
        <v>1251</v>
      </c>
      <c r="C23" s="772">
        <f>'II.1.1.vlTA'!C28</f>
        <v>0</v>
      </c>
    </row>
    <row r="24" spans="2:9" hidden="1">
      <c r="B24" s="87" t="s">
        <v>1251</v>
      </c>
      <c r="C24" s="773">
        <f>'II.3.2.xdtram'!C24</f>
        <v>1</v>
      </c>
    </row>
    <row r="26" spans="2:9"/>
    <row r="27" spans="2:9"/>
    <row r="28" spans="2:9"/>
    <row r="29" spans="2:9"/>
    <row r="30" spans="2:9"/>
    <row r="31" spans="2:9"/>
    <row r="32" spans="2:9"/>
    <row r="33"/>
    <row r="34"/>
    <row r="35" ht="15" customHeight="1"/>
    <row r="36" ht="15" customHeight="1"/>
    <row r="37" ht="15" customHeight="1"/>
    <row r="38" ht="15" customHeight="1"/>
  </sheetData>
  <sheetProtection password="E3F0" sheet="1" objects="1" scenarios="1"/>
  <mergeCells count="8">
    <mergeCell ref="B2:I2"/>
    <mergeCell ref="B3:I3"/>
    <mergeCell ref="B5:B6"/>
    <mergeCell ref="C5:C6"/>
    <mergeCell ref="D5:D6"/>
    <mergeCell ref="E5:E6"/>
    <mergeCell ref="F5:H5"/>
    <mergeCell ref="I5:I6"/>
  </mergeCells>
  <phoneticPr fontId="152" type="noConversion"/>
  <printOptions horizontalCentered="1"/>
  <pageMargins left="0.11811023622047245" right="0.11811023622047245" top="0.39370078740157483" bottom="0.39370078740157483" header="0.19685039370078741" footer="0.19685039370078741"/>
  <pageSetup paperSize="9" scale="95" firstPageNumber="32" orientation="landscape" blackAndWhite="1" useFirstPageNumber="1"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indexed="52"/>
  </sheetPr>
  <dimension ref="A1:N115"/>
  <sheetViews>
    <sheetView showGridLines="0" showZeros="0" showRuler="0" view="pageLayout" zoomScaleNormal="100" workbookViewId="0">
      <selection activeCell="C10" sqref="C10:D10"/>
    </sheetView>
  </sheetViews>
  <sheetFormatPr defaultColWidth="0" defaultRowHeight="15" zeroHeight="1"/>
  <cols>
    <col min="1" max="1" width="5.83203125" style="197" customWidth="1"/>
    <col min="2" max="2" width="48.83203125" style="197" customWidth="1"/>
    <col min="3" max="3" width="7.1640625" style="197" customWidth="1"/>
    <col min="4" max="4" width="8.5" style="197" customWidth="1"/>
    <col min="5" max="5" width="12.83203125" style="197" customWidth="1"/>
    <col min="6" max="6" width="10.83203125" style="197" hidden="1" customWidth="1"/>
    <col min="7" max="8" width="11.83203125" style="197" customWidth="1"/>
    <col min="9" max="9" width="10.83203125" style="197" customWidth="1"/>
    <col min="10" max="10" width="13.83203125" style="197" customWidth="1"/>
    <col min="11" max="11" width="10.83203125" style="197" hidden="1" customWidth="1"/>
    <col min="12" max="13" width="13.83203125" style="197" customWidth="1"/>
    <col min="14" max="14" width="11.83203125" style="197" customWidth="1"/>
    <col min="15" max="15" width="2" style="197" customWidth="1"/>
    <col min="16" max="16384" width="0" style="197" hidden="1"/>
  </cols>
  <sheetData>
    <row r="1" spans="1:14"/>
    <row r="2" spans="1:14" ht="18.75">
      <c r="A2" s="2128" t="s">
        <v>6300</v>
      </c>
      <c r="B2" s="2128"/>
      <c r="C2" s="2128"/>
      <c r="D2" s="2128"/>
      <c r="E2" s="2128"/>
      <c r="F2" s="2128"/>
      <c r="G2" s="2128"/>
      <c r="H2" s="2128"/>
      <c r="I2" s="2128"/>
      <c r="J2" s="2128"/>
      <c r="K2" s="2128"/>
      <c r="L2" s="2128"/>
      <c r="M2" s="2128"/>
      <c r="N2" s="2128"/>
    </row>
    <row r="3" spans="1:14" ht="15.75">
      <c r="A3" s="2129" t="s">
        <v>490</v>
      </c>
      <c r="B3" s="2129"/>
      <c r="C3" s="2129"/>
      <c r="D3" s="2129"/>
      <c r="E3" s="2129"/>
      <c r="F3" s="2129"/>
      <c r="G3" s="2129"/>
      <c r="H3" s="2129"/>
      <c r="I3" s="2129"/>
      <c r="J3" s="2129"/>
      <c r="K3" s="2129"/>
      <c r="L3" s="2129"/>
      <c r="M3" s="2129"/>
      <c r="N3" s="2129"/>
    </row>
    <row r="4" spans="1:14"/>
    <row r="5" spans="1:14" ht="15.75" customHeight="1">
      <c r="A5" s="2056" t="s">
        <v>375</v>
      </c>
      <c r="B5" s="2056" t="s">
        <v>175</v>
      </c>
      <c r="C5" s="2056" t="s">
        <v>86</v>
      </c>
      <c r="D5" s="2056" t="s">
        <v>174</v>
      </c>
      <c r="E5" s="188" t="s">
        <v>87</v>
      </c>
      <c r="F5" s="189"/>
      <c r="G5" s="189"/>
      <c r="H5" s="190"/>
      <c r="I5" s="191"/>
      <c r="J5" s="188" t="s">
        <v>88</v>
      </c>
      <c r="K5" s="189"/>
      <c r="L5" s="189"/>
      <c r="M5" s="190"/>
      <c r="N5" s="191"/>
    </row>
    <row r="6" spans="1:14" ht="27.95" customHeight="1">
      <c r="A6" s="2058"/>
      <c r="B6" s="2058"/>
      <c r="C6" s="2058"/>
      <c r="D6" s="2058"/>
      <c r="E6" s="240" t="s">
        <v>5443</v>
      </c>
      <c r="F6" s="240" t="s">
        <v>5166</v>
      </c>
      <c r="G6" s="240" t="s">
        <v>5444</v>
      </c>
      <c r="H6" s="216" t="s">
        <v>89</v>
      </c>
      <c r="I6" s="217" t="s">
        <v>3308</v>
      </c>
      <c r="J6" s="240" t="s">
        <v>5443</v>
      </c>
      <c r="K6" s="240" t="s">
        <v>5166</v>
      </c>
      <c r="L6" s="240" t="s">
        <v>5444</v>
      </c>
      <c r="M6" s="216" t="s">
        <v>89</v>
      </c>
      <c r="N6" s="217" t="s">
        <v>3308</v>
      </c>
    </row>
    <row r="7" spans="1:14">
      <c r="A7" s="242" t="s">
        <v>176</v>
      </c>
      <c r="B7" s="242" t="s">
        <v>4275</v>
      </c>
      <c r="C7" s="242" t="s">
        <v>4276</v>
      </c>
      <c r="D7" s="242" t="s">
        <v>5860</v>
      </c>
      <c r="E7" s="242" t="s">
        <v>5861</v>
      </c>
      <c r="F7" s="242" t="s">
        <v>5862</v>
      </c>
      <c r="G7" s="242" t="s">
        <v>5863</v>
      </c>
      <c r="H7" s="242" t="s">
        <v>5864</v>
      </c>
      <c r="I7" s="242" t="s">
        <v>1250</v>
      </c>
      <c r="J7" s="242" t="s">
        <v>5445</v>
      </c>
      <c r="K7" s="242" t="s">
        <v>5446</v>
      </c>
      <c r="L7" s="242" t="s">
        <v>5447</v>
      </c>
      <c r="M7" s="242" t="s">
        <v>5448</v>
      </c>
      <c r="N7" s="242" t="s">
        <v>149</v>
      </c>
    </row>
    <row r="8" spans="1:14" ht="14.45" customHeight="1">
      <c r="A8" s="218" t="s">
        <v>5284</v>
      </c>
      <c r="B8" s="219" t="str">
        <f>VLOOKUP($A8,'II.3.6.chitiettram'!$B$9:$R$1968,4,FALSE)</f>
        <v>PHẦN XÂY DỰNG:</v>
      </c>
      <c r="C8" s="220">
        <f>VLOOKUP($A8,'II.3.6.chitiettram'!$B$9:$R$1968,5,FALSE)</f>
        <v>0</v>
      </c>
      <c r="D8" s="220">
        <f>VLOOKUP($A8,'II.3.6.chitiettram'!$B$9:$R$1968,6,FALSE)</f>
        <v>0</v>
      </c>
      <c r="E8" s="221">
        <f>VLOOKUP($A8,'II.3.6.chitiettram'!$B$9:$R$1968,12,FALSE)</f>
        <v>0</v>
      </c>
      <c r="F8" s="221">
        <f>VLOOKUP($A8,'II.3.6.chitiettram'!$B$9:$R$1968,13,FALSE)</f>
        <v>0</v>
      </c>
      <c r="G8" s="221"/>
      <c r="H8" s="221">
        <f>VLOOKUP($A8,'II.3.6.chitiettram'!$B$9:$R$1968,14,FALSE)</f>
        <v>0</v>
      </c>
      <c r="I8" s="221">
        <f>VLOOKUP($A8,'II.3.6.chitiettram'!$B$9:$R$1968,15,FALSE)</f>
        <v>0</v>
      </c>
      <c r="J8" s="227">
        <f t="shared" ref="J8:K12" si="0">ROUND($D8*E8,0)</f>
        <v>0</v>
      </c>
      <c r="K8" s="227">
        <f t="shared" si="0"/>
        <v>0</v>
      </c>
      <c r="L8" s="227"/>
      <c r="M8" s="227">
        <f t="shared" ref="M8:N12" si="1">ROUND($D8*H8,0)</f>
        <v>0</v>
      </c>
      <c r="N8" s="227">
        <f t="shared" si="1"/>
        <v>0</v>
      </c>
    </row>
    <row r="9" spans="1:14" ht="14.45" customHeight="1">
      <c r="A9" s="1108" t="s">
        <v>1909</v>
      </c>
      <c r="B9" s="222" t="str">
        <f>VLOOKUP($A9,'II.3.6.chitiettram'!$B$9:$R$1968,4,FALSE)</f>
        <v>Đào, đắp rãnh tiếp địa</v>
      </c>
      <c r="C9" s="223" t="str">
        <f>VLOOKUP($A9,'II.3.6.chitiettram'!$B$9:$R$1968,5,FALSE)</f>
        <v>bộ</v>
      </c>
      <c r="D9" s="223">
        <f>VLOOKUP($A9,'II.3.6.chitiettram'!$B$9:$R$1968,6,FALSE)</f>
        <v>3</v>
      </c>
      <c r="E9" s="224">
        <f>VLOOKUP($A9,'II.3.6.chitiettram'!$B$9:$R$1968,13,FALSE)</f>
        <v>0</v>
      </c>
      <c r="F9" s="224">
        <f>VLOOKUP($A9,'II.3.6.chitiettram'!$B$9:$R$1968,14,FALSE)</f>
        <v>0</v>
      </c>
      <c r="G9" s="224">
        <f>VLOOKUP($A9,'II.3.6.chitiettram'!$B$9:$R$1968,15,FALSE)</f>
        <v>0</v>
      </c>
      <c r="H9" s="224">
        <f>VLOOKUP($A9,'II.3.6.chitiettram'!$B$9:$R$1968,16,FALSE)</f>
        <v>66462</v>
      </c>
      <c r="I9" s="224">
        <f>VLOOKUP($A9,'II.3.6.chitiettram'!$B$9:$R$1968,17,FALSE)</f>
        <v>0</v>
      </c>
      <c r="J9" s="227">
        <f t="shared" si="0"/>
        <v>0</v>
      </c>
      <c r="K9" s="227">
        <f t="shared" si="0"/>
        <v>0</v>
      </c>
      <c r="L9" s="227">
        <f>ROUND($D9*G9,0)</f>
        <v>0</v>
      </c>
      <c r="M9" s="227">
        <f t="shared" si="1"/>
        <v>199386</v>
      </c>
      <c r="N9" s="227">
        <f t="shared" si="1"/>
        <v>0</v>
      </c>
    </row>
    <row r="10" spans="1:14" ht="14.45" customHeight="1">
      <c r="A10" s="225" t="s">
        <v>1233</v>
      </c>
      <c r="B10" s="226" t="str">
        <f>VLOOKUP($A10,'II.3.6.chitiettram'!$B$9:$R$1968,4,FALSE)</f>
        <v>PHẦN THIẾT BỊ:</v>
      </c>
      <c r="C10" s="223">
        <f>VLOOKUP($A10,'II.3.6.chitiettram'!$B$9:$R$1968,5,FALSE)</f>
        <v>0</v>
      </c>
      <c r="D10" s="223">
        <f>VLOOKUP($A10,'II.3.6.chitiettram'!$B$9:$R$1968,6,FALSE)</f>
        <v>0</v>
      </c>
      <c r="E10" s="224">
        <f>VLOOKUP($A10,'II.3.6.chitiettram'!$B$9:$R$1968,13,FALSE)</f>
        <v>0</v>
      </c>
      <c r="F10" s="224">
        <f>VLOOKUP($A10,'II.3.6.chitiettram'!$B$9:$R$1968,14,FALSE)</f>
        <v>0</v>
      </c>
      <c r="G10" s="224">
        <f>VLOOKUP($A10,'II.3.6.chitiettram'!$B$9:$R$1968,15,FALSE)</f>
        <v>0</v>
      </c>
      <c r="H10" s="224">
        <f>VLOOKUP($A10,'II.3.6.chitiettram'!$B$9:$R$1968,16,FALSE)</f>
        <v>0</v>
      </c>
      <c r="I10" s="224">
        <f>VLOOKUP($A10,'II.3.6.chitiettram'!$B$9:$R$1968,17,FALSE)</f>
        <v>0</v>
      </c>
      <c r="J10" s="227">
        <f t="shared" si="0"/>
        <v>0</v>
      </c>
      <c r="K10" s="227">
        <f t="shared" si="0"/>
        <v>0</v>
      </c>
      <c r="L10" s="227">
        <f>ROUND($D10*G10,0)</f>
        <v>0</v>
      </c>
      <c r="M10" s="227">
        <f t="shared" si="1"/>
        <v>0</v>
      </c>
      <c r="N10" s="227">
        <f t="shared" si="1"/>
        <v>0</v>
      </c>
    </row>
    <row r="11" spans="1:14" ht="14.45" customHeight="1">
      <c r="A11" s="1108" t="s">
        <v>1911</v>
      </c>
      <c r="B11" s="222" t="str">
        <f>VLOOKUP($A11,'II.3.6.chitiettram'!$B$9:$R$1968,4,FALSE)</f>
        <v>MBA &amp; Thiết bị trạm 1x50kVA</v>
      </c>
      <c r="C11" s="223" t="str">
        <f>VLOOKUP($A11,'II.3.6.chitiettram'!$B$9:$R$1968,5,FALSE)</f>
        <v>t.bộ</v>
      </c>
      <c r="D11" s="223">
        <f>VLOOKUP($A11,'II.3.6.chitiettram'!$B$9:$R$1968,6,FALSE)</f>
        <v>3</v>
      </c>
      <c r="E11" s="224">
        <f>VLOOKUP($A11,'II.3.6.chitiettram'!$B$9:$R$1968,13,FALSE)</f>
        <v>63105000</v>
      </c>
      <c r="F11" s="224">
        <f>VLOOKUP($A11,'II.3.6.chitiettram'!$B$9:$R$1968,14,FALSE)</f>
        <v>0</v>
      </c>
      <c r="G11" s="224">
        <f>VLOOKUP($A11,'II.3.6.chitiettram'!$B$9:$R$1968,15,FALSE)</f>
        <v>764741</v>
      </c>
      <c r="H11" s="224">
        <f>VLOOKUP($A11,'II.3.6.chitiettram'!$B$9:$R$1968,16,FALSE)</f>
        <v>979206</v>
      </c>
      <c r="I11" s="224">
        <f>VLOOKUP($A11,'II.3.6.chitiettram'!$B$9:$R$1968,17,FALSE)</f>
        <v>321960</v>
      </c>
      <c r="J11" s="227">
        <f t="shared" si="0"/>
        <v>189315000</v>
      </c>
      <c r="K11" s="227">
        <f t="shared" si="0"/>
        <v>0</v>
      </c>
      <c r="L11" s="227">
        <f>ROUND($D11*G11,0)</f>
        <v>2294223</v>
      </c>
      <c r="M11" s="227">
        <f t="shared" si="1"/>
        <v>2937618</v>
      </c>
      <c r="N11" s="227">
        <f t="shared" si="1"/>
        <v>965880</v>
      </c>
    </row>
    <row r="12" spans="1:14" ht="14.45" customHeight="1">
      <c r="A12" s="225" t="s">
        <v>4085</v>
      </c>
      <c r="B12" s="226" t="str">
        <f>VLOOKUP($A12,'II.3.6.chitiettram'!$B$9:$R$1968,4,FALSE)</f>
        <v>PHẦN VẬT LIỆU:</v>
      </c>
      <c r="C12" s="223">
        <f>VLOOKUP($A12,'II.3.6.chitiettram'!$B$9:$R$1968,5,FALSE)</f>
        <v>0</v>
      </c>
      <c r="D12" s="223">
        <f>VLOOKUP($A12,'II.3.6.chitiettram'!$B$9:$R$1968,6,FALSE)</f>
        <v>0</v>
      </c>
      <c r="E12" s="224">
        <f>VLOOKUP($A12,'II.3.6.chitiettram'!$B$9:$R$1968,13,FALSE)</f>
        <v>0</v>
      </c>
      <c r="F12" s="224">
        <f>VLOOKUP($A12,'II.3.6.chitiettram'!$B$9:$R$1968,14,FALSE)</f>
        <v>0</v>
      </c>
      <c r="G12" s="224">
        <f>VLOOKUP($A12,'II.3.6.chitiettram'!$B$9:$R$1968,15,FALSE)</f>
        <v>0</v>
      </c>
      <c r="H12" s="224">
        <f>VLOOKUP($A12,'II.3.6.chitiettram'!$B$9:$R$1968,16,FALSE)</f>
        <v>0</v>
      </c>
      <c r="I12" s="224">
        <f>VLOOKUP($A12,'II.3.6.chitiettram'!$B$9:$R$1968,17,FALSE)</f>
        <v>0</v>
      </c>
      <c r="J12" s="227">
        <f t="shared" si="0"/>
        <v>0</v>
      </c>
      <c r="K12" s="227">
        <f t="shared" si="0"/>
        <v>0</v>
      </c>
      <c r="L12" s="227">
        <f>ROUND($D12*G12,0)</f>
        <v>0</v>
      </c>
      <c r="M12" s="227">
        <f t="shared" si="1"/>
        <v>0</v>
      </c>
      <c r="N12" s="227">
        <f t="shared" si="1"/>
        <v>0</v>
      </c>
    </row>
    <row r="13" spans="1:14" ht="14.45" customHeight="1">
      <c r="A13" s="1108" t="s">
        <v>1912</v>
      </c>
      <c r="B13" s="222" t="str">
        <f>VLOOKUP($A13,'II.3.6.chitiettram'!$B$9:$R$1968,4,FALSE)</f>
        <v>Phụ kiện trạm 1x50kVA</v>
      </c>
      <c r="C13" s="223" t="str">
        <f>VLOOKUP($A13,'II.3.6.chitiettram'!$B$9:$R$1968,5,FALSE)</f>
        <v>t.bộ</v>
      </c>
      <c r="D13" s="223">
        <f>VLOOKUP($A13,'II.3.6.chitiettram'!$B$9:$R$1968,6,FALSE)</f>
        <v>3</v>
      </c>
      <c r="E13" s="224">
        <f>VLOOKUP($A13,'II.3.6.chitiettram'!$B$9:$R$1968,13,FALSE)</f>
        <v>2926500</v>
      </c>
      <c r="F13" s="224">
        <f>VLOOKUP($A13,'II.3.6.chitiettram'!$B$9:$R$1968,14,FALSE)</f>
        <v>0</v>
      </c>
      <c r="G13" s="224">
        <f>VLOOKUP($A13,'II.3.6.chitiettram'!$B$9:$R$1968,15,FALSE)</f>
        <v>0</v>
      </c>
      <c r="H13" s="224">
        <f>VLOOKUP($A13,'II.3.6.chitiettram'!$B$9:$R$1968,16,FALSE)</f>
        <v>0</v>
      </c>
      <c r="I13" s="224">
        <f>VLOOKUP($A13,'II.3.6.chitiettram'!$B$9:$R$1968,17,FALSE)</f>
        <v>0</v>
      </c>
      <c r="J13" s="227">
        <f t="shared" ref="J13:N17" si="2">ROUND($D13*E13,0)</f>
        <v>8779500</v>
      </c>
      <c r="K13" s="227">
        <f t="shared" si="2"/>
        <v>0</v>
      </c>
      <c r="L13" s="227">
        <f t="shared" si="2"/>
        <v>0</v>
      </c>
      <c r="M13" s="227">
        <f t="shared" si="2"/>
        <v>0</v>
      </c>
      <c r="N13" s="227">
        <f t="shared" si="2"/>
        <v>0</v>
      </c>
    </row>
    <row r="14" spans="1:14" ht="14.45" customHeight="1">
      <c r="A14" s="1108" t="s">
        <v>1913</v>
      </c>
      <c r="B14" s="222" t="str">
        <f>VLOOKUP($A14,'II.3.6.chitiettram'!$B$9:$R$1968,4,FALSE)</f>
        <v>Bộ tiếp địa trạm treo</v>
      </c>
      <c r="C14" s="223" t="str">
        <f>VLOOKUP($A14,'II.3.6.chitiettram'!$B$9:$R$1968,5,FALSE)</f>
        <v>bộ</v>
      </c>
      <c r="D14" s="223">
        <f>VLOOKUP($A14,'II.3.6.chitiettram'!$B$9:$R$1968,6,FALSE)</f>
        <v>3</v>
      </c>
      <c r="E14" s="224">
        <f>VLOOKUP($A14,'II.3.6.chitiettram'!$B$9:$R$1968,13,FALSE)</f>
        <v>1788798</v>
      </c>
      <c r="F14" s="224">
        <f>VLOOKUP($A14,'II.3.6.chitiettram'!$B$9:$R$1968,14,FALSE)</f>
        <v>0</v>
      </c>
      <c r="G14" s="224">
        <f>VLOOKUP($A14,'II.3.6.chitiettram'!$B$9:$R$1968,15,FALSE)</f>
        <v>72062</v>
      </c>
      <c r="H14" s="224">
        <f>VLOOKUP($A14,'II.3.6.chitiettram'!$B$9:$R$1968,16,FALSE)</f>
        <v>624841</v>
      </c>
      <c r="I14" s="224">
        <f>VLOOKUP($A14,'II.3.6.chitiettram'!$B$9:$R$1968,17,FALSE)</f>
        <v>51839</v>
      </c>
      <c r="J14" s="227">
        <f t="shared" si="2"/>
        <v>5366394</v>
      </c>
      <c r="K14" s="227">
        <f t="shared" si="2"/>
        <v>0</v>
      </c>
      <c r="L14" s="227">
        <f t="shared" si="2"/>
        <v>216186</v>
      </c>
      <c r="M14" s="227">
        <f t="shared" si="2"/>
        <v>1874523</v>
      </c>
      <c r="N14" s="227">
        <f t="shared" si="2"/>
        <v>155517</v>
      </c>
    </row>
    <row r="15" spans="1:14" ht="14.45" customHeight="1">
      <c r="A15" s="1108" t="s">
        <v>3850</v>
      </c>
      <c r="B15" s="222" t="str">
        <f>VLOOKUP($A15,'II.3.6.chitiettram'!$B$9:$R$1968,4,FALSE)</f>
        <v>Bộ đà đỡ FCO, LA trạm 1 pha</v>
      </c>
      <c r="C15" s="223" t="str">
        <f>VLOOKUP($A15,'II.3.6.chitiettram'!$B$9:$R$1968,5,FALSE)</f>
        <v>bộ</v>
      </c>
      <c r="D15" s="223">
        <f>VLOOKUP($A15,'II.3.6.chitiettram'!$B$9:$R$1968,6,FALSE)</f>
        <v>3</v>
      </c>
      <c r="E15" s="224">
        <f>VLOOKUP($A15,'II.3.6.chitiettram'!$B$9:$R$1968,13,FALSE)</f>
        <v>190400</v>
      </c>
      <c r="F15" s="224">
        <f>VLOOKUP($A15,'II.3.6.chitiettram'!$B$9:$R$1968,14,FALSE)</f>
        <v>0</v>
      </c>
      <c r="G15" s="224">
        <f>VLOOKUP($A15,'II.3.6.chitiettram'!$B$9:$R$1968,15,FALSE)</f>
        <v>2511</v>
      </c>
      <c r="H15" s="224">
        <f>VLOOKUP($A15,'II.3.6.chitiettram'!$B$9:$R$1968,16,FALSE)</f>
        <v>121000</v>
      </c>
      <c r="I15" s="224">
        <f>VLOOKUP($A15,'II.3.6.chitiettram'!$B$9:$R$1968,17,FALSE)</f>
        <v>0</v>
      </c>
      <c r="J15" s="227">
        <f t="shared" si="2"/>
        <v>571200</v>
      </c>
      <c r="K15" s="227">
        <f t="shared" si="2"/>
        <v>0</v>
      </c>
      <c r="L15" s="227">
        <f t="shared" si="2"/>
        <v>7533</v>
      </c>
      <c r="M15" s="227">
        <f t="shared" si="2"/>
        <v>363000</v>
      </c>
      <c r="N15" s="227">
        <f t="shared" si="2"/>
        <v>0</v>
      </c>
    </row>
    <row r="16" spans="1:14" ht="14.45" customHeight="1">
      <c r="A16" s="1108" t="s">
        <v>3852</v>
      </c>
      <c r="B16" s="222" t="str">
        <f>VLOOKUP($A16,'II.3.6.chitiettram'!$B$9:$R$1968,4,FALSE)</f>
        <v>Tủ điện kế 2 ngăn 0,98x0,6x0,4m (STĐ)</v>
      </c>
      <c r="C16" s="223" t="str">
        <f>VLOOKUP($A16,'II.3.6.chitiettram'!$B$9:$R$1968,5,FALSE)</f>
        <v>bộ</v>
      </c>
      <c r="D16" s="223">
        <f>VLOOKUP($A16,'II.3.6.chitiettram'!$B$9:$R$1968,6,FALSE)</f>
        <v>3</v>
      </c>
      <c r="E16" s="224">
        <f>VLOOKUP($A16,'II.3.6.chitiettram'!$B$9:$R$1968,13,FALSE)</f>
        <v>2436200</v>
      </c>
      <c r="F16" s="224">
        <f>VLOOKUP($A16,'II.3.6.chitiettram'!$B$9:$R$1968,14,FALSE)</f>
        <v>0</v>
      </c>
      <c r="G16" s="224">
        <f>VLOOKUP($A16,'II.3.6.chitiettram'!$B$9:$R$1968,15,FALSE)</f>
        <v>87384</v>
      </c>
      <c r="H16" s="224">
        <f>VLOOKUP($A16,'II.3.6.chitiettram'!$B$9:$R$1968,16,FALSE)</f>
        <v>690091</v>
      </c>
      <c r="I16" s="224">
        <f>VLOOKUP($A16,'II.3.6.chitiettram'!$B$9:$R$1968,17,FALSE)</f>
        <v>106012</v>
      </c>
      <c r="J16" s="227">
        <f t="shared" si="2"/>
        <v>7308600</v>
      </c>
      <c r="K16" s="227">
        <f t="shared" si="2"/>
        <v>0</v>
      </c>
      <c r="L16" s="227">
        <f t="shared" si="2"/>
        <v>262152</v>
      </c>
      <c r="M16" s="227">
        <f t="shared" si="2"/>
        <v>2070273</v>
      </c>
      <c r="N16" s="227">
        <f t="shared" si="2"/>
        <v>318036</v>
      </c>
    </row>
    <row r="17" spans="1:14" ht="14.45" customHeight="1">
      <c r="A17" s="1108" t="s">
        <v>2574</v>
      </c>
      <c r="B17" s="222" t="str">
        <f>VLOOKUP($A17,'II.3.6.chitiettram'!$B$9:$R$1968,4,FALSE)</f>
        <v>Bộ dây trung áp trạm treo 1 pha</v>
      </c>
      <c r="C17" s="223" t="str">
        <f>VLOOKUP($A17,'II.3.6.chitiettram'!$B$9:$R$1968,5,FALSE)</f>
        <v>bộ</v>
      </c>
      <c r="D17" s="223">
        <f>VLOOKUP($A17,'II.3.6.chitiettram'!$B$9:$R$1968,6,FALSE)</f>
        <v>3</v>
      </c>
      <c r="E17" s="224">
        <f>VLOOKUP($A17,'II.3.6.chitiettram'!$B$9:$R$1968,13,FALSE)</f>
        <v>278400</v>
      </c>
      <c r="F17" s="224">
        <f>VLOOKUP($A17,'II.3.6.chitiettram'!$B$9:$R$1968,14,FALSE)</f>
        <v>0</v>
      </c>
      <c r="G17" s="224">
        <f>VLOOKUP($A17,'II.3.6.chitiettram'!$B$9:$R$1968,15,FALSE)</f>
        <v>9900</v>
      </c>
      <c r="H17" s="224">
        <f>VLOOKUP($A17,'II.3.6.chitiettram'!$B$9:$R$1968,16,FALSE)</f>
        <v>33000</v>
      </c>
      <c r="I17" s="224">
        <f>VLOOKUP($A17,'II.3.6.chitiettram'!$B$9:$R$1968,17,FALSE)</f>
        <v>0</v>
      </c>
      <c r="J17" s="227">
        <f t="shared" si="2"/>
        <v>835200</v>
      </c>
      <c r="K17" s="227">
        <f t="shared" si="2"/>
        <v>0</v>
      </c>
      <c r="L17" s="227">
        <f t="shared" si="2"/>
        <v>29700</v>
      </c>
      <c r="M17" s="227">
        <f t="shared" si="2"/>
        <v>99000</v>
      </c>
      <c r="N17" s="227">
        <f t="shared" si="2"/>
        <v>0</v>
      </c>
    </row>
    <row r="18" spans="1:14" ht="14.45" customHeight="1">
      <c r="A18" s="1108" t="s">
        <v>2575</v>
      </c>
      <c r="B18" s="222" t="str">
        <f>VLOOKUP($A18,'II.3.6.chitiettram'!$B$9:$R$1968,4,FALSE)</f>
        <v>Bộ dây hạ áp trạm 1x50kVA; 1pha 3 dây</v>
      </c>
      <c r="C18" s="223" t="str">
        <f>VLOOKUP($A18,'II.3.6.chitiettram'!$B$9:$R$1968,5,FALSE)</f>
        <v>bộ</v>
      </c>
      <c r="D18" s="223">
        <f>VLOOKUP($A18,'II.3.6.chitiettram'!$B$9:$R$1968,6,FALSE)</f>
        <v>3</v>
      </c>
      <c r="E18" s="224">
        <f>VLOOKUP($A18,'II.3.6.chitiettram'!$B$9:$R$1968,13,FALSE)</f>
        <v>5819500</v>
      </c>
      <c r="F18" s="224">
        <f>VLOOKUP($A18,'II.3.6.chitiettram'!$B$9:$R$1968,14,FALSE)</f>
        <v>0</v>
      </c>
      <c r="G18" s="224">
        <f>VLOOKUP($A18,'II.3.6.chitiettram'!$B$9:$R$1968,15,FALSE)</f>
        <v>77381</v>
      </c>
      <c r="H18" s="224">
        <f>VLOOKUP($A18,'II.3.6.chitiettram'!$B$9:$R$1968,16,FALSE)</f>
        <v>869771</v>
      </c>
      <c r="I18" s="224">
        <f>VLOOKUP($A18,'II.3.6.chitiettram'!$B$9:$R$1968,17,FALSE)</f>
        <v>8679</v>
      </c>
      <c r="J18" s="227">
        <f>ROUND($D18*E18,0)</f>
        <v>17458500</v>
      </c>
      <c r="K18" s="227">
        <f>ROUND($D18*F18,0)</f>
        <v>0</v>
      </c>
      <c r="L18" s="227">
        <f>ROUND($D18*G18,0)</f>
        <v>232143</v>
      </c>
      <c r="M18" s="227">
        <f>ROUND($D18*H18,0)</f>
        <v>2609313</v>
      </c>
      <c r="N18" s="227">
        <f>ROUND($D18*I18,0)</f>
        <v>26037</v>
      </c>
    </row>
    <row r="19" spans="1:14" ht="14.45" customHeight="1">
      <c r="A19" s="2130" t="s">
        <v>6346</v>
      </c>
      <c r="B19" s="2131"/>
      <c r="C19" s="2125" t="s">
        <v>151</v>
      </c>
      <c r="D19" s="2126"/>
      <c r="E19" s="2126"/>
      <c r="F19" s="2126"/>
      <c r="G19" s="2126"/>
      <c r="H19" s="2126"/>
      <c r="I19" s="2127"/>
      <c r="J19" s="1155">
        <f>SUM(J9:J9)</f>
        <v>0</v>
      </c>
      <c r="K19" s="1155">
        <f>SUM(K9:K9)</f>
        <v>0</v>
      </c>
      <c r="L19" s="1155">
        <f>SUM(L9:L9)</f>
        <v>0</v>
      </c>
      <c r="M19" s="1155">
        <f>SUM(M9:M9)</f>
        <v>199386</v>
      </c>
      <c r="N19" s="1155">
        <f>SUM(N9:N9)</f>
        <v>0</v>
      </c>
    </row>
    <row r="20" spans="1:14" ht="14.45" customHeight="1">
      <c r="A20" s="2044"/>
      <c r="B20" s="2045"/>
      <c r="C20" s="2125" t="s">
        <v>953</v>
      </c>
      <c r="D20" s="2126"/>
      <c r="E20" s="2126"/>
      <c r="F20" s="2126"/>
      <c r="G20" s="2126"/>
      <c r="H20" s="2126"/>
      <c r="I20" s="2127"/>
      <c r="J20" s="1155">
        <f>SUM(J11:J11)</f>
        <v>189315000</v>
      </c>
      <c r="K20" s="1155">
        <f>SUM(K11:K11)</f>
        <v>0</v>
      </c>
      <c r="L20" s="1155">
        <f>SUM(L11:L11)</f>
        <v>2294223</v>
      </c>
      <c r="M20" s="1155">
        <f>SUM(M11:M11)</f>
        <v>2937618</v>
      </c>
      <c r="N20" s="1155">
        <f>SUM(N11:N11)</f>
        <v>965880</v>
      </c>
    </row>
    <row r="21" spans="1:14" ht="14.45" customHeight="1">
      <c r="A21" s="2046"/>
      <c r="B21" s="2047"/>
      <c r="C21" s="2125" t="s">
        <v>952</v>
      </c>
      <c r="D21" s="2126"/>
      <c r="E21" s="2126"/>
      <c r="F21" s="2126"/>
      <c r="G21" s="2126"/>
      <c r="H21" s="2126"/>
      <c r="I21" s="2127"/>
      <c r="J21" s="1155">
        <f>SUM(J13:J18)</f>
        <v>40319394</v>
      </c>
      <c r="K21" s="1155">
        <f>SUM(K13:K18)</f>
        <v>0</v>
      </c>
      <c r="L21" s="1155">
        <f>SUM(L13:L18)</f>
        <v>747714</v>
      </c>
      <c r="M21" s="1155">
        <f>SUM(M13:M18)</f>
        <v>7016109</v>
      </c>
      <c r="N21" s="1155">
        <f>SUM(N13:N18)</f>
        <v>499590</v>
      </c>
    </row>
    <row r="22" spans="1:14" ht="15" customHeight="1">
      <c r="A22" s="975"/>
      <c r="B22" s="975"/>
      <c r="C22" s="976"/>
      <c r="D22" s="976"/>
      <c r="E22" s="976"/>
      <c r="F22" s="976"/>
      <c r="G22" s="976"/>
      <c r="H22" s="976"/>
      <c r="I22" s="976"/>
      <c r="J22" s="977"/>
      <c r="K22" s="977"/>
      <c r="L22" s="977"/>
      <c r="M22" s="977"/>
      <c r="N22" s="977"/>
    </row>
    <row r="23" spans="1:14" s="85" customFormat="1">
      <c r="A23" s="134" t="s">
        <v>2572</v>
      </c>
    </row>
    <row r="24" spans="1:14" s="85" customFormat="1">
      <c r="A24" s="85" t="str">
        <f>"*Đơn giá nhân công, máy thi công được cập nhập theo quy định tại Thông tư 05/2016/BXD ngày 10/03/2016 "&amp;IF(NL!AJ2=3,"(Vùng III, Lttv = 2,000,000 vnđ)","(Vùng IV, Lttv = 1,9000,000đ)")</f>
        <v>*Đơn giá nhân công, máy thi công được cập nhập theo quy định tại Thông tư 05/2016/BXD ngày 10/03/2016 (Vùng III, Lttv = 2,000,000 vnđ)</v>
      </c>
    </row>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sheetData>
  <sheetProtection deleteRows="0"/>
  <mergeCells count="10">
    <mergeCell ref="C21:I21"/>
    <mergeCell ref="C19:I19"/>
    <mergeCell ref="C20:I20"/>
    <mergeCell ref="A2:N2"/>
    <mergeCell ref="A3:N3"/>
    <mergeCell ref="A5:A6"/>
    <mergeCell ref="B5:B6"/>
    <mergeCell ref="C5:C6"/>
    <mergeCell ref="D5:D6"/>
    <mergeCell ref="A19:B21"/>
  </mergeCells>
  <phoneticPr fontId="0" type="noConversion"/>
  <printOptions horizontalCentered="1"/>
  <pageMargins left="0.11811023622047245" right="0.11811023622047245" top="0.19685039370078741" bottom="0.19685039370078741" header="0.19685039370078741" footer="0.19685039370078741"/>
  <pageSetup paperSize="9" scale="90" firstPageNumber="32" orientation="landscape" blackAndWhite="1" useFirstPageNumber="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indexed="52"/>
  </sheetPr>
  <dimension ref="A1:R578"/>
  <sheetViews>
    <sheetView showZeros="0" view="pageLayout" topLeftCell="A49" zoomScaleNormal="100" workbookViewId="0">
      <selection activeCell="C10" sqref="C10:D10"/>
    </sheetView>
  </sheetViews>
  <sheetFormatPr defaultColWidth="0" defaultRowHeight="15" customHeight="1" zeroHeight="1" outlineLevelCol="1"/>
  <cols>
    <col min="1" max="1" width="13.83203125" style="30" customWidth="1"/>
    <col min="2" max="2" width="5.83203125" style="15" customWidth="1"/>
    <col min="3" max="3" width="10.83203125" style="1205" customWidth="1"/>
    <col min="4" max="4" width="10.83203125" style="15" hidden="1" customWidth="1" outlineLevel="1"/>
    <col min="5" max="5" width="50.83203125" style="15" customWidth="1" collapsed="1"/>
    <col min="6" max="6" width="6.83203125" style="15" customWidth="1"/>
    <col min="7" max="7" width="6.33203125" style="1205" customWidth="1"/>
    <col min="8" max="8" width="6.33203125" style="15" hidden="1" customWidth="1" outlineLevel="1"/>
    <col min="9" max="9" width="12.83203125" style="15" customWidth="1" collapsed="1"/>
    <col min="10" max="10" width="8.33203125" style="15" hidden="1" customWidth="1"/>
    <col min="11" max="12" width="12.83203125" style="15" customWidth="1"/>
    <col min="13" max="13" width="10.83203125" style="15" customWidth="1"/>
    <col min="14" max="14" width="13.83203125" style="15" customWidth="1"/>
    <col min="15" max="15" width="11.1640625" style="15" hidden="1" customWidth="1"/>
    <col min="16" max="16" width="13.83203125" style="15" customWidth="1"/>
    <col min="17" max="17" width="12.83203125" style="15" customWidth="1"/>
    <col min="18" max="18" width="11.83203125" style="15" customWidth="1"/>
    <col min="19" max="19" width="9.33203125" style="15" customWidth="1"/>
    <col min="20" max="16384" width="0" style="15" hidden="1"/>
  </cols>
  <sheetData>
    <row r="1" spans="1:18">
      <c r="C1" s="329"/>
      <c r="G1" s="329"/>
    </row>
    <row r="2" spans="1:18" ht="18.75">
      <c r="B2" s="2132" t="s">
        <v>6301</v>
      </c>
      <c r="C2" s="2132"/>
      <c r="D2" s="2132"/>
      <c r="E2" s="2132"/>
      <c r="F2" s="2132"/>
      <c r="G2" s="2132"/>
      <c r="H2" s="2132"/>
      <c r="I2" s="2132"/>
      <c r="J2" s="2132"/>
      <c r="K2" s="2132"/>
      <c r="L2" s="2132"/>
      <c r="M2" s="2132"/>
      <c r="N2" s="2132"/>
      <c r="O2" s="2132"/>
      <c r="P2" s="2132"/>
      <c r="Q2" s="2132"/>
      <c r="R2" s="2132"/>
    </row>
    <row r="3" spans="1:18" ht="15.75">
      <c r="B3" s="2133" t="s">
        <v>490</v>
      </c>
      <c r="C3" s="2133"/>
      <c r="D3" s="2133"/>
      <c r="E3" s="2133"/>
      <c r="F3" s="2133"/>
      <c r="G3" s="2133"/>
      <c r="H3" s="2133"/>
      <c r="I3" s="2133"/>
      <c r="J3" s="2133"/>
      <c r="K3" s="2133"/>
      <c r="L3" s="2133"/>
      <c r="M3" s="2133"/>
      <c r="N3" s="2133"/>
      <c r="O3" s="2133"/>
      <c r="P3" s="2133"/>
      <c r="Q3" s="2133"/>
      <c r="R3" s="2133"/>
    </row>
    <row r="4" spans="1:18">
      <c r="C4" s="329"/>
      <c r="G4" s="329"/>
    </row>
    <row r="5" spans="1:18" ht="15.75" customHeight="1">
      <c r="B5" s="2134" t="s">
        <v>375</v>
      </c>
      <c r="C5" s="2134" t="s">
        <v>418</v>
      </c>
      <c r="D5" s="2136" t="s">
        <v>376</v>
      </c>
      <c r="E5" s="2134" t="s">
        <v>175</v>
      </c>
      <c r="F5" s="2134" t="s">
        <v>86</v>
      </c>
      <c r="G5" s="2134" t="s">
        <v>174</v>
      </c>
      <c r="H5" s="2138" t="s">
        <v>3890</v>
      </c>
      <c r="I5" s="2140" t="s">
        <v>87</v>
      </c>
      <c r="J5" s="2141"/>
      <c r="K5" s="2141"/>
      <c r="L5" s="2141"/>
      <c r="M5" s="2142"/>
      <c r="N5" s="2140" t="s">
        <v>88</v>
      </c>
      <c r="O5" s="2141"/>
      <c r="P5" s="2141"/>
      <c r="Q5" s="2141"/>
      <c r="R5" s="2142"/>
    </row>
    <row r="6" spans="1:18" ht="25.5">
      <c r="B6" s="2135"/>
      <c r="C6" s="2135"/>
      <c r="D6" s="2137"/>
      <c r="E6" s="2135"/>
      <c r="F6" s="2135"/>
      <c r="G6" s="2135"/>
      <c r="H6" s="2139"/>
      <c r="I6" s="240" t="s">
        <v>5443</v>
      </c>
      <c r="J6" s="240" t="s">
        <v>5166</v>
      </c>
      <c r="K6" s="240" t="s">
        <v>5444</v>
      </c>
      <c r="L6" s="12" t="s">
        <v>89</v>
      </c>
      <c r="M6" s="11" t="s">
        <v>3308</v>
      </c>
      <c r="N6" s="240" t="s">
        <v>5443</v>
      </c>
      <c r="O6" s="240" t="s">
        <v>2080</v>
      </c>
      <c r="P6" s="240" t="s">
        <v>5444</v>
      </c>
      <c r="Q6" s="12" t="s">
        <v>89</v>
      </c>
      <c r="R6" s="11" t="s">
        <v>3308</v>
      </c>
    </row>
    <row r="7" spans="1:18">
      <c r="B7" s="194" t="s">
        <v>176</v>
      </c>
      <c r="C7" s="1209" t="s">
        <v>4275</v>
      </c>
      <c r="D7" s="194"/>
      <c r="E7" s="194" t="s">
        <v>4276</v>
      </c>
      <c r="F7" s="194" t="s">
        <v>5860</v>
      </c>
      <c r="G7" s="1209" t="s">
        <v>5861</v>
      </c>
      <c r="H7" s="194"/>
      <c r="I7" s="194" t="s">
        <v>5862</v>
      </c>
      <c r="J7" s="194" t="s">
        <v>5863</v>
      </c>
      <c r="K7" s="194" t="s">
        <v>5864</v>
      </c>
      <c r="L7" s="194" t="s">
        <v>1250</v>
      </c>
      <c r="M7" s="194" t="s">
        <v>5626</v>
      </c>
      <c r="N7" s="195" t="s">
        <v>6241</v>
      </c>
      <c r="O7" s="195" t="s">
        <v>6242</v>
      </c>
      <c r="P7" s="195" t="s">
        <v>6243</v>
      </c>
      <c r="Q7" s="195" t="s">
        <v>6244</v>
      </c>
      <c r="R7" s="195" t="s">
        <v>6245</v>
      </c>
    </row>
    <row r="8" spans="1:18" s="185" customFormat="1">
      <c r="A8" s="198"/>
      <c r="B8" s="228"/>
      <c r="C8" s="1224"/>
      <c r="D8" s="228"/>
      <c r="E8" s="228"/>
      <c r="F8" s="228"/>
      <c r="G8" s="1224"/>
      <c r="H8" s="228"/>
      <c r="I8" s="228"/>
      <c r="J8" s="228"/>
      <c r="K8" s="228"/>
      <c r="L8" s="228"/>
      <c r="M8" s="228"/>
      <c r="N8" s="229"/>
      <c r="O8" s="229"/>
      <c r="P8" s="229"/>
      <c r="Q8" s="229"/>
      <c r="R8" s="229"/>
    </row>
    <row r="9" spans="1:18">
      <c r="B9" s="230" t="s">
        <v>5284</v>
      </c>
      <c r="C9" s="1211"/>
      <c r="D9" s="231"/>
      <c r="E9" s="232" t="s">
        <v>150</v>
      </c>
      <c r="F9" s="16"/>
      <c r="G9" s="233"/>
      <c r="H9" s="233"/>
      <c r="I9" s="234"/>
      <c r="J9" s="234"/>
      <c r="K9" s="234"/>
      <c r="L9" s="235"/>
      <c r="M9" s="234"/>
      <c r="N9" s="33"/>
      <c r="O9" s="33"/>
      <c r="P9" s="33"/>
      <c r="Q9" s="33"/>
      <c r="R9" s="33"/>
    </row>
    <row r="10" spans="1:18">
      <c r="A10" s="1048">
        <f>A9+1</f>
        <v>1</v>
      </c>
      <c r="B10" s="657" t="str">
        <f>"I."&amp;+A10</f>
        <v>I.1</v>
      </c>
      <c r="C10" s="571"/>
      <c r="D10" s="639"/>
      <c r="E10" s="1049" t="s">
        <v>1901</v>
      </c>
      <c r="F10" s="24" t="s">
        <v>1297</v>
      </c>
      <c r="G10" s="26">
        <f>TkeTR!P11+TkeTR!Q11</f>
        <v>3</v>
      </c>
      <c r="H10" s="26"/>
      <c r="I10" s="1053"/>
      <c r="J10" s="1053"/>
      <c r="K10" s="1053"/>
      <c r="L10" s="1053"/>
      <c r="M10" s="1053"/>
      <c r="N10" s="1061"/>
      <c r="O10" s="1055">
        <f>SUM(O11:O12)</f>
        <v>0</v>
      </c>
      <c r="P10" s="1055">
        <f>SUM(P11:P12)</f>
        <v>0</v>
      </c>
      <c r="Q10" s="1055">
        <f>SUM(Q11:Q12)</f>
        <v>66462</v>
      </c>
      <c r="R10" s="1055">
        <f>SUM(R11:R12)</f>
        <v>0</v>
      </c>
    </row>
    <row r="11" spans="1:18" ht="15" customHeight="1">
      <c r="A11" s="1120" t="s">
        <v>1902</v>
      </c>
      <c r="B11" s="571"/>
      <c r="C11" s="571" t="s">
        <v>1902</v>
      </c>
      <c r="D11" s="639"/>
      <c r="E11" s="14" t="s">
        <v>6527</v>
      </c>
      <c r="F11" s="18" t="s">
        <v>6522</v>
      </c>
      <c r="G11" s="1314">
        <v>0.25</v>
      </c>
      <c r="H11" s="1059"/>
      <c r="I11" s="1202"/>
      <c r="J11" s="25"/>
      <c r="K11" s="25">
        <v>0</v>
      </c>
      <c r="L11" s="25">
        <v>151200</v>
      </c>
      <c r="M11" s="25">
        <v>0</v>
      </c>
      <c r="N11" s="1061"/>
      <c r="O11" s="807">
        <f t="shared" ref="O11:R12" si="0">ROUND($G11*J11,0)</f>
        <v>0</v>
      </c>
      <c r="P11" s="807">
        <f t="shared" si="0"/>
        <v>0</v>
      </c>
      <c r="Q11" s="807">
        <f t="shared" si="0"/>
        <v>37800</v>
      </c>
      <c r="R11" s="807">
        <f t="shared" si="0"/>
        <v>0</v>
      </c>
    </row>
    <row r="12" spans="1:18" ht="15" customHeight="1">
      <c r="A12" s="1120" t="s">
        <v>5822</v>
      </c>
      <c r="B12" s="571"/>
      <c r="C12" s="571" t="s">
        <v>5822</v>
      </c>
      <c r="D12" s="639"/>
      <c r="E12" s="14" t="s">
        <v>6528</v>
      </c>
      <c r="F12" s="18" t="s">
        <v>6522</v>
      </c>
      <c r="G12" s="1314">
        <v>0.25</v>
      </c>
      <c r="H12" s="1059"/>
      <c r="I12" s="1202"/>
      <c r="J12" s="25"/>
      <c r="K12" s="25">
        <v>0</v>
      </c>
      <c r="L12" s="25">
        <v>114646</v>
      </c>
      <c r="M12" s="25">
        <v>0</v>
      </c>
      <c r="N12" s="1061"/>
      <c r="O12" s="807">
        <f t="shared" si="0"/>
        <v>0</v>
      </c>
      <c r="P12" s="807">
        <f t="shared" si="0"/>
        <v>0</v>
      </c>
      <c r="Q12" s="807">
        <f t="shared" si="0"/>
        <v>28662</v>
      </c>
      <c r="R12" s="807">
        <f t="shared" si="0"/>
        <v>0</v>
      </c>
    </row>
    <row r="13" spans="1:18">
      <c r="A13" s="252">
        <f>A10</f>
        <v>1</v>
      </c>
      <c r="B13" s="571"/>
      <c r="C13" s="571"/>
      <c r="D13" s="639"/>
      <c r="E13" s="14"/>
      <c r="F13" s="18"/>
      <c r="G13" s="1057"/>
      <c r="H13" s="1057"/>
      <c r="I13" s="23"/>
      <c r="J13" s="23"/>
      <c r="K13" s="23"/>
      <c r="L13" s="23"/>
      <c r="M13" s="23"/>
      <c r="N13" s="1061"/>
      <c r="O13" s="1061"/>
      <c r="P13" s="1061"/>
      <c r="Q13" s="1061"/>
      <c r="R13" s="1061"/>
    </row>
    <row r="14" spans="1:18">
      <c r="B14" s="104" t="s">
        <v>1233</v>
      </c>
      <c r="C14" s="17"/>
      <c r="D14" s="17"/>
      <c r="E14" s="103" t="s">
        <v>1263</v>
      </c>
      <c r="F14" s="18"/>
      <c r="G14" s="27"/>
      <c r="H14" s="27"/>
      <c r="I14" s="1047"/>
      <c r="J14" s="32"/>
      <c r="K14" s="32"/>
      <c r="L14" s="32"/>
      <c r="M14" s="32"/>
      <c r="N14" s="32"/>
      <c r="O14" s="32"/>
      <c r="P14" s="32"/>
      <c r="Q14" s="32"/>
      <c r="R14" s="32"/>
    </row>
    <row r="15" spans="1:18">
      <c r="A15" s="1048">
        <v>1</v>
      </c>
      <c r="B15" s="657" t="str">
        <f>"II."&amp;+A15</f>
        <v>II.1</v>
      </c>
      <c r="C15" s="571"/>
      <c r="D15" s="571"/>
      <c r="E15" s="1049" t="s">
        <v>4793</v>
      </c>
      <c r="F15" s="24" t="s">
        <v>152</v>
      </c>
      <c r="G15" s="26">
        <f>TkeTR!I11</f>
        <v>3</v>
      </c>
      <c r="H15" s="26"/>
      <c r="I15" s="1051"/>
      <c r="J15" s="1051"/>
      <c r="K15" s="1051"/>
      <c r="L15" s="1052"/>
      <c r="M15" s="1051"/>
      <c r="N15" s="1331">
        <f>SUM(N16:N21)</f>
        <v>63105000</v>
      </c>
      <c r="O15" s="1331"/>
      <c r="P15" s="1331">
        <f>SUM(P16:P21)</f>
        <v>764741</v>
      </c>
      <c r="Q15" s="1331">
        <f>SUM(Q16:Q21)</f>
        <v>979206</v>
      </c>
      <c r="R15" s="1331">
        <f>SUM(R16:R21)</f>
        <v>321960</v>
      </c>
    </row>
    <row r="16" spans="1:18">
      <c r="A16" s="38" t="s">
        <v>1948</v>
      </c>
      <c r="B16" s="1332"/>
      <c r="C16" s="1332"/>
      <c r="D16" s="571">
        <v>0</v>
      </c>
      <c r="E16" s="14" t="s">
        <v>6412</v>
      </c>
      <c r="F16" s="18" t="s">
        <v>1307</v>
      </c>
      <c r="G16" s="515">
        <v>1</v>
      </c>
      <c r="H16" s="27">
        <f>G16*G15</f>
        <v>3</v>
      </c>
      <c r="I16" s="25">
        <v>58335000</v>
      </c>
      <c r="J16" s="25"/>
      <c r="K16" s="1053"/>
      <c r="L16" s="23"/>
      <c r="M16" s="23"/>
      <c r="N16" s="807">
        <f>ROUND($G16*I16,0)</f>
        <v>58335000</v>
      </c>
      <c r="O16" s="807"/>
      <c r="P16" s="1061"/>
      <c r="Q16" s="1061"/>
      <c r="R16" s="1061"/>
    </row>
    <row r="17" spans="1:18">
      <c r="A17" s="38" t="s">
        <v>168</v>
      </c>
      <c r="B17" s="69"/>
      <c r="C17" s="69"/>
      <c r="D17" s="571">
        <v>33022625</v>
      </c>
      <c r="E17" s="14" t="s">
        <v>6015</v>
      </c>
      <c r="F17" s="18" t="s">
        <v>1307</v>
      </c>
      <c r="G17" s="515">
        <v>1</v>
      </c>
      <c r="H17" s="27">
        <f>G17*G15</f>
        <v>3</v>
      </c>
      <c r="I17" s="25">
        <v>3520000</v>
      </c>
      <c r="J17" s="25"/>
      <c r="K17" s="1053"/>
      <c r="L17" s="23"/>
      <c r="M17" s="23"/>
      <c r="N17" s="807">
        <f>ROUND($G17*I17,0)</f>
        <v>3520000</v>
      </c>
      <c r="O17" s="807"/>
      <c r="P17" s="1061"/>
      <c r="Q17" s="1061"/>
      <c r="R17" s="1061"/>
    </row>
    <row r="18" spans="1:18">
      <c r="A18" s="38" t="s">
        <v>6013</v>
      </c>
      <c r="B18" s="69"/>
      <c r="C18" s="69"/>
      <c r="D18" s="571">
        <v>34274018</v>
      </c>
      <c r="E18" s="14" t="s">
        <v>6014</v>
      </c>
      <c r="F18" s="18" t="s">
        <v>1307</v>
      </c>
      <c r="G18" s="515">
        <v>1</v>
      </c>
      <c r="H18" s="27">
        <f>G18*G15</f>
        <v>3</v>
      </c>
      <c r="I18" s="25">
        <v>1250000</v>
      </c>
      <c r="J18" s="25"/>
      <c r="K18" s="1053"/>
      <c r="L18" s="23"/>
      <c r="M18" s="23"/>
      <c r="N18" s="807">
        <f>ROUND($G18*I18,0)</f>
        <v>1250000</v>
      </c>
      <c r="O18" s="807"/>
      <c r="P18" s="1061"/>
      <c r="Q18" s="1061"/>
      <c r="R18" s="1061"/>
    </row>
    <row r="19" spans="1:18">
      <c r="A19" s="1122" t="s">
        <v>4928</v>
      </c>
      <c r="B19" s="69"/>
      <c r="C19" s="571" t="s">
        <v>4928</v>
      </c>
      <c r="D19" s="571"/>
      <c r="E19" s="14" t="s">
        <v>6609</v>
      </c>
      <c r="F19" s="18" t="s">
        <v>1027</v>
      </c>
      <c r="G19" s="27">
        <v>1</v>
      </c>
      <c r="H19" s="27"/>
      <c r="I19" s="23"/>
      <c r="J19" s="23"/>
      <c r="K19" s="25">
        <v>747403</v>
      </c>
      <c r="L19" s="25">
        <v>693206</v>
      </c>
      <c r="M19" s="25">
        <v>321960</v>
      </c>
      <c r="N19" s="1061"/>
      <c r="O19" s="1061"/>
      <c r="P19" s="807">
        <f t="shared" ref="P19:R21" si="1">ROUND($G19*K19,0)</f>
        <v>747403</v>
      </c>
      <c r="Q19" s="807">
        <f t="shared" si="1"/>
        <v>693206</v>
      </c>
      <c r="R19" s="807">
        <f t="shared" si="1"/>
        <v>321960</v>
      </c>
    </row>
    <row r="20" spans="1:18">
      <c r="A20" s="1120" t="s">
        <v>5212</v>
      </c>
      <c r="B20" s="69"/>
      <c r="C20" s="571" t="s">
        <v>5212</v>
      </c>
      <c r="D20" s="571"/>
      <c r="E20" s="14" t="s">
        <v>6564</v>
      </c>
      <c r="F20" s="18" t="s">
        <v>1297</v>
      </c>
      <c r="G20" s="27">
        <v>1</v>
      </c>
      <c r="H20" s="27"/>
      <c r="I20" s="23"/>
      <c r="J20" s="23"/>
      <c r="K20" s="25">
        <v>11820.333333333334</v>
      </c>
      <c r="L20" s="25">
        <v>176000</v>
      </c>
      <c r="M20" s="25">
        <v>0</v>
      </c>
      <c r="N20" s="1061"/>
      <c r="O20" s="1061"/>
      <c r="P20" s="807">
        <f>ROUND($G20*K20,0)</f>
        <v>11820</v>
      </c>
      <c r="Q20" s="807">
        <f>ROUND($G20*L20,0)</f>
        <v>176000</v>
      </c>
      <c r="R20" s="807">
        <f>ROUND($G20*M20,0)</f>
        <v>0</v>
      </c>
    </row>
    <row r="21" spans="1:18">
      <c r="A21" s="1186" t="s">
        <v>5513</v>
      </c>
      <c r="B21" s="1227"/>
      <c r="C21" s="571" t="s">
        <v>5513</v>
      </c>
      <c r="D21" s="571"/>
      <c r="E21" s="14" t="s">
        <v>6610</v>
      </c>
      <c r="F21" s="18" t="s">
        <v>1297</v>
      </c>
      <c r="G21" s="27">
        <v>1</v>
      </c>
      <c r="H21" s="27"/>
      <c r="I21" s="23"/>
      <c r="J21" s="23"/>
      <c r="K21" s="25">
        <v>5518</v>
      </c>
      <c r="L21" s="25">
        <v>110000</v>
      </c>
      <c r="M21" s="25">
        <v>0</v>
      </c>
      <c r="N21" s="1061"/>
      <c r="O21" s="1061"/>
      <c r="P21" s="807">
        <f t="shared" si="1"/>
        <v>5518</v>
      </c>
      <c r="Q21" s="807">
        <f t="shared" si="1"/>
        <v>110000</v>
      </c>
      <c r="R21" s="807">
        <f t="shared" si="1"/>
        <v>0</v>
      </c>
    </row>
    <row r="22" spans="1:18">
      <c r="A22" s="252">
        <f>A15</f>
        <v>1</v>
      </c>
      <c r="B22" s="1227"/>
      <c r="C22" s="656"/>
      <c r="D22" s="656"/>
      <c r="E22" s="1228"/>
      <c r="F22" s="23"/>
      <c r="G22" s="257"/>
      <c r="H22" s="257"/>
      <c r="I22" s="1229"/>
      <c r="J22" s="1229"/>
      <c r="K22" s="1229"/>
      <c r="L22" s="1229"/>
      <c r="M22" s="1229"/>
      <c r="N22" s="1229"/>
      <c r="O22" s="1229"/>
      <c r="P22" s="1229"/>
      <c r="Q22" s="1229"/>
      <c r="R22" s="1229"/>
    </row>
    <row r="23" spans="1:18">
      <c r="B23" s="104" t="s">
        <v>4085</v>
      </c>
      <c r="C23" s="17"/>
      <c r="D23" s="17"/>
      <c r="E23" s="103" t="s">
        <v>4932</v>
      </c>
      <c r="F23" s="18"/>
      <c r="G23" s="27"/>
      <c r="H23" s="27"/>
      <c r="I23" s="1047"/>
      <c r="J23" s="32"/>
      <c r="K23" s="32"/>
      <c r="L23" s="32"/>
      <c r="M23" s="32"/>
      <c r="N23" s="32"/>
      <c r="O23" s="32"/>
      <c r="P23" s="32"/>
      <c r="Q23" s="32"/>
      <c r="R23" s="32"/>
    </row>
    <row r="24" spans="1:18">
      <c r="A24" s="1048">
        <v>1</v>
      </c>
      <c r="B24" s="657" t="str">
        <f>"III."&amp;+A24</f>
        <v>III.1</v>
      </c>
      <c r="C24" s="571"/>
      <c r="D24" s="571"/>
      <c r="E24" s="1049" t="s">
        <v>1949</v>
      </c>
      <c r="F24" s="24" t="s">
        <v>152</v>
      </c>
      <c r="G24" s="1050">
        <f>TkeTR!N11</f>
        <v>3</v>
      </c>
      <c r="H24" s="1050"/>
      <c r="I24" s="1051"/>
      <c r="J24" s="1051"/>
      <c r="K24" s="1051"/>
      <c r="L24" s="1052"/>
      <c r="M24" s="1051"/>
      <c r="N24" s="1331">
        <f>SUM(N25:N31)</f>
        <v>2926500</v>
      </c>
      <c r="O24" s="1331"/>
      <c r="P24" s="1331">
        <f>SUM(P25:P31)</f>
        <v>0</v>
      </c>
      <c r="Q24" s="1331">
        <f>SUM(Q25:Q31)</f>
        <v>0</v>
      </c>
      <c r="R24" s="1331">
        <f>SUM(R25:R31)</f>
        <v>0</v>
      </c>
    </row>
    <row r="25" spans="1:18">
      <c r="A25" s="38" t="s">
        <v>1171</v>
      </c>
      <c r="B25" s="69"/>
      <c r="C25" s="69"/>
      <c r="D25" s="571">
        <v>33057558</v>
      </c>
      <c r="E25" s="14" t="s">
        <v>1172</v>
      </c>
      <c r="F25" s="18" t="s">
        <v>1307</v>
      </c>
      <c r="G25" s="1226">
        <v>1</v>
      </c>
      <c r="H25" s="19">
        <f>G25*G24</f>
        <v>3</v>
      </c>
      <c r="I25" s="25">
        <v>45000</v>
      </c>
      <c r="J25" s="25"/>
      <c r="K25" s="1053"/>
      <c r="L25" s="23"/>
      <c r="M25" s="23"/>
      <c r="N25" s="807">
        <f>ROUND($G25*I25,0)</f>
        <v>45000</v>
      </c>
      <c r="O25" s="807"/>
      <c r="P25" s="1061"/>
      <c r="Q25" s="1061"/>
      <c r="R25" s="1061"/>
    </row>
    <row r="26" spans="1:18">
      <c r="A26" s="38" t="s">
        <v>4118</v>
      </c>
      <c r="B26" s="69"/>
      <c r="C26" s="69"/>
      <c r="D26" s="571">
        <v>0</v>
      </c>
      <c r="E26" s="14" t="s">
        <v>4119</v>
      </c>
      <c r="F26" s="18" t="s">
        <v>1307</v>
      </c>
      <c r="G26" s="1226">
        <v>1</v>
      </c>
      <c r="H26" s="19">
        <f>G26*G24</f>
        <v>3</v>
      </c>
      <c r="I26" s="25">
        <v>2616000</v>
      </c>
      <c r="J26" s="25"/>
      <c r="K26" s="1053"/>
      <c r="L26" s="23"/>
      <c r="M26" s="23"/>
      <c r="N26" s="807">
        <f>ROUND($G26*I26,0)</f>
        <v>2616000</v>
      </c>
      <c r="O26" s="807"/>
      <c r="P26" s="1061"/>
      <c r="Q26" s="1061"/>
      <c r="R26" s="1061"/>
    </row>
    <row r="27" spans="1:18">
      <c r="A27" s="38" t="s">
        <v>193</v>
      </c>
      <c r="B27" s="69"/>
      <c r="C27" s="69"/>
      <c r="D27" s="571">
        <v>0</v>
      </c>
      <c r="E27" s="14" t="s">
        <v>5730</v>
      </c>
      <c r="F27" s="18" t="s">
        <v>1307</v>
      </c>
      <c r="G27" s="19">
        <v>1</v>
      </c>
      <c r="H27" s="19">
        <f>G27*G24</f>
        <v>3</v>
      </c>
      <c r="I27" s="25">
        <v>125000</v>
      </c>
      <c r="J27" s="25"/>
      <c r="K27" s="1053"/>
      <c r="L27" s="23"/>
      <c r="M27" s="23"/>
      <c r="N27" s="807">
        <f>ROUND($G27*I27,0)</f>
        <v>125000</v>
      </c>
      <c r="O27" s="807"/>
      <c r="P27" s="1061"/>
      <c r="Q27" s="1061"/>
      <c r="R27" s="1061"/>
    </row>
    <row r="28" spans="1:18">
      <c r="A28" s="38" t="s">
        <v>2537</v>
      </c>
      <c r="B28" s="69"/>
      <c r="C28" s="69"/>
      <c r="D28" s="571">
        <v>0</v>
      </c>
      <c r="E28" s="14" t="s">
        <v>5737</v>
      </c>
      <c r="F28" s="18" t="s">
        <v>1307</v>
      </c>
      <c r="G28" s="19">
        <v>1</v>
      </c>
      <c r="H28" s="19">
        <f>G28*G24</f>
        <v>3</v>
      </c>
      <c r="I28" s="25">
        <v>100000</v>
      </c>
      <c r="J28" s="25"/>
      <c r="K28" s="1053"/>
      <c r="L28" s="23"/>
      <c r="M28" s="23"/>
      <c r="N28" s="807">
        <f>ROUND($G28*I28,0)</f>
        <v>100000</v>
      </c>
      <c r="O28" s="807"/>
      <c r="P28" s="1061"/>
      <c r="Q28" s="1061"/>
      <c r="R28" s="1061"/>
    </row>
    <row r="29" spans="1:18">
      <c r="A29" s="38" t="s">
        <v>754</v>
      </c>
      <c r="B29" s="69"/>
      <c r="C29" s="69"/>
      <c r="D29" s="571">
        <v>31511803</v>
      </c>
      <c r="E29" s="14" t="s">
        <v>3641</v>
      </c>
      <c r="F29" s="18" t="s">
        <v>3642</v>
      </c>
      <c r="G29" s="19">
        <v>1</v>
      </c>
      <c r="H29" s="19">
        <f>G29*G24</f>
        <v>3</v>
      </c>
      <c r="I29" s="25">
        <v>40500</v>
      </c>
      <c r="J29" s="25"/>
      <c r="K29" s="1053"/>
      <c r="L29" s="23"/>
      <c r="M29" s="23"/>
      <c r="N29" s="807">
        <f>ROUND($G29*I29,0)</f>
        <v>40500</v>
      </c>
      <c r="O29" s="807"/>
      <c r="P29" s="1061"/>
      <c r="Q29" s="1061"/>
      <c r="R29" s="1061"/>
    </row>
    <row r="30" spans="1:18">
      <c r="A30" s="38" t="s">
        <v>1653</v>
      </c>
      <c r="B30" s="69"/>
      <c r="C30" s="69"/>
      <c r="D30" s="571">
        <v>87328533</v>
      </c>
      <c r="E30" s="14" t="s">
        <v>1654</v>
      </c>
      <c r="F30" s="18" t="s">
        <v>1307</v>
      </c>
      <c r="G30" s="19">
        <v>1</v>
      </c>
      <c r="H30" s="19">
        <f>G30*G24</f>
        <v>3</v>
      </c>
      <c r="I30" s="25" t="s">
        <v>1774</v>
      </c>
      <c r="J30" s="25"/>
      <c r="K30" s="1053"/>
      <c r="L30" s="23"/>
      <c r="M30" s="23"/>
      <c r="N30" s="807"/>
      <c r="O30" s="23"/>
      <c r="P30" s="23"/>
      <c r="Q30" s="23"/>
      <c r="R30" s="23"/>
    </row>
    <row r="31" spans="1:18">
      <c r="A31" s="38" t="s">
        <v>3259</v>
      </c>
      <c r="B31" s="69"/>
      <c r="C31" s="69"/>
      <c r="D31" s="571">
        <v>35352341</v>
      </c>
      <c r="E31" s="14" t="s">
        <v>6611</v>
      </c>
      <c r="F31" s="18" t="s">
        <v>1307</v>
      </c>
      <c r="G31" s="19">
        <v>2</v>
      </c>
      <c r="H31" s="19">
        <f>G31*G24</f>
        <v>6</v>
      </c>
      <c r="I31" s="25" t="s">
        <v>1774</v>
      </c>
      <c r="J31" s="25"/>
      <c r="K31" s="1053"/>
      <c r="L31" s="23"/>
      <c r="M31" s="23"/>
      <c r="N31" s="807"/>
      <c r="O31" s="23"/>
      <c r="P31" s="23"/>
      <c r="Q31" s="23"/>
      <c r="R31" s="23"/>
    </row>
    <row r="32" spans="1:18">
      <c r="A32" s="252">
        <f>A24</f>
        <v>1</v>
      </c>
      <c r="B32" s="1227"/>
      <c r="C32" s="656"/>
      <c r="D32" s="656"/>
      <c r="E32" s="1228"/>
      <c r="F32" s="23"/>
      <c r="G32" s="22"/>
      <c r="H32" s="22"/>
      <c r="I32" s="1229"/>
      <c r="J32" s="1229"/>
      <c r="K32" s="1229"/>
      <c r="L32" s="1229"/>
      <c r="M32" s="1229"/>
      <c r="N32" s="1229"/>
      <c r="O32" s="1229"/>
      <c r="P32" s="1229"/>
      <c r="Q32" s="1229"/>
      <c r="R32" s="1229"/>
    </row>
    <row r="33" spans="1:18">
      <c r="A33" s="1048">
        <f>A32+1</f>
        <v>2</v>
      </c>
      <c r="B33" s="657" t="str">
        <f>"III."&amp;+A33</f>
        <v>III.2</v>
      </c>
      <c r="C33" s="571"/>
      <c r="D33" s="639"/>
      <c r="E33" s="1049" t="s">
        <v>4930</v>
      </c>
      <c r="F33" s="24" t="s">
        <v>1297</v>
      </c>
      <c r="G33" s="26">
        <f>TkeTR!Q11</f>
        <v>3</v>
      </c>
      <c r="H33" s="26"/>
      <c r="I33" s="1053"/>
      <c r="J33" s="1053"/>
      <c r="K33" s="1053"/>
      <c r="L33" s="1053"/>
      <c r="M33" s="1053"/>
      <c r="N33" s="1055">
        <f>SUM(N34:N45)</f>
        <v>1788798</v>
      </c>
      <c r="O33" s="1055">
        <f>SUM(O34:O45)</f>
        <v>0</v>
      </c>
      <c r="P33" s="1055">
        <f>SUM(P34:P45)</f>
        <v>72062</v>
      </c>
      <c r="Q33" s="1055">
        <f>SUM(Q34:Q45)</f>
        <v>624841</v>
      </c>
      <c r="R33" s="1055">
        <f>SUM(R34:R45)</f>
        <v>51839</v>
      </c>
    </row>
    <row r="34" spans="1:18" ht="15" customHeight="1">
      <c r="A34" s="38" t="s">
        <v>2664</v>
      </c>
      <c r="B34" s="571"/>
      <c r="C34" s="571"/>
      <c r="D34" s="639">
        <v>0</v>
      </c>
      <c r="E34" s="14" t="s">
        <v>2665</v>
      </c>
      <c r="F34" s="18" t="s">
        <v>2660</v>
      </c>
      <c r="G34" s="29">
        <v>6</v>
      </c>
      <c r="H34" s="27">
        <f>G34*G33</f>
        <v>18</v>
      </c>
      <c r="I34" s="25">
        <v>219780</v>
      </c>
      <c r="J34" s="25"/>
      <c r="K34" s="1053"/>
      <c r="L34" s="23"/>
      <c r="M34" s="23"/>
      <c r="N34" s="807">
        <f t="shared" ref="N34:O40" si="2">ROUND($G34*I34,0)</f>
        <v>1318680</v>
      </c>
      <c r="O34" s="807">
        <f t="shared" si="2"/>
        <v>0</v>
      </c>
      <c r="P34" s="1061"/>
      <c r="Q34" s="1061"/>
      <c r="R34" s="1061"/>
    </row>
    <row r="35" spans="1:18" ht="15" customHeight="1">
      <c r="A35" s="38" t="s">
        <v>5882</v>
      </c>
      <c r="B35" s="571"/>
      <c r="C35" s="571"/>
      <c r="D35" s="639">
        <v>32074828</v>
      </c>
      <c r="E35" s="14" t="s">
        <v>5883</v>
      </c>
      <c r="F35" s="18" t="s">
        <v>1297</v>
      </c>
      <c r="G35" s="29">
        <v>2</v>
      </c>
      <c r="H35" s="27">
        <f>G35*G33</f>
        <v>6</v>
      </c>
      <c r="I35" s="25">
        <v>108000</v>
      </c>
      <c r="J35" s="25"/>
      <c r="K35" s="1053"/>
      <c r="L35" s="23"/>
      <c r="M35" s="23"/>
      <c r="N35" s="807">
        <f t="shared" si="2"/>
        <v>216000</v>
      </c>
      <c r="O35" s="807">
        <f t="shared" si="2"/>
        <v>0</v>
      </c>
      <c r="P35" s="1061"/>
      <c r="Q35" s="1061"/>
      <c r="R35" s="1061"/>
    </row>
    <row r="36" spans="1:18" ht="15" customHeight="1">
      <c r="A36" s="329" t="s">
        <v>5125</v>
      </c>
      <c r="B36" s="571"/>
      <c r="C36" s="571"/>
      <c r="D36" s="639">
        <v>259</v>
      </c>
      <c r="E36" s="14" t="s">
        <v>5126</v>
      </c>
      <c r="F36" s="18" t="s">
        <v>1307</v>
      </c>
      <c r="G36" s="29">
        <v>2</v>
      </c>
      <c r="H36" s="27">
        <f>G36*G33</f>
        <v>6</v>
      </c>
      <c r="I36" s="25">
        <v>9800</v>
      </c>
      <c r="J36" s="25"/>
      <c r="K36" s="1053"/>
      <c r="L36" s="23"/>
      <c r="M36" s="23"/>
      <c r="N36" s="807">
        <f t="shared" si="2"/>
        <v>19600</v>
      </c>
      <c r="O36" s="807">
        <f t="shared" si="2"/>
        <v>0</v>
      </c>
      <c r="P36" s="1061"/>
      <c r="Q36" s="1061"/>
      <c r="R36" s="1061"/>
    </row>
    <row r="37" spans="1:18" ht="15" customHeight="1">
      <c r="A37" s="329" t="s">
        <v>873</v>
      </c>
      <c r="B37" s="571"/>
      <c r="C37" s="571"/>
      <c r="D37" s="639">
        <v>32033334</v>
      </c>
      <c r="E37" s="14" t="s">
        <v>2688</v>
      </c>
      <c r="F37" s="18" t="s">
        <v>1307</v>
      </c>
      <c r="G37" s="29">
        <v>2</v>
      </c>
      <c r="H37" s="27">
        <f>G37*G33</f>
        <v>6</v>
      </c>
      <c r="I37" s="25">
        <v>15759</v>
      </c>
      <c r="J37" s="25"/>
      <c r="K37" s="1053"/>
      <c r="L37" s="23"/>
      <c r="M37" s="23"/>
      <c r="N37" s="807">
        <f t="shared" si="2"/>
        <v>31518</v>
      </c>
      <c r="O37" s="807">
        <f t="shared" si="2"/>
        <v>0</v>
      </c>
      <c r="P37" s="1061"/>
      <c r="Q37" s="1061"/>
      <c r="R37" s="1061"/>
    </row>
    <row r="38" spans="1:18" ht="15" customHeight="1">
      <c r="A38" s="329" t="s">
        <v>1445</v>
      </c>
      <c r="B38" s="571"/>
      <c r="C38" s="571"/>
      <c r="D38" s="639">
        <v>0</v>
      </c>
      <c r="E38" s="14" t="s">
        <v>1446</v>
      </c>
      <c r="F38" s="18" t="s">
        <v>1307</v>
      </c>
      <c r="G38" s="29">
        <v>1</v>
      </c>
      <c r="H38" s="27">
        <f>G38*G34</f>
        <v>6</v>
      </c>
      <c r="I38" s="25">
        <v>7200</v>
      </c>
      <c r="J38" s="25"/>
      <c r="K38" s="1053"/>
      <c r="L38" s="23"/>
      <c r="M38" s="23"/>
      <c r="N38" s="807">
        <f t="shared" si="2"/>
        <v>7200</v>
      </c>
      <c r="O38" s="807">
        <f t="shared" si="2"/>
        <v>0</v>
      </c>
      <c r="P38" s="1061"/>
      <c r="Q38" s="1061"/>
      <c r="R38" s="1061"/>
    </row>
    <row r="39" spans="1:18" ht="15" customHeight="1">
      <c r="A39" s="38" t="s">
        <v>3445</v>
      </c>
      <c r="B39" s="571"/>
      <c r="C39" s="571"/>
      <c r="D39" s="639">
        <v>0</v>
      </c>
      <c r="E39" s="14" t="s">
        <v>3446</v>
      </c>
      <c r="F39" s="18" t="s">
        <v>1307</v>
      </c>
      <c r="G39" s="29">
        <v>3</v>
      </c>
      <c r="H39" s="27">
        <f>G39*G33</f>
        <v>9</v>
      </c>
      <c r="I39" s="25">
        <v>57000</v>
      </c>
      <c r="J39" s="25"/>
      <c r="K39" s="1053"/>
      <c r="L39" s="23"/>
      <c r="M39" s="23"/>
      <c r="N39" s="807">
        <f t="shared" si="2"/>
        <v>171000</v>
      </c>
      <c r="O39" s="807">
        <f t="shared" si="2"/>
        <v>0</v>
      </c>
      <c r="P39" s="1061"/>
      <c r="Q39" s="1061"/>
      <c r="R39" s="1061"/>
    </row>
    <row r="40" spans="1:18" ht="15" customHeight="1">
      <c r="A40" s="38" t="s">
        <v>5428</v>
      </c>
      <c r="B40" s="571"/>
      <c r="C40" s="571"/>
      <c r="D40" s="639">
        <v>49020166</v>
      </c>
      <c r="E40" s="14" t="s">
        <v>6612</v>
      </c>
      <c r="F40" s="18" t="s">
        <v>639</v>
      </c>
      <c r="G40" s="29">
        <v>4</v>
      </c>
      <c r="H40" s="27">
        <f>G40*G33</f>
        <v>12</v>
      </c>
      <c r="I40" s="25">
        <v>6200</v>
      </c>
      <c r="J40" s="25"/>
      <c r="K40" s="1053"/>
      <c r="L40" s="23"/>
      <c r="M40" s="23"/>
      <c r="N40" s="807">
        <f t="shared" si="2"/>
        <v>24800</v>
      </c>
      <c r="O40" s="807">
        <f t="shared" si="2"/>
        <v>0</v>
      </c>
      <c r="P40" s="1061"/>
      <c r="Q40" s="1061"/>
      <c r="R40" s="1061"/>
    </row>
    <row r="41" spans="1:18" ht="15" customHeight="1">
      <c r="A41" s="1120" t="s">
        <v>1904</v>
      </c>
      <c r="B41" s="571"/>
      <c r="C41" s="571" t="s">
        <v>1904</v>
      </c>
      <c r="D41" s="639"/>
      <c r="E41" s="14" t="s">
        <v>2165</v>
      </c>
      <c r="F41" s="18" t="s">
        <v>6547</v>
      </c>
      <c r="G41" s="1121">
        <f>G35/10</f>
        <v>0.2</v>
      </c>
      <c r="H41" s="1060"/>
      <c r="I41" s="1185"/>
      <c r="J41" s="25"/>
      <c r="K41" s="25">
        <v>26250</v>
      </c>
      <c r="L41" s="25">
        <v>456615</v>
      </c>
      <c r="M41" s="25">
        <v>13285</v>
      </c>
      <c r="N41" s="1061"/>
      <c r="O41" s="807">
        <f t="shared" ref="O41:R45" si="3">ROUND($G41*J41,0)</f>
        <v>0</v>
      </c>
      <c r="P41" s="807">
        <f t="shared" si="3"/>
        <v>5250</v>
      </c>
      <c r="Q41" s="807">
        <f t="shared" si="3"/>
        <v>91323</v>
      </c>
      <c r="R41" s="807">
        <f t="shared" si="3"/>
        <v>2657</v>
      </c>
    </row>
    <row r="42" spans="1:18" ht="15" customHeight="1">
      <c r="A42" s="1120" t="s">
        <v>1903</v>
      </c>
      <c r="B42" s="571"/>
      <c r="C42" s="571" t="s">
        <v>1903</v>
      </c>
      <c r="D42" s="639"/>
      <c r="E42" s="14" t="s">
        <v>6543</v>
      </c>
      <c r="F42" s="18" t="s">
        <v>6249</v>
      </c>
      <c r="G42" s="1314">
        <f>ROUND(G34/0.224,0)/10</f>
        <v>2.7</v>
      </c>
      <c r="H42" s="1060"/>
      <c r="I42" s="1185"/>
      <c r="J42" s="25"/>
      <c r="K42" s="25">
        <v>3315</v>
      </c>
      <c r="L42" s="25">
        <v>63800</v>
      </c>
      <c r="M42" s="25">
        <v>17270</v>
      </c>
      <c r="N42" s="1061"/>
      <c r="O42" s="807">
        <f t="shared" si="3"/>
        <v>0</v>
      </c>
      <c r="P42" s="807">
        <f t="shared" si="3"/>
        <v>8951</v>
      </c>
      <c r="Q42" s="807">
        <f t="shared" si="3"/>
        <v>172260</v>
      </c>
      <c r="R42" s="807">
        <f t="shared" si="3"/>
        <v>46629</v>
      </c>
    </row>
    <row r="43" spans="1:18" ht="15" customHeight="1">
      <c r="A43" s="1120" t="s">
        <v>3840</v>
      </c>
      <c r="B43" s="571"/>
      <c r="C43" s="571" t="s">
        <v>3840</v>
      </c>
      <c r="D43" s="639"/>
      <c r="E43" s="14" t="s">
        <v>6544</v>
      </c>
      <c r="F43" s="18" t="s">
        <v>4475</v>
      </c>
      <c r="G43" s="1121">
        <f>+G38/10</f>
        <v>0.1</v>
      </c>
      <c r="H43" s="1337"/>
      <c r="I43" s="1338"/>
      <c r="J43" s="1339"/>
      <c r="K43" s="25">
        <v>0</v>
      </c>
      <c r="L43" s="25">
        <v>47923</v>
      </c>
      <c r="M43" s="25">
        <v>25526</v>
      </c>
      <c r="N43" s="1061"/>
      <c r="O43" s="807">
        <f t="shared" si="3"/>
        <v>0</v>
      </c>
      <c r="P43" s="807">
        <f t="shared" si="3"/>
        <v>0</v>
      </c>
      <c r="Q43" s="807">
        <f t="shared" si="3"/>
        <v>4792</v>
      </c>
      <c r="R43" s="807">
        <f t="shared" si="3"/>
        <v>2553</v>
      </c>
    </row>
    <row r="44" spans="1:18">
      <c r="A44" s="1186" t="s">
        <v>2506</v>
      </c>
      <c r="B44" s="571"/>
      <c r="C44" s="571" t="s">
        <v>2506</v>
      </c>
      <c r="D44" s="639"/>
      <c r="E44" s="14" t="s">
        <v>6545</v>
      </c>
      <c r="F44" s="18" t="s">
        <v>1297</v>
      </c>
      <c r="G44" s="29">
        <f>+G36</f>
        <v>2</v>
      </c>
      <c r="H44" s="1060"/>
      <c r="I44" s="1202"/>
      <c r="J44" s="25"/>
      <c r="K44" s="25">
        <v>2511</v>
      </c>
      <c r="L44" s="25">
        <v>92400</v>
      </c>
      <c r="M44" s="25">
        <v>0</v>
      </c>
      <c r="N44" s="1061"/>
      <c r="O44" s="807">
        <f t="shared" si="3"/>
        <v>0</v>
      </c>
      <c r="P44" s="807">
        <f t="shared" si="3"/>
        <v>5022</v>
      </c>
      <c r="Q44" s="807">
        <f t="shared" si="3"/>
        <v>184800</v>
      </c>
      <c r="R44" s="807">
        <f t="shared" si="3"/>
        <v>0</v>
      </c>
    </row>
    <row r="45" spans="1:18">
      <c r="A45" s="1120" t="s">
        <v>4931</v>
      </c>
      <c r="B45" s="571"/>
      <c r="C45" s="571" t="s">
        <v>4931</v>
      </c>
      <c r="D45" s="639"/>
      <c r="E45" s="14" t="s">
        <v>6613</v>
      </c>
      <c r="F45" s="18" t="s">
        <v>5276</v>
      </c>
      <c r="G45" s="1314">
        <f>G42/10</f>
        <v>0.27</v>
      </c>
      <c r="H45" s="1060"/>
      <c r="I45" s="1185"/>
      <c r="J45" s="25"/>
      <c r="K45" s="25">
        <v>195700</v>
      </c>
      <c r="L45" s="25">
        <v>635800</v>
      </c>
      <c r="M45" s="25">
        <v>0</v>
      </c>
      <c r="N45" s="1061"/>
      <c r="O45" s="807">
        <f t="shared" si="3"/>
        <v>0</v>
      </c>
      <c r="P45" s="807">
        <f t="shared" si="3"/>
        <v>52839</v>
      </c>
      <c r="Q45" s="807">
        <f t="shared" si="3"/>
        <v>171666</v>
      </c>
      <c r="R45" s="807">
        <f t="shared" si="3"/>
        <v>0</v>
      </c>
    </row>
    <row r="46" spans="1:18">
      <c r="A46" s="252">
        <f>A33</f>
        <v>2</v>
      </c>
      <c r="B46" s="571"/>
      <c r="C46" s="571"/>
      <c r="D46" s="639"/>
      <c r="E46" s="14"/>
      <c r="F46" s="18"/>
      <c r="G46" s="1057"/>
      <c r="H46" s="1057"/>
      <c r="I46" s="23"/>
      <c r="J46" s="23"/>
      <c r="K46" s="23"/>
      <c r="L46" s="23"/>
      <c r="M46" s="23"/>
      <c r="N46" s="1061"/>
      <c r="O46" s="1061"/>
      <c r="P46" s="1061"/>
      <c r="Q46" s="1061"/>
      <c r="R46" s="1061"/>
    </row>
    <row r="47" spans="1:18">
      <c r="A47" s="1048">
        <f>A46+1</f>
        <v>3</v>
      </c>
      <c r="B47" s="657" t="str">
        <f>"III."&amp;+A47</f>
        <v>III.3</v>
      </c>
      <c r="C47" s="231"/>
      <c r="D47" s="231"/>
      <c r="E47" s="1341" t="s">
        <v>2167</v>
      </c>
      <c r="F47" s="1225" t="s">
        <v>1297</v>
      </c>
      <c r="G47" s="233">
        <f>TkeTR!AB11</f>
        <v>3</v>
      </c>
      <c r="H47" s="233"/>
      <c r="I47" s="1318"/>
      <c r="J47" s="1318"/>
      <c r="K47" s="1318"/>
      <c r="L47" s="1319"/>
      <c r="M47" s="1318"/>
      <c r="N47" s="1107">
        <f>SUM(N48:N51)</f>
        <v>190400</v>
      </c>
      <c r="O47" s="1107"/>
      <c r="P47" s="1107">
        <f>SUM(P48:P51)</f>
        <v>2511</v>
      </c>
      <c r="Q47" s="1107">
        <f>SUM(Q48:Q51)</f>
        <v>121000</v>
      </c>
      <c r="R47" s="1107">
        <f>SUM(R48:R51)</f>
        <v>0</v>
      </c>
    </row>
    <row r="48" spans="1:18">
      <c r="A48" s="1183" t="s">
        <v>114</v>
      </c>
      <c r="B48" s="571"/>
      <c r="C48" s="571"/>
      <c r="D48" s="639">
        <v>30660240</v>
      </c>
      <c r="E48" s="14" t="s">
        <v>101</v>
      </c>
      <c r="F48" s="18" t="s">
        <v>1307</v>
      </c>
      <c r="G48" s="28">
        <v>1</v>
      </c>
      <c r="H48" s="27">
        <f>G48*G47</f>
        <v>3</v>
      </c>
      <c r="I48" s="25">
        <v>150000</v>
      </c>
      <c r="J48" s="25"/>
      <c r="K48" s="1053"/>
      <c r="L48" s="23"/>
      <c r="M48" s="23"/>
      <c r="N48" s="807">
        <f>ROUND($G48*I48,0)</f>
        <v>150000</v>
      </c>
      <c r="O48" s="807"/>
      <c r="P48" s="1061"/>
      <c r="Q48" s="1061"/>
      <c r="R48" s="1061"/>
    </row>
    <row r="49" spans="1:18">
      <c r="A49" s="1183" t="s">
        <v>865</v>
      </c>
      <c r="B49" s="571"/>
      <c r="C49" s="571"/>
      <c r="D49" s="639">
        <v>43816250</v>
      </c>
      <c r="E49" s="14" t="s">
        <v>3018</v>
      </c>
      <c r="F49" s="18" t="s">
        <v>1307</v>
      </c>
      <c r="G49" s="28">
        <v>2</v>
      </c>
      <c r="H49" s="27">
        <f>G49*G47</f>
        <v>6</v>
      </c>
      <c r="I49" s="25">
        <v>15600</v>
      </c>
      <c r="J49" s="25"/>
      <c r="K49" s="1053"/>
      <c r="L49" s="23"/>
      <c r="M49" s="23"/>
      <c r="N49" s="807">
        <f>ROUND($G49*I49,0)</f>
        <v>31200</v>
      </c>
      <c r="O49" s="807"/>
      <c r="P49" s="1061"/>
      <c r="Q49" s="1061"/>
      <c r="R49" s="1061"/>
    </row>
    <row r="50" spans="1:18">
      <c r="A50" s="30" t="s">
        <v>866</v>
      </c>
      <c r="B50" s="571"/>
      <c r="C50" s="571"/>
      <c r="D50" s="1344"/>
      <c r="E50" s="14" t="s">
        <v>4038</v>
      </c>
      <c r="F50" s="18" t="s">
        <v>1307</v>
      </c>
      <c r="G50" s="28">
        <v>4</v>
      </c>
      <c r="H50" s="27">
        <f>G50*G47</f>
        <v>12</v>
      </c>
      <c r="I50" s="25">
        <v>2300</v>
      </c>
      <c r="J50" s="25"/>
      <c r="K50" s="1053"/>
      <c r="L50" s="23"/>
      <c r="M50" s="23"/>
      <c r="N50" s="807">
        <f>ROUND($G50*I50,0)</f>
        <v>9200</v>
      </c>
      <c r="O50" s="807"/>
      <c r="P50" s="1061"/>
      <c r="Q50" s="1061"/>
      <c r="R50" s="1061"/>
    </row>
    <row r="51" spans="1:18">
      <c r="A51" s="1184" t="s">
        <v>4929</v>
      </c>
      <c r="B51" s="571"/>
      <c r="C51" s="571" t="s">
        <v>4929</v>
      </c>
      <c r="D51" s="571"/>
      <c r="E51" s="14" t="s">
        <v>3881</v>
      </c>
      <c r="F51" s="18" t="s">
        <v>1297</v>
      </c>
      <c r="G51" s="28">
        <v>1</v>
      </c>
      <c r="H51" s="27"/>
      <c r="I51" s="23"/>
      <c r="J51" s="23"/>
      <c r="K51" s="25">
        <v>2511</v>
      </c>
      <c r="L51" s="25">
        <v>121000</v>
      </c>
      <c r="M51" s="25">
        <v>0</v>
      </c>
      <c r="N51" s="1061"/>
      <c r="O51" s="1061"/>
      <c r="P51" s="807">
        <f>ROUND($G51*K51,0)</f>
        <v>2511</v>
      </c>
      <c r="Q51" s="807">
        <f>ROUND($G51*L51,0)</f>
        <v>121000</v>
      </c>
      <c r="R51" s="807">
        <f>ROUND($G51*M51,0)</f>
        <v>0</v>
      </c>
    </row>
    <row r="52" spans="1:18">
      <c r="A52" s="252">
        <f>A47</f>
        <v>3</v>
      </c>
      <c r="B52" s="571"/>
      <c r="C52" s="571"/>
      <c r="D52" s="571"/>
      <c r="E52" s="14"/>
      <c r="F52" s="18"/>
      <c r="G52" s="1057"/>
      <c r="H52" s="1057"/>
      <c r="I52" s="23"/>
      <c r="J52" s="23"/>
      <c r="K52" s="23"/>
      <c r="L52" s="23"/>
      <c r="M52" s="23"/>
      <c r="N52" s="1345"/>
      <c r="O52" s="1345"/>
      <c r="P52" s="1345"/>
      <c r="Q52" s="1346"/>
      <c r="R52" s="1347"/>
    </row>
    <row r="53" spans="1:18" ht="15" customHeight="1">
      <c r="A53" s="329">
        <f>A52+1</f>
        <v>4</v>
      </c>
      <c r="B53" s="1340" t="str">
        <f>"III."&amp;+A53</f>
        <v>III.4</v>
      </c>
      <c r="C53" s="231"/>
      <c r="D53" s="231"/>
      <c r="E53" s="1341" t="s">
        <v>4936</v>
      </c>
      <c r="F53" s="1225" t="s">
        <v>1297</v>
      </c>
      <c r="G53" s="1342">
        <f>TkeTR!AG11</f>
        <v>3</v>
      </c>
      <c r="H53" s="1226"/>
      <c r="I53" s="1318"/>
      <c r="J53" s="1318"/>
      <c r="K53" s="1318"/>
      <c r="L53" s="1319"/>
      <c r="M53" s="1318"/>
      <c r="N53" s="1107">
        <f>SUM(N54:N60)</f>
        <v>2436200</v>
      </c>
      <c r="O53" s="1318"/>
      <c r="P53" s="1107">
        <f>SUM(P54:P60)</f>
        <v>87384</v>
      </c>
      <c r="Q53" s="1107">
        <f>SUM(Q54:Q60)</f>
        <v>690091</v>
      </c>
      <c r="R53" s="1107">
        <f>SUM(R54:R60)</f>
        <v>106012</v>
      </c>
    </row>
    <row r="54" spans="1:18" ht="15" customHeight="1">
      <c r="A54" s="38" t="s">
        <v>4933</v>
      </c>
      <c r="B54" s="571"/>
      <c r="C54" s="571"/>
      <c r="D54" s="571">
        <v>59203148</v>
      </c>
      <c r="E54" s="14" t="s">
        <v>6614</v>
      </c>
      <c r="F54" s="18" t="s">
        <v>1297</v>
      </c>
      <c r="G54" s="1058">
        <v>1</v>
      </c>
      <c r="H54" s="19">
        <f>G54*G53</f>
        <v>3</v>
      </c>
      <c r="I54" s="25">
        <v>2100000</v>
      </c>
      <c r="J54" s="25"/>
      <c r="K54" s="1053"/>
      <c r="L54" s="23"/>
      <c r="M54" s="23"/>
      <c r="N54" s="807">
        <f t="shared" ref="N54:N59" si="4">ROUND($G54*I54,0)</f>
        <v>2100000</v>
      </c>
      <c r="O54" s="25"/>
      <c r="P54" s="1061"/>
      <c r="Q54" s="1061"/>
      <c r="R54" s="1061"/>
    </row>
    <row r="55" spans="1:18" ht="15" customHeight="1">
      <c r="A55" s="38" t="s">
        <v>4934</v>
      </c>
      <c r="B55" s="571"/>
      <c r="C55" s="571"/>
      <c r="D55" s="571">
        <v>0</v>
      </c>
      <c r="E55" s="14" t="s">
        <v>6537</v>
      </c>
      <c r="F55" s="18" t="s">
        <v>1307</v>
      </c>
      <c r="G55" s="1058">
        <v>1</v>
      </c>
      <c r="H55" s="19">
        <f>G55*G53</f>
        <v>3</v>
      </c>
      <c r="I55" s="25">
        <v>60000</v>
      </c>
      <c r="J55" s="25"/>
      <c r="K55" s="1053"/>
      <c r="L55" s="23"/>
      <c r="M55" s="23"/>
      <c r="N55" s="807">
        <f t="shared" si="4"/>
        <v>60000</v>
      </c>
      <c r="O55" s="25"/>
      <c r="P55" s="1061"/>
      <c r="Q55" s="1061"/>
      <c r="R55" s="1061"/>
    </row>
    <row r="56" spans="1:18" ht="15" customHeight="1">
      <c r="A56" s="1204" t="s">
        <v>4237</v>
      </c>
      <c r="B56" s="571"/>
      <c r="C56" s="571"/>
      <c r="D56" s="571">
        <v>0</v>
      </c>
      <c r="E56" s="14" t="s">
        <v>1608</v>
      </c>
      <c r="F56" s="18" t="s">
        <v>1307</v>
      </c>
      <c r="G56" s="1058">
        <v>2</v>
      </c>
      <c r="H56" s="19">
        <f>G56*G53</f>
        <v>6</v>
      </c>
      <c r="I56" s="25">
        <v>124000</v>
      </c>
      <c r="J56" s="25"/>
      <c r="K56" s="1053"/>
      <c r="L56" s="23"/>
      <c r="M56" s="23"/>
      <c r="N56" s="807">
        <f t="shared" si="4"/>
        <v>248000</v>
      </c>
      <c r="O56" s="25"/>
      <c r="P56" s="1061"/>
      <c r="Q56" s="1061"/>
      <c r="R56" s="1061"/>
    </row>
    <row r="57" spans="1:18" ht="15" customHeight="1">
      <c r="A57" s="38" t="s">
        <v>3010</v>
      </c>
      <c r="B57" s="571"/>
      <c r="C57" s="571"/>
      <c r="D57" s="571">
        <v>43816050</v>
      </c>
      <c r="E57" s="14" t="s">
        <v>3011</v>
      </c>
      <c r="F57" s="18" t="s">
        <v>1307</v>
      </c>
      <c r="G57" s="1058">
        <v>2</v>
      </c>
      <c r="H57" s="19">
        <f>G57*G54</f>
        <v>2</v>
      </c>
      <c r="I57" s="25">
        <v>7000</v>
      </c>
      <c r="J57" s="25"/>
      <c r="K57" s="1053"/>
      <c r="L57" s="23"/>
      <c r="M57" s="23"/>
      <c r="N57" s="807">
        <f t="shared" si="4"/>
        <v>14000</v>
      </c>
      <c r="O57" s="25"/>
      <c r="P57" s="1061"/>
      <c r="Q57" s="1061"/>
      <c r="R57" s="1061"/>
    </row>
    <row r="58" spans="1:18" ht="15" customHeight="1">
      <c r="A58" s="38" t="s">
        <v>3690</v>
      </c>
      <c r="B58" s="571"/>
      <c r="C58" s="571"/>
      <c r="D58" s="571">
        <v>43808050</v>
      </c>
      <c r="E58" s="14" t="s">
        <v>2028</v>
      </c>
      <c r="F58" s="18" t="s">
        <v>1297</v>
      </c>
      <c r="G58" s="1058">
        <v>4</v>
      </c>
      <c r="H58" s="19">
        <f>G58*G53</f>
        <v>12</v>
      </c>
      <c r="I58" s="25">
        <v>2400</v>
      </c>
      <c r="J58" s="25"/>
      <c r="K58" s="1053"/>
      <c r="L58" s="23"/>
      <c r="M58" s="23"/>
      <c r="N58" s="807">
        <f t="shared" si="4"/>
        <v>9600</v>
      </c>
      <c r="O58" s="25"/>
      <c r="P58" s="1061"/>
      <c r="Q58" s="1061"/>
      <c r="R58" s="1061"/>
    </row>
    <row r="59" spans="1:18" ht="15" customHeight="1">
      <c r="A59" s="38" t="s">
        <v>866</v>
      </c>
      <c r="B59" s="571"/>
      <c r="C59" s="571"/>
      <c r="D59" s="571">
        <v>0</v>
      </c>
      <c r="E59" s="14" t="s">
        <v>4038</v>
      </c>
      <c r="F59" s="18" t="s">
        <v>1307</v>
      </c>
      <c r="G59" s="1058">
        <f>+G57</f>
        <v>2</v>
      </c>
      <c r="H59" s="19">
        <f>G59*G53</f>
        <v>6</v>
      </c>
      <c r="I59" s="25">
        <v>2300</v>
      </c>
      <c r="J59" s="25"/>
      <c r="K59" s="1053"/>
      <c r="L59" s="23"/>
      <c r="M59" s="23"/>
      <c r="N59" s="807">
        <f t="shared" si="4"/>
        <v>4600</v>
      </c>
      <c r="O59" s="25"/>
      <c r="P59" s="1061"/>
      <c r="Q59" s="1061"/>
      <c r="R59" s="1061"/>
    </row>
    <row r="60" spans="1:18" ht="15" customHeight="1">
      <c r="A60" s="1120" t="s">
        <v>4935</v>
      </c>
      <c r="B60" s="571"/>
      <c r="C60" s="571" t="s">
        <v>4935</v>
      </c>
      <c r="D60" s="571"/>
      <c r="E60" s="14" t="s">
        <v>6615</v>
      </c>
      <c r="F60" s="18" t="s">
        <v>4291</v>
      </c>
      <c r="G60" s="29">
        <v>1</v>
      </c>
      <c r="H60" s="29"/>
      <c r="I60" s="23"/>
      <c r="J60" s="25"/>
      <c r="K60" s="25">
        <v>87384</v>
      </c>
      <c r="L60" s="25">
        <v>690091</v>
      </c>
      <c r="M60" s="25">
        <v>106012</v>
      </c>
      <c r="N60" s="1061"/>
      <c r="O60" s="25"/>
      <c r="P60" s="807">
        <f>ROUND($G60*K60,0)</f>
        <v>87384</v>
      </c>
      <c r="Q60" s="807">
        <f>ROUND($G60*L60,0)</f>
        <v>690091</v>
      </c>
      <c r="R60" s="807">
        <f>ROUND($G60*M60,0)</f>
        <v>106012</v>
      </c>
    </row>
    <row r="61" spans="1:18" ht="15" customHeight="1">
      <c r="A61" s="558">
        <f>A53</f>
        <v>4</v>
      </c>
      <c r="B61" s="1332"/>
      <c r="C61" s="1332"/>
      <c r="D61" s="1332"/>
      <c r="E61" s="1333"/>
      <c r="F61" s="1334"/>
      <c r="G61" s="67"/>
      <c r="H61" s="67"/>
      <c r="I61" s="32"/>
      <c r="J61" s="32"/>
      <c r="K61" s="32"/>
      <c r="L61" s="32"/>
      <c r="M61" s="32"/>
      <c r="N61" s="32"/>
      <c r="O61" s="32"/>
      <c r="P61" s="32"/>
      <c r="Q61" s="32"/>
      <c r="R61" s="32"/>
    </row>
    <row r="62" spans="1:18" ht="15" customHeight="1">
      <c r="A62" s="1048">
        <f>A61+1</f>
        <v>5</v>
      </c>
      <c r="B62" s="657" t="str">
        <f>"III."&amp;+A62</f>
        <v>III.5</v>
      </c>
      <c r="C62" s="571"/>
      <c r="D62" s="571"/>
      <c r="E62" s="1049" t="s">
        <v>2169</v>
      </c>
      <c r="F62" s="24" t="s">
        <v>1297</v>
      </c>
      <c r="G62" s="1336">
        <f>TkeTR!AK11</f>
        <v>3</v>
      </c>
      <c r="H62" s="1336"/>
      <c r="I62" s="1070"/>
      <c r="J62" s="1070"/>
      <c r="K62" s="1070"/>
      <c r="L62" s="1071"/>
      <c r="M62" s="1070"/>
      <c r="N62" s="1055">
        <f>SUM(N63:N64)</f>
        <v>278400</v>
      </c>
      <c r="O62" s="1055"/>
      <c r="P62" s="1055">
        <f>SUM(P63:P64)</f>
        <v>9900</v>
      </c>
      <c r="Q62" s="1055">
        <f>SUM(Q63:Q64)</f>
        <v>33000</v>
      </c>
      <c r="R62" s="1055">
        <f>SUM(R63:R64)</f>
        <v>0</v>
      </c>
    </row>
    <row r="63" spans="1:18" ht="15" customHeight="1">
      <c r="A63" s="38" t="s">
        <v>170</v>
      </c>
      <c r="B63" s="571"/>
      <c r="C63" s="571"/>
      <c r="D63" s="571">
        <v>0</v>
      </c>
      <c r="E63" s="14" t="s">
        <v>6548</v>
      </c>
      <c r="F63" s="18" t="s">
        <v>639</v>
      </c>
      <c r="G63" s="29">
        <v>3</v>
      </c>
      <c r="H63" s="27">
        <f>G63*G62</f>
        <v>9</v>
      </c>
      <c r="I63" s="25">
        <v>92800</v>
      </c>
      <c r="J63" s="25"/>
      <c r="K63" s="1053"/>
      <c r="L63" s="23"/>
      <c r="M63" s="23"/>
      <c r="N63" s="807">
        <f>ROUND($G63*I63,0)</f>
        <v>278400</v>
      </c>
      <c r="O63" s="807"/>
      <c r="P63" s="1061"/>
      <c r="Q63" s="1061"/>
      <c r="R63" s="1061"/>
    </row>
    <row r="64" spans="1:18" ht="15" customHeight="1">
      <c r="A64" s="1122" t="s">
        <v>3839</v>
      </c>
      <c r="B64" s="571"/>
      <c r="C64" s="571" t="s">
        <v>3839</v>
      </c>
      <c r="D64" s="571"/>
      <c r="E64" s="14" t="s">
        <v>6558</v>
      </c>
      <c r="F64" s="18" t="s">
        <v>639</v>
      </c>
      <c r="G64" s="29">
        <f>G63</f>
        <v>3</v>
      </c>
      <c r="H64" s="27"/>
      <c r="I64" s="23"/>
      <c r="J64" s="25"/>
      <c r="K64" s="25">
        <v>3300</v>
      </c>
      <c r="L64" s="25">
        <v>11000</v>
      </c>
      <c r="M64" s="25">
        <v>0</v>
      </c>
      <c r="N64" s="1061"/>
      <c r="O64" s="807"/>
      <c r="P64" s="807">
        <f>ROUND($G64*K64,0)</f>
        <v>9900</v>
      </c>
      <c r="Q64" s="807">
        <f>ROUND($G64*L64,0)</f>
        <v>33000</v>
      </c>
      <c r="R64" s="807">
        <f>ROUND($G64*M64,0)</f>
        <v>0</v>
      </c>
    </row>
    <row r="65" spans="1:18" ht="15" customHeight="1">
      <c r="A65" s="252">
        <f>A62</f>
        <v>5</v>
      </c>
      <c r="B65" s="1332"/>
      <c r="C65" s="1332"/>
      <c r="D65" s="1332"/>
      <c r="E65" s="1333"/>
      <c r="F65" s="1334"/>
      <c r="G65" s="1335"/>
      <c r="H65" s="27"/>
      <c r="I65" s="32"/>
      <c r="J65" s="32"/>
      <c r="K65" s="32"/>
      <c r="L65" s="32"/>
      <c r="M65" s="32"/>
      <c r="N65" s="32"/>
      <c r="O65" s="32"/>
      <c r="P65" s="32"/>
      <c r="Q65" s="32"/>
      <c r="R65" s="32"/>
    </row>
    <row r="66" spans="1:18" ht="15" customHeight="1">
      <c r="A66" s="1048">
        <f>A65+1</f>
        <v>6</v>
      </c>
      <c r="B66" s="657" t="str">
        <f>"III."&amp;+A66</f>
        <v>III.6</v>
      </c>
      <c r="C66" s="571"/>
      <c r="D66" s="571"/>
      <c r="E66" s="1049" t="s">
        <v>4622</v>
      </c>
      <c r="F66" s="24" t="s">
        <v>1297</v>
      </c>
      <c r="G66" s="26">
        <f>TkeTR!AP11</f>
        <v>3</v>
      </c>
      <c r="H66" s="26"/>
      <c r="I66" s="1070"/>
      <c r="J66" s="1070"/>
      <c r="K66" s="1070"/>
      <c r="L66" s="1071"/>
      <c r="M66" s="1070"/>
      <c r="N66" s="1055">
        <f>SUM(N67:N79)</f>
        <v>5819500</v>
      </c>
      <c r="O66" s="1055"/>
      <c r="P66" s="1055">
        <f>SUM(P67:P79)</f>
        <v>77381</v>
      </c>
      <c r="Q66" s="1055">
        <f>SUM(Q67:Q79)</f>
        <v>869771</v>
      </c>
      <c r="R66" s="1055">
        <f>SUM(R67:R79)</f>
        <v>8679</v>
      </c>
    </row>
    <row r="67" spans="1:18" ht="15" customHeight="1">
      <c r="A67" s="38" t="s">
        <v>1146</v>
      </c>
      <c r="B67" s="571"/>
      <c r="C67" s="571"/>
      <c r="D67" s="571">
        <v>0</v>
      </c>
      <c r="E67" s="14" t="s">
        <v>6616</v>
      </c>
      <c r="F67" s="18" t="s">
        <v>639</v>
      </c>
      <c r="G67" s="29">
        <v>22</v>
      </c>
      <c r="H67" s="27">
        <f>G67*G66</f>
        <v>66</v>
      </c>
      <c r="I67" s="25">
        <v>151700</v>
      </c>
      <c r="J67" s="25"/>
      <c r="K67" s="1053"/>
      <c r="L67" s="23"/>
      <c r="M67" s="23"/>
      <c r="N67" s="807">
        <f t="shared" ref="N67:N74" si="5">ROUND($G67*I67,0)</f>
        <v>3337400</v>
      </c>
      <c r="O67" s="807"/>
      <c r="P67" s="1061"/>
      <c r="Q67" s="1061"/>
      <c r="R67" s="1061"/>
    </row>
    <row r="68" spans="1:18" ht="15" customHeight="1">
      <c r="A68" s="38" t="s">
        <v>1142</v>
      </c>
      <c r="B68" s="571"/>
      <c r="C68" s="571"/>
      <c r="D68" s="571">
        <v>0</v>
      </c>
      <c r="E68" s="14" t="s">
        <v>6596</v>
      </c>
      <c r="F68" s="18" t="s">
        <v>639</v>
      </c>
      <c r="G68" s="29">
        <v>11</v>
      </c>
      <c r="H68" s="27">
        <f>G68*G66</f>
        <v>33</v>
      </c>
      <c r="I68" s="25">
        <v>78600</v>
      </c>
      <c r="J68" s="25"/>
      <c r="K68" s="1053"/>
      <c r="L68" s="23"/>
      <c r="M68" s="23"/>
      <c r="N68" s="807">
        <f t="shared" si="5"/>
        <v>864600</v>
      </c>
      <c r="O68" s="807"/>
      <c r="P68" s="1061"/>
      <c r="Q68" s="1061"/>
      <c r="R68" s="1061"/>
    </row>
    <row r="69" spans="1:18" ht="15" customHeight="1">
      <c r="A69" s="38" t="s">
        <v>1431</v>
      </c>
      <c r="B69" s="571"/>
      <c r="C69" s="571"/>
      <c r="D69" s="571">
        <v>0</v>
      </c>
      <c r="E69" s="14" t="s">
        <v>1432</v>
      </c>
      <c r="F69" s="18" t="s">
        <v>1307</v>
      </c>
      <c r="G69" s="29">
        <v>2</v>
      </c>
      <c r="H69" s="19">
        <f>G69*G66</f>
        <v>6</v>
      </c>
      <c r="I69" s="25">
        <v>21600</v>
      </c>
      <c r="J69" s="25"/>
      <c r="K69" s="1053"/>
      <c r="L69" s="23"/>
      <c r="M69" s="23"/>
      <c r="N69" s="807">
        <f t="shared" si="5"/>
        <v>43200</v>
      </c>
      <c r="O69" s="807"/>
      <c r="P69" s="1061"/>
      <c r="Q69" s="1061"/>
      <c r="R69" s="1061"/>
    </row>
    <row r="70" spans="1:18" ht="15" customHeight="1">
      <c r="A70" s="38" t="s">
        <v>1449</v>
      </c>
      <c r="B70" s="571"/>
      <c r="C70" s="571"/>
      <c r="D70" s="571">
        <v>0</v>
      </c>
      <c r="E70" s="14" t="s">
        <v>1450</v>
      </c>
      <c r="F70" s="18" t="s">
        <v>1307</v>
      </c>
      <c r="G70" s="29">
        <v>1</v>
      </c>
      <c r="H70" s="19">
        <f>G70*G66</f>
        <v>3</v>
      </c>
      <c r="I70" s="25">
        <v>10700</v>
      </c>
      <c r="J70" s="25"/>
      <c r="K70" s="1053"/>
      <c r="L70" s="23"/>
      <c r="M70" s="23"/>
      <c r="N70" s="807">
        <f t="shared" si="5"/>
        <v>10700</v>
      </c>
      <c r="O70" s="807"/>
      <c r="P70" s="1061"/>
      <c r="Q70" s="1061"/>
      <c r="R70" s="1061"/>
    </row>
    <row r="71" spans="1:18" ht="15" customHeight="1">
      <c r="A71" s="38" t="s">
        <v>2266</v>
      </c>
      <c r="B71" s="571"/>
      <c r="C71" s="571"/>
      <c r="D71" s="571">
        <v>49020145</v>
      </c>
      <c r="E71" s="14" t="s">
        <v>6617</v>
      </c>
      <c r="F71" s="18" t="s">
        <v>639</v>
      </c>
      <c r="G71" s="1121">
        <v>16</v>
      </c>
      <c r="H71" s="27">
        <f>G71*G65</f>
        <v>0</v>
      </c>
      <c r="I71" s="25">
        <v>63200</v>
      </c>
      <c r="J71" s="25"/>
      <c r="K71" s="1053"/>
      <c r="L71" s="23"/>
      <c r="M71" s="23"/>
      <c r="N71" s="807">
        <f t="shared" si="5"/>
        <v>1011200</v>
      </c>
      <c r="O71" s="807"/>
      <c r="P71" s="1061"/>
      <c r="Q71" s="1061"/>
      <c r="R71" s="1061"/>
    </row>
    <row r="72" spans="1:18" ht="15" customHeight="1">
      <c r="A72" s="38" t="s">
        <v>4607</v>
      </c>
      <c r="B72" s="571"/>
      <c r="C72" s="571"/>
      <c r="D72" s="571">
        <v>0</v>
      </c>
      <c r="E72" s="14" t="s">
        <v>5627</v>
      </c>
      <c r="F72" s="18" t="s">
        <v>1307</v>
      </c>
      <c r="G72" s="29">
        <v>4</v>
      </c>
      <c r="H72" s="27">
        <f>G72*G66</f>
        <v>12</v>
      </c>
      <c r="I72" s="25">
        <v>25600</v>
      </c>
      <c r="J72" s="25"/>
      <c r="K72" s="1053"/>
      <c r="L72" s="23"/>
      <c r="M72" s="23"/>
      <c r="N72" s="807">
        <f t="shared" si="5"/>
        <v>102400</v>
      </c>
      <c r="O72" s="807"/>
      <c r="P72" s="1061"/>
      <c r="Q72" s="1061"/>
      <c r="R72" s="1061"/>
    </row>
    <row r="73" spans="1:18" ht="15" customHeight="1">
      <c r="A73" s="38" t="s">
        <v>413</v>
      </c>
      <c r="B73" s="571"/>
      <c r="C73" s="571"/>
      <c r="D73" s="571">
        <v>0</v>
      </c>
      <c r="E73" s="14" t="s">
        <v>414</v>
      </c>
      <c r="F73" s="18" t="s">
        <v>1307</v>
      </c>
      <c r="G73" s="29">
        <v>6</v>
      </c>
      <c r="H73" s="27">
        <f>G73*G66</f>
        <v>18</v>
      </c>
      <c r="I73" s="25">
        <v>67000</v>
      </c>
      <c r="J73" s="25"/>
      <c r="K73" s="1053"/>
      <c r="L73" s="23"/>
      <c r="M73" s="23"/>
      <c r="N73" s="807">
        <f t="shared" si="5"/>
        <v>402000</v>
      </c>
      <c r="O73" s="807"/>
      <c r="P73" s="1061"/>
      <c r="Q73" s="1061"/>
      <c r="R73" s="1061"/>
    </row>
    <row r="74" spans="1:18" ht="15" customHeight="1">
      <c r="A74" s="38" t="s">
        <v>1778</v>
      </c>
      <c r="B74" s="571"/>
      <c r="C74" s="571"/>
      <c r="D74" s="571">
        <v>17127759</v>
      </c>
      <c r="E74" s="14" t="s">
        <v>1779</v>
      </c>
      <c r="F74" s="18" t="s">
        <v>472</v>
      </c>
      <c r="G74" s="29">
        <v>4</v>
      </c>
      <c r="H74" s="27">
        <f>G74*G66</f>
        <v>12</v>
      </c>
      <c r="I74" s="25">
        <v>12000</v>
      </c>
      <c r="J74" s="25"/>
      <c r="K74" s="1053"/>
      <c r="L74" s="23"/>
      <c r="M74" s="23"/>
      <c r="N74" s="807">
        <f t="shared" si="5"/>
        <v>48000</v>
      </c>
      <c r="O74" s="807"/>
      <c r="P74" s="1061"/>
      <c r="Q74" s="1061"/>
      <c r="R74" s="1061"/>
    </row>
    <row r="75" spans="1:18" ht="15" hidden="1" customHeight="1">
      <c r="A75" s="1122" t="s">
        <v>3839</v>
      </c>
      <c r="B75" s="571"/>
      <c r="C75" s="571" t="s">
        <v>3839</v>
      </c>
      <c r="D75" s="571"/>
      <c r="E75" s="14" t="s">
        <v>6558</v>
      </c>
      <c r="F75" s="18" t="s">
        <v>639</v>
      </c>
      <c r="G75" s="29"/>
      <c r="H75" s="29"/>
      <c r="I75" s="23"/>
      <c r="J75" s="25"/>
      <c r="K75" s="25">
        <v>3300</v>
      </c>
      <c r="L75" s="25">
        <v>11000</v>
      </c>
      <c r="M75" s="25">
        <v>0</v>
      </c>
      <c r="N75" s="1061"/>
      <c r="O75" s="807"/>
      <c r="P75" s="807">
        <f t="shared" ref="P75:R79" si="6">ROUND($G75*K75,0)</f>
        <v>0</v>
      </c>
      <c r="Q75" s="807">
        <f t="shared" si="6"/>
        <v>0</v>
      </c>
      <c r="R75" s="807">
        <f t="shared" si="6"/>
        <v>0</v>
      </c>
    </row>
    <row r="76" spans="1:18" ht="15" customHeight="1">
      <c r="A76" s="1122" t="s">
        <v>1950</v>
      </c>
      <c r="B76" s="571"/>
      <c r="C76" s="571" t="s">
        <v>1950</v>
      </c>
      <c r="D76" s="571"/>
      <c r="E76" s="14" t="s">
        <v>6618</v>
      </c>
      <c r="F76" s="18" t="s">
        <v>4475</v>
      </c>
      <c r="G76" s="1121">
        <f>G69/10</f>
        <v>0.2</v>
      </c>
      <c r="H76" s="29"/>
      <c r="I76" s="23"/>
      <c r="J76" s="25"/>
      <c r="K76" s="25">
        <v>0</v>
      </c>
      <c r="L76" s="25">
        <v>167731</v>
      </c>
      <c r="M76" s="25">
        <v>30631</v>
      </c>
      <c r="N76" s="1061"/>
      <c r="O76" s="807"/>
      <c r="P76" s="807">
        <f t="shared" si="6"/>
        <v>0</v>
      </c>
      <c r="Q76" s="807">
        <f t="shared" si="6"/>
        <v>33546</v>
      </c>
      <c r="R76" s="807">
        <f t="shared" si="6"/>
        <v>6126</v>
      </c>
    </row>
    <row r="77" spans="1:18" ht="15" customHeight="1">
      <c r="A77" s="1122" t="s">
        <v>1951</v>
      </c>
      <c r="B77" s="571"/>
      <c r="C77" s="571" t="s">
        <v>1951</v>
      </c>
      <c r="D77" s="571"/>
      <c r="E77" s="14" t="s">
        <v>6619</v>
      </c>
      <c r="F77" s="18" t="s">
        <v>4475</v>
      </c>
      <c r="G77" s="1121">
        <f>G70/10</f>
        <v>0.1</v>
      </c>
      <c r="H77" s="29"/>
      <c r="I77" s="23"/>
      <c r="J77" s="25"/>
      <c r="K77" s="25">
        <v>0</v>
      </c>
      <c r="L77" s="25">
        <v>83865</v>
      </c>
      <c r="M77" s="25">
        <v>25526</v>
      </c>
      <c r="N77" s="1061"/>
      <c r="O77" s="807"/>
      <c r="P77" s="807">
        <f t="shared" si="6"/>
        <v>0</v>
      </c>
      <c r="Q77" s="807">
        <f t="shared" si="6"/>
        <v>8387</v>
      </c>
      <c r="R77" s="807">
        <f t="shared" si="6"/>
        <v>2553</v>
      </c>
    </row>
    <row r="78" spans="1:18" ht="15" customHeight="1">
      <c r="A78" s="1120" t="s">
        <v>3841</v>
      </c>
      <c r="B78" s="571"/>
      <c r="C78" s="571" t="s">
        <v>3841</v>
      </c>
      <c r="D78" s="571"/>
      <c r="E78" s="14" t="s">
        <v>6620</v>
      </c>
      <c r="F78" s="18" t="s">
        <v>5276</v>
      </c>
      <c r="G78" s="1314">
        <f>(G67+G68-G75)/100</f>
        <v>0.33</v>
      </c>
      <c r="H78" s="29"/>
      <c r="I78" s="23"/>
      <c r="J78" s="25"/>
      <c r="K78" s="25">
        <v>195700</v>
      </c>
      <c r="L78" s="25">
        <v>908600</v>
      </c>
      <c r="M78" s="25">
        <v>0</v>
      </c>
      <c r="N78" s="1061"/>
      <c r="O78" s="807"/>
      <c r="P78" s="807">
        <f t="shared" si="6"/>
        <v>64581</v>
      </c>
      <c r="Q78" s="807">
        <f t="shared" si="6"/>
        <v>299838</v>
      </c>
      <c r="R78" s="807">
        <f t="shared" si="6"/>
        <v>0</v>
      </c>
    </row>
    <row r="79" spans="1:18" ht="15" customHeight="1">
      <c r="A79" s="1123" t="s">
        <v>3842</v>
      </c>
      <c r="B79" s="571"/>
      <c r="C79" s="571" t="s">
        <v>3842</v>
      </c>
      <c r="D79" s="571"/>
      <c r="E79" s="14" t="s">
        <v>6621</v>
      </c>
      <c r="F79" s="18" t="s">
        <v>6249</v>
      </c>
      <c r="G79" s="1121">
        <f>+G71/10</f>
        <v>1.6</v>
      </c>
      <c r="H79" s="29"/>
      <c r="I79" s="23"/>
      <c r="J79" s="25"/>
      <c r="K79" s="25">
        <v>8000</v>
      </c>
      <c r="L79" s="25">
        <v>330000</v>
      </c>
      <c r="M79" s="25">
        <v>0</v>
      </c>
      <c r="N79" s="1061"/>
      <c r="O79" s="807"/>
      <c r="P79" s="807">
        <f t="shared" si="6"/>
        <v>12800</v>
      </c>
      <c r="Q79" s="807">
        <f t="shared" si="6"/>
        <v>528000</v>
      </c>
      <c r="R79" s="807">
        <f t="shared" si="6"/>
        <v>0</v>
      </c>
    </row>
    <row r="80" spans="1:18" ht="15" customHeight="1">
      <c r="A80" s="252">
        <f>A66</f>
        <v>6</v>
      </c>
      <c r="B80" s="1478"/>
      <c r="C80" s="1478"/>
      <c r="D80" s="1478"/>
      <c r="E80" s="1480"/>
      <c r="F80" s="1481"/>
      <c r="G80" s="1482"/>
      <c r="H80" s="1482"/>
      <c r="I80" s="1479"/>
      <c r="J80" s="1479"/>
      <c r="K80" s="1479"/>
      <c r="L80" s="1479"/>
      <c r="M80" s="1479"/>
      <c r="N80" s="1479"/>
      <c r="O80" s="1479"/>
      <c r="P80" s="1479"/>
      <c r="Q80" s="1479"/>
      <c r="R80" s="1479"/>
    </row>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sheetData>
  <mergeCells count="11">
    <mergeCell ref="B2:R2"/>
    <mergeCell ref="B3:R3"/>
    <mergeCell ref="B5:B6"/>
    <mergeCell ref="C5:C6"/>
    <mergeCell ref="E5:E6"/>
    <mergeCell ref="F5:F6"/>
    <mergeCell ref="G5:G6"/>
    <mergeCell ref="D5:D6"/>
    <mergeCell ref="H5:H6"/>
    <mergeCell ref="I5:M5"/>
    <mergeCell ref="N5:R5"/>
  </mergeCells>
  <phoneticPr fontId="75" type="noConversion"/>
  <printOptions horizontalCentered="1"/>
  <pageMargins left="0.19685039370078741" right="0.19685039370078741" top="0.39370078740157483" bottom="0.39370078740157483" header="0.19685039370078741" footer="0.19685039370078741"/>
  <pageSetup paperSize="9" scale="85" firstPageNumber="32" orientation="landscape"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indexed="52"/>
  </sheetPr>
  <dimension ref="A1:AP48"/>
  <sheetViews>
    <sheetView showZeros="0" topLeftCell="C1" zoomScale="115" workbookViewId="0">
      <selection activeCell="C10" sqref="C10:D10"/>
    </sheetView>
  </sheetViews>
  <sheetFormatPr defaultColWidth="9.33203125" defaultRowHeight="12.75"/>
  <cols>
    <col min="1" max="1" width="5.83203125" style="53" customWidth="1"/>
    <col min="2" max="3" width="18.83203125" style="38" customWidth="1"/>
    <col min="4" max="4" width="6.83203125" style="38" customWidth="1"/>
    <col min="5" max="6" width="3.6640625" style="953" bestFit="1" customWidth="1"/>
    <col min="7" max="41" width="3.5" style="953" customWidth="1"/>
    <col min="42" max="42" width="9.83203125" style="38" customWidth="1"/>
    <col min="43" max="16384" width="9.33203125" style="38"/>
  </cols>
  <sheetData>
    <row r="1" spans="1:42" ht="18.75">
      <c r="A1" s="2111" t="s">
        <v>1202</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c r="AN1" s="2111"/>
      <c r="AO1" s="2111"/>
      <c r="AP1" s="2111"/>
    </row>
    <row r="2" spans="1:42" ht="15" customHeight="1"/>
    <row r="3" spans="1:42" ht="30" customHeight="1">
      <c r="A3" s="2074" t="s">
        <v>6345</v>
      </c>
      <c r="B3" s="2071" t="s">
        <v>1308</v>
      </c>
      <c r="C3" s="2074" t="s">
        <v>2541</v>
      </c>
      <c r="D3" s="2071" t="s">
        <v>1309</v>
      </c>
      <c r="E3" s="2147" t="s">
        <v>3905</v>
      </c>
      <c r="F3" s="2151"/>
      <c r="G3" s="2151"/>
      <c r="H3" s="2151"/>
      <c r="I3" s="2152"/>
      <c r="J3" s="2147" t="s">
        <v>3901</v>
      </c>
      <c r="K3" s="2148"/>
      <c r="L3" s="2148"/>
      <c r="M3" s="2148"/>
      <c r="N3" s="2149"/>
      <c r="O3" s="2147" t="s">
        <v>3902</v>
      </c>
      <c r="P3" s="2148"/>
      <c r="Q3" s="2149"/>
      <c r="R3" s="2147" t="s">
        <v>3906</v>
      </c>
      <c r="S3" s="2148"/>
      <c r="T3" s="2148"/>
      <c r="U3" s="2149"/>
      <c r="V3" s="2147" t="s">
        <v>3903</v>
      </c>
      <c r="W3" s="2148"/>
      <c r="X3" s="2148"/>
      <c r="Y3" s="2148"/>
      <c r="Z3" s="2148"/>
      <c r="AA3" s="2149"/>
      <c r="AB3" s="2147" t="s">
        <v>3933</v>
      </c>
      <c r="AC3" s="2151"/>
      <c r="AD3" s="2148"/>
      <c r="AE3" s="2148"/>
      <c r="AF3" s="2149"/>
      <c r="AG3" s="2154" t="s">
        <v>3904</v>
      </c>
      <c r="AH3" s="2155"/>
      <c r="AI3" s="2155"/>
      <c r="AJ3" s="2156"/>
      <c r="AK3" s="2154" t="s">
        <v>1199</v>
      </c>
      <c r="AL3" s="2155"/>
      <c r="AM3" s="2155"/>
      <c r="AN3" s="2155"/>
      <c r="AO3" s="2156"/>
      <c r="AP3" s="2076" t="s">
        <v>6403</v>
      </c>
    </row>
    <row r="4" spans="1:42" ht="150" customHeight="1">
      <c r="A4" s="2150"/>
      <c r="B4" s="2074"/>
      <c r="C4" s="2150"/>
      <c r="D4" s="2074"/>
      <c r="E4" s="1385" t="s">
        <v>3907</v>
      </c>
      <c r="F4" s="1385" t="s">
        <v>3908</v>
      </c>
      <c r="G4" s="1385" t="s">
        <v>3898</v>
      </c>
      <c r="H4" s="1385" t="s">
        <v>3899</v>
      </c>
      <c r="I4" s="1385" t="s">
        <v>3900</v>
      </c>
      <c r="J4" s="1385" t="s">
        <v>996</v>
      </c>
      <c r="K4" s="1385" t="s">
        <v>3908</v>
      </c>
      <c r="L4" s="1385" t="s">
        <v>3898</v>
      </c>
      <c r="M4" s="1385" t="s">
        <v>3899</v>
      </c>
      <c r="N4" s="1385" t="s">
        <v>3900</v>
      </c>
      <c r="O4" s="1385" t="s">
        <v>1310</v>
      </c>
      <c r="P4" s="1385" t="s">
        <v>3909</v>
      </c>
      <c r="Q4" s="1385" t="s">
        <v>1311</v>
      </c>
      <c r="R4" s="1385" t="s">
        <v>3896</v>
      </c>
      <c r="S4" s="1385" t="s">
        <v>3925</v>
      </c>
      <c r="T4" s="1385" t="s">
        <v>3926</v>
      </c>
      <c r="U4" s="1385" t="s">
        <v>3927</v>
      </c>
      <c r="V4" s="1386" t="s">
        <v>3930</v>
      </c>
      <c r="W4" s="1386" t="s">
        <v>1194</v>
      </c>
      <c r="X4" s="1386" t="s">
        <v>3928</v>
      </c>
      <c r="Y4" s="1386" t="s">
        <v>3929</v>
      </c>
      <c r="Z4" s="1386" t="s">
        <v>1193</v>
      </c>
      <c r="AA4" s="1386" t="s">
        <v>3897</v>
      </c>
      <c r="AB4" s="1386" t="s">
        <v>3931</v>
      </c>
      <c r="AC4" s="1386" t="s">
        <v>3932</v>
      </c>
      <c r="AD4" s="1386" t="s">
        <v>3934</v>
      </c>
      <c r="AE4" s="1386" t="s">
        <v>3935</v>
      </c>
      <c r="AF4" s="1386" t="s">
        <v>1192</v>
      </c>
      <c r="AG4" s="1386" t="s">
        <v>1197</v>
      </c>
      <c r="AH4" s="1386" t="s">
        <v>1198</v>
      </c>
      <c r="AI4" s="1386" t="s">
        <v>1195</v>
      </c>
      <c r="AJ4" s="1386" t="s">
        <v>1196</v>
      </c>
      <c r="AK4" s="1386" t="s">
        <v>3907</v>
      </c>
      <c r="AL4" s="1386" t="s">
        <v>3908</v>
      </c>
      <c r="AM4" s="1385" t="s">
        <v>3898</v>
      </c>
      <c r="AN4" s="1385" t="s">
        <v>1200</v>
      </c>
      <c r="AO4" s="1385" t="s">
        <v>1201</v>
      </c>
      <c r="AP4" s="2153"/>
    </row>
    <row r="5" spans="1:42" ht="5.0999999999999996" customHeight="1">
      <c r="A5" s="1387"/>
      <c r="B5" s="1387"/>
      <c r="C5" s="1387"/>
      <c r="D5" s="1387"/>
      <c r="E5" s="1388"/>
      <c r="F5" s="1388"/>
      <c r="G5" s="1388"/>
      <c r="H5" s="1388"/>
      <c r="I5" s="1388"/>
      <c r="J5" s="1388"/>
      <c r="K5" s="1388"/>
      <c r="L5" s="1388"/>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7"/>
    </row>
    <row r="6" spans="1:42" s="1204" customFormat="1" ht="20.100000000000001" customHeight="1">
      <c r="A6" s="67">
        <v>1</v>
      </c>
      <c r="B6" s="1334" t="s">
        <v>1204</v>
      </c>
      <c r="C6" s="1390" t="s">
        <v>1206</v>
      </c>
      <c r="D6" s="67" t="s">
        <v>1207</v>
      </c>
      <c r="E6" s="952"/>
      <c r="F6" s="952"/>
      <c r="G6" s="952"/>
      <c r="H6" s="952">
        <v>1</v>
      </c>
      <c r="I6" s="952"/>
      <c r="J6" s="952"/>
      <c r="K6" s="952"/>
      <c r="L6" s="952"/>
      <c r="M6" s="952">
        <v>1</v>
      </c>
      <c r="N6" s="952"/>
      <c r="O6" s="952"/>
      <c r="P6" s="952"/>
      <c r="Q6" s="952">
        <v>1</v>
      </c>
      <c r="R6" s="952"/>
      <c r="S6" s="952"/>
      <c r="T6" s="952"/>
      <c r="U6" s="952"/>
      <c r="V6" s="952"/>
      <c r="W6" s="952"/>
      <c r="X6" s="952"/>
      <c r="Y6" s="952"/>
      <c r="Z6" s="952"/>
      <c r="AA6" s="952">
        <v>1</v>
      </c>
      <c r="AB6" s="952"/>
      <c r="AC6" s="952"/>
      <c r="AD6" s="952"/>
      <c r="AE6" s="952">
        <v>1</v>
      </c>
      <c r="AF6" s="952"/>
      <c r="AG6" s="952"/>
      <c r="AH6" s="952"/>
      <c r="AI6" s="952"/>
      <c r="AJ6" s="952">
        <v>1</v>
      </c>
      <c r="AK6" s="952"/>
      <c r="AL6" s="952"/>
      <c r="AM6" s="952"/>
      <c r="AN6" s="952">
        <v>1</v>
      </c>
      <c r="AO6" s="952"/>
      <c r="AP6" s="67"/>
    </row>
    <row r="7" spans="1:42" s="1204" customFormat="1" ht="20.100000000000001" customHeight="1">
      <c r="A7" s="67">
        <v>2</v>
      </c>
      <c r="B7" s="1334" t="s">
        <v>1205</v>
      </c>
      <c r="C7" s="1390" t="s">
        <v>1209</v>
      </c>
      <c r="D7" s="67" t="s">
        <v>1207</v>
      </c>
      <c r="E7" s="952"/>
      <c r="F7" s="952"/>
      <c r="G7" s="952"/>
      <c r="H7" s="952">
        <v>1</v>
      </c>
      <c r="I7" s="952"/>
      <c r="J7" s="952"/>
      <c r="K7" s="952"/>
      <c r="L7" s="952"/>
      <c r="M7" s="952">
        <v>1</v>
      </c>
      <c r="N7" s="952"/>
      <c r="O7" s="952"/>
      <c r="P7" s="952"/>
      <c r="Q7" s="952">
        <v>1</v>
      </c>
      <c r="R7" s="952"/>
      <c r="S7" s="952"/>
      <c r="T7" s="952"/>
      <c r="U7" s="952"/>
      <c r="V7" s="952"/>
      <c r="W7" s="952"/>
      <c r="X7" s="952"/>
      <c r="Y7" s="952"/>
      <c r="Z7" s="952"/>
      <c r="AA7" s="952">
        <v>1</v>
      </c>
      <c r="AB7" s="952"/>
      <c r="AC7" s="952"/>
      <c r="AD7" s="952"/>
      <c r="AE7" s="952">
        <v>1</v>
      </c>
      <c r="AF7" s="952"/>
      <c r="AG7" s="952"/>
      <c r="AH7" s="952"/>
      <c r="AI7" s="952"/>
      <c r="AJ7" s="952">
        <v>1</v>
      </c>
      <c r="AK7" s="952"/>
      <c r="AL7" s="952"/>
      <c r="AM7" s="952"/>
      <c r="AN7" s="952">
        <v>1</v>
      </c>
      <c r="AO7" s="952"/>
      <c r="AP7" s="67"/>
    </row>
    <row r="8" spans="1:42" ht="3" customHeight="1">
      <c r="A8" s="2143" t="s">
        <v>1203</v>
      </c>
      <c r="B8" s="2144"/>
      <c r="C8" s="1391"/>
      <c r="D8" s="1324"/>
      <c r="E8" s="1325"/>
      <c r="F8" s="1325"/>
      <c r="G8" s="1325"/>
      <c r="H8" s="1325"/>
      <c r="I8" s="1325"/>
      <c r="J8" s="1326"/>
      <c r="K8" s="1326"/>
      <c r="L8" s="1326"/>
      <c r="M8" s="1326"/>
      <c r="N8" s="1326"/>
      <c r="O8" s="1326"/>
      <c r="P8" s="1326"/>
      <c r="Q8" s="1326"/>
      <c r="R8" s="1327"/>
      <c r="S8" s="1327"/>
      <c r="T8" s="1327"/>
      <c r="U8" s="1327"/>
      <c r="V8" s="1327"/>
      <c r="W8" s="1327"/>
      <c r="X8" s="1327"/>
      <c r="Y8" s="1327"/>
      <c r="Z8" s="1327"/>
      <c r="AA8" s="1327"/>
      <c r="AB8" s="1327"/>
      <c r="AC8" s="1327"/>
      <c r="AD8" s="1327"/>
      <c r="AE8" s="1327"/>
      <c r="AF8" s="1327"/>
      <c r="AG8" s="1327"/>
      <c r="AH8" s="1327"/>
      <c r="AI8" s="1327"/>
      <c r="AJ8" s="1327"/>
      <c r="AK8" s="1327"/>
      <c r="AL8" s="1327"/>
      <c r="AM8" s="1327"/>
      <c r="AN8" s="1327"/>
      <c r="AO8" s="1327"/>
      <c r="AP8" s="1328"/>
    </row>
    <row r="9" spans="1:42" s="1389" customFormat="1" ht="30" customHeight="1">
      <c r="A9" s="2145"/>
      <c r="B9" s="2146"/>
      <c r="C9" s="1392"/>
      <c r="D9" s="1393"/>
      <c r="E9" s="1393">
        <f>SUM(E6:E7)</f>
        <v>0</v>
      </c>
      <c r="F9" s="1393">
        <f t="shared" ref="F9:AO9" si="0">SUM(F6:F7)</f>
        <v>0</v>
      </c>
      <c r="G9" s="1393">
        <f t="shared" si="0"/>
        <v>0</v>
      </c>
      <c r="H9" s="1393">
        <f t="shared" si="0"/>
        <v>2</v>
      </c>
      <c r="I9" s="1393">
        <f t="shared" si="0"/>
        <v>0</v>
      </c>
      <c r="J9" s="1393">
        <f t="shared" si="0"/>
        <v>0</v>
      </c>
      <c r="K9" s="1393">
        <f t="shared" si="0"/>
        <v>0</v>
      </c>
      <c r="L9" s="1393">
        <f t="shared" si="0"/>
        <v>0</v>
      </c>
      <c r="M9" s="1393">
        <f t="shared" si="0"/>
        <v>2</v>
      </c>
      <c r="N9" s="1393">
        <f t="shared" si="0"/>
        <v>0</v>
      </c>
      <c r="O9" s="1393">
        <f t="shared" si="0"/>
        <v>0</v>
      </c>
      <c r="P9" s="1393">
        <f t="shared" si="0"/>
        <v>0</v>
      </c>
      <c r="Q9" s="1393">
        <f t="shared" si="0"/>
        <v>2</v>
      </c>
      <c r="R9" s="1393">
        <f t="shared" si="0"/>
        <v>0</v>
      </c>
      <c r="S9" s="1393">
        <f t="shared" si="0"/>
        <v>0</v>
      </c>
      <c r="T9" s="1393">
        <f t="shared" si="0"/>
        <v>0</v>
      </c>
      <c r="U9" s="1393">
        <f t="shared" si="0"/>
        <v>0</v>
      </c>
      <c r="V9" s="1393">
        <f t="shared" si="0"/>
        <v>0</v>
      </c>
      <c r="W9" s="1393">
        <f t="shared" si="0"/>
        <v>0</v>
      </c>
      <c r="X9" s="1393">
        <f t="shared" si="0"/>
        <v>0</v>
      </c>
      <c r="Y9" s="1393">
        <f t="shared" si="0"/>
        <v>0</v>
      </c>
      <c r="Z9" s="1393">
        <f t="shared" si="0"/>
        <v>0</v>
      </c>
      <c r="AA9" s="1393">
        <f t="shared" si="0"/>
        <v>2</v>
      </c>
      <c r="AB9" s="1393">
        <f t="shared" si="0"/>
        <v>0</v>
      </c>
      <c r="AC9" s="1393">
        <f t="shared" si="0"/>
        <v>0</v>
      </c>
      <c r="AD9" s="1393">
        <f t="shared" si="0"/>
        <v>0</v>
      </c>
      <c r="AE9" s="1393">
        <f t="shared" si="0"/>
        <v>2</v>
      </c>
      <c r="AF9" s="1393">
        <f t="shared" si="0"/>
        <v>0</v>
      </c>
      <c r="AG9" s="1393">
        <f t="shared" si="0"/>
        <v>0</v>
      </c>
      <c r="AH9" s="1393">
        <f t="shared" si="0"/>
        <v>0</v>
      </c>
      <c r="AI9" s="1393">
        <f t="shared" si="0"/>
        <v>0</v>
      </c>
      <c r="AJ9" s="1393">
        <f t="shared" si="0"/>
        <v>2</v>
      </c>
      <c r="AK9" s="1393">
        <f t="shared" si="0"/>
        <v>0</v>
      </c>
      <c r="AL9" s="1393">
        <f t="shared" si="0"/>
        <v>0</v>
      </c>
      <c r="AM9" s="1393">
        <f t="shared" si="0"/>
        <v>0</v>
      </c>
      <c r="AN9" s="1393">
        <f t="shared" si="0"/>
        <v>2</v>
      </c>
      <c r="AO9" s="1393">
        <f t="shared" si="0"/>
        <v>0</v>
      </c>
      <c r="AP9" s="1393">
        <f>ROUND(SUM(AP8:AP8),0)</f>
        <v>0</v>
      </c>
    </row>
    <row r="10" spans="1:42" ht="15" customHeight="1">
      <c r="A10" s="52"/>
      <c r="B10" s="52"/>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row>
    <row r="11" spans="1:42" ht="15" customHeight="1">
      <c r="A11" s="52"/>
      <c r="B11" s="52"/>
      <c r="C11" s="52"/>
      <c r="D11" s="52"/>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row>
    <row r="12" spans="1:42" ht="15" customHeight="1">
      <c r="A12" s="52"/>
      <c r="B12" s="52"/>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row>
    <row r="13" spans="1:42" ht="15" customHeight="1">
      <c r="A13" s="52"/>
      <c r="B13" s="52"/>
      <c r="C13" s="52"/>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row>
    <row r="14" spans="1:42" ht="15" customHeight="1">
      <c r="A14" s="52"/>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row>
    <row r="15" spans="1:42" ht="15" customHeight="1">
      <c r="A15" s="52"/>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row>
    <row r="16" spans="1:42" ht="15" customHeight="1">
      <c r="A16" s="52"/>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row>
    <row r="17" spans="1:42" ht="15" customHeight="1">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row>
    <row r="18" spans="1:42" ht="15" customHeight="1">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row>
    <row r="19" spans="1:42" ht="15" customHeight="1">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row>
    <row r="20" spans="1:42" ht="15" customHeight="1">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row>
    <row r="21" spans="1:42" ht="15" customHeight="1">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row>
    <row r="22" spans="1:42" ht="15" customHeight="1">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row>
    <row r="23" spans="1:42" ht="15" customHeight="1">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row>
    <row r="24" spans="1:42" ht="1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row>
    <row r="25" spans="1:42" ht="1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row>
    <row r="26" spans="1:42" ht="1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row>
    <row r="27" spans="1:42" ht="1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row>
    <row r="28" spans="1:42" ht="1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row>
    <row r="29" spans="1:42" ht="1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row>
    <row r="30" spans="1:42" ht="1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row>
    <row r="31" spans="1:42" ht="1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row>
    <row r="32" spans="1:42" ht="1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row>
    <row r="33" spans="1:42" ht="1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row>
    <row r="34" spans="1:42" ht="1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row>
    <row r="35" spans="1:42" ht="1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row>
    <row r="36" spans="1:42" ht="1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row>
    <row r="37" spans="1:42" ht="1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row>
    <row r="38" spans="1:42" ht="1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row>
    <row r="39" spans="1:42" ht="1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row>
    <row r="40" spans="1:42" ht="1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row>
    <row r="41" spans="1:42" ht="1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row>
    <row r="42" spans="1:42" ht="15" customHeight="1"/>
    <row r="43" spans="1:42" ht="15" customHeight="1"/>
    <row r="44" spans="1:42" ht="15" customHeight="1"/>
    <row r="45" spans="1:42" ht="15" customHeight="1"/>
    <row r="46" spans="1:42" ht="15" customHeight="1"/>
    <row r="47" spans="1:42" ht="15" customHeight="1"/>
    <row r="48" spans="1:42" ht="15" customHeight="1"/>
  </sheetData>
  <mergeCells count="15">
    <mergeCell ref="R3:U3"/>
    <mergeCell ref="A1:AP1"/>
    <mergeCell ref="A3:A4"/>
    <mergeCell ref="B3:B4"/>
    <mergeCell ref="D3:D4"/>
    <mergeCell ref="AP3:AP4"/>
    <mergeCell ref="V3:AA3"/>
    <mergeCell ref="AB3:AF3"/>
    <mergeCell ref="AG3:AJ3"/>
    <mergeCell ref="AK3:AO3"/>
    <mergeCell ref="A8:B9"/>
    <mergeCell ref="O3:Q3"/>
    <mergeCell ref="C3:C4"/>
    <mergeCell ref="E3:I3"/>
    <mergeCell ref="J3:N3"/>
  </mergeCells>
  <phoneticPr fontId="152" type="noConversion"/>
  <printOptions horizontalCentered="1"/>
  <pageMargins left="0.15748031496062992" right="0.15748031496062992" top="0.59055118110236227" bottom="0.59055118110236227" header="0.51181102362204722" footer="0.51181102362204722"/>
  <pageSetup paperSize="9" scale="80" orientation="landscape"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indexed="52"/>
  </sheetPr>
  <dimension ref="A1:AQ50"/>
  <sheetViews>
    <sheetView showZeros="0" workbookViewId="0">
      <selection activeCell="C10" sqref="C10:D10"/>
    </sheetView>
  </sheetViews>
  <sheetFormatPr defaultColWidth="9.33203125" defaultRowHeight="12.75"/>
  <cols>
    <col min="1" max="1" width="5.83203125" style="53" customWidth="1"/>
    <col min="2" max="3" width="18.83203125" style="38" customWidth="1"/>
    <col min="4" max="4" width="6.83203125" style="38" customWidth="1"/>
    <col min="5" max="6" width="3.6640625" style="953" bestFit="1" customWidth="1"/>
    <col min="7" max="25" width="3.5" style="953" customWidth="1"/>
    <col min="26" max="27" width="3.5" style="953" hidden="1" customWidth="1"/>
    <col min="28" max="42" width="3.5" style="953" customWidth="1"/>
    <col min="43" max="43" width="9.83203125" style="38" customWidth="1"/>
    <col min="44" max="16384" width="9.33203125" style="38"/>
  </cols>
  <sheetData>
    <row r="1" spans="1:43" ht="18.75">
      <c r="A1" s="2111" t="s">
        <v>1941</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c r="AN1" s="2111"/>
      <c r="AO1" s="2111"/>
      <c r="AP1" s="2111"/>
      <c r="AQ1" s="2111"/>
    </row>
    <row r="2" spans="1:43" ht="15" customHeight="1"/>
    <row r="3" spans="1:43" ht="30" customHeight="1">
      <c r="A3" s="2074" t="s">
        <v>6345</v>
      </c>
      <c r="B3" s="2071" t="s">
        <v>1308</v>
      </c>
      <c r="C3" s="2074" t="s">
        <v>2541</v>
      </c>
      <c r="D3" s="2071" t="s">
        <v>1309</v>
      </c>
      <c r="E3" s="2147" t="s">
        <v>3905</v>
      </c>
      <c r="F3" s="2151"/>
      <c r="G3" s="2151"/>
      <c r="H3" s="2151"/>
      <c r="I3" s="2152"/>
      <c r="J3" s="2147" t="s">
        <v>3901</v>
      </c>
      <c r="K3" s="2148"/>
      <c r="L3" s="2148"/>
      <c r="M3" s="2148"/>
      <c r="N3" s="2149"/>
      <c r="O3" s="2147" t="s">
        <v>3902</v>
      </c>
      <c r="P3" s="2148"/>
      <c r="Q3" s="2149"/>
      <c r="R3" s="2147" t="s">
        <v>3906</v>
      </c>
      <c r="S3" s="2148"/>
      <c r="T3" s="2148"/>
      <c r="U3" s="2149"/>
      <c r="V3" s="2147" t="s">
        <v>3903</v>
      </c>
      <c r="W3" s="2148"/>
      <c r="X3" s="2148"/>
      <c r="Y3" s="2148"/>
      <c r="Z3" s="2148"/>
      <c r="AA3" s="2148"/>
      <c r="AB3" s="2149"/>
      <c r="AC3" s="2147" t="s">
        <v>3933</v>
      </c>
      <c r="AD3" s="2151"/>
      <c r="AE3" s="2148"/>
      <c r="AF3" s="2148"/>
      <c r="AG3" s="2149"/>
      <c r="AH3" s="2154" t="s">
        <v>3904</v>
      </c>
      <c r="AI3" s="2155"/>
      <c r="AJ3" s="2155"/>
      <c r="AK3" s="2156"/>
      <c r="AL3" s="2154" t="s">
        <v>1199</v>
      </c>
      <c r="AM3" s="2155"/>
      <c r="AN3" s="2155"/>
      <c r="AO3" s="2155"/>
      <c r="AP3" s="2156"/>
      <c r="AQ3" s="2076" t="s">
        <v>6403</v>
      </c>
    </row>
    <row r="4" spans="1:43" ht="150" customHeight="1">
      <c r="A4" s="2150"/>
      <c r="B4" s="2074"/>
      <c r="C4" s="2150"/>
      <c r="D4" s="2074"/>
      <c r="E4" s="1385" t="s">
        <v>3907</v>
      </c>
      <c r="F4" s="1385" t="s">
        <v>3908</v>
      </c>
      <c r="G4" s="1385" t="s">
        <v>1210</v>
      </c>
      <c r="H4" s="1385" t="s">
        <v>1211</v>
      </c>
      <c r="I4" s="1385" t="s">
        <v>1946</v>
      </c>
      <c r="J4" s="1385" t="s">
        <v>996</v>
      </c>
      <c r="K4" s="1385" t="s">
        <v>3908</v>
      </c>
      <c r="L4" s="1385" t="s">
        <v>1210</v>
      </c>
      <c r="M4" s="1385" t="s">
        <v>1211</v>
      </c>
      <c r="N4" s="1385" t="s">
        <v>1946</v>
      </c>
      <c r="O4" s="1385" t="s">
        <v>1310</v>
      </c>
      <c r="P4" s="1385" t="s">
        <v>3909</v>
      </c>
      <c r="Q4" s="1385" t="s">
        <v>1311</v>
      </c>
      <c r="R4" s="1385" t="s">
        <v>3896</v>
      </c>
      <c r="S4" s="1385" t="s">
        <v>3925</v>
      </c>
      <c r="T4" s="1385" t="s">
        <v>3926</v>
      </c>
      <c r="U4" s="1385" t="s">
        <v>3927</v>
      </c>
      <c r="V4" s="1386" t="s">
        <v>3930</v>
      </c>
      <c r="W4" s="1386" t="s">
        <v>1194</v>
      </c>
      <c r="X4" s="1386" t="s">
        <v>1213</v>
      </c>
      <c r="Y4" s="1386" t="s">
        <v>3928</v>
      </c>
      <c r="Z4" s="1386" t="s">
        <v>3929</v>
      </c>
      <c r="AA4" s="1386" t="s">
        <v>1193</v>
      </c>
      <c r="AB4" s="1386" t="s">
        <v>3897</v>
      </c>
      <c r="AC4" s="1386" t="s">
        <v>3931</v>
      </c>
      <c r="AD4" s="1386" t="s">
        <v>3932</v>
      </c>
      <c r="AE4" s="1386" t="s">
        <v>3934</v>
      </c>
      <c r="AF4" s="1386" t="s">
        <v>1214</v>
      </c>
      <c r="AG4" s="1386" t="s">
        <v>1192</v>
      </c>
      <c r="AH4" s="1386" t="s">
        <v>1197</v>
      </c>
      <c r="AI4" s="1386" t="s">
        <v>1198</v>
      </c>
      <c r="AJ4" s="1386" t="s">
        <v>1195</v>
      </c>
      <c r="AK4" s="1386" t="s">
        <v>1196</v>
      </c>
      <c r="AL4" s="1386" t="s">
        <v>3907</v>
      </c>
      <c r="AM4" s="1386" t="s">
        <v>3908</v>
      </c>
      <c r="AN4" s="1385" t="s">
        <v>1210</v>
      </c>
      <c r="AO4" s="1385" t="s">
        <v>1212</v>
      </c>
      <c r="AP4" s="1385" t="s">
        <v>1947</v>
      </c>
      <c r="AQ4" s="2153"/>
    </row>
    <row r="5" spans="1:43" ht="5.0999999999999996" customHeight="1">
      <c r="A5" s="1387"/>
      <c r="B5" s="1387"/>
      <c r="C5" s="1387"/>
      <c r="D5" s="1387"/>
      <c r="E5" s="1388"/>
      <c r="F5" s="1388"/>
      <c r="G5" s="1388"/>
      <c r="H5" s="1388"/>
      <c r="I5" s="1388"/>
      <c r="J5" s="1388"/>
      <c r="K5" s="1388"/>
      <c r="L5" s="1388"/>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87"/>
    </row>
    <row r="6" spans="1:43" s="1204" customFormat="1" ht="20.100000000000001" customHeight="1">
      <c r="A6" s="67">
        <v>1</v>
      </c>
      <c r="B6" s="1334" t="s">
        <v>1942</v>
      </c>
      <c r="C6" s="1390"/>
      <c r="D6" s="67">
        <v>50</v>
      </c>
      <c r="E6" s="952"/>
      <c r="F6" s="952"/>
      <c r="G6" s="952"/>
      <c r="H6" s="952"/>
      <c r="I6" s="952">
        <v>1</v>
      </c>
      <c r="J6" s="952"/>
      <c r="K6" s="952"/>
      <c r="L6" s="952"/>
      <c r="M6" s="952"/>
      <c r="N6" s="952">
        <v>1</v>
      </c>
      <c r="O6" s="952"/>
      <c r="P6" s="952"/>
      <c r="Q6" s="952">
        <v>1</v>
      </c>
      <c r="R6" s="952"/>
      <c r="S6" s="952"/>
      <c r="T6" s="952"/>
      <c r="U6" s="952"/>
      <c r="V6" s="952"/>
      <c r="W6" s="952"/>
      <c r="X6" s="952"/>
      <c r="Y6" s="952"/>
      <c r="Z6" s="952"/>
      <c r="AA6" s="952"/>
      <c r="AB6" s="952">
        <v>1</v>
      </c>
      <c r="AC6" s="952"/>
      <c r="AD6" s="952"/>
      <c r="AE6" s="952"/>
      <c r="AF6" s="952"/>
      <c r="AG6" s="952">
        <v>1</v>
      </c>
      <c r="AH6" s="952"/>
      <c r="AI6" s="952"/>
      <c r="AJ6" s="952"/>
      <c r="AK6" s="952">
        <v>1</v>
      </c>
      <c r="AL6" s="952"/>
      <c r="AM6" s="952"/>
      <c r="AN6" s="952"/>
      <c r="AO6" s="952"/>
      <c r="AP6" s="952">
        <v>1</v>
      </c>
      <c r="AQ6" s="67"/>
    </row>
    <row r="7" spans="1:43" s="1204" customFormat="1" ht="20.100000000000001" customHeight="1">
      <c r="A7" s="67">
        <v>2</v>
      </c>
      <c r="B7" s="1334" t="s">
        <v>1943</v>
      </c>
      <c r="C7" s="1390"/>
      <c r="D7" s="67">
        <v>50</v>
      </c>
      <c r="E7" s="952"/>
      <c r="F7" s="952"/>
      <c r="G7" s="952"/>
      <c r="H7" s="952"/>
      <c r="I7" s="952">
        <v>1</v>
      </c>
      <c r="J7" s="952"/>
      <c r="K7" s="952"/>
      <c r="L7" s="952"/>
      <c r="M7" s="952"/>
      <c r="N7" s="952">
        <v>1</v>
      </c>
      <c r="O7" s="952"/>
      <c r="P7" s="952"/>
      <c r="Q7" s="952">
        <v>1</v>
      </c>
      <c r="R7" s="952"/>
      <c r="S7" s="952"/>
      <c r="T7" s="952"/>
      <c r="U7" s="952"/>
      <c r="V7" s="952"/>
      <c r="W7" s="952"/>
      <c r="X7" s="952"/>
      <c r="Y7" s="952"/>
      <c r="Z7" s="952"/>
      <c r="AA7" s="952"/>
      <c r="AB7" s="952">
        <v>1</v>
      </c>
      <c r="AC7" s="952"/>
      <c r="AD7" s="952"/>
      <c r="AE7" s="952"/>
      <c r="AF7" s="952"/>
      <c r="AG7" s="952">
        <v>1</v>
      </c>
      <c r="AH7" s="952"/>
      <c r="AI7" s="952"/>
      <c r="AJ7" s="952"/>
      <c r="AK7" s="952">
        <v>1</v>
      </c>
      <c r="AL7" s="952"/>
      <c r="AM7" s="952"/>
      <c r="AN7" s="952"/>
      <c r="AO7" s="952"/>
      <c r="AP7" s="952">
        <v>1</v>
      </c>
      <c r="AQ7" s="67"/>
    </row>
    <row r="8" spans="1:43" s="1204" customFormat="1" ht="20.100000000000001" customHeight="1">
      <c r="A8" s="67">
        <v>3</v>
      </c>
      <c r="B8" s="1334" t="s">
        <v>1944</v>
      </c>
      <c r="C8" s="1390"/>
      <c r="D8" s="67">
        <v>50</v>
      </c>
      <c r="E8" s="952"/>
      <c r="F8" s="952"/>
      <c r="G8" s="952"/>
      <c r="H8" s="952"/>
      <c r="I8" s="952">
        <v>1</v>
      </c>
      <c r="J8" s="952"/>
      <c r="K8" s="952"/>
      <c r="L8" s="952"/>
      <c r="M8" s="952"/>
      <c r="N8" s="952">
        <v>1</v>
      </c>
      <c r="O8" s="952"/>
      <c r="P8" s="952"/>
      <c r="Q8" s="952">
        <v>1</v>
      </c>
      <c r="R8" s="952"/>
      <c r="S8" s="952"/>
      <c r="T8" s="952"/>
      <c r="U8" s="952"/>
      <c r="V8" s="952"/>
      <c r="W8" s="952"/>
      <c r="X8" s="952"/>
      <c r="Y8" s="952"/>
      <c r="Z8" s="952"/>
      <c r="AA8" s="952"/>
      <c r="AB8" s="952">
        <v>1</v>
      </c>
      <c r="AC8" s="952"/>
      <c r="AD8" s="952"/>
      <c r="AE8" s="952"/>
      <c r="AF8" s="952"/>
      <c r="AG8" s="952">
        <v>1</v>
      </c>
      <c r="AH8" s="952"/>
      <c r="AI8" s="952"/>
      <c r="AJ8" s="952"/>
      <c r="AK8" s="952">
        <v>1</v>
      </c>
      <c r="AL8" s="952"/>
      <c r="AM8" s="952"/>
      <c r="AN8" s="952"/>
      <c r="AO8" s="952"/>
      <c r="AP8" s="952">
        <v>1</v>
      </c>
      <c r="AQ8" s="67"/>
    </row>
    <row r="9" spans="1:43" s="1204" customFormat="1" ht="20.100000000000001" hidden="1" customHeight="1">
      <c r="A9" s="67">
        <v>4</v>
      </c>
      <c r="B9" s="1334" t="s">
        <v>1945</v>
      </c>
      <c r="C9" s="1390"/>
      <c r="D9" s="67"/>
      <c r="E9" s="952"/>
      <c r="F9" s="952"/>
      <c r="G9" s="952"/>
      <c r="H9" s="952"/>
      <c r="I9" s="952"/>
      <c r="J9" s="952"/>
      <c r="K9" s="952"/>
      <c r="L9" s="952"/>
      <c r="M9" s="952"/>
      <c r="N9" s="952"/>
      <c r="O9" s="952"/>
      <c r="P9" s="952"/>
      <c r="Q9" s="952"/>
      <c r="R9" s="952"/>
      <c r="S9" s="952"/>
      <c r="T9" s="952"/>
      <c r="U9" s="952"/>
      <c r="V9" s="952"/>
      <c r="W9" s="952"/>
      <c r="X9" s="952"/>
      <c r="Y9" s="952"/>
      <c r="Z9" s="952"/>
      <c r="AA9" s="952"/>
      <c r="AB9" s="952"/>
      <c r="AC9" s="952"/>
      <c r="AD9" s="952"/>
      <c r="AE9" s="952"/>
      <c r="AF9" s="952"/>
      <c r="AG9" s="952"/>
      <c r="AH9" s="952"/>
      <c r="AI9" s="952"/>
      <c r="AJ9" s="952"/>
      <c r="AK9" s="952"/>
      <c r="AL9" s="952"/>
      <c r="AM9" s="952"/>
      <c r="AN9" s="952"/>
      <c r="AO9" s="952"/>
      <c r="AP9" s="952"/>
      <c r="AQ9" s="67"/>
    </row>
    <row r="10" spans="1:43" ht="3" customHeight="1">
      <c r="A10" s="2143" t="s">
        <v>1203</v>
      </c>
      <c r="B10" s="2144"/>
      <c r="C10" s="1391"/>
      <c r="D10" s="1324"/>
      <c r="E10" s="1325"/>
      <c r="F10" s="1325"/>
      <c r="G10" s="1325"/>
      <c r="H10" s="1325"/>
      <c r="I10" s="1325"/>
      <c r="J10" s="1326"/>
      <c r="K10" s="1326"/>
      <c r="L10" s="1326"/>
      <c r="M10" s="1326"/>
      <c r="N10" s="1326"/>
      <c r="O10" s="1326"/>
      <c r="P10" s="1326"/>
      <c r="Q10" s="1326"/>
      <c r="R10" s="1327"/>
      <c r="S10" s="1327"/>
      <c r="T10" s="1327"/>
      <c r="U10" s="1327"/>
      <c r="V10" s="1327"/>
      <c r="W10" s="1327"/>
      <c r="X10" s="1327"/>
      <c r="Y10" s="1327"/>
      <c r="Z10" s="1327"/>
      <c r="AA10" s="1327"/>
      <c r="AB10" s="1327"/>
      <c r="AC10" s="1327"/>
      <c r="AD10" s="1327"/>
      <c r="AE10" s="1327"/>
      <c r="AF10" s="1327"/>
      <c r="AG10" s="1327"/>
      <c r="AH10" s="1327"/>
      <c r="AI10" s="1327"/>
      <c r="AJ10" s="1327"/>
      <c r="AK10" s="1327"/>
      <c r="AL10" s="1327"/>
      <c r="AM10" s="1327"/>
      <c r="AN10" s="1327"/>
      <c r="AO10" s="1327"/>
      <c r="AP10" s="1327"/>
      <c r="AQ10" s="1328"/>
    </row>
    <row r="11" spans="1:43" s="1389" customFormat="1" ht="30" customHeight="1">
      <c r="A11" s="2145"/>
      <c r="B11" s="2146"/>
      <c r="C11" s="1392"/>
      <c r="D11" s="1393"/>
      <c r="E11" s="1393">
        <f t="shared" ref="E11:AQ11" si="0">SUM(E6:E9)</f>
        <v>0</v>
      </c>
      <c r="F11" s="1393">
        <f t="shared" si="0"/>
        <v>0</v>
      </c>
      <c r="G11" s="1393">
        <f t="shared" si="0"/>
        <v>0</v>
      </c>
      <c r="H11" s="1393">
        <f t="shared" si="0"/>
        <v>0</v>
      </c>
      <c r="I11" s="1393">
        <f t="shared" si="0"/>
        <v>3</v>
      </c>
      <c r="J11" s="1393">
        <f t="shared" si="0"/>
        <v>0</v>
      </c>
      <c r="K11" s="1393">
        <f t="shared" si="0"/>
        <v>0</v>
      </c>
      <c r="L11" s="1393">
        <f t="shared" si="0"/>
        <v>0</v>
      </c>
      <c r="M11" s="1393">
        <f t="shared" si="0"/>
        <v>0</v>
      </c>
      <c r="N11" s="1393">
        <f t="shared" si="0"/>
        <v>3</v>
      </c>
      <c r="O11" s="1393">
        <f t="shared" si="0"/>
        <v>0</v>
      </c>
      <c r="P11" s="1393">
        <f t="shared" si="0"/>
        <v>0</v>
      </c>
      <c r="Q11" s="1393">
        <f t="shared" si="0"/>
        <v>3</v>
      </c>
      <c r="R11" s="1393">
        <f t="shared" si="0"/>
        <v>0</v>
      </c>
      <c r="S11" s="1393">
        <f t="shared" si="0"/>
        <v>0</v>
      </c>
      <c r="T11" s="1393">
        <f t="shared" si="0"/>
        <v>0</v>
      </c>
      <c r="U11" s="1393">
        <f t="shared" si="0"/>
        <v>0</v>
      </c>
      <c r="V11" s="1393">
        <f t="shared" si="0"/>
        <v>0</v>
      </c>
      <c r="W11" s="1393">
        <f t="shared" si="0"/>
        <v>0</v>
      </c>
      <c r="X11" s="1393">
        <f t="shared" si="0"/>
        <v>0</v>
      </c>
      <c r="Y11" s="1393">
        <f t="shared" si="0"/>
        <v>0</v>
      </c>
      <c r="Z11" s="1393">
        <f t="shared" si="0"/>
        <v>0</v>
      </c>
      <c r="AA11" s="1393">
        <f t="shared" si="0"/>
        <v>0</v>
      </c>
      <c r="AB11" s="1393">
        <f t="shared" si="0"/>
        <v>3</v>
      </c>
      <c r="AC11" s="1393">
        <f t="shared" si="0"/>
        <v>0</v>
      </c>
      <c r="AD11" s="1393">
        <f t="shared" si="0"/>
        <v>0</v>
      </c>
      <c r="AE11" s="1393">
        <f t="shared" si="0"/>
        <v>0</v>
      </c>
      <c r="AF11" s="1393">
        <f t="shared" si="0"/>
        <v>0</v>
      </c>
      <c r="AG11" s="1393">
        <f t="shared" si="0"/>
        <v>3</v>
      </c>
      <c r="AH11" s="1393">
        <f t="shared" si="0"/>
        <v>0</v>
      </c>
      <c r="AI11" s="1393">
        <f t="shared" si="0"/>
        <v>0</v>
      </c>
      <c r="AJ11" s="1393">
        <f t="shared" si="0"/>
        <v>0</v>
      </c>
      <c r="AK11" s="1393">
        <f t="shared" si="0"/>
        <v>3</v>
      </c>
      <c r="AL11" s="1393">
        <f t="shared" si="0"/>
        <v>0</v>
      </c>
      <c r="AM11" s="1393">
        <f t="shared" si="0"/>
        <v>0</v>
      </c>
      <c r="AN11" s="1393">
        <f t="shared" si="0"/>
        <v>0</v>
      </c>
      <c r="AO11" s="1393">
        <f t="shared" si="0"/>
        <v>0</v>
      </c>
      <c r="AP11" s="1393">
        <f t="shared" si="0"/>
        <v>3</v>
      </c>
      <c r="AQ11" s="1393">
        <f t="shared" si="0"/>
        <v>0</v>
      </c>
    </row>
    <row r="12" spans="1:43" ht="15" customHeight="1">
      <c r="A12" s="52"/>
      <c r="B12" s="52"/>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row>
    <row r="13" spans="1:43" ht="15" customHeight="1">
      <c r="A13" s="52"/>
      <c r="B13" s="52"/>
      <c r="C13" s="52"/>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row>
    <row r="14" spans="1:43" ht="15" customHeight="1">
      <c r="A14" s="52"/>
      <c r="B14" s="52"/>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row>
    <row r="15" spans="1:43" ht="15" customHeight="1">
      <c r="A15" s="52"/>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row>
    <row r="16" spans="1:43" ht="15" customHeight="1">
      <c r="A16" s="52"/>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row>
    <row r="17" spans="1:43" ht="15" customHeight="1">
      <c r="A17" s="52"/>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row>
    <row r="18" spans="1:43" ht="15" customHeight="1">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row>
    <row r="19" spans="1:43" ht="15" customHeight="1">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row>
    <row r="20" spans="1:43" ht="15" customHeight="1">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row>
    <row r="21" spans="1:43" ht="15" customHeight="1">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row>
    <row r="22" spans="1:43" ht="15" customHeight="1">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row>
    <row r="23" spans="1:43" ht="15" customHeight="1">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row>
    <row r="24" spans="1:43" ht="1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row>
    <row r="25" spans="1:43" ht="1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row>
    <row r="26" spans="1:43" ht="1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row>
    <row r="27" spans="1:43" ht="1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row>
    <row r="28" spans="1:43" ht="1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row>
    <row r="29" spans="1:43" ht="1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row>
    <row r="30" spans="1:43" ht="1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row>
    <row r="31" spans="1:43" ht="1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row>
    <row r="32" spans="1:43" ht="1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row>
    <row r="33" spans="1:43" ht="1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row>
    <row r="34" spans="1:43" ht="1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row>
    <row r="35" spans="1:43" ht="1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row>
    <row r="36" spans="1:43" ht="1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row>
    <row r="37" spans="1:43" ht="1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row>
    <row r="38" spans="1:43" ht="1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row>
    <row r="39" spans="1:43" ht="1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row>
    <row r="40" spans="1:43" ht="1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row>
    <row r="41" spans="1:43" ht="1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row>
    <row r="42" spans="1:43" ht="1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row>
    <row r="43" spans="1:43" ht="1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row>
    <row r="44" spans="1:43" ht="15" customHeight="1"/>
    <row r="45" spans="1:43" ht="15" customHeight="1"/>
    <row r="46" spans="1:43" ht="15" customHeight="1"/>
    <row r="47" spans="1:43" ht="15" customHeight="1"/>
    <row r="48" spans="1:43" ht="15" customHeight="1"/>
    <row r="49" ht="15" customHeight="1"/>
    <row r="50" ht="15" customHeight="1"/>
  </sheetData>
  <mergeCells count="15">
    <mergeCell ref="AQ3:AQ4"/>
    <mergeCell ref="A1:AQ1"/>
    <mergeCell ref="A3:A4"/>
    <mergeCell ref="B3:B4"/>
    <mergeCell ref="C3:C4"/>
    <mergeCell ref="D3:D4"/>
    <mergeCell ref="E3:I3"/>
    <mergeCell ref="J3:N3"/>
    <mergeCell ref="O3:Q3"/>
    <mergeCell ref="R3:U3"/>
    <mergeCell ref="A10:B11"/>
    <mergeCell ref="AC3:AG3"/>
    <mergeCell ref="AH3:AK3"/>
    <mergeCell ref="AL3:AP3"/>
    <mergeCell ref="V3:AB3"/>
  </mergeCells>
  <phoneticPr fontId="152" type="noConversion"/>
  <printOptions horizontalCentered="1"/>
  <pageMargins left="0.15748031496062992" right="0.15748031496062992" top="0.59055118110236227" bottom="0.59055118110236227" header="0.51181102362204722" footer="0.51181102362204722"/>
  <pageSetup paperSize="9" scale="85" orientation="landscape"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indexed="52"/>
  </sheetPr>
  <dimension ref="A1:J66"/>
  <sheetViews>
    <sheetView showGridLines="0" showZeros="0" showRuler="0" view="pageLayout" zoomScaleNormal="100" workbookViewId="0">
      <selection activeCell="C10" sqref="C10:D10"/>
    </sheetView>
  </sheetViews>
  <sheetFormatPr defaultColWidth="0" defaultRowHeight="15" zeroHeight="1"/>
  <cols>
    <col min="1" max="1" width="4.83203125" style="10" customWidth="1"/>
    <col min="2" max="2" width="5.33203125" style="10" customWidth="1"/>
    <col min="3" max="3" width="6.1640625" style="13" customWidth="1"/>
    <col min="4" max="5" width="19.83203125" style="10" customWidth="1"/>
    <col min="6" max="6" width="10.83203125" style="10" customWidth="1"/>
    <col min="7" max="7" width="30.83203125" style="10" customWidth="1"/>
    <col min="8" max="8" width="7.83203125" style="10" customWidth="1"/>
    <col min="9" max="9" width="15.83203125" style="34" customWidth="1"/>
    <col min="10" max="10" width="5.1640625" style="10" customWidth="1"/>
    <col min="11" max="16384" width="0" style="10" hidden="1"/>
  </cols>
  <sheetData>
    <row r="1" spans="1:10">
      <c r="A1" s="2157"/>
    </row>
    <row r="2" spans="1:10">
      <c r="A2" s="2157"/>
    </row>
    <row r="3" spans="1:10" ht="18" customHeight="1">
      <c r="A3" s="2157"/>
      <c r="B3" s="79" t="s">
        <v>1075</v>
      </c>
      <c r="C3" s="79"/>
      <c r="D3" s="79"/>
      <c r="E3" s="79"/>
      <c r="F3" s="79"/>
      <c r="G3" s="79"/>
      <c r="H3" s="79"/>
      <c r="I3" s="79"/>
      <c r="J3" s="79"/>
    </row>
    <row r="4" spans="1:10" ht="18" customHeight="1">
      <c r="A4" s="2157"/>
      <c r="B4" s="79" t="s">
        <v>3078</v>
      </c>
      <c r="C4" s="79"/>
      <c r="D4" s="79"/>
      <c r="E4" s="79"/>
      <c r="F4" s="79"/>
      <c r="G4" s="79"/>
      <c r="H4" s="79"/>
      <c r="I4" s="79"/>
      <c r="J4" s="79"/>
    </row>
    <row r="5" spans="1:10" ht="18" customHeight="1">
      <c r="A5" s="2157"/>
      <c r="C5" s="39"/>
      <c r="D5" s="39"/>
      <c r="E5" s="39"/>
      <c r="I5" s="10"/>
    </row>
    <row r="6" spans="1:10" ht="17.25" customHeight="1">
      <c r="A6" s="2157"/>
      <c r="B6" s="35"/>
      <c r="C6" s="80" t="s">
        <v>6345</v>
      </c>
      <c r="D6" s="2095" t="s">
        <v>85</v>
      </c>
      <c r="E6" s="2097"/>
      <c r="F6" s="819"/>
      <c r="G6" s="785" t="s">
        <v>3079</v>
      </c>
      <c r="H6" s="784"/>
      <c r="I6" s="799" t="s">
        <v>2486</v>
      </c>
      <c r="J6" s="35"/>
    </row>
    <row r="7" spans="1:10" ht="30" customHeight="1">
      <c r="A7" s="2157"/>
      <c r="C7" s="789">
        <v>1</v>
      </c>
      <c r="D7" s="2100" t="s">
        <v>1216</v>
      </c>
      <c r="E7" s="2101"/>
      <c r="F7" s="815">
        <v>8</v>
      </c>
      <c r="G7" s="818" t="str">
        <f>IF(D20=8,"1.851 đồng/tấn.kmx1,3/0,9x1,3x",IF(D20=21,"1.070 đồng/tấn.kmx1,3/0,9x1,3x",IF(AND(D20&gt;=41,D20&lt;=45),"724 đồng/tấn.kmx1,3/0,9x1,3x",IF(AND(D20&gt;=56,D20&lt;=60),"684 đồng/tấn.kmx1,3/0,9x1,3x",IF(AND(D20&gt;=61,D20&lt;=70),"673 đồng/tấn.kmx1,3/0,9x1,3x","Nhập lại")))))</f>
        <v>673 đồng/tấn.kmx1,3/0,9x1,3x</v>
      </c>
      <c r="H7" s="786">
        <f>+D20</f>
        <v>65</v>
      </c>
      <c r="I7" s="787">
        <f>IF(D20=8,F7*1851*1.3/0.9*1.3*H7,IF(D20=21,F7*1070*1.3/0.9*1.3*H7,IF(AND(D20&gt;=41,D20&lt;=45),F7*724*1.3/0.9*1.3*H7,IF(AND(D20&gt;=56,D20&lt;=60),F7*684*1.3/0.9*1.3*H7,IF(AND(D20&gt;=61,D20&lt;=70),F7*673*1.3/0.9*1.3*H7,"Nhập lại")))))</f>
        <v>657147.11111111112</v>
      </c>
    </row>
    <row r="8" spans="1:10" ht="30" customHeight="1">
      <c r="A8" s="2157"/>
      <c r="C8" s="789">
        <v>2</v>
      </c>
      <c r="D8" s="2100" t="s">
        <v>1217</v>
      </c>
      <c r="E8" s="2101"/>
      <c r="F8" s="815">
        <v>2</v>
      </c>
      <c r="G8" s="817" t="str">
        <f>IF(D20=8,"1.851 đồng/tấn.kmx1,3/0,9x1,3x",IF(D20=21,"1.070 đồng/tấn.kmx1,3/0,9x1,3x",IF(AND(D20&gt;=41,D20&lt;=45),"724 đồng/tấn.kmx1,3/0,9x1,3x",IF(AND(D20&gt;=56,D20&lt;=60),"684 đồng/tấn.kmx1,3/0,9x1,3x",IF(AND(D20&gt;=61,D20&lt;=70),"673 đồng/tấn.kmx1,3/0,9x1,3x","Nhập lại")))))</f>
        <v>673 đồng/tấn.kmx1,3/0,9x1,3x</v>
      </c>
      <c r="H8" s="786">
        <f>+D20</f>
        <v>65</v>
      </c>
      <c r="I8" s="787">
        <f>IF(D20=8,F8*1851*1.3/0.9*1.3*H8,IF(D20=21,F8*1070*1.3/0.9*1.3*H8,IF(AND(D20&gt;=41,D20&lt;=45),F8*724*1.3/0.9*1.3*H8,IF(AND(D20&gt;=56,D20&lt;=60),F8*684*1.3/0.9*1.3*H8,IF(AND(D20&gt;=61,D20&lt;=70),F8*673*1.3/0.9*1.3*H8,"Nhập lại")))))</f>
        <v>164286.77777777778</v>
      </c>
    </row>
    <row r="9" spans="1:10" ht="30" hidden="1" customHeight="1">
      <c r="A9" s="2157"/>
      <c r="C9" s="789">
        <v>3</v>
      </c>
      <c r="D9" s="2100" t="s">
        <v>3339</v>
      </c>
      <c r="E9" s="2101"/>
      <c r="F9" s="816">
        <v>0</v>
      </c>
      <c r="G9" s="792" t="str">
        <f>IF(D21&lt;=30,"23.900 đồng/tấn ",IF(D21&gt;=31,"23.900 đồng/tấn + 162 đồng/tấn.km x "))</f>
        <v xml:space="preserve">23.900 đồng/tấn + 162 đồng/tấn.km x </v>
      </c>
      <c r="H9" s="793">
        <f>IF(D21&lt;=30,"",IF(D21&gt;=31,D21))</f>
        <v>40</v>
      </c>
      <c r="I9" s="787">
        <f>IF(D21&lt;=30,F9*23900,IF(D21&gt;=31,(F9*23900+(F9*162*(D21-30)))))</f>
        <v>0</v>
      </c>
    </row>
    <row r="10" spans="1:10" ht="30" hidden="1" customHeight="1">
      <c r="A10" s="2157"/>
      <c r="C10" s="789">
        <v>4</v>
      </c>
      <c r="D10" s="2100" t="s">
        <v>5122</v>
      </c>
      <c r="E10" s="2101"/>
      <c r="F10" s="816">
        <v>0</v>
      </c>
      <c r="G10" s="792" t="str">
        <f>IF(D21&lt;=30,"23.900 đồng/tấn ",IF(D21&gt;=31,"23.900 đồng/tấn + 162 đồng/tấn.km x "))</f>
        <v xml:space="preserve">23.900 đồng/tấn + 162 đồng/tấn.km x </v>
      </c>
      <c r="H10" s="793">
        <f>IF(D21&lt;=30,"",IF(D21&gt;=31,D21))</f>
        <v>40</v>
      </c>
      <c r="I10" s="787">
        <f>IF(D21&lt;=30,F10*23900,IF(D21&gt;=31,(F10*23900+(F10*162*(D21-30)))))</f>
        <v>0</v>
      </c>
    </row>
    <row r="11" spans="1:10">
      <c r="A11" s="2157"/>
      <c r="C11" s="800"/>
      <c r="D11" s="2098"/>
      <c r="E11" s="2099"/>
      <c r="F11" s="2123" t="s">
        <v>2320</v>
      </c>
      <c r="G11" s="2123"/>
      <c r="H11" s="2124"/>
      <c r="I11" s="820">
        <f>SUM(I7:I10)</f>
        <v>821433.88888888888</v>
      </c>
    </row>
    <row r="12" spans="1:10">
      <c r="A12" s="2157"/>
      <c r="D12" s="35"/>
      <c r="E12" s="35"/>
      <c r="F12" s="35"/>
      <c r="G12" s="35"/>
      <c r="H12" s="35"/>
      <c r="I12" s="258"/>
    </row>
    <row r="13" spans="1:10">
      <c r="A13" s="2157"/>
      <c r="D13" s="35"/>
      <c r="E13" s="35"/>
      <c r="F13" s="35"/>
      <c r="G13" s="35"/>
      <c r="H13" s="35"/>
      <c r="I13" s="258"/>
    </row>
    <row r="14" spans="1:10">
      <c r="A14" s="2157"/>
      <c r="D14" s="798" t="s">
        <v>6403</v>
      </c>
      <c r="E14" s="798" t="s">
        <v>6403</v>
      </c>
      <c r="F14" s="35"/>
      <c r="G14" s="35"/>
      <c r="H14" s="35"/>
      <c r="I14" s="258"/>
    </row>
    <row r="15" spans="1:10">
      <c r="A15" s="2157"/>
      <c r="D15" s="797" t="s">
        <v>4249</v>
      </c>
      <c r="E15" s="797" t="s">
        <v>4251</v>
      </c>
      <c r="F15" s="35"/>
      <c r="G15" s="35"/>
      <c r="H15" s="35"/>
      <c r="I15" s="258"/>
    </row>
    <row r="16" spans="1:10">
      <c r="A16" s="2157"/>
      <c r="D16" s="797" t="s">
        <v>4250</v>
      </c>
      <c r="E16" s="797" t="s">
        <v>4139</v>
      </c>
    </row>
    <row r="17" spans="1:10">
      <c r="A17" s="2157"/>
      <c r="D17" s="797" t="s">
        <v>4249</v>
      </c>
      <c r="E17" s="797" t="s">
        <v>1859</v>
      </c>
      <c r="F17" s="35"/>
      <c r="G17" s="35"/>
      <c r="H17" s="35"/>
      <c r="I17" s="258"/>
    </row>
    <row r="18" spans="1:10">
      <c r="A18" s="2157"/>
      <c r="D18" s="797" t="str">
        <f>IF(D20=8,"1.851đồng/tấn.km",IF(D20=21,"1.070đồng/tấn.km",IF(AND(D20&gt;=41,D20&lt;=45),"724đồng/tấn.km",IF(AND(D20&gt;=56,D20&lt;=60),"684đồng/tấn.km",IF(AND(D20&gt;=61,D20&lt;=70),"673đồng/tấn.km","Nhập lại")))))</f>
        <v>673đồng/tấn.km</v>
      </c>
      <c r="E18" s="797" t="s">
        <v>1860</v>
      </c>
      <c r="F18" s="35"/>
      <c r="G18" s="35"/>
      <c r="H18" s="35"/>
      <c r="I18" s="258"/>
    </row>
    <row r="19" spans="1:10">
      <c r="A19" s="2157"/>
      <c r="D19" s="797" t="str">
        <f>IF(D21&lt;=30,"23.900 đồng/tấn",IF(D21&gt;=31,"162 đồng/tấn.km","xem lại"))</f>
        <v>162 đồng/tấn.km</v>
      </c>
      <c r="E19" s="797" t="s">
        <v>1861</v>
      </c>
      <c r="F19" s="35"/>
      <c r="G19" s="35"/>
      <c r="H19" s="35"/>
      <c r="I19" s="258"/>
    </row>
    <row r="20" spans="1:10">
      <c r="A20" s="2157"/>
      <c r="D20" s="814">
        <v>65</v>
      </c>
      <c r="E20" s="797" t="s">
        <v>1218</v>
      </c>
      <c r="F20" s="35"/>
      <c r="G20" s="35"/>
      <c r="H20" s="35"/>
      <c r="I20" s="258"/>
    </row>
    <row r="21" spans="1:10" hidden="1">
      <c r="A21" s="2157"/>
      <c r="D21" s="814">
        <v>40</v>
      </c>
      <c r="E21" s="797" t="s">
        <v>1063</v>
      </c>
      <c r="F21" s="35"/>
      <c r="G21" s="35"/>
      <c r="H21" s="35"/>
      <c r="I21" s="258"/>
    </row>
    <row r="22" spans="1:10">
      <c r="A22" s="2157"/>
      <c r="I22" s="34" t="s">
        <v>5057</v>
      </c>
    </row>
    <row r="23" spans="1:10">
      <c r="A23" s="2157"/>
      <c r="D23" s="35"/>
      <c r="E23" s="35"/>
      <c r="F23" s="35"/>
      <c r="G23" s="35"/>
      <c r="H23" s="35"/>
      <c r="I23" s="258"/>
    </row>
    <row r="24" spans="1:10">
      <c r="A24" s="2157"/>
      <c r="D24" s="35"/>
      <c r="E24" s="35"/>
      <c r="F24" s="35"/>
      <c r="G24" s="35"/>
      <c r="H24" s="35"/>
      <c r="I24" s="258"/>
    </row>
    <row r="25" spans="1:10">
      <c r="A25" s="2157"/>
      <c r="D25" s="35"/>
      <c r="E25" s="35"/>
      <c r="F25" s="35"/>
      <c r="G25" s="35"/>
      <c r="H25" s="35"/>
      <c r="I25" s="258"/>
    </row>
    <row r="26" spans="1:10">
      <c r="A26" s="2157"/>
      <c r="D26" s="35"/>
      <c r="E26" s="35"/>
      <c r="F26" s="35"/>
      <c r="G26" s="35"/>
      <c r="H26" s="35"/>
      <c r="I26" s="258"/>
    </row>
    <row r="27" spans="1:10">
      <c r="A27" s="2157"/>
      <c r="I27" s="34" t="s">
        <v>5057</v>
      </c>
    </row>
    <row r="28" spans="1:10" ht="23.25" hidden="1" customHeight="1">
      <c r="A28" s="2157"/>
      <c r="B28" s="79" t="s">
        <v>3673</v>
      </c>
      <c r="C28" s="79"/>
      <c r="D28" s="79"/>
      <c r="E28" s="79"/>
      <c r="F28" s="79"/>
      <c r="G28" s="79"/>
      <c r="H28" s="79"/>
      <c r="I28" s="79"/>
      <c r="J28" s="79"/>
    </row>
    <row r="29" spans="1:10" ht="18" hidden="1" customHeight="1">
      <c r="A29" s="2157"/>
      <c r="C29" s="39"/>
      <c r="D29" s="39"/>
      <c r="E29" s="39"/>
      <c r="I29" s="10"/>
    </row>
    <row r="30" spans="1:10" ht="17.25" hidden="1" customHeight="1">
      <c r="A30" s="2157"/>
      <c r="B30" s="35"/>
      <c r="C30" s="80" t="s">
        <v>6345</v>
      </c>
      <c r="D30" s="80"/>
      <c r="E30" s="2092" t="s">
        <v>85</v>
      </c>
      <c r="F30" s="2092"/>
      <c r="G30" s="2092"/>
      <c r="H30" s="2092"/>
      <c r="I30" s="45" t="s">
        <v>2486</v>
      </c>
      <c r="J30" s="35"/>
    </row>
    <row r="31" spans="1:10" hidden="1">
      <c r="A31" s="2157"/>
      <c r="C31" s="46">
        <v>1</v>
      </c>
      <c r="D31" s="81" t="s">
        <v>3107</v>
      </c>
      <c r="E31" s="81" t="s">
        <v>3107</v>
      </c>
      <c r="F31" s="84">
        <f>F7</f>
        <v>8</v>
      </c>
      <c r="G31" s="84" t="str">
        <f>G7</f>
        <v>673 đồng/tấn.kmx1,3/0,9x1,3x</v>
      </c>
      <c r="H31" s="84">
        <f>H7</f>
        <v>65</v>
      </c>
      <c r="I31" s="47"/>
    </row>
    <row r="32" spans="1:10" hidden="1">
      <c r="A32" s="2157"/>
      <c r="C32" s="46"/>
      <c r="D32" s="82">
        <v>1000000</v>
      </c>
      <c r="E32" s="82">
        <v>1000000</v>
      </c>
      <c r="F32" s="83"/>
      <c r="G32" s="83"/>
      <c r="H32" s="83"/>
      <c r="I32" s="48">
        <f>+E32*H32</f>
        <v>0</v>
      </c>
    </row>
    <row r="33" spans="1:9" hidden="1">
      <c r="A33" s="2157"/>
      <c r="C33" s="46">
        <f>1+C31</f>
        <v>2</v>
      </c>
      <c r="D33" s="783"/>
      <c r="E33" s="2093" t="s">
        <v>2319</v>
      </c>
      <c r="F33" s="2158"/>
      <c r="G33" s="2158"/>
      <c r="H33" s="2094"/>
      <c r="I33" s="48"/>
    </row>
    <row r="34" spans="1:9" hidden="1">
      <c r="A34" s="2157"/>
      <c r="C34" s="46"/>
      <c r="D34" s="82">
        <v>100000</v>
      </c>
      <c r="E34" s="82">
        <v>100000</v>
      </c>
      <c r="F34" s="83"/>
      <c r="G34" s="83"/>
      <c r="H34" s="83"/>
      <c r="I34" s="48">
        <f>+E34*H34</f>
        <v>0</v>
      </c>
    </row>
    <row r="35" spans="1:9" hidden="1">
      <c r="A35" s="2157"/>
      <c r="C35" s="49"/>
      <c r="D35" s="49"/>
      <c r="E35" s="2091" t="s">
        <v>2320</v>
      </c>
      <c r="F35" s="2091"/>
      <c r="G35" s="2091"/>
      <c r="H35" s="2091"/>
      <c r="I35" s="50">
        <f>SUM(I32:I34)</f>
        <v>0</v>
      </c>
    </row>
    <row r="36" spans="1:9" hidden="1">
      <c r="A36" s="2157"/>
      <c r="D36" s="35"/>
      <c r="E36" s="35"/>
      <c r="F36" s="35"/>
      <c r="G36" s="35"/>
      <c r="H36" s="35"/>
      <c r="I36" s="258"/>
    </row>
    <row r="37" spans="1:9" hidden="1">
      <c r="D37" s="35"/>
      <c r="E37" s="35"/>
      <c r="F37" s="35"/>
      <c r="G37" s="35"/>
      <c r="H37" s="35"/>
      <c r="I37" s="258"/>
    </row>
    <row r="38" spans="1:9" hidden="1">
      <c r="D38" s="35"/>
      <c r="E38" s="35"/>
      <c r="F38" s="35"/>
      <c r="G38" s="35"/>
      <c r="H38" s="35"/>
      <c r="I38" s="258"/>
    </row>
    <row r="55" ht="15" hidden="1" customHeight="1"/>
    <row r="64"/>
    <row r="65"/>
    <row r="66"/>
  </sheetData>
  <mergeCells count="11">
    <mergeCell ref="F11:H11"/>
    <mergeCell ref="D11:E11"/>
    <mergeCell ref="A1:A36"/>
    <mergeCell ref="E30:H30"/>
    <mergeCell ref="E35:H35"/>
    <mergeCell ref="E33:H33"/>
    <mergeCell ref="D7:E7"/>
    <mergeCell ref="D8:E8"/>
    <mergeCell ref="D9:E9"/>
    <mergeCell ref="D10:E10"/>
    <mergeCell ref="D6:E6"/>
  </mergeCells>
  <phoneticPr fontId="75" type="noConversion"/>
  <printOptions horizontalCentered="1"/>
  <pageMargins left="0.19685039370078741" right="0.19685039370078741" top="0.59055118110236227" bottom="0.98425196850393704" header="0.19685039370078741" footer="0.19685039370078741"/>
  <pageSetup paperSize="9" scale="97" firstPageNumber="32" orientation="portrait" blackAndWhite="1" useFirstPageNumber="1"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Q579"/>
  <sheetViews>
    <sheetView showGridLines="0" topLeftCell="B19" zoomScaleNormal="100" zoomScaleSheetLayoutView="100" zoomScalePageLayoutView="75" workbookViewId="0">
      <selection activeCell="U33" sqref="U33:AL33"/>
    </sheetView>
  </sheetViews>
  <sheetFormatPr defaultColWidth="0" defaultRowHeight="0" customHeight="1" zeroHeight="1"/>
  <cols>
    <col min="1" max="1" width="21" style="314" customWidth="1"/>
    <col min="2" max="2" width="2.5" style="314" customWidth="1"/>
    <col min="3" max="13" width="2.83203125" style="314" customWidth="1"/>
    <col min="14" max="14" width="2.83203125" style="318" customWidth="1"/>
    <col min="15" max="38" width="2.83203125" style="314" customWidth="1"/>
    <col min="39" max="42" width="9.33203125" style="314" hidden="1" customWidth="1"/>
    <col min="43" max="43" width="14.1640625" style="314" hidden="1" customWidth="1"/>
    <col min="44" max="16384" width="9.33203125" style="314" hidden="1"/>
  </cols>
  <sheetData>
    <row r="1" spans="1:38" s="767" customFormat="1" ht="30" customHeight="1">
      <c r="N1" s="771"/>
    </row>
    <row r="2" spans="1:38" ht="30" customHeight="1" thickBot="1">
      <c r="A2" s="767"/>
      <c r="C2" s="1950" t="s">
        <v>6188</v>
      </c>
      <c r="D2" s="1950"/>
      <c r="E2" s="1950"/>
      <c r="F2" s="1950"/>
      <c r="G2" s="1950"/>
      <c r="H2" s="1950"/>
      <c r="I2" s="1950"/>
      <c r="J2" s="1950"/>
      <c r="K2" s="1950"/>
      <c r="L2" s="1950"/>
      <c r="M2" s="1950"/>
      <c r="N2" s="1950"/>
      <c r="O2" s="1950"/>
      <c r="P2" s="1950"/>
      <c r="Q2" s="1950"/>
      <c r="R2" s="1950"/>
      <c r="S2" s="1950"/>
      <c r="T2" s="1950"/>
      <c r="U2" s="1950"/>
      <c r="V2" s="1950"/>
      <c r="W2" s="1950"/>
      <c r="X2" s="1950"/>
      <c r="Y2" s="1950"/>
      <c r="Z2" s="1950"/>
      <c r="AA2" s="1950"/>
      <c r="AB2" s="1950"/>
      <c r="AC2" s="1950"/>
      <c r="AD2" s="1950"/>
      <c r="AE2" s="1950"/>
      <c r="AF2" s="1950"/>
      <c r="AG2" s="1950"/>
      <c r="AH2" s="1950"/>
      <c r="AI2" s="1950"/>
      <c r="AJ2" s="1950"/>
      <c r="AK2" s="1950"/>
      <c r="AL2" s="1950"/>
    </row>
    <row r="3" spans="1:38" ht="20.100000000000001" customHeight="1">
      <c r="A3" s="767"/>
      <c r="C3" s="327"/>
      <c r="D3" s="346"/>
      <c r="E3" s="346"/>
      <c r="F3" s="346"/>
      <c r="G3" s="346"/>
      <c r="H3" s="346"/>
      <c r="I3" s="346"/>
      <c r="J3" s="346"/>
      <c r="K3" s="346"/>
      <c r="L3" s="346"/>
      <c r="M3" s="346"/>
      <c r="N3" s="347"/>
      <c r="O3" s="346"/>
      <c r="P3" s="346"/>
      <c r="Q3" s="346"/>
      <c r="R3" s="346"/>
      <c r="S3" s="346"/>
      <c r="T3" s="346"/>
      <c r="U3" s="346"/>
      <c r="V3" s="346"/>
      <c r="W3" s="346"/>
      <c r="X3" s="346"/>
      <c r="Y3" s="346"/>
      <c r="Z3" s="348"/>
      <c r="AA3" s="348"/>
      <c r="AB3" s="348"/>
      <c r="AC3" s="348"/>
      <c r="AD3" s="348"/>
      <c r="AE3" s="348"/>
      <c r="AF3" s="348"/>
      <c r="AG3" s="348"/>
      <c r="AH3" s="348"/>
      <c r="AI3" s="348"/>
      <c r="AJ3" s="348"/>
      <c r="AK3" s="348"/>
      <c r="AL3" s="328"/>
    </row>
    <row r="4" spans="1:38" ht="20.100000000000001" customHeight="1">
      <c r="A4" s="767"/>
      <c r="C4" s="1873" t="s">
        <v>3509</v>
      </c>
      <c r="D4" s="1873"/>
      <c r="E4" s="1873"/>
      <c r="F4" s="1873"/>
      <c r="G4" s="1873"/>
      <c r="H4" s="1873"/>
      <c r="I4" s="1873"/>
      <c r="J4" s="1873"/>
      <c r="K4" s="1873"/>
      <c r="L4" s="1873"/>
      <c r="M4" s="1873"/>
      <c r="N4" s="1873"/>
      <c r="O4" s="1873"/>
      <c r="P4" s="1873"/>
      <c r="Q4" s="1873"/>
      <c r="R4" s="1873"/>
      <c r="S4" s="1873"/>
      <c r="T4" s="1873"/>
      <c r="U4" s="1873"/>
      <c r="V4" s="1873"/>
      <c r="W4" s="1873"/>
      <c r="X4" s="1873"/>
      <c r="Y4" s="1873"/>
      <c r="Z4" s="1873"/>
      <c r="AA4" s="1873"/>
      <c r="AB4" s="1873"/>
      <c r="AC4" s="1873"/>
      <c r="AD4" s="1873"/>
      <c r="AE4" s="1873"/>
      <c r="AF4" s="1873"/>
      <c r="AG4" s="1873"/>
      <c r="AH4" s="1873"/>
      <c r="AI4" s="1873"/>
      <c r="AJ4" s="1873"/>
      <c r="AK4" s="1873"/>
      <c r="AL4" s="1873"/>
    </row>
    <row r="5" spans="1:38" ht="20.100000000000001" customHeight="1">
      <c r="A5" s="767"/>
      <c r="C5" s="315" t="str">
        <f>"- Loại phụ tải là: "&amp;NL!U27&amp;"."</f>
        <v>- Loại phụ tải là: Nhà máy xay xát.</v>
      </c>
      <c r="I5" s="316"/>
    </row>
    <row r="6" spans="1:38" ht="20.100000000000001" customHeight="1">
      <c r="A6" s="767"/>
      <c r="C6" s="315"/>
      <c r="N6" s="318" t="s">
        <v>5660</v>
      </c>
      <c r="Q6" s="316" t="s">
        <v>3306</v>
      </c>
      <c r="S6" s="1862">
        <f>VLOOKUP(NL!AU27,NL!AU28:BU38,24,FALSE)</f>
        <v>0.8</v>
      </c>
      <c r="T6" s="1862"/>
      <c r="U6" s="1862"/>
      <c r="V6" s="1862"/>
      <c r="W6" s="1862"/>
      <c r="X6" s="1862"/>
      <c r="Y6" s="1862"/>
      <c r="Z6" s="1862"/>
      <c r="AA6" s="1862"/>
      <c r="AB6" s="1862"/>
      <c r="AC6" s="1862"/>
      <c r="AD6" s="1862"/>
      <c r="AE6" s="1862"/>
      <c r="AF6" s="1862"/>
      <c r="AG6" s="1862"/>
      <c r="AH6" s="1862"/>
      <c r="AI6" s="1862"/>
      <c r="AJ6" s="1862"/>
      <c r="AK6" s="1862"/>
      <c r="AL6" s="1862"/>
    </row>
    <row r="7" spans="1:38" ht="20.100000000000001" customHeight="1">
      <c r="A7" s="767"/>
      <c r="C7" s="315"/>
      <c r="N7" s="318" t="s">
        <v>5968</v>
      </c>
      <c r="Q7" s="316" t="s">
        <v>3306</v>
      </c>
      <c r="S7" s="1862">
        <f>VLOOKUP(NL!AU27,NL!AU28:BU38,20,FALSE)</f>
        <v>0.8</v>
      </c>
      <c r="T7" s="1862"/>
      <c r="U7" s="1862"/>
      <c r="V7" s="1862"/>
      <c r="W7" s="1862"/>
      <c r="X7" s="1862"/>
      <c r="Y7" s="1862"/>
      <c r="Z7" s="1862"/>
      <c r="AA7" s="1862"/>
      <c r="AB7" s="1862"/>
      <c r="AC7" s="1862"/>
      <c r="AD7" s="1862"/>
      <c r="AE7" s="1862"/>
      <c r="AF7" s="1862"/>
      <c r="AG7" s="1862"/>
      <c r="AH7" s="1862"/>
      <c r="AI7" s="1862"/>
      <c r="AJ7" s="1862"/>
      <c r="AK7" s="1862"/>
      <c r="AL7" s="1862"/>
    </row>
    <row r="8" spans="1:38" ht="20.100000000000001" customHeight="1">
      <c r="A8" s="767"/>
      <c r="C8" s="315" t="s">
        <v>4398</v>
      </c>
      <c r="Q8" s="316"/>
    </row>
    <row r="9" spans="1:38" ht="20.100000000000001" customHeight="1">
      <c r="A9" s="767"/>
      <c r="C9" s="315"/>
      <c r="H9" s="318"/>
      <c r="N9" s="318" t="s">
        <v>5967</v>
      </c>
      <c r="Q9" s="316" t="s">
        <v>3306</v>
      </c>
      <c r="S9" s="1993">
        <f>NL!U28</f>
        <v>22</v>
      </c>
      <c r="T9" s="1993"/>
      <c r="U9" s="1993"/>
      <c r="V9" s="1993"/>
      <c r="W9" s="1993"/>
      <c r="X9" s="1993"/>
      <c r="Y9" s="1993"/>
      <c r="Z9" s="1993"/>
      <c r="AA9" s="1993"/>
      <c r="AB9" s="1993"/>
      <c r="AC9" s="1993"/>
      <c r="AD9" s="1993"/>
      <c r="AE9" s="1993"/>
      <c r="AF9" s="1993"/>
      <c r="AG9" s="1993"/>
      <c r="AH9" s="1993"/>
      <c r="AI9" s="1993"/>
      <c r="AJ9" s="1993"/>
      <c r="AK9" s="1993"/>
      <c r="AL9" s="1993"/>
    </row>
    <row r="10" spans="1:38" ht="20.100000000000001" customHeight="1">
      <c r="A10" s="767"/>
      <c r="C10" s="315" t="s">
        <v>1591</v>
      </c>
      <c r="I10" s="316"/>
      <c r="Q10" s="316"/>
    </row>
    <row r="11" spans="1:38" ht="20.100000000000001" customHeight="1">
      <c r="A11" s="767"/>
      <c r="C11" s="315"/>
      <c r="I11" s="316"/>
      <c r="N11" s="318" t="s">
        <v>5964</v>
      </c>
      <c r="Q11" s="316" t="s">
        <v>3306</v>
      </c>
      <c r="S11" s="1981" t="s">
        <v>5963</v>
      </c>
      <c r="T11" s="1981"/>
      <c r="U11" s="1981"/>
      <c r="V11" s="1981"/>
      <c r="W11" s="1981"/>
      <c r="X11" s="1981"/>
      <c r="Y11" s="1981"/>
      <c r="Z11" s="1981"/>
      <c r="AA11" s="1981"/>
      <c r="AB11" s="1981"/>
      <c r="AC11" s="1981"/>
      <c r="AD11" s="1981"/>
      <c r="AE11" s="1981"/>
      <c r="AF11" s="1981"/>
      <c r="AG11" s="1981"/>
      <c r="AH11" s="1981"/>
      <c r="AI11" s="1981"/>
      <c r="AJ11" s="1981"/>
      <c r="AK11" s="1981"/>
      <c r="AL11" s="1981"/>
    </row>
    <row r="12" spans="1:38" ht="20.100000000000001" customHeight="1">
      <c r="A12" s="767"/>
      <c r="C12" s="315"/>
      <c r="H12" s="318"/>
      <c r="Q12" s="326" t="s">
        <v>1592</v>
      </c>
      <c r="S12" s="1993">
        <f>S7*S9</f>
        <v>17.600000000000001</v>
      </c>
      <c r="T12" s="1993"/>
      <c r="U12" s="1993"/>
      <c r="V12" s="1993"/>
      <c r="W12" s="1993"/>
      <c r="X12" s="1993"/>
      <c r="Y12" s="1993"/>
      <c r="Z12" s="1993"/>
      <c r="AA12" s="1993"/>
      <c r="AB12" s="1993"/>
      <c r="AC12" s="1993"/>
      <c r="AD12" s="1993"/>
      <c r="AE12" s="1993"/>
      <c r="AF12" s="1993"/>
      <c r="AG12" s="1993"/>
      <c r="AH12" s="1993"/>
      <c r="AI12" s="1993"/>
      <c r="AJ12" s="1993"/>
      <c r="AK12" s="1993"/>
      <c r="AL12" s="1993"/>
    </row>
    <row r="13" spans="1:38" ht="20.100000000000001" customHeight="1">
      <c r="A13" s="767"/>
      <c r="D13" s="329"/>
      <c r="N13" s="1862" t="s">
        <v>5966</v>
      </c>
      <c r="O13" s="1862"/>
      <c r="P13" s="1862"/>
      <c r="Q13" s="1859" t="s">
        <v>3306</v>
      </c>
      <c r="S13" s="1908" t="s">
        <v>5964</v>
      </c>
      <c r="T13" s="1908"/>
      <c r="U13" s="1908"/>
      <c r="V13" s="1908"/>
    </row>
    <row r="14" spans="1:38" ht="20.100000000000001" customHeight="1">
      <c r="A14" s="767"/>
      <c r="F14" s="319"/>
      <c r="H14" s="318"/>
      <c r="N14" s="1862"/>
      <c r="O14" s="1862"/>
      <c r="P14" s="1862"/>
      <c r="Q14" s="1859"/>
      <c r="S14" s="1913" t="s">
        <v>4127</v>
      </c>
      <c r="T14" s="1913"/>
      <c r="U14" s="1913"/>
      <c r="V14" s="1913"/>
    </row>
    <row r="15" spans="1:38" ht="20.100000000000001" customHeight="1">
      <c r="A15" s="767"/>
      <c r="F15" s="319"/>
      <c r="H15" s="318"/>
      <c r="O15" s="318"/>
      <c r="P15" s="318"/>
      <c r="Q15" s="1859" t="s">
        <v>3306</v>
      </c>
      <c r="S15" s="1958">
        <f>S12</f>
        <v>17.600000000000001</v>
      </c>
      <c r="T15" s="1958"/>
      <c r="U15" s="1958"/>
      <c r="V15" s="1958"/>
      <c r="W15" s="316"/>
      <c r="X15" s="355"/>
      <c r="Y15" s="355"/>
      <c r="Z15" s="355"/>
      <c r="AA15" s="355"/>
      <c r="AB15" s="355"/>
    </row>
    <row r="16" spans="1:38" ht="20.100000000000001" customHeight="1">
      <c r="A16" s="767"/>
      <c r="F16" s="319"/>
      <c r="H16" s="318"/>
      <c r="O16" s="318"/>
      <c r="P16" s="318"/>
      <c r="Q16" s="1859"/>
      <c r="S16" s="1913">
        <f>S6</f>
        <v>0.8</v>
      </c>
      <c r="T16" s="1913"/>
      <c r="U16" s="1913"/>
      <c r="V16" s="1913"/>
      <c r="W16" s="316"/>
      <c r="X16" s="355"/>
      <c r="Y16" s="355"/>
      <c r="Z16" s="355"/>
      <c r="AA16" s="355"/>
      <c r="AB16" s="355"/>
    </row>
    <row r="17" spans="1:38" ht="20.100000000000001" customHeight="1">
      <c r="A17" s="767"/>
      <c r="C17" s="315"/>
      <c r="H17" s="318"/>
      <c r="Q17" s="326" t="s">
        <v>1592</v>
      </c>
      <c r="S17" s="1955">
        <f>S12/S6</f>
        <v>22</v>
      </c>
      <c r="T17" s="1955"/>
      <c r="U17" s="1955"/>
      <c r="V17" s="1955"/>
      <c r="W17" s="1955"/>
      <c r="X17" s="1955"/>
      <c r="Y17" s="1955"/>
      <c r="Z17" s="1955"/>
      <c r="AA17" s="1955"/>
      <c r="AB17" s="1955"/>
      <c r="AC17" s="1955"/>
      <c r="AD17" s="1955"/>
      <c r="AE17" s="1955"/>
      <c r="AF17" s="1955"/>
      <c r="AG17" s="1955"/>
      <c r="AH17" s="1955"/>
      <c r="AI17" s="1955"/>
      <c r="AJ17" s="1955"/>
      <c r="AK17" s="1955"/>
      <c r="AL17" s="1955"/>
    </row>
    <row r="18" spans="1:38" ht="20.100000000000001" customHeight="1">
      <c r="A18" s="767"/>
      <c r="C18" s="315"/>
      <c r="H18" s="318"/>
      <c r="Q18" s="326"/>
      <c r="S18" s="1955"/>
      <c r="T18" s="1955"/>
      <c r="U18" s="1955"/>
      <c r="V18" s="1955"/>
      <c r="W18" s="1955"/>
      <c r="X18" s="1955"/>
      <c r="Y18" s="1955"/>
      <c r="Z18" s="1955"/>
      <c r="AA18" s="1955"/>
      <c r="AB18" s="1955"/>
      <c r="AC18" s="1955"/>
      <c r="AD18" s="1955"/>
      <c r="AE18" s="1955"/>
      <c r="AF18" s="1955"/>
      <c r="AG18" s="1955"/>
      <c r="AH18" s="1955"/>
      <c r="AI18" s="1955"/>
      <c r="AJ18" s="1955"/>
      <c r="AK18" s="1955"/>
      <c r="AL18" s="1955"/>
    </row>
    <row r="19" spans="1:38" ht="20.100000000000001" customHeight="1">
      <c r="A19" s="767"/>
      <c r="C19" s="321" t="s">
        <v>5146</v>
      </c>
      <c r="D19" s="323"/>
      <c r="F19" s="323"/>
      <c r="S19" s="382"/>
      <c r="T19" s="382"/>
      <c r="U19" s="382"/>
      <c r="V19" s="382"/>
      <c r="W19" s="382"/>
      <c r="X19" s="382"/>
      <c r="Y19" s="382"/>
      <c r="Z19" s="382"/>
      <c r="AA19" s="382"/>
      <c r="AB19" s="382"/>
      <c r="AC19" s="382"/>
      <c r="AD19" s="382"/>
      <c r="AE19" s="382"/>
      <c r="AF19" s="382"/>
      <c r="AG19" s="382"/>
      <c r="AH19" s="382"/>
      <c r="AI19" s="382"/>
      <c r="AJ19" s="382"/>
      <c r="AK19" s="382"/>
      <c r="AL19" s="382"/>
    </row>
    <row r="20" spans="1:38" ht="20.100000000000001" customHeight="1">
      <c r="A20" s="767"/>
      <c r="C20" s="321"/>
      <c r="D20" s="323"/>
      <c r="F20" s="323"/>
      <c r="N20" s="324" t="s">
        <v>5969</v>
      </c>
      <c r="Q20" s="337" t="s">
        <v>1592</v>
      </c>
      <c r="S20" s="324" t="str">
        <f>NL!U29&amp;" [kVA]"</f>
        <v>22/0,4kV - 160 [kVA]</v>
      </c>
    </row>
    <row r="21" spans="1:38" ht="20.100000000000001" customHeight="1" thickBot="1">
      <c r="A21" s="767"/>
      <c r="C21" s="327"/>
      <c r="D21" s="327"/>
      <c r="E21" s="327"/>
      <c r="F21" s="327"/>
      <c r="G21" s="327"/>
      <c r="H21" s="327"/>
      <c r="I21" s="327"/>
      <c r="J21" s="327"/>
      <c r="K21" s="327"/>
      <c r="L21" s="327"/>
      <c r="M21" s="327"/>
      <c r="N21" s="338"/>
      <c r="O21" s="327"/>
      <c r="P21" s="327"/>
      <c r="Q21" s="327"/>
      <c r="R21" s="327"/>
      <c r="S21" s="327"/>
      <c r="T21" s="327"/>
      <c r="U21" s="327"/>
      <c r="V21" s="327"/>
      <c r="W21" s="327"/>
      <c r="X21" s="327"/>
      <c r="Y21" s="327"/>
      <c r="Z21" s="328"/>
      <c r="AA21" s="328"/>
      <c r="AB21" s="328"/>
      <c r="AC21" s="328"/>
      <c r="AD21" s="328"/>
      <c r="AE21" s="328"/>
      <c r="AF21" s="328"/>
      <c r="AG21" s="328"/>
      <c r="AH21" s="328"/>
      <c r="AI21" s="328"/>
      <c r="AJ21" s="328"/>
      <c r="AK21" s="328"/>
      <c r="AL21" s="328"/>
    </row>
    <row r="22" spans="1:38" ht="20.100000000000001" customHeight="1">
      <c r="A22" s="767"/>
      <c r="C22" s="323"/>
      <c r="D22" s="332"/>
      <c r="E22" s="333"/>
      <c r="F22" s="332"/>
      <c r="G22" s="332"/>
      <c r="H22" s="334"/>
      <c r="I22" s="333"/>
      <c r="J22" s="333"/>
      <c r="K22" s="333"/>
      <c r="L22" s="333"/>
      <c r="M22" s="333"/>
      <c r="N22" s="339"/>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row>
    <row r="23" spans="1:38" ht="20.100000000000001" customHeight="1">
      <c r="A23" s="767"/>
      <c r="C23" s="1873" t="s">
        <v>1594</v>
      </c>
      <c r="D23" s="1873"/>
      <c r="E23" s="1873"/>
      <c r="F23" s="1873"/>
      <c r="G23" s="1873"/>
      <c r="H23" s="1873"/>
      <c r="I23" s="1873"/>
      <c r="J23" s="1873"/>
      <c r="K23" s="1873"/>
      <c r="L23" s="1873"/>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row>
    <row r="24" spans="1:38" ht="20.100000000000001" customHeight="1">
      <c r="A24" s="767"/>
      <c r="C24" s="315" t="s">
        <v>1598</v>
      </c>
      <c r="I24" s="316"/>
    </row>
    <row r="25" spans="1:38" ht="20.100000000000001" customHeight="1">
      <c r="A25" s="767"/>
      <c r="C25" s="315"/>
      <c r="I25" s="316"/>
      <c r="N25" s="318" t="s">
        <v>5970</v>
      </c>
      <c r="Q25" s="318" t="s">
        <v>3306</v>
      </c>
      <c r="S25" s="1858">
        <f>VLOOKUP(NL!U29,NL!BZ29:DD50,NL!CB26,FALSE)</f>
        <v>160</v>
      </c>
      <c r="T25" s="1858"/>
      <c r="U25" s="1858"/>
      <c r="V25" s="1858"/>
      <c r="W25" s="314" t="s">
        <v>4220</v>
      </c>
    </row>
    <row r="26" spans="1:38" ht="20.100000000000001" customHeight="1">
      <c r="A26" s="767"/>
      <c r="C26" s="315"/>
      <c r="Q26" s="318" t="s">
        <v>3306</v>
      </c>
      <c r="S26" s="314" t="s">
        <v>874</v>
      </c>
      <c r="W26" s="326"/>
      <c r="X26" s="318"/>
    </row>
    <row r="27" spans="1:38" ht="20.100000000000001" customHeight="1">
      <c r="A27" s="767"/>
      <c r="C27" s="315"/>
      <c r="Q27" s="318" t="s">
        <v>3306</v>
      </c>
      <c r="S27" s="318" t="str">
        <f>ROUND(S25*(COS(Y31)),2)&amp;" + j."&amp;ROUND(S25*(SIN(Y31)),2)&amp;" [kVA]"</f>
        <v>128 + j.96 [kVA]</v>
      </c>
      <c r="W27" s="326"/>
      <c r="X27" s="318"/>
    </row>
    <row r="28" spans="1:38" ht="20.100000000000001" customHeight="1">
      <c r="A28" s="767"/>
      <c r="C28" s="315" t="s">
        <v>1597</v>
      </c>
      <c r="I28" s="316"/>
    </row>
    <row r="29" spans="1:38" ht="20.100000000000001" customHeight="1">
      <c r="A29" s="767"/>
      <c r="C29" s="315"/>
      <c r="H29" s="325"/>
      <c r="I29" s="316"/>
      <c r="N29" s="318" t="s">
        <v>5660</v>
      </c>
      <c r="Q29" s="318" t="s">
        <v>3306</v>
      </c>
      <c r="S29" s="1862">
        <f>S6</f>
        <v>0.8</v>
      </c>
      <c r="T29" s="1862"/>
      <c r="U29" s="1862"/>
      <c r="V29" s="1862"/>
      <c r="W29" s="1862"/>
      <c r="X29" s="1862"/>
      <c r="Y29" s="1862"/>
      <c r="Z29" s="1862"/>
      <c r="AA29" s="1862"/>
      <c r="AB29" s="1862"/>
      <c r="AC29" s="1862"/>
      <c r="AD29" s="1862"/>
      <c r="AE29" s="1862"/>
      <c r="AF29" s="1862"/>
      <c r="AG29" s="1862"/>
      <c r="AH29" s="1862"/>
      <c r="AI29" s="1862"/>
      <c r="AJ29" s="1862"/>
      <c r="AK29" s="1862"/>
      <c r="AL29" s="1862"/>
    </row>
    <row r="30" spans="1:38" ht="20.100000000000001" customHeight="1">
      <c r="A30" s="767"/>
      <c r="C30" s="315" t="s">
        <v>1599</v>
      </c>
    </row>
    <row r="31" spans="1:38" ht="20.100000000000001" customHeight="1">
      <c r="A31" s="767"/>
      <c r="C31" s="315"/>
      <c r="N31" s="318" t="s">
        <v>562</v>
      </c>
      <c r="P31" s="318"/>
      <c r="Q31" s="318" t="s">
        <v>3306</v>
      </c>
      <c r="S31" s="1862">
        <f>S29</f>
        <v>0.8</v>
      </c>
      <c r="T31" s="1862"/>
      <c r="U31" s="315" t="s">
        <v>5656</v>
      </c>
      <c r="Y31" s="1929">
        <f>ACOS(S31)</f>
        <v>0.64350110879328426</v>
      </c>
      <c r="Z31" s="1929"/>
      <c r="AA31" s="1929"/>
      <c r="AB31" s="314" t="s">
        <v>4221</v>
      </c>
      <c r="AC31" s="320"/>
      <c r="AD31" s="320"/>
      <c r="AE31" s="320"/>
      <c r="AF31" s="320"/>
    </row>
    <row r="32" spans="1:38" ht="20.100000000000001" customHeight="1">
      <c r="A32" s="767"/>
      <c r="C32" s="315" t="s">
        <v>1600</v>
      </c>
    </row>
    <row r="33" spans="1:38" ht="20.100000000000001" customHeight="1">
      <c r="A33" s="767"/>
      <c r="C33" s="315"/>
      <c r="N33" s="318" t="s">
        <v>562</v>
      </c>
      <c r="P33" s="318"/>
      <c r="Q33" s="318" t="s">
        <v>3306</v>
      </c>
      <c r="S33" s="318" t="s">
        <v>5657</v>
      </c>
      <c r="W33" s="1859">
        <v>0.95</v>
      </c>
      <c r="X33" s="1859"/>
      <c r="Y33" s="1859"/>
      <c r="Z33" s="315" t="s">
        <v>5658</v>
      </c>
      <c r="AD33" s="1859">
        <f>ACOS(W33)</f>
        <v>0.31756042929152151</v>
      </c>
      <c r="AE33" s="1859"/>
      <c r="AF33" s="1859"/>
      <c r="AG33" s="314" t="s">
        <v>4221</v>
      </c>
    </row>
    <row r="34" spans="1:38" ht="20.100000000000001" customHeight="1">
      <c r="A34" s="767"/>
      <c r="C34" s="315" t="s">
        <v>1601</v>
      </c>
    </row>
    <row r="35" spans="1:38" ht="20.100000000000001" customHeight="1">
      <c r="A35" s="767"/>
      <c r="C35" s="315"/>
      <c r="N35" s="318" t="s">
        <v>1076</v>
      </c>
      <c r="Q35" s="318" t="s">
        <v>3306</v>
      </c>
      <c r="S35" s="314" t="s">
        <v>5659</v>
      </c>
    </row>
    <row r="36" spans="1:38" ht="20.100000000000001" customHeight="1">
      <c r="A36" s="767"/>
      <c r="C36" s="315"/>
      <c r="Q36" s="318" t="s">
        <v>3306</v>
      </c>
      <c r="S36" s="314" t="str">
        <f>ROUND(S25*(COS(Y31))*(TAN(Y31)-TAN(AD33)),3)&amp;" [kVAr]"</f>
        <v>53,928 [kVAr]</v>
      </c>
    </row>
    <row r="37" spans="1:38" ht="20.100000000000001" customHeight="1">
      <c r="A37" s="767"/>
      <c r="C37" s="1952" t="s">
        <v>3505</v>
      </c>
      <c r="D37" s="1952"/>
      <c r="E37" s="1952"/>
      <c r="F37" s="1952"/>
      <c r="G37" s="1952"/>
      <c r="H37" s="1952"/>
      <c r="I37" s="1952"/>
      <c r="J37" s="1952"/>
      <c r="K37" s="1952"/>
      <c r="L37" s="1952"/>
      <c r="M37" s="1952"/>
      <c r="N37" s="1952"/>
      <c r="O37" s="1952"/>
      <c r="P37" s="1952"/>
      <c r="Q37" s="1952"/>
      <c r="R37" s="1952"/>
      <c r="S37" s="1952"/>
      <c r="T37" s="1952"/>
      <c r="U37" s="1952"/>
      <c r="V37" s="1952"/>
      <c r="W37" s="1952"/>
      <c r="X37" s="1952"/>
      <c r="Y37" s="1952"/>
      <c r="Z37" s="1951" t="str">
        <f>VLOOKUP(NL!U29,NL!BZ29:DD50,NL!DC26,FALSE)&amp;" [kVAr]"</f>
        <v>60 [kVAr]</v>
      </c>
      <c r="AA37" s="1951"/>
      <c r="AB37" s="1951"/>
      <c r="AC37" s="1951"/>
      <c r="AD37" s="1951"/>
      <c r="AE37" s="1951"/>
      <c r="AF37" s="1951"/>
      <c r="AG37" s="1951"/>
      <c r="AH37" s="1951"/>
      <c r="AI37" s="1951"/>
      <c r="AJ37" s="328"/>
      <c r="AK37" s="328"/>
      <c r="AL37" s="328"/>
    </row>
    <row r="38" spans="1:38" ht="20.100000000000001" customHeight="1">
      <c r="A38" s="76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8"/>
      <c r="AA38" s="328"/>
      <c r="AB38" s="328"/>
      <c r="AC38" s="328"/>
      <c r="AD38" s="328"/>
      <c r="AE38" s="328"/>
      <c r="AF38" s="328"/>
      <c r="AG38" s="328"/>
      <c r="AH38" s="328"/>
      <c r="AI38" s="328"/>
      <c r="AJ38" s="328"/>
      <c r="AK38" s="328"/>
      <c r="AL38" s="328"/>
    </row>
    <row r="39" spans="1:38" ht="20.100000000000001" customHeight="1">
      <c r="A39" s="76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327"/>
      <c r="AE39" s="327"/>
      <c r="AF39" s="327"/>
      <c r="AG39" s="327"/>
      <c r="AH39" s="327"/>
      <c r="AI39" s="327"/>
      <c r="AJ39" s="327"/>
      <c r="AK39" s="327"/>
      <c r="AL39" s="327"/>
    </row>
    <row r="40" spans="1:38" ht="20.100000000000001" customHeight="1">
      <c r="A40" s="767"/>
      <c r="C40" s="1873" t="s">
        <v>5222</v>
      </c>
      <c r="D40" s="1873"/>
      <c r="E40" s="1873"/>
      <c r="F40" s="1873"/>
      <c r="G40" s="1873"/>
      <c r="H40" s="1873"/>
      <c r="I40" s="1873"/>
      <c r="J40" s="1873"/>
      <c r="K40" s="1873"/>
      <c r="L40" s="1873"/>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row>
    <row r="41" spans="1:38" ht="20.100000000000001" customHeight="1">
      <c r="A41" s="767"/>
      <c r="C41" s="315" t="s">
        <v>2814</v>
      </c>
    </row>
    <row r="42" spans="1:38" ht="20.100000000000001" customHeight="1">
      <c r="A42" s="767"/>
      <c r="C42" s="315"/>
      <c r="M42" s="318" t="s">
        <v>1077</v>
      </c>
      <c r="N42" s="314"/>
      <c r="Q42" s="316" t="s">
        <v>3306</v>
      </c>
      <c r="S42" s="1953">
        <f>VLOOKUP(NL!U29,NL!BZ29:DD50,NL!CG26,FALSE)</f>
        <v>0.38</v>
      </c>
      <c r="T42" s="1953"/>
      <c r="U42" s="1953"/>
      <c r="V42" s="1953"/>
      <c r="W42" s="1953"/>
      <c r="X42" s="1953"/>
      <c r="Y42" s="1953"/>
      <c r="Z42" s="1953"/>
      <c r="AA42" s="1953"/>
      <c r="AB42" s="1953"/>
      <c r="AC42" s="1953"/>
      <c r="AD42" s="1953"/>
      <c r="AE42" s="1953"/>
      <c r="AF42" s="1953"/>
      <c r="AG42" s="1953"/>
      <c r="AH42" s="1953"/>
      <c r="AI42" s="1953"/>
      <c r="AJ42" s="1953"/>
      <c r="AK42" s="1953"/>
      <c r="AL42" s="1953"/>
    </row>
    <row r="43" spans="1:38" ht="20.100000000000001" customHeight="1">
      <c r="A43" s="767"/>
      <c r="C43" s="315"/>
      <c r="L43" s="319" t="s">
        <v>5652</v>
      </c>
      <c r="M43" s="318" t="s">
        <v>5623</v>
      </c>
      <c r="N43" s="314"/>
      <c r="Q43" s="316" t="s">
        <v>3306</v>
      </c>
      <c r="S43" s="1953">
        <f>IF(S42=0.38,0.23,0.22)</f>
        <v>0.23</v>
      </c>
      <c r="T43" s="1953"/>
      <c r="U43" s="1953"/>
      <c r="V43" s="1953"/>
      <c r="W43" s="1953"/>
      <c r="X43" s="1953"/>
      <c r="Y43" s="1953"/>
      <c r="Z43" s="1953"/>
      <c r="AA43" s="1953"/>
      <c r="AB43" s="1953"/>
      <c r="AC43" s="1953"/>
      <c r="AD43" s="1953"/>
      <c r="AE43" s="1953"/>
      <c r="AF43" s="1953"/>
      <c r="AG43" s="1953"/>
      <c r="AH43" s="1953"/>
      <c r="AI43" s="1953"/>
      <c r="AJ43" s="1953"/>
      <c r="AK43" s="1953"/>
      <c r="AL43" s="1953"/>
    </row>
    <row r="44" spans="1:38" ht="20.100000000000001" customHeight="1">
      <c r="A44" s="767"/>
      <c r="C44" s="315" t="s">
        <v>2815</v>
      </c>
      <c r="M44" s="318"/>
      <c r="N44" s="314"/>
      <c r="R44" s="315"/>
      <c r="S44" s="343"/>
    </row>
    <row r="45" spans="1:38" ht="20.100000000000001" customHeight="1">
      <c r="A45" s="767"/>
      <c r="C45" s="315"/>
      <c r="M45" s="318" t="s">
        <v>3940</v>
      </c>
      <c r="N45" s="314"/>
      <c r="Q45" s="316" t="s">
        <v>3306</v>
      </c>
      <c r="R45" s="363"/>
      <c r="S45" s="1954">
        <f>VLOOKUP(NL!U29,NL!BZ29:DD50,NL!CB26,FALSE)</f>
        <v>160</v>
      </c>
      <c r="T45" s="1954"/>
      <c r="U45" s="1954"/>
      <c r="V45" s="1954"/>
      <c r="W45" s="1954"/>
      <c r="X45" s="1954"/>
      <c r="Y45" s="1954"/>
      <c r="Z45" s="1954"/>
      <c r="AA45" s="1954"/>
      <c r="AB45" s="1954"/>
      <c r="AC45" s="1954"/>
      <c r="AD45" s="1954"/>
      <c r="AE45" s="1954"/>
      <c r="AF45" s="1954"/>
      <c r="AG45" s="1954"/>
      <c r="AH45" s="1954"/>
      <c r="AI45" s="1954"/>
      <c r="AJ45" s="1954"/>
      <c r="AK45" s="1954"/>
      <c r="AL45" s="1954"/>
    </row>
    <row r="46" spans="1:38" ht="20.100000000000001" customHeight="1">
      <c r="A46" s="767"/>
      <c r="C46" s="315"/>
      <c r="L46" s="319" t="s">
        <v>5652</v>
      </c>
      <c r="M46" s="318" t="s">
        <v>3285</v>
      </c>
      <c r="N46" s="314"/>
      <c r="Q46" s="316" t="s">
        <v>3306</v>
      </c>
      <c r="S46" s="1954">
        <f>IF(S42=0.38,S45/3,IF(S42=0.44,S45/2,S45))</f>
        <v>53.333333333333336</v>
      </c>
      <c r="T46" s="1954"/>
      <c r="U46" s="1954"/>
      <c r="V46" s="1954"/>
      <c r="W46" s="1954"/>
      <c r="X46" s="1954"/>
      <c r="Y46" s="1954"/>
      <c r="Z46" s="1954"/>
      <c r="AA46" s="1954"/>
      <c r="AB46" s="1954"/>
      <c r="AC46" s="1954"/>
      <c r="AD46" s="1954"/>
      <c r="AE46" s="1954"/>
      <c r="AF46" s="1954"/>
      <c r="AG46" s="1954"/>
      <c r="AH46" s="1954"/>
      <c r="AI46" s="1954"/>
      <c r="AJ46" s="1954"/>
      <c r="AK46" s="1954"/>
      <c r="AL46" s="1954"/>
    </row>
    <row r="47" spans="1:38" ht="20.100000000000001" customHeight="1">
      <c r="A47" s="767"/>
      <c r="C47" s="315" t="s">
        <v>2816</v>
      </c>
    </row>
    <row r="48" spans="1:38" ht="20.100000000000001" customHeight="1">
      <c r="A48" s="767"/>
      <c r="M48" s="1862" t="s">
        <v>3286</v>
      </c>
      <c r="N48" s="1862"/>
      <c r="O48" s="1862"/>
      <c r="P48" s="1862"/>
      <c r="Q48" s="1859" t="s">
        <v>3306</v>
      </c>
      <c r="R48" s="1908" t="s">
        <v>3285</v>
      </c>
      <c r="S48" s="1908"/>
      <c r="T48" s="1908"/>
      <c r="U48" s="1908"/>
    </row>
    <row r="49" spans="1:38" ht="20.100000000000001" customHeight="1">
      <c r="A49" s="767"/>
      <c r="G49" s="326"/>
      <c r="M49" s="1862"/>
      <c r="N49" s="1862"/>
      <c r="O49" s="1862"/>
      <c r="P49" s="1862"/>
      <c r="Q49" s="1859"/>
      <c r="R49" s="1913" t="s">
        <v>5623</v>
      </c>
      <c r="S49" s="1913"/>
      <c r="T49" s="1913"/>
      <c r="U49" s="1913"/>
    </row>
    <row r="50" spans="1:38" ht="20.100000000000001" customHeight="1">
      <c r="A50" s="767"/>
      <c r="G50" s="326"/>
      <c r="M50" s="318"/>
      <c r="O50" s="318"/>
      <c r="P50" s="318"/>
      <c r="Q50" s="1859" t="s">
        <v>3306</v>
      </c>
      <c r="R50" s="1963">
        <f>S46</f>
        <v>53.333333333333336</v>
      </c>
      <c r="S50" s="1963"/>
      <c r="T50" s="1963"/>
      <c r="U50" s="1963"/>
    </row>
    <row r="51" spans="1:38" ht="20.100000000000001" customHeight="1">
      <c r="A51" s="767"/>
      <c r="G51" s="326"/>
      <c r="M51" s="318"/>
      <c r="O51" s="318"/>
      <c r="P51" s="318"/>
      <c r="Q51" s="1859"/>
      <c r="R51" s="1992">
        <f>S43</f>
        <v>0.23</v>
      </c>
      <c r="S51" s="1992"/>
      <c r="T51" s="1992"/>
      <c r="U51" s="1992"/>
    </row>
    <row r="52" spans="1:38" ht="20.100000000000001" customHeight="1">
      <c r="A52" s="767"/>
      <c r="G52" s="326"/>
      <c r="M52" s="318"/>
      <c r="O52" s="318"/>
      <c r="P52" s="318"/>
      <c r="Q52" s="316" t="s">
        <v>3306</v>
      </c>
      <c r="R52" s="1989">
        <f>ROUND(S46/S43,3)</f>
        <v>231.88399999999999</v>
      </c>
      <c r="S52" s="1989"/>
      <c r="T52" s="1989"/>
      <c r="U52" s="1989"/>
      <c r="V52" s="1989"/>
      <c r="W52" s="1989"/>
      <c r="X52" s="1989"/>
      <c r="Y52" s="1989"/>
      <c r="Z52" s="1989"/>
      <c r="AA52" s="1989"/>
      <c r="AB52" s="1989"/>
      <c r="AC52" s="1989"/>
      <c r="AD52" s="1989"/>
      <c r="AE52" s="1989"/>
      <c r="AF52" s="1989"/>
      <c r="AG52" s="1989"/>
      <c r="AH52" s="1989"/>
      <c r="AI52" s="1989"/>
      <c r="AJ52" s="365"/>
      <c r="AK52" s="365"/>
      <c r="AL52" s="365"/>
    </row>
    <row r="53" spans="1:38" ht="20.100000000000001" customHeight="1">
      <c r="A53" s="767"/>
      <c r="C53" s="315" t="s">
        <v>2190</v>
      </c>
      <c r="G53" s="326"/>
      <c r="M53" s="318"/>
      <c r="O53" s="318"/>
      <c r="P53" s="318"/>
      <c r="Q53" s="316"/>
      <c r="R53" s="365"/>
      <c r="S53" s="365"/>
      <c r="T53" s="365"/>
      <c r="U53" s="365"/>
      <c r="V53" s="365"/>
      <c r="W53" s="365"/>
      <c r="X53" s="365"/>
      <c r="Y53" s="365"/>
      <c r="Z53" s="365"/>
      <c r="AA53" s="365"/>
      <c r="AB53" s="365"/>
      <c r="AC53" s="365"/>
      <c r="AD53" s="365"/>
      <c r="AE53" s="365"/>
      <c r="AF53" s="365"/>
      <c r="AG53" s="365"/>
      <c r="AH53" s="365"/>
      <c r="AI53" s="365"/>
      <c r="AJ53" s="365"/>
      <c r="AK53" s="365"/>
      <c r="AL53" s="365"/>
    </row>
    <row r="54" spans="1:38" ht="20.100000000000001" customHeight="1">
      <c r="A54" s="767"/>
      <c r="J54" s="1959" t="s">
        <v>2191</v>
      </c>
      <c r="K54" s="1960"/>
      <c r="L54" s="1960"/>
      <c r="M54" s="1960"/>
      <c r="N54" s="1960"/>
      <c r="O54" s="1960"/>
      <c r="Q54" s="316" t="s">
        <v>2182</v>
      </c>
      <c r="S54" s="1862" t="s">
        <v>3286</v>
      </c>
      <c r="T54" s="1862"/>
      <c r="U54" s="1862"/>
      <c r="V54" s="1862"/>
      <c r="W54" s="1862"/>
      <c r="X54" s="1862"/>
      <c r="Y54" s="1862"/>
      <c r="Z54" s="1862"/>
      <c r="AA54" s="1862"/>
      <c r="AB54" s="1862"/>
      <c r="AC54" s="1862"/>
      <c r="AD54" s="1862"/>
      <c r="AE54" s="1862"/>
      <c r="AF54" s="1862"/>
      <c r="AG54" s="1862"/>
      <c r="AH54" s="1862"/>
      <c r="AI54" s="1862"/>
      <c r="AJ54" s="1862"/>
      <c r="AK54" s="1862"/>
      <c r="AL54" s="1862"/>
    </row>
    <row r="55" spans="1:38" ht="20.100000000000001" customHeight="1">
      <c r="A55" s="767"/>
      <c r="J55" s="1959" t="s">
        <v>2191</v>
      </c>
      <c r="K55" s="1960"/>
      <c r="L55" s="1960"/>
      <c r="M55" s="1960"/>
      <c r="N55" s="1960"/>
      <c r="O55" s="1960"/>
      <c r="Q55" s="316" t="s">
        <v>2182</v>
      </c>
      <c r="S55" s="1977">
        <f>R52</f>
        <v>231.88399999999999</v>
      </c>
      <c r="T55" s="1977"/>
      <c r="U55" s="1977"/>
      <c r="V55" s="1977"/>
      <c r="W55" s="1977"/>
      <c r="X55" s="1977"/>
      <c r="Y55" s="1977"/>
      <c r="Z55" s="1977"/>
      <c r="AA55" s="1977"/>
      <c r="AB55" s="1977"/>
      <c r="AC55" s="1977"/>
      <c r="AD55" s="1977"/>
      <c r="AE55" s="1977"/>
      <c r="AF55" s="1977"/>
      <c r="AG55" s="1977"/>
      <c r="AH55" s="1977"/>
      <c r="AI55" s="1977"/>
      <c r="AJ55" s="1977"/>
      <c r="AK55" s="1977"/>
      <c r="AL55" s="1977"/>
    </row>
    <row r="56" spans="1:38" ht="20.100000000000001" customHeight="1">
      <c r="A56" s="767"/>
      <c r="C56" s="314" t="str">
        <f>"- Chọn "&amp;VLOOKUP(NL!U29,NL!BZ29:DD50,NL!CI26,FALSE)</f>
        <v>- Chọn MCCB - 3P - 600V - 250A</v>
      </c>
    </row>
    <row r="57" spans="1:38" ht="20.100000000000001" customHeight="1">
      <c r="A57" s="767"/>
      <c r="D57" s="315" t="s">
        <v>2789</v>
      </c>
      <c r="N57" s="318" t="s">
        <v>2191</v>
      </c>
      <c r="Q57" s="314" t="s">
        <v>3306</v>
      </c>
      <c r="R57" s="1961">
        <f>VLOOKUP(NL!U29,NL!BZ29:DD50,NL!CM26,FALSE)</f>
        <v>250</v>
      </c>
      <c r="S57" s="1961"/>
      <c r="T57" s="1961"/>
      <c r="U57" s="364" t="s">
        <v>4219</v>
      </c>
    </row>
    <row r="58" spans="1:38" ht="20.100000000000001" customHeight="1">
      <c r="A58" s="767"/>
      <c r="D58" s="315" t="s">
        <v>6114</v>
      </c>
      <c r="N58" s="318" t="s">
        <v>6115</v>
      </c>
      <c r="Q58" s="314" t="s">
        <v>3306</v>
      </c>
      <c r="R58" s="1961">
        <f>VLOOKUP(NL!U29,NL!BZ29:DD50,NL!CN26,FALSE)</f>
        <v>15</v>
      </c>
      <c r="S58" s="1961"/>
      <c r="T58" s="1961"/>
      <c r="U58" s="364" t="s">
        <v>6113</v>
      </c>
    </row>
    <row r="59" spans="1:38" ht="20.100000000000001" customHeight="1">
      <c r="A59" s="767"/>
      <c r="C59" s="315" t="s">
        <v>5454</v>
      </c>
    </row>
    <row r="60" spans="1:38" ht="20.100000000000001" customHeight="1">
      <c r="A60" s="767"/>
      <c r="J60" s="1959" t="s">
        <v>6115</v>
      </c>
      <c r="K60" s="1960"/>
      <c r="L60" s="1960"/>
      <c r="M60" s="1960"/>
      <c r="N60" s="1960"/>
      <c r="O60" s="1960"/>
      <c r="Q60" s="316" t="s">
        <v>2182</v>
      </c>
      <c r="S60" s="1862" t="s">
        <v>6112</v>
      </c>
      <c r="T60" s="1862"/>
      <c r="U60" s="1862"/>
      <c r="V60" s="1862"/>
      <c r="W60" s="1862"/>
      <c r="X60" s="1862"/>
      <c r="Y60" s="1862"/>
      <c r="Z60" s="1862"/>
      <c r="AA60" s="1862"/>
      <c r="AB60" s="1862"/>
      <c r="AC60" s="1862"/>
      <c r="AD60" s="1862"/>
      <c r="AE60" s="1862"/>
      <c r="AF60" s="1862"/>
      <c r="AG60" s="1862"/>
      <c r="AH60" s="1862"/>
      <c r="AI60" s="1862"/>
      <c r="AJ60" s="1862"/>
      <c r="AK60" s="1862"/>
      <c r="AL60" s="1862"/>
    </row>
    <row r="61" spans="1:38" ht="20.100000000000001" customHeight="1">
      <c r="A61" s="767"/>
      <c r="C61" s="315"/>
      <c r="D61" s="315" t="s">
        <v>2717</v>
      </c>
      <c r="E61" s="335"/>
      <c r="F61" s="335"/>
      <c r="G61" s="335"/>
      <c r="H61" s="335"/>
      <c r="I61" s="335"/>
      <c r="J61" s="335"/>
      <c r="K61" s="335"/>
      <c r="L61" s="335"/>
      <c r="M61" s="335"/>
      <c r="N61" s="340"/>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row>
    <row r="62" spans="1:38" ht="20.100000000000001" customHeight="1">
      <c r="A62" s="767"/>
    </row>
    <row r="63" spans="1:38" ht="20.100000000000001" customHeight="1">
      <c r="A63" s="767"/>
      <c r="C63" s="1859" t="str">
        <f>VLOOKUP(NL!U29,NL!BZ29:DD50,NL!CF26,FALSE)&amp;" kV"</f>
        <v>22 kV</v>
      </c>
      <c r="D63" s="1859"/>
      <c r="E63" s="1859"/>
      <c r="F63" s="331"/>
      <c r="AD63" s="344" t="str">
        <f>VLOOKUP(NL!U29,NL!BZ29:DD50,NL!CG26,FALSE)&amp;" kV"</f>
        <v>0,38 kV</v>
      </c>
    </row>
    <row r="64" spans="1:38" ht="20.100000000000001" customHeight="1">
      <c r="A64" s="767"/>
      <c r="F64" s="329"/>
      <c r="L64" s="314" t="str">
        <f>VLOOKUP(NL!U29,NL!BZ29:DD50,NL!CT26,FALSE)&amp;" - 10m"</f>
        <v>CV 120mm2 - 10m</v>
      </c>
    </row>
    <row r="65" spans="1:38" ht="20.100000000000001" customHeight="1">
      <c r="A65" s="767"/>
    </row>
    <row r="66" spans="1:38" ht="20.100000000000001" customHeight="1">
      <c r="A66" s="767"/>
      <c r="E66" s="314" t="str">
        <f>NL!U29&amp;" kVA"</f>
        <v>22/0,4kV - 160 kVA</v>
      </c>
    </row>
    <row r="67" spans="1:38" ht="20.100000000000001" customHeight="1">
      <c r="A67" s="767"/>
    </row>
    <row r="68" spans="1:38" ht="30" customHeight="1">
      <c r="A68" s="767"/>
    </row>
    <row r="69" spans="1:38" ht="20.100000000000001" customHeight="1">
      <c r="A69" s="767"/>
    </row>
    <row r="70" spans="1:38" ht="20.100000000000001" customHeight="1">
      <c r="A70" s="767"/>
      <c r="D70" s="314" t="s">
        <v>4076</v>
      </c>
    </row>
    <row r="71" spans="1:38" ht="20.100000000000001" customHeight="1">
      <c r="A71" s="767"/>
      <c r="E71" s="316"/>
      <c r="N71" s="318" t="s">
        <v>323</v>
      </c>
      <c r="Q71" s="317" t="s">
        <v>3306</v>
      </c>
      <c r="S71" s="1986">
        <f>ROUND(VLOOKUP(NL!U29,NL!BZ29:DD50,NL!CD26,FALSE)/1000,3)</f>
        <v>1.94</v>
      </c>
      <c r="T71" s="1986"/>
      <c r="U71" s="1986"/>
      <c r="V71" s="1986"/>
      <c r="W71" s="1986"/>
      <c r="X71" s="1986"/>
      <c r="Y71" s="1986"/>
      <c r="Z71" s="1986"/>
      <c r="AA71" s="1986"/>
      <c r="AB71" s="1986"/>
      <c r="AC71" s="1986"/>
      <c r="AD71" s="1986"/>
      <c r="AE71" s="1986"/>
      <c r="AF71" s="1986"/>
      <c r="AG71" s="1986"/>
      <c r="AH71" s="1986"/>
      <c r="AI71" s="1986"/>
      <c r="AJ71" s="1986"/>
      <c r="AK71" s="1986"/>
      <c r="AL71" s="1986"/>
    </row>
    <row r="72" spans="1:38" ht="20.100000000000001" customHeight="1">
      <c r="A72" s="767"/>
      <c r="E72" s="316"/>
      <c r="N72" s="318" t="s">
        <v>3942</v>
      </c>
      <c r="Q72" s="317" t="s">
        <v>3938</v>
      </c>
      <c r="S72" s="1978">
        <f>VLOOKUP(NL!U29,NL!BZ29:DD50,NL!CE26,FALSE)</f>
        <v>4</v>
      </c>
      <c r="T72" s="1978"/>
      <c r="U72" s="1978"/>
      <c r="V72" s="1978"/>
      <c r="W72" s="1978"/>
      <c r="X72" s="1978"/>
      <c r="Y72" s="1978"/>
      <c r="Z72" s="1978"/>
      <c r="AA72" s="1978"/>
      <c r="AB72" s="1978"/>
      <c r="AC72" s="1978"/>
      <c r="AD72" s="1978"/>
      <c r="AE72" s="1978"/>
      <c r="AF72" s="1978"/>
      <c r="AG72" s="1978"/>
      <c r="AH72" s="1978"/>
      <c r="AI72" s="1978"/>
      <c r="AJ72" s="1978"/>
      <c r="AK72" s="1978"/>
      <c r="AL72" s="1978"/>
    </row>
    <row r="73" spans="1:38" ht="20.100000000000001" customHeight="1">
      <c r="A73" s="767"/>
      <c r="E73" s="316"/>
      <c r="N73" s="318" t="s">
        <v>3941</v>
      </c>
      <c r="Q73" s="317" t="s">
        <v>3938</v>
      </c>
      <c r="S73" s="1953">
        <f>VLOOKUP(NL!U29,NL!BZ29:DD50,NL!CG26,FALSE)</f>
        <v>0.38</v>
      </c>
      <c r="T73" s="1953"/>
      <c r="U73" s="1953"/>
      <c r="V73" s="1953"/>
      <c r="W73" s="1953"/>
      <c r="X73" s="1953"/>
      <c r="Y73" s="1953"/>
      <c r="Z73" s="1953"/>
      <c r="AA73" s="1953"/>
      <c r="AB73" s="1953"/>
      <c r="AC73" s="1953"/>
      <c r="AD73" s="1953"/>
      <c r="AE73" s="1953"/>
      <c r="AF73" s="1953"/>
      <c r="AG73" s="1953"/>
      <c r="AH73" s="1953"/>
      <c r="AI73" s="1953"/>
      <c r="AJ73" s="1953"/>
      <c r="AK73" s="1953"/>
      <c r="AL73" s="1953"/>
    </row>
    <row r="74" spans="1:38" ht="20.100000000000001" customHeight="1">
      <c r="A74" s="767"/>
      <c r="E74" s="316"/>
      <c r="M74" s="319" t="s">
        <v>5652</v>
      </c>
      <c r="N74" s="318" t="s">
        <v>5623</v>
      </c>
      <c r="Q74" s="316" t="s">
        <v>3306</v>
      </c>
      <c r="S74" s="1953">
        <f>IF(S73=0.38,0.23,0.22)</f>
        <v>0.23</v>
      </c>
      <c r="T74" s="1953"/>
      <c r="U74" s="1953"/>
      <c r="V74" s="1953"/>
      <c r="W74" s="1953"/>
      <c r="X74" s="1953"/>
      <c r="Y74" s="1953"/>
      <c r="Z74" s="1953"/>
      <c r="AA74" s="1953"/>
      <c r="AB74" s="1953"/>
      <c r="AC74" s="1953"/>
      <c r="AD74" s="1953"/>
      <c r="AE74" s="1953"/>
      <c r="AF74" s="1953"/>
      <c r="AG74" s="1953"/>
      <c r="AH74" s="1953"/>
      <c r="AI74" s="1953"/>
      <c r="AJ74" s="1953"/>
      <c r="AK74" s="1953"/>
      <c r="AL74" s="1953"/>
    </row>
    <row r="75" spans="1:38" ht="20.100000000000001" customHeight="1">
      <c r="A75" s="767"/>
      <c r="E75" s="316"/>
      <c r="N75" s="318" t="s">
        <v>3940</v>
      </c>
      <c r="Q75" s="342" t="s">
        <v>3939</v>
      </c>
      <c r="S75" s="1954">
        <f>VLOOKUP(NL!U29,NL!BZ29:DD50,NL!CB26,FALSE)</f>
        <v>160</v>
      </c>
      <c r="T75" s="1954"/>
      <c r="U75" s="1954"/>
      <c r="V75" s="1954"/>
      <c r="W75" s="1954"/>
      <c r="X75" s="1954"/>
      <c r="Y75" s="1954"/>
      <c r="Z75" s="1954"/>
      <c r="AA75" s="1954"/>
      <c r="AB75" s="1954"/>
      <c r="AC75" s="1954"/>
      <c r="AD75" s="1954"/>
      <c r="AE75" s="1954"/>
      <c r="AF75" s="1954"/>
      <c r="AG75" s="1954"/>
      <c r="AH75" s="1954"/>
      <c r="AI75" s="1954"/>
      <c r="AJ75" s="1954"/>
      <c r="AK75" s="1954"/>
      <c r="AL75" s="1954"/>
    </row>
    <row r="76" spans="1:38" ht="20.100000000000001" customHeight="1">
      <c r="A76" s="767"/>
      <c r="E76" s="329"/>
      <c r="J76" s="1859" t="s">
        <v>3387</v>
      </c>
      <c r="K76" s="1859"/>
      <c r="L76" s="1859" t="s">
        <v>3306</v>
      </c>
      <c r="M76" s="1908" t="s">
        <v>4131</v>
      </c>
      <c r="N76" s="1908"/>
      <c r="O76" s="1908"/>
      <c r="P76" s="1908"/>
      <c r="Q76" s="1908"/>
      <c r="R76" s="1908"/>
      <c r="S76" s="1908"/>
      <c r="T76" s="1974" t="s">
        <v>4133</v>
      </c>
      <c r="U76" s="1974"/>
      <c r="V76" s="1974"/>
      <c r="W76" s="1908" t="s">
        <v>3058</v>
      </c>
      <c r="X76" s="1908"/>
      <c r="Y76" s="1908"/>
      <c r="Z76" s="1908"/>
      <c r="AA76" s="1908"/>
      <c r="AB76" s="1908"/>
      <c r="AC76" s="1974" t="s">
        <v>3059</v>
      </c>
      <c r="AD76" s="1974"/>
      <c r="AE76" s="367"/>
      <c r="AF76" s="367"/>
    </row>
    <row r="77" spans="1:38" ht="20.100000000000001" customHeight="1">
      <c r="A77" s="767"/>
      <c r="J77" s="1859"/>
      <c r="K77" s="1859"/>
      <c r="L77" s="1859"/>
      <c r="M77" s="1913" t="s">
        <v>4132</v>
      </c>
      <c r="N77" s="1913"/>
      <c r="O77" s="1913"/>
      <c r="P77" s="1913"/>
      <c r="Q77" s="1913"/>
      <c r="R77" s="1913"/>
      <c r="S77" s="1913"/>
      <c r="T77" s="1974"/>
      <c r="U77" s="1974"/>
      <c r="V77" s="1974"/>
      <c r="W77" s="1913" t="s">
        <v>3940</v>
      </c>
      <c r="X77" s="1913"/>
      <c r="Y77" s="1913"/>
      <c r="Z77" s="1913"/>
      <c r="AA77" s="1913"/>
      <c r="AB77" s="1913"/>
      <c r="AC77" s="1974"/>
      <c r="AD77" s="1974"/>
      <c r="AE77" s="367"/>
      <c r="AF77" s="367"/>
    </row>
    <row r="78" spans="1:38" ht="5.0999999999999996" customHeight="1">
      <c r="A78" s="767"/>
      <c r="J78" s="316"/>
      <c r="K78" s="316"/>
      <c r="L78" s="316"/>
      <c r="M78" s="355"/>
      <c r="N78" s="355"/>
      <c r="O78" s="355"/>
      <c r="P78" s="355"/>
      <c r="Q78" s="355"/>
      <c r="R78" s="355"/>
      <c r="S78" s="355"/>
      <c r="T78" s="362"/>
      <c r="U78" s="362"/>
      <c r="V78" s="362"/>
      <c r="W78" s="355"/>
      <c r="X78" s="355"/>
      <c r="Y78" s="355"/>
      <c r="Z78" s="355"/>
      <c r="AA78" s="355"/>
      <c r="AB78" s="355"/>
      <c r="AC78" s="362"/>
      <c r="AD78" s="362"/>
      <c r="AE78" s="367"/>
      <c r="AF78" s="367"/>
    </row>
    <row r="79" spans="1:38" ht="14.1" customHeight="1">
      <c r="A79" s="767"/>
      <c r="J79" s="1859" t="s">
        <v>3387</v>
      </c>
      <c r="K79" s="1859"/>
      <c r="L79" s="1859" t="s">
        <v>3306</v>
      </c>
      <c r="M79" s="1968">
        <f>S71</f>
        <v>1.94</v>
      </c>
      <c r="N79" s="1969"/>
      <c r="O79" s="1969"/>
      <c r="P79" s="1971" t="str">
        <f>".  "&amp;S73</f>
        <v>.  0,38</v>
      </c>
      <c r="Q79" s="1971"/>
      <c r="R79" s="1971"/>
      <c r="S79" s="360">
        <v>2</v>
      </c>
      <c r="T79" s="1974" t="s">
        <v>4133</v>
      </c>
      <c r="U79" s="1974"/>
      <c r="V79" s="1974"/>
      <c r="W79" s="1994">
        <f>S72</f>
        <v>4</v>
      </c>
      <c r="X79" s="1994"/>
      <c r="Y79" s="1971" t="str">
        <f>".   "&amp;S73</f>
        <v>.   0,38</v>
      </c>
      <c r="Z79" s="1971"/>
      <c r="AA79" s="1971"/>
      <c r="AB79" s="360">
        <v>2</v>
      </c>
      <c r="AC79" s="1974" t="s">
        <v>3059</v>
      </c>
      <c r="AD79" s="1974"/>
      <c r="AE79" s="362"/>
      <c r="AF79" s="362"/>
    </row>
    <row r="80" spans="1:38" ht="14.1" customHeight="1">
      <c r="A80" s="767"/>
      <c r="J80" s="1859"/>
      <c r="K80" s="1859"/>
      <c r="L80" s="1859"/>
      <c r="M80" s="1970"/>
      <c r="N80" s="1970"/>
      <c r="O80" s="1970"/>
      <c r="P80" s="1972"/>
      <c r="Q80" s="1972"/>
      <c r="R80" s="1972"/>
      <c r="S80" s="370"/>
      <c r="T80" s="1974"/>
      <c r="U80" s="1974"/>
      <c r="V80" s="1974"/>
      <c r="W80" s="1995"/>
      <c r="X80" s="1995"/>
      <c r="Y80" s="1972"/>
      <c r="Z80" s="1972"/>
      <c r="AA80" s="1972"/>
      <c r="AB80" s="369"/>
      <c r="AC80" s="1974"/>
      <c r="AD80" s="1974"/>
      <c r="AE80" s="362"/>
      <c r="AF80" s="362"/>
    </row>
    <row r="81" spans="1:32" ht="14.1" customHeight="1">
      <c r="A81" s="767"/>
      <c r="J81" s="1859"/>
      <c r="K81" s="1859"/>
      <c r="L81" s="1859"/>
      <c r="M81" s="1947">
        <f>S75</f>
        <v>160</v>
      </c>
      <c r="N81" s="1947"/>
      <c r="O81" s="1947"/>
      <c r="P81" s="1947"/>
      <c r="Q81" s="1947"/>
      <c r="R81" s="360">
        <v>2</v>
      </c>
      <c r="T81" s="1974"/>
      <c r="U81" s="1974"/>
      <c r="V81" s="1974"/>
      <c r="W81" s="1947">
        <f>S75</f>
        <v>160</v>
      </c>
      <c r="X81" s="1947"/>
      <c r="Y81" s="1947"/>
      <c r="Z81" s="1947"/>
      <c r="AA81" s="360">
        <v>2</v>
      </c>
      <c r="AB81" s="360"/>
      <c r="AC81" s="1974"/>
      <c r="AD81" s="1974"/>
      <c r="AE81" s="362"/>
      <c r="AF81" s="362"/>
    </row>
    <row r="82" spans="1:32" ht="14.1" customHeight="1">
      <c r="A82" s="767"/>
      <c r="J82" s="1859"/>
      <c r="K82" s="1859"/>
      <c r="L82" s="1859"/>
      <c r="M82" s="1869"/>
      <c r="N82" s="1869"/>
      <c r="O82" s="1869"/>
      <c r="P82" s="1869"/>
      <c r="Q82" s="1869"/>
      <c r="R82" s="336"/>
      <c r="T82" s="1974"/>
      <c r="U82" s="1974"/>
      <c r="V82" s="1974"/>
      <c r="W82" s="1869"/>
      <c r="X82" s="1869"/>
      <c r="Y82" s="1869"/>
      <c r="Z82" s="1869"/>
      <c r="AA82" s="336"/>
      <c r="AB82" s="355"/>
      <c r="AC82" s="1974"/>
      <c r="AD82" s="1974"/>
      <c r="AE82" s="362"/>
      <c r="AF82" s="362"/>
    </row>
    <row r="83" spans="1:32" ht="20.100000000000001" customHeight="1">
      <c r="A83" s="767"/>
      <c r="L83" s="319" t="s">
        <v>3306</v>
      </c>
      <c r="M83" s="1858" t="str">
        <f>ROUND((((S71*(S73^2))/(S75)^2))*10^6,3)&amp;" + j."&amp;ROUND(((S72*(S73^2)/S75)*10^4),4)</f>
        <v>10,943 + j.36,1</v>
      </c>
      <c r="N83" s="1858"/>
      <c r="O83" s="1858"/>
      <c r="P83" s="1858"/>
      <c r="Q83" s="1858"/>
      <c r="R83" s="1858"/>
      <c r="S83" s="1858"/>
      <c r="T83" s="1858"/>
      <c r="U83" s="314" t="s">
        <v>5653</v>
      </c>
    </row>
    <row r="84" spans="1:32" ht="20.100000000000001" customHeight="1">
      <c r="A84" s="767"/>
      <c r="D84" s="314" t="s">
        <v>3431</v>
      </c>
    </row>
    <row r="85" spans="1:32" ht="20.100000000000001" customHeight="1">
      <c r="A85" s="767"/>
      <c r="D85" s="329"/>
      <c r="E85" s="329"/>
      <c r="F85" s="329"/>
      <c r="G85" s="329"/>
      <c r="H85" s="329"/>
      <c r="I85" s="329"/>
      <c r="N85" s="318" t="s">
        <v>6271</v>
      </c>
      <c r="Q85" s="317" t="s">
        <v>3306</v>
      </c>
      <c r="S85" s="1858">
        <v>18.8</v>
      </c>
      <c r="T85" s="1858"/>
      <c r="U85" s="1858"/>
      <c r="V85" s="314" t="s">
        <v>5654</v>
      </c>
    </row>
    <row r="86" spans="1:32" ht="20.100000000000001" customHeight="1">
      <c r="A86" s="767"/>
      <c r="E86" s="317"/>
      <c r="N86" s="318" t="s">
        <v>3943</v>
      </c>
      <c r="Q86" s="317" t="s">
        <v>3306</v>
      </c>
      <c r="S86" s="1858">
        <v>0.1</v>
      </c>
      <c r="T86" s="1858"/>
      <c r="U86" s="1858"/>
      <c r="V86" s="318" t="s">
        <v>5655</v>
      </c>
    </row>
    <row r="87" spans="1:32" ht="20.100000000000001" customHeight="1">
      <c r="A87" s="767"/>
      <c r="E87" s="317"/>
      <c r="I87" s="329"/>
      <c r="N87" s="318" t="s">
        <v>3944</v>
      </c>
      <c r="Q87" s="317" t="s">
        <v>3306</v>
      </c>
      <c r="S87" s="1858">
        <v>0.01</v>
      </c>
      <c r="T87" s="1858"/>
      <c r="U87" s="1858"/>
      <c r="V87" s="314" t="s">
        <v>3392</v>
      </c>
    </row>
    <row r="88" spans="1:32" ht="20.100000000000001" customHeight="1">
      <c r="A88" s="767"/>
      <c r="E88" s="317"/>
      <c r="I88" s="329"/>
      <c r="N88" s="318" t="s">
        <v>3854</v>
      </c>
      <c r="Q88" s="317" t="s">
        <v>3306</v>
      </c>
      <c r="S88" s="1858">
        <f>VLOOKUP(NL!U29,NL!BZ29:DD50,NL!CZ26,FALSE)</f>
        <v>50</v>
      </c>
      <c r="T88" s="1858"/>
      <c r="U88" s="1858"/>
      <c r="V88" s="314" t="s">
        <v>3284</v>
      </c>
    </row>
    <row r="89" spans="1:32" ht="20.100000000000001" customHeight="1">
      <c r="A89" s="767"/>
      <c r="J89" s="1859" t="s">
        <v>3389</v>
      </c>
      <c r="K89" s="1859"/>
      <c r="L89" s="314" t="s">
        <v>3306</v>
      </c>
      <c r="M89" s="314" t="s">
        <v>3388</v>
      </c>
      <c r="Q89" s="317"/>
      <c r="S89" s="317"/>
      <c r="T89" s="317"/>
      <c r="U89" s="317"/>
    </row>
    <row r="90" spans="1:32" ht="20.100000000000001" customHeight="1">
      <c r="A90" s="767"/>
      <c r="L90" s="1859" t="s">
        <v>3306</v>
      </c>
      <c r="M90" s="1859" t="s">
        <v>3390</v>
      </c>
      <c r="N90" s="356" t="s">
        <v>3944</v>
      </c>
      <c r="O90" s="1862" t="s">
        <v>3391</v>
      </c>
      <c r="P90" s="1862"/>
      <c r="Q90" s="1862"/>
      <c r="R90" s="1862"/>
      <c r="S90" s="367"/>
      <c r="T90" s="367"/>
      <c r="U90" s="367"/>
    </row>
    <row r="91" spans="1:32" ht="20.100000000000001" customHeight="1">
      <c r="A91" s="767"/>
      <c r="L91" s="1859"/>
      <c r="M91" s="1859"/>
      <c r="N91" s="355" t="s">
        <v>3854</v>
      </c>
      <c r="O91" s="1862"/>
      <c r="P91" s="1862"/>
      <c r="Q91" s="1862"/>
      <c r="R91" s="1862"/>
      <c r="S91" s="367"/>
      <c r="T91" s="367"/>
      <c r="U91" s="367"/>
    </row>
    <row r="92" spans="1:32" ht="20.100000000000001" customHeight="1">
      <c r="A92" s="767"/>
      <c r="L92" s="319" t="s">
        <v>3306</v>
      </c>
      <c r="M92" s="314" t="str">
        <f>ROUND(((S85*S87)/S88),4)&amp;" + j."&amp;ROUND((S86*S87),4)</f>
        <v>0,0038 + j.0,001</v>
      </c>
      <c r="T92" s="314" t="s">
        <v>5653</v>
      </c>
    </row>
    <row r="93" spans="1:32" ht="20.100000000000001" customHeight="1">
      <c r="A93" s="767"/>
      <c r="D93" s="314" t="s">
        <v>5456</v>
      </c>
    </row>
    <row r="94" spans="1:32" ht="20.100000000000001" customHeight="1">
      <c r="A94" s="767"/>
      <c r="D94" s="329"/>
      <c r="J94" s="1859" t="s">
        <v>5455</v>
      </c>
      <c r="K94" s="1859"/>
      <c r="L94" s="314" t="s">
        <v>3306</v>
      </c>
      <c r="M94" s="314" t="s">
        <v>4077</v>
      </c>
    </row>
    <row r="95" spans="1:32" ht="20.100000000000001" customHeight="1">
      <c r="A95" s="767"/>
      <c r="D95" s="329"/>
      <c r="J95" s="316"/>
      <c r="K95" s="316"/>
      <c r="L95" s="314" t="s">
        <v>3306</v>
      </c>
      <c r="M95" s="314" t="s">
        <v>5048</v>
      </c>
    </row>
    <row r="96" spans="1:32" ht="20.100000000000001" customHeight="1">
      <c r="A96" s="767"/>
      <c r="L96" s="326" t="s">
        <v>3306</v>
      </c>
      <c r="M96" s="357" t="str">
        <f>"("&amp;VLOOKUP(NL!U29,NL!BZ29:DD50,16,FALSE)&amp;" + "&amp;VLOOKUP(NL!U29,NL!BZ29:DD50,17,FALSE)&amp;") + j."&amp;VLOOKUP(NL!U29,NL!BZ29:DD50,18,FALSE)</f>
        <v>(0,6 + 0,28) + j.0,36</v>
      </c>
      <c r="N96" s="358"/>
      <c r="O96" s="358"/>
      <c r="P96" s="358"/>
      <c r="Q96" s="358"/>
      <c r="R96" s="359"/>
      <c r="S96" s="359"/>
      <c r="T96" s="359"/>
      <c r="U96" s="359"/>
    </row>
    <row r="97" spans="1:38" ht="20.100000000000001" customHeight="1">
      <c r="A97" s="767"/>
      <c r="L97" s="326" t="s">
        <v>3306</v>
      </c>
      <c r="M97" s="354" t="str">
        <f>VLOOKUP(NL!U29,NL!BZ29:DD50,16,FALSE)+VLOOKUP(NL!U29,NL!BZ29:DD50,17,FALSE)&amp;" + j."&amp;VLOOKUP(NL!U29,NL!BZ29:DD50,18,FALSE)</f>
        <v>0,88 + j.0,36</v>
      </c>
      <c r="N97" s="358"/>
      <c r="O97" s="358"/>
      <c r="P97" s="358"/>
      <c r="Q97" s="358"/>
      <c r="R97" s="314" t="s">
        <v>5653</v>
      </c>
      <c r="S97" s="359"/>
      <c r="T97" s="359"/>
      <c r="U97" s="359"/>
    </row>
    <row r="98" spans="1:38" ht="20.100000000000001" customHeight="1">
      <c r="A98" s="767"/>
      <c r="G98" s="314" t="s">
        <v>5049</v>
      </c>
      <c r="L98" s="326"/>
      <c r="M98" s="357"/>
      <c r="N98" s="358"/>
      <c r="O98" s="358"/>
      <c r="P98" s="358"/>
      <c r="Q98" s="358"/>
      <c r="R98" s="359"/>
      <c r="S98" s="359"/>
      <c r="T98" s="359"/>
      <c r="U98" s="359"/>
    </row>
    <row r="99" spans="1:38" ht="20.100000000000001" customHeight="1">
      <c r="A99" s="767"/>
      <c r="K99" s="314" t="s">
        <v>6302</v>
      </c>
      <c r="M99" s="341" t="s">
        <v>6303</v>
      </c>
      <c r="N99" s="358"/>
      <c r="O99" s="358"/>
      <c r="P99" s="358"/>
      <c r="Q99" s="358"/>
      <c r="R99" s="359"/>
      <c r="S99" s="359"/>
      <c r="T99" s="359"/>
      <c r="U99" s="359"/>
    </row>
    <row r="100" spans="1:38" ht="20.100000000000001" customHeight="1">
      <c r="A100" s="767"/>
      <c r="K100" s="314" t="s">
        <v>6304</v>
      </c>
      <c r="M100" s="354" t="s">
        <v>6305</v>
      </c>
      <c r="N100" s="358"/>
      <c r="O100" s="358"/>
      <c r="P100" s="358"/>
      <c r="Q100" s="358"/>
      <c r="R100" s="359"/>
      <c r="S100" s="359"/>
      <c r="T100" s="359"/>
      <c r="U100" s="359"/>
    </row>
    <row r="101" spans="1:38" ht="20.100000000000001" customHeight="1">
      <c r="A101" s="767"/>
      <c r="K101" s="314" t="s">
        <v>6306</v>
      </c>
      <c r="M101" s="354" t="s">
        <v>6307</v>
      </c>
      <c r="N101" s="358"/>
      <c r="O101" s="358"/>
      <c r="P101" s="358"/>
      <c r="Q101" s="358"/>
      <c r="R101" s="359"/>
      <c r="S101" s="359"/>
      <c r="T101" s="359"/>
      <c r="U101" s="359"/>
    </row>
    <row r="102" spans="1:38" ht="20.100000000000001" customHeight="1">
      <c r="A102" s="767"/>
      <c r="L102" s="326"/>
      <c r="M102" s="357"/>
      <c r="N102" s="358"/>
      <c r="O102" s="358"/>
      <c r="P102" s="358"/>
      <c r="Q102" s="358"/>
      <c r="R102" s="359"/>
      <c r="S102" s="359"/>
      <c r="T102" s="359"/>
      <c r="U102" s="359"/>
    </row>
    <row r="103" spans="1:38" ht="20.100000000000001" customHeight="1">
      <c r="A103" s="767"/>
      <c r="D103" s="314" t="s">
        <v>2790</v>
      </c>
    </row>
    <row r="104" spans="1:38" ht="20.100000000000001" customHeight="1">
      <c r="A104" s="767"/>
      <c r="J104" s="1859" t="s">
        <v>6112</v>
      </c>
      <c r="K104" s="1859"/>
      <c r="L104" s="1859" t="s">
        <v>3306</v>
      </c>
      <c r="M104" s="1863" t="s">
        <v>5623</v>
      </c>
      <c r="N104" s="1863"/>
      <c r="O104" s="1863"/>
      <c r="P104" s="1863"/>
      <c r="Q104" s="1863"/>
      <c r="R104" s="1863"/>
      <c r="S104" s="1863"/>
      <c r="T104" s="1863"/>
      <c r="U104" s="1863"/>
      <c r="V104" s="1863"/>
      <c r="W104" s="1863"/>
      <c r="X104" s="1863"/>
      <c r="Y104" s="1863"/>
      <c r="Z104" s="1863"/>
      <c r="AA104" s="1863"/>
      <c r="AB104" s="1863"/>
      <c r="AC104" s="1863"/>
      <c r="AD104" s="1863"/>
    </row>
    <row r="105" spans="1:38" ht="21.75" customHeight="1">
      <c r="A105" s="767"/>
      <c r="J105" s="1859"/>
      <c r="K105" s="1859"/>
      <c r="L105" s="1859"/>
      <c r="N105" s="314" t="s">
        <v>5244</v>
      </c>
    </row>
    <row r="106" spans="1:38" ht="15" customHeight="1">
      <c r="A106" s="767"/>
      <c r="L106" s="1859" t="s">
        <v>3306</v>
      </c>
      <c r="M106" s="1988">
        <f>S74*1000</f>
        <v>230</v>
      </c>
      <c r="N106" s="1988"/>
      <c r="O106" s="1988"/>
      <c r="P106" s="1988"/>
      <c r="Q106" s="1988"/>
      <c r="R106" s="1988"/>
      <c r="S106" s="1988"/>
      <c r="T106" s="1988"/>
      <c r="U106" s="1988"/>
      <c r="V106" s="1988"/>
      <c r="W106" s="1988"/>
      <c r="X106" s="1988"/>
      <c r="Y106" s="1988"/>
      <c r="Z106" s="1988"/>
      <c r="AA106" s="1988"/>
      <c r="AB106" s="1988"/>
      <c r="AC106" s="1988"/>
      <c r="AD106" s="1988"/>
      <c r="AE106" s="1988"/>
      <c r="AF106" s="1988"/>
      <c r="AG106" s="1988"/>
      <c r="AH106" s="1988"/>
      <c r="AI106" s="1988"/>
      <c r="AJ106" s="379"/>
      <c r="AK106" s="379"/>
      <c r="AL106" s="379"/>
    </row>
    <row r="107" spans="1:38" ht="15" customHeight="1">
      <c r="A107" s="767"/>
      <c r="L107" s="1859"/>
      <c r="M107" s="1935" t="str">
        <f>"("&amp;ROUND((((S71*(S73^2))/(S75)^2))*10^6,3)&amp;" + "&amp;ROUND(((S85*S87)/S88),4)&amp;" + "&amp;VLOOKUP(NL!U29,NL!BZ29:DD50,16,FALSE)+VLOOKUP(NL!U29,NL!BZ29:DD50,17,FALSE)&amp;")"</f>
        <v>(10,943 + 0,0038 + 0,88)</v>
      </c>
      <c r="N107" s="1983"/>
      <c r="O107" s="1983"/>
      <c r="P107" s="1983"/>
      <c r="Q107" s="1983"/>
      <c r="R107" s="1983"/>
      <c r="S107" s="1983"/>
      <c r="T107" s="1983"/>
      <c r="U107" s="1983"/>
      <c r="V107" s="1983"/>
      <c r="W107" s="360">
        <v>2</v>
      </c>
      <c r="X107" s="1902" t="str">
        <f>"+ ("&amp;ROUND(((S72*(S73^2)/S75)*10^4),4)&amp;" + "&amp;ROUND((S86*S87),4)&amp;" + "&amp;VLOOKUP(NL!U29,NL!BZ29:DD50,18,FALSE)&amp;")"</f>
        <v>+ (36,1 + 0,001 + 0,36)</v>
      </c>
      <c r="Y107" s="1858"/>
      <c r="Z107" s="1858"/>
      <c r="AA107" s="1858"/>
      <c r="AB107" s="1858"/>
      <c r="AC107" s="1858"/>
      <c r="AD107" s="1858"/>
      <c r="AE107" s="1858"/>
      <c r="AF107" s="1858"/>
      <c r="AG107" s="1858"/>
      <c r="AH107" s="1858"/>
      <c r="AI107" s="360">
        <v>2</v>
      </c>
      <c r="AJ107" s="360"/>
      <c r="AK107" s="360"/>
      <c r="AL107" s="360"/>
    </row>
    <row r="108" spans="1:38" ht="15.75" customHeight="1">
      <c r="A108" s="767"/>
      <c r="M108" s="1858"/>
      <c r="N108" s="1858"/>
      <c r="O108" s="1858"/>
      <c r="P108" s="1858"/>
      <c r="Q108" s="1858"/>
      <c r="R108" s="1858"/>
      <c r="S108" s="1858"/>
      <c r="T108" s="1858"/>
      <c r="U108" s="1858"/>
      <c r="V108" s="1858"/>
      <c r="X108" s="1858"/>
      <c r="Y108" s="1858"/>
      <c r="Z108" s="1858"/>
      <c r="AA108" s="1858"/>
      <c r="AB108" s="1858"/>
      <c r="AC108" s="1858"/>
      <c r="AD108" s="1858"/>
      <c r="AE108" s="1858"/>
      <c r="AF108" s="1858"/>
      <c r="AG108" s="1858"/>
      <c r="AH108" s="1858"/>
    </row>
    <row r="109" spans="1:38" ht="20.100000000000001" customHeight="1">
      <c r="A109" s="767"/>
      <c r="L109" s="319" t="s">
        <v>3306</v>
      </c>
      <c r="M109" s="1957">
        <f>ROUND((S74*1000)/SQRT((((ROUND((((S71*(S73^2))/(S75)^2))*10^6,3)+ROUND(((S85*S87)/S88),4)+VLOOKUP(NL!U29,NL!BZ29:DD50,16,FALSE)+VLOOKUP(NL!U29,NL!BZ29:DD50,17,FALSE))^2)+((ROUND(((S72*(S73^2)/S75)*10^4),4)+ROUND((S86*S87),4)+VLOOKUP(NL!U29,NL!BZ29:DD50,18,FALSE))^2))),3)</f>
        <v>6</v>
      </c>
      <c r="N109" s="1957"/>
      <c r="O109" s="1957"/>
      <c r="P109" s="1957"/>
      <c r="Q109" s="1957"/>
      <c r="R109" s="1957"/>
      <c r="S109" s="1957"/>
      <c r="T109" s="1957"/>
      <c r="U109" s="1957"/>
      <c r="V109" s="1957"/>
      <c r="W109" s="1957"/>
      <c r="X109" s="1957"/>
      <c r="Y109" s="1957"/>
      <c r="Z109" s="1957"/>
      <c r="AA109" s="1957"/>
      <c r="AB109" s="1957"/>
      <c r="AC109" s="1957"/>
      <c r="AD109" s="1957"/>
      <c r="AE109" s="1957"/>
      <c r="AF109" s="1957"/>
      <c r="AG109" s="1957"/>
      <c r="AH109" s="1957"/>
      <c r="AI109" s="1957"/>
      <c r="AJ109" s="1957"/>
      <c r="AK109" s="1957"/>
      <c r="AL109" s="1957"/>
    </row>
    <row r="110" spans="1:38" ht="20.100000000000001" customHeight="1">
      <c r="A110" s="767"/>
      <c r="J110" s="1959" t="s">
        <v>6115</v>
      </c>
      <c r="K110" s="1960"/>
      <c r="L110" s="1960"/>
      <c r="M110" s="1960"/>
      <c r="N110" s="1960"/>
      <c r="O110" s="1960"/>
      <c r="Q110" s="316" t="s">
        <v>2182</v>
      </c>
      <c r="S110" s="1862" t="s">
        <v>6112</v>
      </c>
      <c r="T110" s="1862"/>
      <c r="U110" s="1862"/>
      <c r="V110" s="1862"/>
      <c r="W110" s="1862"/>
      <c r="X110" s="1862"/>
      <c r="Y110" s="1862"/>
      <c r="Z110" s="1862"/>
      <c r="AA110" s="1862"/>
      <c r="AB110" s="1862"/>
      <c r="AC110" s="1862"/>
      <c r="AD110" s="1862"/>
      <c r="AE110" s="1862"/>
      <c r="AF110" s="1862"/>
      <c r="AG110" s="1862"/>
      <c r="AH110" s="1862"/>
      <c r="AI110" s="1862"/>
      <c r="AJ110" s="1862"/>
      <c r="AK110" s="1862"/>
      <c r="AL110" s="1862"/>
    </row>
    <row r="111" spans="1:38" ht="20.100000000000001" customHeight="1">
      <c r="A111" s="767"/>
      <c r="J111" s="1990">
        <f>R58</f>
        <v>15</v>
      </c>
      <c r="K111" s="1991"/>
      <c r="L111" s="1991"/>
      <c r="M111" s="1991"/>
      <c r="N111" s="1991"/>
      <c r="O111" s="1991"/>
      <c r="Q111" s="316" t="s">
        <v>2182</v>
      </c>
      <c r="S111" s="1987">
        <f>M109</f>
        <v>6</v>
      </c>
      <c r="T111" s="1987"/>
      <c r="U111" s="1987"/>
      <c r="V111" s="1987"/>
      <c r="W111" s="1987"/>
      <c r="X111" s="1987"/>
      <c r="Y111" s="1987"/>
      <c r="Z111" s="1987"/>
      <c r="AA111" s="1987"/>
      <c r="AB111" s="1987"/>
      <c r="AC111" s="1987"/>
      <c r="AD111" s="1987"/>
      <c r="AE111" s="1987"/>
      <c r="AF111" s="1987"/>
      <c r="AG111" s="1987"/>
      <c r="AH111" s="1987"/>
      <c r="AI111" s="1987"/>
      <c r="AJ111" s="1987"/>
      <c r="AK111" s="1987"/>
      <c r="AL111" s="1987"/>
    </row>
    <row r="112" spans="1:38" ht="20.100000000000001" customHeight="1">
      <c r="A112" s="767"/>
      <c r="C112" s="322" t="s">
        <v>6187</v>
      </c>
      <c r="D112" s="322"/>
      <c r="E112" s="322"/>
      <c r="F112" s="322"/>
      <c r="G112" s="322"/>
      <c r="H112" s="322"/>
      <c r="I112" s="322"/>
      <c r="J112" s="322"/>
      <c r="K112" s="322"/>
    </row>
    <row r="113" spans="1:38" ht="9.75" customHeight="1">
      <c r="A113" s="767"/>
      <c r="C113" s="327"/>
      <c r="D113" s="327"/>
      <c r="E113" s="327"/>
      <c r="F113" s="327"/>
      <c r="G113" s="327"/>
      <c r="H113" s="327"/>
      <c r="I113" s="327"/>
      <c r="J113" s="327"/>
      <c r="K113" s="327"/>
      <c r="L113" s="327"/>
      <c r="M113" s="327"/>
      <c r="N113" s="338"/>
      <c r="O113" s="327"/>
      <c r="P113" s="327"/>
      <c r="Q113" s="327"/>
      <c r="R113" s="327"/>
      <c r="S113" s="327"/>
      <c r="T113" s="327"/>
      <c r="U113" s="327"/>
      <c r="V113" s="327"/>
      <c r="W113" s="327"/>
      <c r="AH113" s="328"/>
      <c r="AI113" s="328"/>
      <c r="AJ113" s="328"/>
      <c r="AK113" s="328"/>
      <c r="AL113" s="328"/>
    </row>
    <row r="114" spans="1:38" ht="20.100000000000001" customHeight="1">
      <c r="A114" s="767"/>
      <c r="C114" s="327"/>
      <c r="D114" s="327"/>
      <c r="E114" s="327"/>
      <c r="F114" s="327"/>
      <c r="G114" s="327"/>
      <c r="H114" s="327"/>
      <c r="I114" s="327"/>
      <c r="J114" s="327"/>
      <c r="K114" s="327"/>
      <c r="L114" s="327"/>
      <c r="M114" s="327"/>
      <c r="N114" s="338"/>
      <c r="O114" s="327"/>
      <c r="P114" s="327"/>
      <c r="Q114" s="327"/>
      <c r="R114" s="327"/>
      <c r="S114" s="327"/>
      <c r="T114" s="327"/>
      <c r="U114" s="327"/>
      <c r="V114" s="327"/>
      <c r="W114" s="327"/>
      <c r="AH114" s="328"/>
      <c r="AI114" s="328"/>
      <c r="AJ114" s="328"/>
      <c r="AK114" s="328"/>
      <c r="AL114" s="328"/>
    </row>
    <row r="115" spans="1:38" ht="30" customHeight="1">
      <c r="A115" s="767"/>
      <c r="C115" s="327"/>
      <c r="D115" s="327"/>
      <c r="E115" s="327"/>
      <c r="F115" s="327"/>
      <c r="G115" s="327"/>
      <c r="H115" s="327"/>
      <c r="I115" s="327"/>
      <c r="J115" s="327"/>
      <c r="K115" s="327"/>
      <c r="L115" s="327"/>
      <c r="M115" s="327"/>
      <c r="N115" s="338"/>
      <c r="O115" s="327"/>
      <c r="P115" s="327"/>
      <c r="Q115" s="327"/>
      <c r="R115" s="327"/>
      <c r="S115" s="327"/>
      <c r="T115" s="327"/>
      <c r="U115" s="327"/>
      <c r="V115" s="327"/>
      <c r="W115" s="327"/>
      <c r="AH115" s="328"/>
      <c r="AI115" s="328"/>
      <c r="AJ115" s="328"/>
      <c r="AK115" s="328"/>
      <c r="AL115" s="328"/>
    </row>
    <row r="116" spans="1:38" ht="20.100000000000001" customHeight="1">
      <c r="A116" s="767"/>
      <c r="C116" s="327"/>
      <c r="D116" s="327"/>
      <c r="E116" s="327"/>
      <c r="F116" s="327"/>
      <c r="G116" s="327"/>
      <c r="H116" s="327"/>
      <c r="I116" s="327"/>
      <c r="J116" s="327"/>
      <c r="K116" s="327"/>
      <c r="L116" s="327"/>
      <c r="M116" s="327"/>
      <c r="N116" s="338"/>
      <c r="O116" s="327"/>
      <c r="P116" s="327"/>
      <c r="Q116" s="327"/>
      <c r="R116" s="327"/>
      <c r="S116" s="327"/>
      <c r="T116" s="327"/>
      <c r="U116" s="327"/>
      <c r="V116" s="327"/>
      <c r="W116" s="327"/>
      <c r="AH116" s="328"/>
      <c r="AI116" s="328"/>
      <c r="AJ116" s="328"/>
      <c r="AK116" s="328"/>
      <c r="AL116" s="328"/>
    </row>
    <row r="117" spans="1:38" ht="20.100000000000001" customHeight="1">
      <c r="A117" s="767"/>
      <c r="C117" s="327"/>
      <c r="D117" s="327"/>
      <c r="E117" s="327"/>
      <c r="F117" s="327"/>
      <c r="G117" s="327"/>
      <c r="H117" s="327"/>
      <c r="I117" s="327"/>
      <c r="J117" s="327"/>
      <c r="K117" s="327"/>
      <c r="L117" s="327"/>
      <c r="M117" s="327"/>
      <c r="N117" s="338"/>
      <c r="O117" s="327"/>
      <c r="P117" s="327"/>
      <c r="Q117" s="327"/>
      <c r="R117" s="327"/>
      <c r="S117" s="327"/>
      <c r="T117" s="327"/>
      <c r="U117" s="327"/>
      <c r="V117" s="327"/>
      <c r="W117" s="327"/>
      <c r="AH117" s="328"/>
      <c r="AI117" s="328"/>
      <c r="AJ117" s="328"/>
      <c r="AK117" s="328"/>
      <c r="AL117" s="328"/>
    </row>
    <row r="118" spans="1:38" ht="20.100000000000001" customHeight="1">
      <c r="A118" s="767"/>
      <c r="C118" s="327"/>
      <c r="D118" s="327"/>
      <c r="E118" s="327"/>
      <c r="F118" s="327"/>
      <c r="G118" s="327"/>
      <c r="H118" s="327"/>
      <c r="I118" s="327"/>
      <c r="J118" s="327"/>
      <c r="K118" s="327"/>
      <c r="L118" s="327"/>
      <c r="M118" s="327"/>
      <c r="N118" s="338"/>
      <c r="O118" s="327"/>
      <c r="P118" s="327"/>
      <c r="Q118" s="327"/>
      <c r="R118" s="327"/>
      <c r="S118" s="327"/>
      <c r="T118" s="327"/>
      <c r="U118" s="327"/>
      <c r="V118" s="327"/>
      <c r="W118" s="327"/>
      <c r="AH118" s="328"/>
      <c r="AI118" s="328"/>
      <c r="AJ118" s="328"/>
      <c r="AK118" s="328"/>
      <c r="AL118" s="328"/>
    </row>
    <row r="119" spans="1:38" ht="20.100000000000001" customHeight="1">
      <c r="A119" s="767"/>
      <c r="C119" s="1873" t="s">
        <v>3510</v>
      </c>
      <c r="D119" s="1873"/>
      <c r="E119" s="1873"/>
      <c r="F119" s="1873"/>
      <c r="G119" s="1873"/>
      <c r="H119" s="1873"/>
      <c r="I119" s="1873"/>
      <c r="J119" s="1873"/>
      <c r="K119" s="1873"/>
      <c r="L119" s="1873"/>
      <c r="M119" s="1873"/>
      <c r="N119" s="1873"/>
      <c r="O119" s="1873"/>
      <c r="P119" s="1873"/>
      <c r="Q119" s="1873"/>
      <c r="R119" s="1873"/>
      <c r="S119" s="1873"/>
      <c r="T119" s="1873"/>
      <c r="U119" s="1873"/>
      <c r="V119" s="1873"/>
      <c r="W119" s="1873"/>
      <c r="X119" s="1873"/>
      <c r="Y119" s="1873"/>
      <c r="Z119" s="1873"/>
      <c r="AA119" s="1873"/>
      <c r="AB119" s="1873"/>
      <c r="AC119" s="1873"/>
      <c r="AD119" s="1873"/>
      <c r="AE119" s="1873"/>
      <c r="AF119" s="1873"/>
      <c r="AG119" s="1873"/>
      <c r="AH119" s="1873"/>
      <c r="AI119" s="1873"/>
      <c r="AJ119" s="1873"/>
      <c r="AK119" s="1873"/>
      <c r="AL119" s="1873"/>
    </row>
    <row r="120" spans="1:38" ht="20.100000000000001" customHeight="1">
      <c r="A120" s="767"/>
      <c r="D120" s="314" t="s">
        <v>50</v>
      </c>
    </row>
    <row r="121" spans="1:38" ht="20.100000000000001" customHeight="1">
      <c r="A121" s="767"/>
      <c r="N121" s="318" t="s">
        <v>5964</v>
      </c>
      <c r="Q121" s="316" t="s">
        <v>3306</v>
      </c>
      <c r="S121" s="1986">
        <f>S12</f>
        <v>17.600000000000001</v>
      </c>
      <c r="T121" s="1986"/>
      <c r="U121" s="1986"/>
      <c r="V121" s="1986"/>
      <c r="W121" s="1986"/>
      <c r="X121" s="1986"/>
      <c r="Y121" s="1986"/>
      <c r="Z121" s="1986"/>
      <c r="AA121" s="1986"/>
      <c r="AB121" s="1986"/>
      <c r="AC121" s="1986"/>
      <c r="AD121" s="1986"/>
      <c r="AE121" s="1986"/>
      <c r="AF121" s="1986"/>
      <c r="AG121" s="1986"/>
      <c r="AH121" s="1986"/>
      <c r="AI121" s="1986"/>
      <c r="AJ121" s="1986"/>
      <c r="AK121" s="1986"/>
      <c r="AL121" s="1986"/>
    </row>
    <row r="122" spans="1:38" ht="20.100000000000001" customHeight="1">
      <c r="A122" s="767"/>
      <c r="M122" s="319" t="s">
        <v>5652</v>
      </c>
      <c r="N122" s="318" t="s">
        <v>5965</v>
      </c>
      <c r="Q122" s="316" t="s">
        <v>3306</v>
      </c>
      <c r="S122" s="1986">
        <f>IF(S123=0.38,S121/3,S121)</f>
        <v>5.8666666666666671</v>
      </c>
      <c r="T122" s="1986"/>
      <c r="U122" s="1986"/>
      <c r="V122" s="1986"/>
      <c r="W122" s="1986"/>
      <c r="X122" s="1986"/>
      <c r="Y122" s="1986"/>
      <c r="Z122" s="1986"/>
      <c r="AA122" s="1986"/>
      <c r="AB122" s="1986"/>
      <c r="AC122" s="1986"/>
      <c r="AD122" s="1986"/>
      <c r="AE122" s="1986"/>
      <c r="AF122" s="1986"/>
      <c r="AG122" s="1986"/>
      <c r="AH122" s="1986"/>
      <c r="AI122" s="1986"/>
      <c r="AJ122" s="1986"/>
      <c r="AK122" s="1986"/>
      <c r="AL122" s="1986"/>
    </row>
    <row r="123" spans="1:38" ht="20.100000000000001" customHeight="1">
      <c r="A123" s="767"/>
      <c r="N123" s="318" t="s">
        <v>1077</v>
      </c>
      <c r="Q123" s="316" t="s">
        <v>3306</v>
      </c>
      <c r="S123" s="1953">
        <f>VLOOKUP(NL!U29,NL!BZ29:DD50,NL!CG26,FALSE)</f>
        <v>0.38</v>
      </c>
      <c r="T123" s="1953"/>
      <c r="U123" s="1953"/>
      <c r="V123" s="1953"/>
      <c r="W123" s="1953"/>
      <c r="X123" s="1953"/>
      <c r="Y123" s="1953"/>
      <c r="Z123" s="1953"/>
      <c r="AA123" s="1953"/>
      <c r="AB123" s="1953"/>
      <c r="AC123" s="1953"/>
      <c r="AD123" s="1953"/>
      <c r="AE123" s="1953"/>
      <c r="AF123" s="1953"/>
      <c r="AG123" s="1953"/>
      <c r="AH123" s="1953"/>
      <c r="AI123" s="1953"/>
      <c r="AJ123" s="1953"/>
      <c r="AK123" s="1953"/>
      <c r="AL123" s="1953"/>
    </row>
    <row r="124" spans="1:38" ht="20.100000000000001" customHeight="1">
      <c r="A124" s="767"/>
      <c r="M124" s="319" t="s">
        <v>5652</v>
      </c>
      <c r="N124" s="318" t="s">
        <v>5623</v>
      </c>
      <c r="Q124" s="316" t="s">
        <v>3306</v>
      </c>
      <c r="S124" s="1953">
        <f>IF(S123=0.38,0.23,0.22)</f>
        <v>0.23</v>
      </c>
      <c r="T124" s="1953"/>
      <c r="U124" s="1953"/>
      <c r="V124" s="1953"/>
      <c r="W124" s="1953"/>
      <c r="X124" s="1953"/>
      <c r="Y124" s="1953"/>
      <c r="Z124" s="1953"/>
      <c r="AA124" s="1953"/>
      <c r="AB124" s="1953"/>
      <c r="AC124" s="1953"/>
      <c r="AD124" s="1953"/>
      <c r="AE124" s="1953"/>
      <c r="AF124" s="1953"/>
      <c r="AG124" s="1953"/>
      <c r="AH124" s="1953"/>
      <c r="AI124" s="1953"/>
      <c r="AJ124" s="1953"/>
      <c r="AK124" s="1953"/>
      <c r="AL124" s="1953"/>
    </row>
    <row r="125" spans="1:38" ht="20.100000000000001" customHeight="1">
      <c r="A125" s="767"/>
      <c r="D125" s="329"/>
      <c r="N125" s="1862" t="s">
        <v>2791</v>
      </c>
      <c r="O125" s="1862"/>
      <c r="P125" s="1862"/>
      <c r="Q125" s="1859" t="s">
        <v>3306</v>
      </c>
      <c r="S125" s="1863" t="s">
        <v>5897</v>
      </c>
      <c r="T125" s="1863"/>
      <c r="U125" s="1863"/>
      <c r="V125" s="1863"/>
      <c r="W125" s="1863"/>
      <c r="X125" s="1863"/>
    </row>
    <row r="126" spans="1:38" ht="20.100000000000001" customHeight="1">
      <c r="A126" s="767"/>
      <c r="F126" s="319"/>
      <c r="H126" s="318"/>
      <c r="N126" s="1862"/>
      <c r="O126" s="1862"/>
      <c r="P126" s="1862"/>
      <c r="Q126" s="1859"/>
      <c r="S126" s="1859" t="s">
        <v>5896</v>
      </c>
      <c r="T126" s="1859"/>
      <c r="U126" s="1859"/>
      <c r="V126" s="1859"/>
      <c r="W126" s="1859"/>
      <c r="X126" s="1859"/>
    </row>
    <row r="127" spans="1:38" ht="20.100000000000001" customHeight="1">
      <c r="A127" s="767"/>
      <c r="N127" s="314"/>
      <c r="Q127" s="1859" t="s">
        <v>3306</v>
      </c>
      <c r="S127" s="1963">
        <f>S122</f>
        <v>5.8666666666666671</v>
      </c>
      <c r="T127" s="1963"/>
      <c r="U127" s="1963"/>
      <c r="V127" s="1963"/>
      <c r="W127" s="1963"/>
      <c r="X127" s="1963"/>
    </row>
    <row r="128" spans="1:38" ht="20.100000000000001" customHeight="1">
      <c r="A128" s="767"/>
      <c r="N128" s="314"/>
      <c r="Q128" s="1859"/>
      <c r="S128" s="1913" t="str">
        <f>S124&amp;" . "&amp;S6</f>
        <v>0,23 . 0,8</v>
      </c>
      <c r="T128" s="1913"/>
      <c r="U128" s="1913"/>
      <c r="V128" s="1913"/>
      <c r="W128" s="1913"/>
      <c r="X128" s="1913"/>
    </row>
    <row r="129" spans="1:38" ht="20.100000000000001" customHeight="1">
      <c r="A129" s="767"/>
      <c r="Q129" s="316" t="s">
        <v>3306</v>
      </c>
      <c r="S129" s="1989">
        <f>ROUND((S122)/(S124*S6),3)</f>
        <v>31.884</v>
      </c>
      <c r="T129" s="1989"/>
      <c r="U129" s="1989"/>
      <c r="V129" s="1989"/>
      <c r="W129" s="1989"/>
      <c r="X129" s="1989"/>
      <c r="Y129" s="1989"/>
      <c r="Z129" s="1989"/>
      <c r="AA129" s="1989"/>
      <c r="AB129" s="1989"/>
      <c r="AC129" s="1989"/>
      <c r="AD129" s="1989"/>
      <c r="AE129" s="1989"/>
      <c r="AF129" s="1989"/>
      <c r="AG129" s="1989"/>
      <c r="AH129" s="1989"/>
      <c r="AI129" s="1989"/>
      <c r="AJ129" s="1989"/>
      <c r="AK129" s="1989"/>
      <c r="AL129" s="1989"/>
    </row>
    <row r="130" spans="1:38" ht="20.100000000000001" customHeight="1">
      <c r="A130" s="767"/>
      <c r="D130" s="318" t="s">
        <v>573</v>
      </c>
      <c r="N130" s="318" t="str">
        <f>"Loại: "&amp;VLOOKUP(NL!U29,NL!BZ29:DD50,NL!CT26,FALSE)</f>
        <v>Loại: CV 120mm2</v>
      </c>
      <c r="X130" s="365"/>
      <c r="Y130" s="365"/>
      <c r="Z130" s="365"/>
      <c r="AA130" s="365"/>
      <c r="AB130" s="365"/>
      <c r="AC130" s="365"/>
      <c r="AD130" s="365"/>
      <c r="AE130" s="365"/>
      <c r="AF130" s="365"/>
      <c r="AG130" s="365"/>
      <c r="AH130" s="365"/>
      <c r="AI130" s="365"/>
      <c r="AJ130" s="365"/>
      <c r="AK130" s="365"/>
      <c r="AL130" s="365"/>
    </row>
    <row r="131" spans="1:38" ht="20.100000000000001" customHeight="1">
      <c r="A131" s="767"/>
      <c r="N131" s="318" t="s">
        <v>574</v>
      </c>
      <c r="Q131" s="1858">
        <f>VLOOKUP(NL!U29,NL!BZ29:DD50,NL!CW26,FALSE)</f>
        <v>324</v>
      </c>
      <c r="R131" s="1858"/>
      <c r="S131" s="1858"/>
      <c r="T131" s="314" t="s">
        <v>4219</v>
      </c>
      <c r="AE131" s="365"/>
      <c r="AF131" s="365"/>
      <c r="AG131" s="365"/>
      <c r="AH131" s="365"/>
      <c r="AI131" s="365"/>
      <c r="AJ131" s="365"/>
      <c r="AK131" s="365"/>
      <c r="AL131" s="365"/>
    </row>
    <row r="132" spans="1:38" ht="20.100000000000001" customHeight="1">
      <c r="A132" s="767"/>
      <c r="D132" s="314" t="s">
        <v>4222</v>
      </c>
      <c r="Q132" s="316"/>
      <c r="S132" s="365"/>
      <c r="T132" s="365"/>
      <c r="U132" s="365"/>
      <c r="V132" s="365"/>
      <c r="W132" s="365"/>
      <c r="X132" s="365"/>
      <c r="Y132" s="365"/>
      <c r="Z132" s="365"/>
      <c r="AA132" s="365"/>
      <c r="AB132" s="365"/>
      <c r="AC132" s="365"/>
      <c r="AD132" s="365"/>
      <c r="AE132" s="365"/>
      <c r="AF132" s="365"/>
      <c r="AG132" s="365"/>
      <c r="AH132" s="365"/>
      <c r="AI132" s="365"/>
      <c r="AJ132" s="365"/>
      <c r="AK132" s="365"/>
      <c r="AL132" s="365"/>
    </row>
    <row r="133" spans="1:38" ht="20.100000000000001" customHeight="1">
      <c r="A133" s="767"/>
      <c r="O133" s="317" t="s">
        <v>4223</v>
      </c>
      <c r="Q133" s="316" t="s">
        <v>2182</v>
      </c>
      <c r="S133" s="366" t="s">
        <v>2791</v>
      </c>
      <c r="T133" s="365"/>
      <c r="U133" s="365"/>
      <c r="V133" s="365"/>
      <c r="W133" s="365"/>
      <c r="X133" s="365"/>
      <c r="Y133" s="365"/>
      <c r="Z133" s="365"/>
      <c r="AA133" s="365"/>
      <c r="AB133" s="365"/>
      <c r="AC133" s="365"/>
      <c r="AD133" s="365"/>
      <c r="AE133" s="365"/>
      <c r="AF133" s="365"/>
      <c r="AG133" s="365"/>
      <c r="AH133" s="365"/>
      <c r="AI133" s="365"/>
      <c r="AJ133" s="365"/>
      <c r="AK133" s="365"/>
      <c r="AL133" s="365"/>
    </row>
    <row r="134" spans="1:38" ht="20.100000000000001" customHeight="1">
      <c r="A134" s="767"/>
      <c r="O134" s="319" t="str">
        <f>J136&amp;" . "&amp;J137&amp;" . "&amp;Q131</f>
        <v>0,88 . 1 . 324</v>
      </c>
      <c r="Q134" s="316" t="s">
        <v>2182</v>
      </c>
      <c r="S134" s="1956">
        <f>S129</f>
        <v>31.884</v>
      </c>
      <c r="T134" s="1956"/>
      <c r="U134" s="1956"/>
      <c r="V134" s="1956"/>
      <c r="W134" s="1956"/>
      <c r="X134" s="1956"/>
      <c r="Y134" s="1956"/>
      <c r="Z134" s="1956"/>
      <c r="AA134" s="1956"/>
      <c r="AB134" s="1956"/>
      <c r="AC134" s="1956"/>
      <c r="AD134" s="1956"/>
      <c r="AE134" s="1956"/>
      <c r="AF134" s="1956"/>
      <c r="AG134" s="1956"/>
      <c r="AH134" s="1956"/>
      <c r="AI134" s="1956"/>
      <c r="AJ134" s="1956"/>
      <c r="AK134" s="1956"/>
      <c r="AL134" s="1956"/>
    </row>
    <row r="135" spans="1:38" ht="20.100000000000001" customHeight="1">
      <c r="A135" s="767"/>
      <c r="J135" s="1984">
        <f>J136*J137*Q131</f>
        <v>285.12</v>
      </c>
      <c r="K135" s="1985"/>
      <c r="L135" s="1985"/>
      <c r="M135" s="1985"/>
      <c r="N135" s="1985"/>
      <c r="O135" s="1985"/>
      <c r="Q135" s="316" t="s">
        <v>2182</v>
      </c>
      <c r="S135" s="1956">
        <f>S134</f>
        <v>31.884</v>
      </c>
      <c r="T135" s="1956"/>
      <c r="U135" s="1956"/>
      <c r="V135" s="1956"/>
      <c r="W135" s="1956"/>
      <c r="X135" s="1956"/>
      <c r="Y135" s="1956"/>
      <c r="Z135" s="1956"/>
      <c r="AA135" s="1956"/>
      <c r="AB135" s="1956"/>
      <c r="AC135" s="1956"/>
      <c r="AD135" s="1956"/>
      <c r="AE135" s="1956"/>
      <c r="AF135" s="1956"/>
      <c r="AG135" s="1956"/>
      <c r="AH135" s="1956"/>
      <c r="AI135" s="1956"/>
      <c r="AJ135" s="1956"/>
      <c r="AK135" s="1956"/>
      <c r="AL135" s="1956"/>
    </row>
    <row r="136" spans="1:38" ht="20.100000000000001" customHeight="1">
      <c r="A136" s="767"/>
      <c r="D136" s="314" t="s">
        <v>4224</v>
      </c>
      <c r="H136" s="314" t="s">
        <v>4225</v>
      </c>
      <c r="I136" s="314" t="s">
        <v>3306</v>
      </c>
      <c r="J136" s="1929">
        <f>NL!U30</f>
        <v>0.88</v>
      </c>
      <c r="K136" s="1929"/>
      <c r="L136" s="1929"/>
      <c r="M136" s="314" t="s">
        <v>569</v>
      </c>
      <c r="N136" s="314"/>
    </row>
    <row r="137" spans="1:38" ht="20.100000000000001" customHeight="1">
      <c r="A137" s="767"/>
      <c r="H137" s="314" t="s">
        <v>570</v>
      </c>
      <c r="I137" s="314" t="s">
        <v>3306</v>
      </c>
      <c r="J137" s="1871">
        <f>NL!U31</f>
        <v>1</v>
      </c>
      <c r="K137" s="1871"/>
      <c r="L137" s="1871"/>
      <c r="M137" s="314" t="s">
        <v>571</v>
      </c>
      <c r="N137" s="314"/>
    </row>
    <row r="138" spans="1:38" ht="20.100000000000001" customHeight="1">
      <c r="A138" s="767"/>
      <c r="H138" s="314" t="s">
        <v>572</v>
      </c>
      <c r="J138" s="367"/>
      <c r="K138" s="367"/>
      <c r="L138" s="367"/>
      <c r="N138" s="314"/>
    </row>
    <row r="139" spans="1:38" ht="20.100000000000001" customHeight="1">
      <c r="A139" s="767"/>
      <c r="C139" s="315" t="s">
        <v>5457</v>
      </c>
    </row>
    <row r="140" spans="1:38" ht="20.100000000000001" customHeight="1">
      <c r="A140" s="767"/>
      <c r="L140" s="1858" t="s">
        <v>4223</v>
      </c>
      <c r="M140" s="1858"/>
      <c r="N140" s="1858"/>
      <c r="O140" s="1858"/>
      <c r="Q140" s="1859" t="s">
        <v>2182</v>
      </c>
      <c r="S140" s="1962" t="s">
        <v>4735</v>
      </c>
      <c r="T140" s="1962"/>
      <c r="U140" s="1962"/>
    </row>
    <row r="141" spans="1:38" ht="20.100000000000001" customHeight="1">
      <c r="A141" s="767"/>
      <c r="L141" s="1858"/>
      <c r="M141" s="1858"/>
      <c r="N141" s="1858"/>
      <c r="O141" s="1858"/>
      <c r="Q141" s="1859"/>
      <c r="S141" s="1859">
        <v>1.5</v>
      </c>
      <c r="T141" s="1859"/>
      <c r="U141" s="1859"/>
    </row>
    <row r="142" spans="1:38" ht="20.100000000000001" customHeight="1">
      <c r="A142" s="767"/>
      <c r="L142" s="1858" t="s">
        <v>4223</v>
      </c>
      <c r="M142" s="1858"/>
      <c r="N142" s="1858"/>
      <c r="O142" s="1858"/>
      <c r="Q142" s="1859" t="s">
        <v>2182</v>
      </c>
      <c r="S142" s="1962" t="s">
        <v>4736</v>
      </c>
      <c r="T142" s="1962"/>
      <c r="U142" s="1962"/>
      <c r="V142" s="1962"/>
    </row>
    <row r="143" spans="1:38" ht="20.100000000000001" customHeight="1">
      <c r="A143" s="767"/>
      <c r="L143" s="1858"/>
      <c r="M143" s="1858"/>
      <c r="N143" s="1858"/>
      <c r="O143" s="1858"/>
      <c r="Q143" s="1859"/>
      <c r="S143" s="1859">
        <v>1.5</v>
      </c>
      <c r="T143" s="1859"/>
      <c r="U143" s="1859"/>
      <c r="V143" s="1859"/>
    </row>
    <row r="144" spans="1:38" ht="20.100000000000001" customHeight="1">
      <c r="A144" s="767"/>
      <c r="J144" s="1859" t="str">
        <f>J136&amp;" . "&amp;J137&amp;" . "&amp;Q131</f>
        <v>0,88 . 1 . 324</v>
      </c>
      <c r="K144" s="1859"/>
      <c r="L144" s="1859"/>
      <c r="M144" s="1859"/>
      <c r="N144" s="1859"/>
      <c r="O144" s="1859"/>
      <c r="Q144" s="1859" t="s">
        <v>2182</v>
      </c>
      <c r="S144" s="1962" t="str">
        <f>"1,25 . "&amp;R57</f>
        <v>1,25 . 250</v>
      </c>
      <c r="T144" s="1962"/>
      <c r="U144" s="1962"/>
      <c r="V144" s="1962"/>
      <c r="W144" s="1962"/>
    </row>
    <row r="145" spans="1:38" ht="20.100000000000001" customHeight="1">
      <c r="A145" s="767"/>
      <c r="F145" s="330"/>
      <c r="G145" s="323"/>
      <c r="H145" s="324"/>
      <c r="J145" s="1859"/>
      <c r="K145" s="1859"/>
      <c r="L145" s="1859"/>
      <c r="M145" s="1859"/>
      <c r="N145" s="1859"/>
      <c r="O145" s="1859"/>
      <c r="Q145" s="1859"/>
      <c r="S145" s="1857">
        <v>1.5</v>
      </c>
      <c r="T145" s="1857"/>
      <c r="U145" s="1857"/>
      <c r="V145" s="1857"/>
      <c r="W145" s="1857"/>
      <c r="X145" s="322"/>
      <c r="Y145" s="322"/>
      <c r="Z145" s="322"/>
      <c r="AA145" s="322"/>
      <c r="AB145" s="322"/>
      <c r="AC145" s="322"/>
      <c r="AD145" s="322"/>
      <c r="AE145" s="322"/>
      <c r="AF145" s="322"/>
      <c r="AG145" s="322"/>
      <c r="AH145" s="322"/>
      <c r="AI145" s="322"/>
      <c r="AJ145" s="322"/>
      <c r="AK145" s="322"/>
      <c r="AL145" s="322"/>
    </row>
    <row r="146" spans="1:38" ht="20.100000000000001" customHeight="1">
      <c r="A146" s="767"/>
      <c r="J146" s="1984">
        <f>J136*J137*Q131</f>
        <v>285.12</v>
      </c>
      <c r="K146" s="1985"/>
      <c r="L146" s="1985"/>
      <c r="M146" s="1985"/>
      <c r="N146" s="1985"/>
      <c r="O146" s="1985"/>
      <c r="Q146" s="314" t="s">
        <v>2182</v>
      </c>
      <c r="R146" s="320"/>
      <c r="S146" s="1867">
        <f>ROUND((1.25*R57)/1.5,3)</f>
        <v>208.333</v>
      </c>
      <c r="T146" s="1867"/>
      <c r="U146" s="1867"/>
      <c r="V146" s="1867"/>
      <c r="W146" s="1867"/>
      <c r="Y146" s="336"/>
      <c r="Z146" s="336"/>
      <c r="AA146" s="336"/>
      <c r="AB146" s="336"/>
      <c r="AC146" s="336"/>
    </row>
    <row r="147" spans="1:38" ht="20.100000000000001" customHeight="1">
      <c r="A147" s="767"/>
      <c r="D147" s="314" t="s">
        <v>4224</v>
      </c>
      <c r="H147" s="314" t="s">
        <v>5112</v>
      </c>
      <c r="J147" s="320"/>
    </row>
    <row r="148" spans="1:38" ht="20.100000000000001" customHeight="1">
      <c r="A148" s="767"/>
      <c r="H148" s="314" t="s">
        <v>2191</v>
      </c>
      <c r="J148" s="320" t="s">
        <v>3197</v>
      </c>
      <c r="L148" s="363"/>
    </row>
    <row r="149" spans="1:38" ht="20.100000000000001" customHeight="1">
      <c r="A149" s="767"/>
      <c r="C149" s="315" t="s">
        <v>5458</v>
      </c>
    </row>
    <row r="150" spans="1:38" ht="20.100000000000001" customHeight="1">
      <c r="A150" s="767"/>
      <c r="J150" s="1959" t="s">
        <v>3854</v>
      </c>
      <c r="K150" s="1960"/>
      <c r="L150" s="1960"/>
      <c r="M150" s="1960"/>
      <c r="N150" s="1960"/>
      <c r="O150" s="1960"/>
      <c r="Q150" s="316" t="s">
        <v>2182</v>
      </c>
      <c r="S150" s="314" t="s">
        <v>320</v>
      </c>
      <c r="T150" s="315"/>
      <c r="U150" s="315"/>
      <c r="V150" s="1859" t="s">
        <v>321</v>
      </c>
      <c r="W150" s="1859"/>
      <c r="X150" s="315"/>
      <c r="Y150" s="315"/>
      <c r="Z150" s="315"/>
      <c r="AA150" s="315"/>
      <c r="AB150" s="315"/>
      <c r="AC150" s="315"/>
      <c r="AD150" s="315"/>
      <c r="AE150" s="315"/>
      <c r="AF150" s="315"/>
      <c r="AG150" s="315"/>
      <c r="AH150" s="315"/>
      <c r="AI150" s="315"/>
      <c r="AJ150" s="315"/>
      <c r="AK150" s="315"/>
      <c r="AL150" s="315"/>
    </row>
    <row r="151" spans="1:38" ht="20.100000000000001" customHeight="1">
      <c r="A151" s="767"/>
      <c r="C151" s="315"/>
      <c r="D151" s="315" t="s">
        <v>2717</v>
      </c>
    </row>
    <row r="152" spans="1:38" ht="20.100000000000001" customHeight="1">
      <c r="A152" s="767"/>
    </row>
    <row r="153" spans="1:38" ht="20.100000000000001" customHeight="1">
      <c r="A153" s="767"/>
      <c r="C153" s="1859" t="str">
        <f>VLOOKUP(NL!U29,NL!BZ29:DD50,NL!CF26,FALSE)&amp;" kV"</f>
        <v>22 kV</v>
      </c>
      <c r="D153" s="1859"/>
      <c r="E153" s="1859"/>
      <c r="F153" s="331"/>
      <c r="AD153" s="344" t="str">
        <f>VLOOKUP(NL!U29,NL!BZ29:DD50,NL!CG26,FALSE)&amp;" kV"</f>
        <v>0,38 kV</v>
      </c>
    </row>
    <row r="154" spans="1:38" ht="20.100000000000001" customHeight="1">
      <c r="A154" s="767"/>
      <c r="F154" s="329"/>
      <c r="L154" s="314" t="str">
        <f>VLOOKUP(NL!U29,NL!BZ29:DD50,NL!CT26,FALSE)&amp;" - 10m"</f>
        <v>CV 120mm2 - 10m</v>
      </c>
    </row>
    <row r="155" spans="1:38" ht="20.100000000000001" customHeight="1">
      <c r="A155" s="767"/>
    </row>
    <row r="156" spans="1:38" ht="20.100000000000001" customHeight="1">
      <c r="A156" s="767"/>
      <c r="E156" s="314" t="str">
        <f>NL!U29&amp;" kVA"</f>
        <v>22/0,4kV - 160 kVA</v>
      </c>
    </row>
    <row r="157" spans="1:38" ht="20.100000000000001" customHeight="1">
      <c r="A157" s="767"/>
    </row>
    <row r="158" spans="1:38" ht="30" customHeight="1">
      <c r="A158" s="767"/>
    </row>
    <row r="159" spans="1:38" ht="20.100000000000001" customHeight="1">
      <c r="A159" s="767"/>
    </row>
    <row r="160" spans="1:38" ht="20.100000000000001" customHeight="1">
      <c r="A160" s="767"/>
      <c r="D160" s="314" t="s">
        <v>4076</v>
      </c>
    </row>
    <row r="161" spans="1:38" ht="20.100000000000001" customHeight="1">
      <c r="A161" s="767"/>
      <c r="N161" s="318" t="s">
        <v>323</v>
      </c>
      <c r="Q161" s="317" t="s">
        <v>3306</v>
      </c>
      <c r="S161" s="1981">
        <f>ROUND(VLOOKUP(NL!U29,NL!BZ29:DD50,NL!CD26,FALSE)/1000,3)</f>
        <v>1.94</v>
      </c>
      <c r="T161" s="1981"/>
      <c r="U161" s="1981"/>
      <c r="V161" s="1981"/>
      <c r="W161" s="1981"/>
      <c r="X161" s="1981"/>
      <c r="Y161" s="1981"/>
      <c r="Z161" s="1981"/>
      <c r="AA161" s="1981"/>
      <c r="AB161" s="1981"/>
      <c r="AC161" s="1981"/>
      <c r="AD161" s="1981"/>
      <c r="AE161" s="1981"/>
      <c r="AF161" s="1981"/>
      <c r="AG161" s="1981"/>
      <c r="AH161" s="1981"/>
      <c r="AI161" s="1981"/>
      <c r="AJ161" s="1981"/>
      <c r="AK161" s="1981"/>
      <c r="AL161" s="1981"/>
    </row>
    <row r="162" spans="1:38" ht="20.100000000000001" customHeight="1">
      <c r="A162" s="767"/>
      <c r="N162" s="318" t="s">
        <v>3942</v>
      </c>
      <c r="Q162" s="317" t="s">
        <v>3938</v>
      </c>
      <c r="S162" s="1973">
        <f>VLOOKUP(NL!U29,NL!BZ29:DD50,NL!CE26,FALSE)</f>
        <v>4</v>
      </c>
      <c r="T162" s="1973"/>
      <c r="U162" s="1973"/>
      <c r="V162" s="1973"/>
      <c r="W162" s="1973"/>
      <c r="X162" s="1973"/>
      <c r="Y162" s="1973"/>
      <c r="Z162" s="1973"/>
      <c r="AA162" s="1973"/>
      <c r="AB162" s="1973"/>
      <c r="AC162" s="1973"/>
      <c r="AD162" s="1973"/>
      <c r="AE162" s="1973"/>
      <c r="AF162" s="1973"/>
      <c r="AG162" s="1973"/>
      <c r="AH162" s="1973"/>
      <c r="AI162" s="1973"/>
      <c r="AJ162" s="1973"/>
      <c r="AK162" s="1973"/>
      <c r="AL162" s="1973"/>
    </row>
    <row r="163" spans="1:38" ht="20.100000000000001" customHeight="1">
      <c r="A163" s="767"/>
      <c r="N163" s="318" t="s">
        <v>3941</v>
      </c>
      <c r="Q163" s="317" t="s">
        <v>3938</v>
      </c>
      <c r="R163" s="343"/>
      <c r="S163" s="1964">
        <f>VLOOKUP(NL!U29,NL!BZ29:DD50,NL!CG26,FALSE)</f>
        <v>0.38</v>
      </c>
      <c r="T163" s="1964"/>
      <c r="U163" s="1964"/>
      <c r="V163" s="1964"/>
      <c r="W163" s="1964"/>
      <c r="X163" s="1964"/>
      <c r="Y163" s="1964"/>
      <c r="Z163" s="1964"/>
      <c r="AA163" s="1964"/>
      <c r="AB163" s="1964"/>
      <c r="AC163" s="1964"/>
      <c r="AD163" s="1964"/>
      <c r="AE163" s="1964"/>
      <c r="AF163" s="1964"/>
      <c r="AG163" s="1964"/>
      <c r="AH163" s="1964"/>
      <c r="AI163" s="1964"/>
      <c r="AJ163" s="1964"/>
      <c r="AK163" s="1964"/>
      <c r="AL163" s="1964"/>
    </row>
    <row r="164" spans="1:38" ht="20.100000000000001" customHeight="1">
      <c r="A164" s="767"/>
      <c r="M164" s="319" t="s">
        <v>5652</v>
      </c>
      <c r="N164" s="318" t="s">
        <v>5623</v>
      </c>
      <c r="Q164" s="316" t="s">
        <v>3306</v>
      </c>
      <c r="R164" s="343"/>
      <c r="S164" s="1953">
        <f>IF(S163=0.38,0.23,0.22)</f>
        <v>0.23</v>
      </c>
      <c r="T164" s="1953"/>
      <c r="U164" s="1953"/>
      <c r="V164" s="1953"/>
      <c r="W164" s="1953"/>
      <c r="X164" s="1953"/>
      <c r="Y164" s="1953"/>
      <c r="Z164" s="1953"/>
      <c r="AA164" s="1953"/>
      <c r="AB164" s="1953"/>
      <c r="AC164" s="1953"/>
      <c r="AD164" s="1953"/>
      <c r="AE164" s="1953"/>
      <c r="AF164" s="1953"/>
      <c r="AG164" s="1953"/>
      <c r="AH164" s="1953"/>
      <c r="AI164" s="1953"/>
      <c r="AJ164" s="1953"/>
      <c r="AK164" s="1953"/>
      <c r="AL164" s="1953"/>
    </row>
    <row r="165" spans="1:38" ht="20.100000000000001" customHeight="1">
      <c r="A165" s="767"/>
      <c r="N165" s="318" t="s">
        <v>3940</v>
      </c>
      <c r="Q165" s="342" t="s">
        <v>3939</v>
      </c>
      <c r="S165" s="1965">
        <f>VLOOKUP(NL!U29,NL!BZ29:DD50,NL!CB26,FALSE)</f>
        <v>160</v>
      </c>
      <c r="T165" s="1965"/>
      <c r="U165" s="1965"/>
      <c r="V165" s="1965"/>
      <c r="W165" s="1965"/>
      <c r="X165" s="1965"/>
      <c r="Y165" s="1965"/>
      <c r="Z165" s="1965"/>
      <c r="AA165" s="1965"/>
      <c r="AB165" s="1965"/>
      <c r="AC165" s="1965"/>
      <c r="AD165" s="1965"/>
      <c r="AE165" s="1965"/>
      <c r="AF165" s="1965"/>
      <c r="AG165" s="1965"/>
      <c r="AH165" s="1965"/>
      <c r="AI165" s="1965"/>
      <c r="AJ165" s="1965"/>
      <c r="AK165" s="1965"/>
      <c r="AL165" s="1965"/>
    </row>
    <row r="166" spans="1:38" ht="20.100000000000001" customHeight="1">
      <c r="A166" s="767"/>
      <c r="E166" s="329"/>
      <c r="J166" s="1859" t="s">
        <v>3387</v>
      </c>
      <c r="K166" s="1859"/>
      <c r="L166" s="1859" t="s">
        <v>3306</v>
      </c>
      <c r="M166" s="1908" t="s">
        <v>4131</v>
      </c>
      <c r="N166" s="1908"/>
      <c r="O166" s="1908"/>
      <c r="P166" s="1908"/>
      <c r="Q166" s="1908"/>
      <c r="R166" s="1908"/>
      <c r="S166" s="1908"/>
      <c r="T166" s="1974" t="s">
        <v>4133</v>
      </c>
      <c r="U166" s="1974"/>
      <c r="V166" s="1974"/>
      <c r="W166" s="1908" t="s">
        <v>3058</v>
      </c>
      <c r="X166" s="1908"/>
      <c r="Y166" s="1908"/>
      <c r="Z166" s="1908"/>
      <c r="AA166" s="1908"/>
      <c r="AB166" s="1908"/>
      <c r="AC166" s="1974" t="s">
        <v>3059</v>
      </c>
      <c r="AD166" s="1974"/>
      <c r="AE166" s="367"/>
      <c r="AF166" s="367"/>
    </row>
    <row r="167" spans="1:38" ht="20.100000000000001" customHeight="1">
      <c r="A167" s="767"/>
      <c r="J167" s="1859"/>
      <c r="K167" s="1859"/>
      <c r="L167" s="1859"/>
      <c r="M167" s="1913" t="s">
        <v>4132</v>
      </c>
      <c r="N167" s="1913"/>
      <c r="O167" s="1913"/>
      <c r="P167" s="1913"/>
      <c r="Q167" s="1913"/>
      <c r="R167" s="1913"/>
      <c r="S167" s="1913"/>
      <c r="T167" s="1974"/>
      <c r="U167" s="1974"/>
      <c r="V167" s="1974"/>
      <c r="W167" s="1913" t="s">
        <v>3940</v>
      </c>
      <c r="X167" s="1913"/>
      <c r="Y167" s="1913"/>
      <c r="Z167" s="1913"/>
      <c r="AA167" s="1913"/>
      <c r="AB167" s="1913"/>
      <c r="AC167" s="1974"/>
      <c r="AD167" s="1974"/>
      <c r="AE167" s="367"/>
      <c r="AF167" s="367"/>
    </row>
    <row r="168" spans="1:38" ht="14.1" customHeight="1">
      <c r="A168" s="767"/>
      <c r="J168" s="316"/>
      <c r="K168" s="316"/>
      <c r="L168" s="1859" t="s">
        <v>3306</v>
      </c>
      <c r="M168" s="1968">
        <f>S161</f>
        <v>1.94</v>
      </c>
      <c r="N168" s="1969"/>
      <c r="O168" s="1969"/>
      <c r="P168" s="1971" t="str">
        <f>".  "&amp;S163</f>
        <v>.  0,38</v>
      </c>
      <c r="Q168" s="1971"/>
      <c r="R168" s="1971"/>
      <c r="S168" s="360">
        <v>2</v>
      </c>
      <c r="T168" s="1974" t="s">
        <v>4133</v>
      </c>
      <c r="U168" s="1974"/>
      <c r="V168" s="1974"/>
      <c r="W168" s="1994">
        <f>S162</f>
        <v>4</v>
      </c>
      <c r="X168" s="1994"/>
      <c r="Y168" s="1971" t="str">
        <f>".   "&amp;S163</f>
        <v>.   0,38</v>
      </c>
      <c r="Z168" s="1971"/>
      <c r="AA168" s="1971"/>
      <c r="AB168" s="360">
        <v>2</v>
      </c>
      <c r="AC168" s="1974" t="s">
        <v>3059</v>
      </c>
      <c r="AD168" s="1974"/>
      <c r="AE168" s="362"/>
      <c r="AF168" s="362"/>
    </row>
    <row r="169" spans="1:38" ht="14.1" customHeight="1">
      <c r="A169" s="767"/>
      <c r="J169" s="316"/>
      <c r="K169" s="316"/>
      <c r="L169" s="1859"/>
      <c r="M169" s="1970"/>
      <c r="N169" s="1970"/>
      <c r="O169" s="1970"/>
      <c r="P169" s="1972"/>
      <c r="Q169" s="1972"/>
      <c r="R169" s="1972"/>
      <c r="S169" s="370"/>
      <c r="T169" s="1974"/>
      <c r="U169" s="1974"/>
      <c r="V169" s="1974"/>
      <c r="W169" s="1995"/>
      <c r="X169" s="1995"/>
      <c r="Y169" s="1972"/>
      <c r="Z169" s="1972"/>
      <c r="AA169" s="1972"/>
      <c r="AB169" s="369"/>
      <c r="AC169" s="1974"/>
      <c r="AD169" s="1974"/>
      <c r="AE169" s="362"/>
      <c r="AF169" s="362"/>
    </row>
    <row r="170" spans="1:38" ht="14.1" customHeight="1">
      <c r="A170" s="767"/>
      <c r="J170" s="316"/>
      <c r="K170" s="316"/>
      <c r="L170" s="1859"/>
      <c r="M170" s="1947">
        <f>S165</f>
        <v>160</v>
      </c>
      <c r="N170" s="1947"/>
      <c r="O170" s="1947"/>
      <c r="P170" s="1947"/>
      <c r="Q170" s="1947"/>
      <c r="R170" s="360">
        <v>2</v>
      </c>
      <c r="T170" s="1974"/>
      <c r="U170" s="1974"/>
      <c r="V170" s="1974"/>
      <c r="W170" s="1947">
        <f>S165</f>
        <v>160</v>
      </c>
      <c r="X170" s="1947"/>
      <c r="Y170" s="1947"/>
      <c r="Z170" s="1947"/>
      <c r="AA170" s="360">
        <v>2</v>
      </c>
      <c r="AB170" s="360"/>
      <c r="AC170" s="1974"/>
      <c r="AD170" s="1974"/>
      <c r="AE170" s="362"/>
      <c r="AF170" s="362"/>
    </row>
    <row r="171" spans="1:38" ht="14.1" customHeight="1">
      <c r="A171" s="767"/>
      <c r="J171" s="316"/>
      <c r="K171" s="316"/>
      <c r="L171" s="1859"/>
      <c r="M171" s="1869"/>
      <c r="N171" s="1869"/>
      <c r="O171" s="1869"/>
      <c r="P171" s="1869"/>
      <c r="Q171" s="1869"/>
      <c r="R171" s="336"/>
      <c r="T171" s="1974"/>
      <c r="U171" s="1974"/>
      <c r="V171" s="1974"/>
      <c r="W171" s="1869"/>
      <c r="X171" s="1869"/>
      <c r="Y171" s="1869"/>
      <c r="Z171" s="1869"/>
      <c r="AA171" s="336"/>
      <c r="AB171" s="355"/>
      <c r="AC171" s="1974"/>
      <c r="AD171" s="1974"/>
      <c r="AE171" s="362"/>
      <c r="AF171" s="362"/>
    </row>
    <row r="172" spans="1:38" ht="20.100000000000001" customHeight="1">
      <c r="A172" s="767"/>
      <c r="L172" s="319" t="s">
        <v>3306</v>
      </c>
      <c r="M172" s="1858" t="str">
        <f>ROUND((((S161*(S163^2))/(S165)^2))*10^6,3)&amp;" + j."&amp;ROUND(((S162*(S163^2)/S165)*10^4),4)</f>
        <v>10,943 + j.36,1</v>
      </c>
      <c r="N172" s="1858"/>
      <c r="O172" s="1858"/>
      <c r="P172" s="1858"/>
      <c r="Q172" s="1858"/>
      <c r="R172" s="1858"/>
      <c r="S172" s="1858"/>
      <c r="T172" s="1858"/>
      <c r="U172" s="314" t="s">
        <v>5653</v>
      </c>
    </row>
    <row r="173" spans="1:38" ht="20.100000000000001" customHeight="1">
      <c r="A173" s="767"/>
      <c r="D173" s="314" t="s">
        <v>3431</v>
      </c>
    </row>
    <row r="174" spans="1:38" ht="20.100000000000001" customHeight="1">
      <c r="A174" s="767"/>
      <c r="N174" s="318" t="s">
        <v>6271</v>
      </c>
      <c r="Q174" s="317" t="s">
        <v>3306</v>
      </c>
      <c r="S174" s="1858">
        <v>18.8</v>
      </c>
      <c r="T174" s="1858"/>
      <c r="U174" s="1858"/>
      <c r="V174" s="314" t="s">
        <v>5654</v>
      </c>
    </row>
    <row r="175" spans="1:38" ht="20.100000000000001" customHeight="1">
      <c r="A175" s="767"/>
      <c r="N175" s="318" t="s">
        <v>3943</v>
      </c>
      <c r="Q175" s="317" t="s">
        <v>3306</v>
      </c>
      <c r="S175" s="1858">
        <v>0.1</v>
      </c>
      <c r="T175" s="1858"/>
      <c r="U175" s="1858"/>
      <c r="V175" s="318" t="s">
        <v>5655</v>
      </c>
    </row>
    <row r="176" spans="1:38" ht="20.100000000000001" customHeight="1">
      <c r="A176" s="767"/>
      <c r="N176" s="318" t="s">
        <v>3944</v>
      </c>
      <c r="Q176" s="317" t="s">
        <v>3306</v>
      </c>
      <c r="S176" s="1858">
        <v>0.01</v>
      </c>
      <c r="T176" s="1858"/>
      <c r="U176" s="1858"/>
      <c r="V176" s="314" t="s">
        <v>3392</v>
      </c>
    </row>
    <row r="177" spans="1:38" ht="20.100000000000001" customHeight="1">
      <c r="A177" s="767"/>
      <c r="N177" s="318" t="s">
        <v>3854</v>
      </c>
      <c r="Q177" s="317" t="s">
        <v>3306</v>
      </c>
      <c r="S177" s="1858">
        <f>VLOOKUP(NL!U29,NL!BZ29:DD50,NL!CZ26,FALSE)</f>
        <v>50</v>
      </c>
      <c r="T177" s="1858"/>
      <c r="U177" s="1858"/>
      <c r="V177" s="314" t="s">
        <v>3284</v>
      </c>
    </row>
    <row r="178" spans="1:38" ht="20.100000000000001" customHeight="1">
      <c r="A178" s="767"/>
      <c r="J178" s="1859" t="s">
        <v>3389</v>
      </c>
      <c r="K178" s="1859"/>
      <c r="L178" s="314" t="s">
        <v>3306</v>
      </c>
      <c r="M178" s="314" t="s">
        <v>3388</v>
      </c>
      <c r="Q178" s="317"/>
      <c r="S178" s="317"/>
      <c r="T178" s="317"/>
      <c r="U178" s="317"/>
    </row>
    <row r="179" spans="1:38" ht="20.100000000000001" customHeight="1">
      <c r="A179" s="767"/>
      <c r="L179" s="1859" t="s">
        <v>3306</v>
      </c>
      <c r="M179" s="1859" t="s">
        <v>3390</v>
      </c>
      <c r="N179" s="356" t="s">
        <v>3944</v>
      </c>
      <c r="O179" s="1862" t="s">
        <v>3391</v>
      </c>
      <c r="P179" s="1862"/>
      <c r="Q179" s="1862"/>
      <c r="R179" s="1862"/>
      <c r="S179" s="1974" t="s">
        <v>5653</v>
      </c>
      <c r="T179" s="1974"/>
      <c r="U179" s="1974"/>
    </row>
    <row r="180" spans="1:38" ht="20.100000000000001" customHeight="1">
      <c r="A180" s="767"/>
      <c r="L180" s="1859"/>
      <c r="M180" s="1859"/>
      <c r="N180" s="355" t="s">
        <v>3854</v>
      </c>
      <c r="O180" s="1862"/>
      <c r="P180" s="1862"/>
      <c r="Q180" s="1862"/>
      <c r="R180" s="1862"/>
      <c r="S180" s="1974"/>
      <c r="T180" s="1974"/>
      <c r="U180" s="1974"/>
    </row>
    <row r="181" spans="1:38" ht="20.100000000000001" customHeight="1">
      <c r="A181" s="767"/>
      <c r="L181" s="319" t="s">
        <v>3306</v>
      </c>
      <c r="M181" s="1858" t="str">
        <f>ROUND((S174*S176/S177),4)&amp;" + j."&amp;ROUND((S175*S176),4)</f>
        <v>0,0038 + j.0,001</v>
      </c>
      <c r="N181" s="1858"/>
      <c r="O181" s="1858"/>
      <c r="P181" s="1858"/>
      <c r="Q181" s="1858"/>
      <c r="R181" s="1858"/>
      <c r="S181" s="1858"/>
      <c r="T181" s="1858"/>
      <c r="U181" s="314" t="s">
        <v>5653</v>
      </c>
    </row>
    <row r="182" spans="1:38" ht="20.100000000000001" customHeight="1">
      <c r="A182" s="767"/>
      <c r="D182" s="314" t="s">
        <v>4267</v>
      </c>
    </row>
    <row r="183" spans="1:38" ht="20.100000000000001" customHeight="1">
      <c r="A183" s="767"/>
      <c r="J183" s="1859" t="s">
        <v>5245</v>
      </c>
      <c r="K183" s="1859"/>
      <c r="L183" s="1859" t="s">
        <v>3306</v>
      </c>
      <c r="M183" s="1863" t="s">
        <v>5623</v>
      </c>
      <c r="N183" s="1863"/>
      <c r="O183" s="1863"/>
      <c r="P183" s="1863"/>
      <c r="Q183" s="1863"/>
      <c r="R183" s="1863"/>
      <c r="S183" s="1863"/>
      <c r="T183" s="1863"/>
      <c r="U183" s="1863"/>
      <c r="V183" s="1863"/>
      <c r="W183" s="1863"/>
      <c r="X183" s="1863"/>
      <c r="Y183" s="1863"/>
    </row>
    <row r="184" spans="1:38" ht="21.75" customHeight="1">
      <c r="A184" s="767"/>
      <c r="J184" s="1859"/>
      <c r="K184" s="1859"/>
      <c r="L184" s="1859"/>
      <c r="N184" s="314" t="s">
        <v>6111</v>
      </c>
    </row>
    <row r="185" spans="1:38" ht="20.100000000000001" customHeight="1">
      <c r="A185" s="767"/>
      <c r="G185" s="361"/>
      <c r="L185" s="1859" t="s">
        <v>3306</v>
      </c>
      <c r="M185" s="1928">
        <f>S164*1000</f>
        <v>230</v>
      </c>
      <c r="N185" s="1928"/>
      <c r="O185" s="1928"/>
      <c r="P185" s="1928"/>
      <c r="Q185" s="1928"/>
      <c r="R185" s="1928"/>
      <c r="S185" s="1928"/>
      <c r="T185" s="1928"/>
      <c r="U185" s="1928"/>
      <c r="V185" s="1928"/>
      <c r="W185" s="1928"/>
      <c r="X185" s="1928"/>
      <c r="Y185" s="1928"/>
      <c r="Z185" s="1928"/>
      <c r="AA185" s="1928"/>
      <c r="AB185" s="1928"/>
      <c r="AC185" s="1928"/>
      <c r="AD185" s="1928"/>
    </row>
    <row r="186" spans="1:38" ht="14.25" customHeight="1">
      <c r="A186" s="767"/>
      <c r="G186" s="361"/>
      <c r="L186" s="1859"/>
      <c r="M186" s="1858" t="str">
        <f>"("&amp;ROUND((((S161*(S163^2))/(S165)^2))*10^6,3)&amp;" + "&amp;ROUND((S174*S176/S177),4)&amp;")"</f>
        <v>(10,943 + 0,0038)</v>
      </c>
      <c r="N186" s="1858"/>
      <c r="O186" s="1858"/>
      <c r="P186" s="1858"/>
      <c r="Q186" s="1858"/>
      <c r="R186" s="1858"/>
      <c r="S186" s="1858"/>
      <c r="T186" s="1858"/>
      <c r="U186" s="360">
        <v>2</v>
      </c>
      <c r="V186" s="1858" t="str">
        <f>"+ ("&amp;ROUND(((S162*(S163^2)/S165)*10^4),4)&amp;" + "&amp;ROUND((S175*S176),4)&amp;")"</f>
        <v>+ (36,1 + 0,001)</v>
      </c>
      <c r="W186" s="1858"/>
      <c r="X186" s="1858"/>
      <c r="Y186" s="1858"/>
      <c r="Z186" s="1858"/>
      <c r="AA186" s="1858"/>
      <c r="AB186" s="1858"/>
      <c r="AC186" s="1858"/>
      <c r="AD186" s="360">
        <v>2</v>
      </c>
    </row>
    <row r="187" spans="1:38" ht="15.75" customHeight="1">
      <c r="A187" s="767"/>
      <c r="M187" s="1858"/>
      <c r="N187" s="1858"/>
      <c r="O187" s="1858"/>
      <c r="P187" s="1858"/>
      <c r="Q187" s="1858"/>
      <c r="R187" s="1858"/>
      <c r="S187" s="1858"/>
      <c r="T187" s="1858"/>
      <c r="V187" s="1858"/>
      <c r="W187" s="1858"/>
      <c r="X187" s="1858"/>
      <c r="Y187" s="1858"/>
      <c r="Z187" s="1858"/>
      <c r="AA187" s="1858"/>
      <c r="AB187" s="1858"/>
      <c r="AC187" s="1858"/>
    </row>
    <row r="188" spans="1:38" ht="20.100000000000001" customHeight="1">
      <c r="A188" s="767"/>
      <c r="K188" s="319" t="s">
        <v>3306</v>
      </c>
      <c r="L188" s="315"/>
      <c r="M188" s="1957">
        <f>ROUND((S164*1000)/SQRT(((ROUND((((S161*(S163^2))/(S165)^2))*10^6,3)+ROUND((S174*S176/S177),4))^2)+((ROUND(((S162*(S163^2)/S165)*10^4),4)+ROUND((S175*S176),4))^2)),3)</f>
        <v>6.0970000000000004</v>
      </c>
      <c r="N188" s="1957"/>
      <c r="O188" s="1957"/>
      <c r="P188" s="1957"/>
      <c r="Q188" s="1957"/>
      <c r="R188" s="1957"/>
      <c r="S188" s="1957"/>
      <c r="T188" s="1957"/>
      <c r="U188" s="1957"/>
      <c r="V188" s="1957"/>
      <c r="W188" s="1957"/>
      <c r="X188" s="1957"/>
      <c r="Y188" s="1957"/>
      <c r="Z188" s="1957"/>
      <c r="AA188" s="1957"/>
      <c r="AB188" s="1957"/>
      <c r="AC188" s="1957"/>
      <c r="AD188" s="1957"/>
      <c r="AE188" s="1957"/>
      <c r="AF188" s="1957"/>
      <c r="AG188" s="1957"/>
      <c r="AH188" s="1957"/>
      <c r="AI188" s="1957"/>
      <c r="AJ188" s="1957"/>
      <c r="AK188" s="1957"/>
      <c r="AL188" s="1957"/>
    </row>
    <row r="189" spans="1:38" ht="20.100000000000001" customHeight="1">
      <c r="A189" s="767"/>
      <c r="J189" s="1959" t="s">
        <v>3854</v>
      </c>
      <c r="K189" s="1960"/>
      <c r="L189" s="1960"/>
      <c r="M189" s="1960"/>
      <c r="N189" s="1960"/>
      <c r="O189" s="1960"/>
      <c r="Q189" s="316" t="s">
        <v>2182</v>
      </c>
      <c r="S189" s="314" t="s">
        <v>320</v>
      </c>
      <c r="T189" s="315"/>
      <c r="U189" s="315"/>
      <c r="V189" s="1859" t="s">
        <v>321</v>
      </c>
      <c r="W189" s="1859"/>
      <c r="Y189" s="315"/>
      <c r="Z189" s="315"/>
      <c r="AA189" s="315"/>
      <c r="AB189" s="315"/>
      <c r="AC189" s="315"/>
      <c r="AD189" s="315"/>
      <c r="AE189" s="315"/>
      <c r="AF189" s="315"/>
      <c r="AG189" s="315"/>
      <c r="AH189" s="315"/>
      <c r="AI189" s="315"/>
      <c r="AJ189" s="315"/>
      <c r="AK189" s="315"/>
      <c r="AL189" s="315"/>
    </row>
    <row r="190" spans="1:38" ht="20.100000000000001" customHeight="1">
      <c r="A190" s="767"/>
      <c r="J190" s="1961">
        <f>S177</f>
        <v>50</v>
      </c>
      <c r="K190" s="1975"/>
      <c r="L190" s="1975"/>
      <c r="M190" s="1975"/>
      <c r="N190" s="1975"/>
      <c r="O190" s="1975"/>
      <c r="Q190" s="316" t="s">
        <v>2182</v>
      </c>
      <c r="S190" s="314" t="str">
        <f>6&amp;" . "&amp;M188&amp;" ."</f>
        <v>6 . 6,097 .</v>
      </c>
      <c r="T190" s="315"/>
      <c r="U190" s="315"/>
      <c r="V190" s="316"/>
      <c r="W190" s="1859">
        <v>0.8</v>
      </c>
      <c r="X190" s="1859"/>
      <c r="Y190" s="315"/>
      <c r="Z190" s="315"/>
      <c r="AA190" s="315"/>
      <c r="AB190" s="315"/>
      <c r="AC190" s="315"/>
      <c r="AD190" s="315"/>
      <c r="AE190" s="315"/>
      <c r="AF190" s="315"/>
      <c r="AG190" s="315"/>
      <c r="AH190" s="315"/>
      <c r="AI190" s="315"/>
      <c r="AJ190" s="315"/>
      <c r="AK190" s="315"/>
      <c r="AL190" s="315"/>
    </row>
    <row r="191" spans="1:38" ht="20.100000000000001" customHeight="1">
      <c r="A191" s="767"/>
      <c r="J191" s="1961">
        <f>J190</f>
        <v>50</v>
      </c>
      <c r="K191" s="1975"/>
      <c r="L191" s="1975"/>
      <c r="M191" s="1975"/>
      <c r="N191" s="1975"/>
      <c r="O191" s="1975"/>
      <c r="Q191" s="316" t="s">
        <v>2182</v>
      </c>
      <c r="S191" s="1862">
        <f>ROUND(6*M188*SQRT(0.8),3)</f>
        <v>32.72</v>
      </c>
      <c r="T191" s="1862"/>
      <c r="U191" s="1862"/>
      <c r="V191" s="1862"/>
      <c r="W191" s="1862"/>
      <c r="X191" s="1862"/>
      <c r="Y191" s="315"/>
      <c r="Z191" s="315"/>
      <c r="AA191" s="315"/>
      <c r="AB191" s="315"/>
      <c r="AC191" s="315"/>
      <c r="AD191" s="315"/>
      <c r="AE191" s="315"/>
      <c r="AF191" s="315"/>
      <c r="AG191" s="315"/>
      <c r="AH191" s="315"/>
      <c r="AI191" s="315"/>
      <c r="AJ191" s="315"/>
      <c r="AK191" s="315"/>
      <c r="AL191" s="315"/>
    </row>
    <row r="192" spans="1:38" ht="20.100000000000001" customHeight="1">
      <c r="A192" s="767"/>
      <c r="C192" s="322" t="s">
        <v>322</v>
      </c>
      <c r="D192" s="322"/>
      <c r="E192" s="322"/>
      <c r="F192" s="322"/>
      <c r="G192" s="322"/>
      <c r="H192" s="322"/>
      <c r="I192" s="322"/>
      <c r="J192" s="322"/>
      <c r="K192" s="322"/>
    </row>
    <row r="193" spans="1:38" ht="20.100000000000001" customHeight="1">
      <c r="A193" s="767"/>
      <c r="C193" s="322"/>
      <c r="D193" s="322"/>
      <c r="E193" s="322"/>
      <c r="F193" s="322"/>
      <c r="G193" s="322"/>
      <c r="H193" s="322"/>
      <c r="I193" s="322"/>
      <c r="J193" s="322"/>
      <c r="K193" s="322"/>
    </row>
    <row r="194" spans="1:38" ht="20.100000000000001" customHeight="1">
      <c r="A194" s="767"/>
      <c r="C194" s="322"/>
      <c r="D194" s="322"/>
      <c r="E194" s="322"/>
      <c r="F194" s="322"/>
      <c r="G194" s="322"/>
      <c r="H194" s="322"/>
      <c r="I194" s="322"/>
      <c r="J194" s="322"/>
      <c r="K194" s="322"/>
    </row>
    <row r="195" spans="1:38" ht="30" customHeight="1">
      <c r="A195" s="767"/>
      <c r="N195" s="314"/>
    </row>
    <row r="196" spans="1:38" ht="20.100000000000001" customHeight="1">
      <c r="A196" s="767"/>
      <c r="C196" s="322"/>
      <c r="D196" s="322"/>
      <c r="E196" s="322"/>
      <c r="F196" s="322"/>
      <c r="G196" s="322"/>
      <c r="H196" s="322"/>
      <c r="I196" s="322"/>
      <c r="J196" s="322"/>
      <c r="K196" s="322"/>
    </row>
    <row r="197" spans="1:38" ht="20.100000000000001" customHeight="1">
      <c r="A197" s="767"/>
      <c r="C197" s="1976" t="s">
        <v>4196</v>
      </c>
      <c r="D197" s="1976"/>
      <c r="E197" s="1976"/>
      <c r="F197" s="1976"/>
      <c r="G197" s="1976"/>
      <c r="H197" s="1976"/>
      <c r="I197" s="1976"/>
      <c r="J197" s="1976"/>
      <c r="K197" s="1976"/>
      <c r="L197" s="1976"/>
      <c r="M197" s="1976"/>
      <c r="N197" s="1976"/>
      <c r="O197" s="1976"/>
      <c r="P197" s="1976"/>
      <c r="Q197" s="1976"/>
      <c r="R197" s="1976"/>
      <c r="S197" s="1976"/>
      <c r="T197" s="1976"/>
      <c r="U197" s="1976"/>
      <c r="V197" s="1976"/>
      <c r="W197" s="1976"/>
      <c r="X197" s="1976"/>
      <c r="Y197" s="1976"/>
      <c r="Z197" s="1976"/>
      <c r="AA197" s="1976"/>
      <c r="AB197" s="1976"/>
      <c r="AC197" s="1976"/>
      <c r="AD197" s="1976"/>
      <c r="AE197" s="1976"/>
      <c r="AF197" s="1976"/>
      <c r="AG197" s="1976"/>
      <c r="AH197" s="1976"/>
      <c r="AI197" s="1976"/>
      <c r="AJ197" s="1976"/>
      <c r="AK197" s="1976"/>
      <c r="AL197" s="1976"/>
    </row>
    <row r="198" spans="1:38" ht="20.100000000000001" customHeight="1">
      <c r="A198" s="767"/>
      <c r="D198" s="315" t="s">
        <v>6197</v>
      </c>
      <c r="N198" s="314"/>
    </row>
    <row r="199" spans="1:38" ht="20.100000000000001" customHeight="1">
      <c r="A199" s="767"/>
      <c r="C199" s="315" t="s">
        <v>5296</v>
      </c>
      <c r="N199" s="314"/>
    </row>
    <row r="200" spans="1:38" ht="20.100000000000001" customHeight="1">
      <c r="A200" s="767"/>
      <c r="F200" s="314" t="s">
        <v>938</v>
      </c>
      <c r="N200" s="314"/>
      <c r="Q200" s="314" t="s">
        <v>3306</v>
      </c>
      <c r="R200" s="1961">
        <f>NL!U33</f>
        <v>30</v>
      </c>
      <c r="S200" s="1961"/>
      <c r="T200" s="1961"/>
      <c r="U200" s="318" t="s">
        <v>5650</v>
      </c>
      <c r="X200" s="314" t="s">
        <v>3306</v>
      </c>
      <c r="Y200" s="1961">
        <f>R200*100</f>
        <v>3000</v>
      </c>
      <c r="Z200" s="1961"/>
      <c r="AA200" s="1961"/>
      <c r="AB200" s="1961"/>
      <c r="AC200" s="318" t="s">
        <v>5651</v>
      </c>
    </row>
    <row r="201" spans="1:38" ht="20.100000000000001" customHeight="1">
      <c r="A201" s="767"/>
      <c r="F201" s="314" t="s">
        <v>3432</v>
      </c>
      <c r="N201" s="314"/>
      <c r="Q201" s="314" t="s">
        <v>3306</v>
      </c>
      <c r="R201" s="1929">
        <f>NL!U34</f>
        <v>1.05</v>
      </c>
      <c r="S201" s="1929"/>
      <c r="T201" s="1929"/>
      <c r="U201" s="318" t="s">
        <v>4268</v>
      </c>
      <c r="Y201" s="316"/>
    </row>
    <row r="202" spans="1:38" ht="20.100000000000001" customHeight="1">
      <c r="A202" s="767"/>
      <c r="F202" s="314" t="s">
        <v>5297</v>
      </c>
      <c r="N202" s="314"/>
      <c r="Q202" s="314" t="s">
        <v>3306</v>
      </c>
      <c r="S202" s="1858">
        <f>NL!U35</f>
        <v>2.4</v>
      </c>
      <c r="T202" s="1858"/>
      <c r="U202" s="314" t="s">
        <v>4195</v>
      </c>
      <c r="X202" s="314" t="s">
        <v>3306</v>
      </c>
      <c r="Y202" s="1961">
        <f>S202*100</f>
        <v>240</v>
      </c>
      <c r="Z202" s="1961"/>
      <c r="AA202" s="1961"/>
      <c r="AB202" s="1961"/>
      <c r="AC202" s="318" t="s">
        <v>4191</v>
      </c>
    </row>
    <row r="203" spans="1:38" ht="20.100000000000001" customHeight="1">
      <c r="A203" s="767"/>
      <c r="F203" s="314" t="s">
        <v>5298</v>
      </c>
      <c r="N203" s="314"/>
      <c r="Q203" s="314" t="s">
        <v>3306</v>
      </c>
      <c r="S203" s="1858">
        <f>NL!U36</f>
        <v>16</v>
      </c>
      <c r="T203" s="1858"/>
      <c r="U203" s="314" t="s">
        <v>4194</v>
      </c>
      <c r="X203" s="314" t="s">
        <v>3306</v>
      </c>
      <c r="Y203" s="1924">
        <f>S203/10</f>
        <v>1.6</v>
      </c>
      <c r="Z203" s="1924"/>
      <c r="AA203" s="1924"/>
      <c r="AB203" s="1924"/>
      <c r="AC203" s="318" t="s">
        <v>4191</v>
      </c>
    </row>
    <row r="204" spans="1:38" ht="20.100000000000001" customHeight="1">
      <c r="A204" s="767"/>
      <c r="D204" s="315" t="s">
        <v>3433</v>
      </c>
      <c r="N204" s="314"/>
    </row>
    <row r="205" spans="1:38" ht="20.100000000000001" customHeight="1">
      <c r="A205" s="767"/>
      <c r="J205" s="314" t="s">
        <v>3434</v>
      </c>
      <c r="N205" s="314"/>
      <c r="Q205" s="314" t="s">
        <v>3306</v>
      </c>
      <c r="S205" s="1858">
        <f>(0.8+(2.4/2))*100</f>
        <v>200</v>
      </c>
      <c r="T205" s="1858"/>
      <c r="U205" s="318" t="s">
        <v>4191</v>
      </c>
    </row>
    <row r="206" spans="1:38" ht="20.100000000000001" customHeight="1">
      <c r="A206" s="767"/>
      <c r="D206" s="315" t="s">
        <v>3435</v>
      </c>
      <c r="N206" s="314"/>
    </row>
    <row r="207" spans="1:38" ht="20.100000000000001" customHeight="1">
      <c r="A207" s="767"/>
      <c r="D207" s="315"/>
      <c r="H207" s="1858" t="s">
        <v>5649</v>
      </c>
      <c r="I207" s="1858"/>
      <c r="J207" s="1858"/>
      <c r="K207" s="1859" t="s">
        <v>3306</v>
      </c>
      <c r="M207" s="1863">
        <v>1</v>
      </c>
      <c r="N207" s="1863"/>
      <c r="O207" s="1863"/>
      <c r="P207" s="1859" t="s">
        <v>5641</v>
      </c>
      <c r="Q207" s="1859"/>
      <c r="R207" s="1858" t="s">
        <v>5646</v>
      </c>
      <c r="S207" s="1858"/>
      <c r="T207" s="1863" t="s">
        <v>5643</v>
      </c>
      <c r="U207" s="1863"/>
      <c r="V207" s="1859" t="s">
        <v>5644</v>
      </c>
      <c r="W207" s="1863">
        <v>1</v>
      </c>
      <c r="X207" s="1863"/>
      <c r="Y207" s="1859" t="s">
        <v>5645</v>
      </c>
      <c r="Z207" s="1859"/>
      <c r="AA207" s="314" t="s">
        <v>5647</v>
      </c>
    </row>
    <row r="208" spans="1:38" ht="20.100000000000001" customHeight="1">
      <c r="A208" s="767"/>
      <c r="D208" s="315"/>
      <c r="H208" s="1858"/>
      <c r="I208" s="1858"/>
      <c r="J208" s="1858"/>
      <c r="K208" s="1859"/>
      <c r="M208" s="1859" t="s">
        <v>5642</v>
      </c>
      <c r="N208" s="1859"/>
      <c r="O208" s="1859"/>
      <c r="P208" s="1859"/>
      <c r="Q208" s="1859"/>
      <c r="R208" s="1858"/>
      <c r="S208" s="1858"/>
      <c r="T208" s="1859" t="s">
        <v>1252</v>
      </c>
      <c r="U208" s="1859"/>
      <c r="V208" s="1859"/>
      <c r="W208" s="1857">
        <v>2</v>
      </c>
      <c r="X208" s="1857"/>
      <c r="Y208" s="1859"/>
      <c r="Z208" s="1859"/>
      <c r="AA208" s="314" t="s">
        <v>5648</v>
      </c>
    </row>
    <row r="209" spans="1:38" ht="20.100000000000001" customHeight="1">
      <c r="A209" s="767"/>
      <c r="D209" s="315"/>
      <c r="K209" s="1859" t="s">
        <v>3306</v>
      </c>
      <c r="M209" s="1863" t="str">
        <f>Y200&amp;" . "&amp;R201</f>
        <v>3000 . 1,05</v>
      </c>
      <c r="N209" s="1863"/>
      <c r="O209" s="1863"/>
      <c r="P209" s="1863"/>
      <c r="Q209" s="1863"/>
      <c r="R209" s="1858" t="s">
        <v>5646</v>
      </c>
      <c r="S209" s="1858"/>
      <c r="T209" s="1863" t="str">
        <f>"2."&amp;Y202</f>
        <v>2.240</v>
      </c>
      <c r="U209" s="1863"/>
      <c r="V209" s="1863"/>
      <c r="W209" s="1859" t="s">
        <v>5644</v>
      </c>
      <c r="X209" s="1863">
        <v>1</v>
      </c>
      <c r="Y209" s="1863"/>
      <c r="Z209" s="1859" t="s">
        <v>5645</v>
      </c>
      <c r="AA209" s="1859"/>
      <c r="AB209" s="1863" t="str">
        <f>"4."&amp;S205&amp;" + "&amp;Y202</f>
        <v>4.200 + 240</v>
      </c>
      <c r="AC209" s="1863"/>
      <c r="AD209" s="1863"/>
      <c r="AE209" s="1863"/>
      <c r="AF209" s="1863"/>
    </row>
    <row r="210" spans="1:38" ht="20.100000000000001" customHeight="1">
      <c r="A210" s="767"/>
      <c r="D210" s="315"/>
      <c r="K210" s="1859"/>
      <c r="M210" s="1859" t="str">
        <f>"2 . π ."&amp;Y202</f>
        <v>2 . π .240</v>
      </c>
      <c r="N210" s="1859"/>
      <c r="O210" s="1859"/>
      <c r="P210" s="1859"/>
      <c r="Q210" s="1859"/>
      <c r="R210" s="1858"/>
      <c r="S210" s="1858"/>
      <c r="T210" s="1939">
        <f>Y203</f>
        <v>1.6</v>
      </c>
      <c r="U210" s="1859"/>
      <c r="V210" s="1859"/>
      <c r="W210" s="1859"/>
      <c r="X210" s="1857">
        <v>2</v>
      </c>
      <c r="Y210" s="1857"/>
      <c r="Z210" s="1859"/>
      <c r="AA210" s="1859"/>
      <c r="AB210" s="1857" t="str">
        <f>"4."&amp;S205&amp;" - "&amp;Y202</f>
        <v>4.200 - 240</v>
      </c>
      <c r="AC210" s="1857"/>
      <c r="AD210" s="1857"/>
      <c r="AE210" s="1857"/>
      <c r="AF210" s="1857"/>
    </row>
    <row r="211" spans="1:38" ht="20.100000000000001" customHeight="1">
      <c r="A211" s="767"/>
      <c r="D211" s="315"/>
      <c r="K211" s="314" t="s">
        <v>3306</v>
      </c>
      <c r="M211" s="1979">
        <f>ROUND(((Y200*R201)/(2*3.14*Y202))*(LN(2*Y202/Y203)+(0.5*LN((4*S205+Y202)/(4*S205-Y202)))),2)</f>
        <v>12.57</v>
      </c>
      <c r="N211" s="1979"/>
      <c r="O211" s="1979"/>
      <c r="P211" s="314" t="s">
        <v>4192</v>
      </c>
    </row>
    <row r="212" spans="1:38" ht="20.100000000000001" customHeight="1">
      <c r="A212" s="767"/>
      <c r="D212" s="315" t="s">
        <v>3436</v>
      </c>
      <c r="I212" s="320"/>
      <c r="N212" s="314"/>
    </row>
    <row r="213" spans="1:38" ht="20.100000000000001" customHeight="1">
      <c r="A213" s="767"/>
      <c r="J213" s="320"/>
      <c r="K213" s="316"/>
      <c r="N213" s="318" t="s">
        <v>3940</v>
      </c>
      <c r="Q213" s="342" t="s">
        <v>3939</v>
      </c>
      <c r="S213" s="1862" t="str">
        <f>VLOOKUP(NL!U29,NL!BZ29:DD50,NL!CB26,FALSE)&amp;" kVA"</f>
        <v>160 kVA</v>
      </c>
      <c r="T213" s="1862"/>
      <c r="U213" s="1862"/>
      <c r="V213" s="1862"/>
      <c r="W213" s="1862"/>
      <c r="X213" s="1862"/>
      <c r="Y213" s="1862"/>
      <c r="Z213" s="1862"/>
      <c r="AA213" s="1862"/>
      <c r="AB213" s="1862"/>
      <c r="AC213" s="1862"/>
      <c r="AD213" s="1862"/>
      <c r="AE213" s="1862"/>
      <c r="AF213" s="1862"/>
      <c r="AG213" s="1862"/>
      <c r="AH213" s="1862"/>
      <c r="AI213" s="1862"/>
      <c r="AJ213" s="1862"/>
      <c r="AK213" s="1862"/>
      <c r="AL213" s="1862"/>
    </row>
    <row r="214" spans="1:38" ht="20.100000000000001" customHeight="1">
      <c r="A214" s="767"/>
      <c r="M214" s="319" t="s">
        <v>5652</v>
      </c>
      <c r="N214" s="318" t="s">
        <v>3437</v>
      </c>
      <c r="Q214" s="316" t="s">
        <v>3438</v>
      </c>
      <c r="S214" s="1980">
        <f>IF(VLOOKUP(NL!U29,NL!BZ29:DD50,NL!CB26,FALSE)&gt;100, 4, 10)</f>
        <v>4</v>
      </c>
      <c r="T214" s="1980"/>
      <c r="U214" s="1980"/>
      <c r="V214" s="1980"/>
      <c r="W214" s="1980"/>
      <c r="X214" s="1980"/>
      <c r="Y214" s="1980"/>
      <c r="Z214" s="1980"/>
      <c r="AA214" s="1980"/>
      <c r="AB214" s="1980"/>
      <c r="AC214" s="1980"/>
      <c r="AD214" s="1980"/>
      <c r="AE214" s="1980"/>
      <c r="AF214" s="1980"/>
      <c r="AG214" s="1980"/>
      <c r="AH214" s="1980"/>
      <c r="AI214" s="1980"/>
      <c r="AJ214" s="1980"/>
      <c r="AK214" s="1980"/>
      <c r="AL214" s="1980"/>
    </row>
    <row r="215" spans="1:38" ht="20.100000000000001" customHeight="1">
      <c r="A215" s="767"/>
      <c r="D215" s="315" t="s">
        <v>2552</v>
      </c>
      <c r="M215" s="317"/>
      <c r="Q215" s="316"/>
      <c r="S215" s="345"/>
      <c r="T215" s="345"/>
      <c r="U215" s="345"/>
      <c r="V215" s="345"/>
      <c r="W215" s="345"/>
      <c r="X215" s="345"/>
      <c r="Y215" s="345"/>
      <c r="Z215" s="345"/>
      <c r="AA215" s="345"/>
      <c r="AB215" s="345"/>
      <c r="AC215" s="345"/>
      <c r="AD215" s="345"/>
      <c r="AE215" s="345"/>
      <c r="AF215" s="345"/>
      <c r="AG215" s="345"/>
      <c r="AH215" s="345"/>
      <c r="AI215" s="345"/>
      <c r="AJ215" s="345"/>
      <c r="AK215" s="345"/>
      <c r="AL215" s="345"/>
    </row>
    <row r="216" spans="1:38" ht="20.100000000000001" customHeight="1">
      <c r="A216" s="767"/>
      <c r="D216" s="315"/>
      <c r="M216" s="317"/>
      <c r="N216" s="318" t="s">
        <v>2553</v>
      </c>
      <c r="Q216" s="342" t="s">
        <v>3939</v>
      </c>
      <c r="S216" s="314" t="str">
        <f>NL!U37&amp;" cọc"</f>
        <v>4 cọc</v>
      </c>
    </row>
    <row r="217" spans="1:38" ht="20.100000000000001" customHeight="1">
      <c r="A217" s="767"/>
      <c r="D217" s="315" t="s">
        <v>4476</v>
      </c>
      <c r="M217" s="317"/>
      <c r="Q217" s="342"/>
      <c r="S217" s="318"/>
      <c r="T217" s="318"/>
      <c r="U217" s="318"/>
      <c r="V217" s="318"/>
      <c r="W217" s="318"/>
      <c r="X217" s="318"/>
      <c r="Y217" s="318"/>
      <c r="Z217" s="318"/>
      <c r="AA217" s="318"/>
      <c r="AB217" s="318"/>
      <c r="AC217" s="318"/>
      <c r="AD217" s="318"/>
      <c r="AE217" s="318"/>
      <c r="AF217" s="318"/>
      <c r="AG217" s="318"/>
      <c r="AH217" s="318"/>
      <c r="AI217" s="318"/>
      <c r="AJ217" s="318"/>
      <c r="AK217" s="318"/>
      <c r="AL217" s="318"/>
    </row>
    <row r="218" spans="1:38" ht="20.100000000000001" customHeight="1">
      <c r="A218" s="767"/>
      <c r="D218" s="315"/>
      <c r="L218" s="1859" t="s">
        <v>6186</v>
      </c>
      <c r="M218" s="1859"/>
      <c r="N218" s="1859"/>
      <c r="O218" s="1859"/>
      <c r="P218" s="1859"/>
      <c r="Q218" s="1859" t="s">
        <v>3306</v>
      </c>
      <c r="R218" s="1863" t="s">
        <v>5649</v>
      </c>
      <c r="S218" s="1863"/>
      <c r="T218" s="1863"/>
      <c r="AA218" s="373"/>
      <c r="AB218" s="373"/>
      <c r="AC218" s="373"/>
      <c r="AD218" s="373"/>
      <c r="AE218" s="373"/>
      <c r="AF218" s="373"/>
      <c r="AG218" s="373"/>
      <c r="AH218" s="373"/>
      <c r="AI218" s="373"/>
      <c r="AJ218" s="373"/>
      <c r="AK218" s="373"/>
      <c r="AL218" s="373"/>
    </row>
    <row r="219" spans="1:38" ht="20.100000000000001" customHeight="1">
      <c r="A219" s="767"/>
      <c r="D219" s="315"/>
      <c r="L219" s="1859"/>
      <c r="M219" s="1859"/>
      <c r="N219" s="1859"/>
      <c r="O219" s="1859"/>
      <c r="P219" s="1859"/>
      <c r="Q219" s="1859"/>
      <c r="R219" s="1857" t="s">
        <v>4477</v>
      </c>
      <c r="S219" s="1857"/>
      <c r="T219" s="1857"/>
      <c r="Z219" s="373"/>
      <c r="AA219" s="373"/>
      <c r="AB219" s="373"/>
      <c r="AC219" s="373"/>
      <c r="AD219" s="373"/>
      <c r="AE219" s="373"/>
      <c r="AF219" s="373"/>
      <c r="AG219" s="373"/>
      <c r="AH219" s="373"/>
      <c r="AI219" s="373"/>
      <c r="AJ219" s="373"/>
      <c r="AK219" s="373"/>
      <c r="AL219" s="373"/>
    </row>
    <row r="220" spans="1:38" ht="20.100000000000001" customHeight="1">
      <c r="A220" s="767"/>
      <c r="D220" s="315"/>
      <c r="L220" s="316"/>
      <c r="M220" s="316"/>
      <c r="N220" s="316"/>
      <c r="O220" s="316"/>
      <c r="P220" s="316"/>
      <c r="Q220" s="1859" t="s">
        <v>3306</v>
      </c>
      <c r="R220" s="1966">
        <f>M211</f>
        <v>12.57</v>
      </c>
      <c r="S220" s="1966"/>
      <c r="T220" s="1966"/>
      <c r="U220" s="1966"/>
      <c r="V220" s="316"/>
      <c r="W220" s="316"/>
      <c r="X220" s="316"/>
      <c r="Y220" s="316"/>
      <c r="Z220" s="354"/>
      <c r="AA220" s="354"/>
      <c r="AB220" s="354"/>
      <c r="AC220" s="354"/>
      <c r="AD220" s="354"/>
      <c r="AE220" s="354"/>
      <c r="AF220" s="354"/>
      <c r="AG220" s="354"/>
      <c r="AH220" s="354"/>
      <c r="AI220" s="354"/>
      <c r="AJ220" s="354"/>
      <c r="AK220" s="354"/>
      <c r="AL220" s="354"/>
    </row>
    <row r="221" spans="1:38" ht="20.100000000000001" customHeight="1">
      <c r="A221" s="767"/>
      <c r="D221" s="315"/>
      <c r="L221" s="316"/>
      <c r="M221" s="316"/>
      <c r="N221" s="316"/>
      <c r="O221" s="316"/>
      <c r="P221" s="316"/>
      <c r="Q221" s="1859"/>
      <c r="R221" s="1859" t="str">
        <f>NL!U37&amp;" x "&amp;0.85</f>
        <v>4 x 0,85</v>
      </c>
      <c r="S221" s="1859"/>
      <c r="T221" s="1859"/>
      <c r="U221" s="1859"/>
      <c r="V221" s="316"/>
      <c r="W221" s="316"/>
      <c r="X221" s="316"/>
      <c r="Y221" s="316"/>
      <c r="Z221" s="354"/>
      <c r="AA221" s="354"/>
      <c r="AB221" s="354"/>
      <c r="AC221" s="354"/>
      <c r="AD221" s="354"/>
      <c r="AE221" s="354"/>
      <c r="AF221" s="354"/>
      <c r="AG221" s="354"/>
      <c r="AH221" s="354"/>
      <c r="AI221" s="354"/>
      <c r="AJ221" s="354"/>
      <c r="AK221" s="354"/>
      <c r="AL221" s="354"/>
    </row>
    <row r="222" spans="1:38" ht="20.100000000000001" customHeight="1">
      <c r="A222" s="767"/>
      <c r="D222" s="315"/>
      <c r="L222" s="316"/>
      <c r="M222" s="316"/>
      <c r="N222" s="316"/>
      <c r="O222" s="316"/>
      <c r="P222" s="316"/>
      <c r="Q222" s="314" t="s">
        <v>3306</v>
      </c>
      <c r="R222" s="1982">
        <f>ROUND(M211/(NL!U37*0.85),2)</f>
        <v>3.7</v>
      </c>
      <c r="S222" s="1982"/>
      <c r="T222" s="1982"/>
      <c r="U222" s="1982"/>
      <c r="V222" s="1982"/>
      <c r="W222" s="1982"/>
      <c r="X222" s="1982"/>
      <c r="Y222" s="1982"/>
      <c r="Z222" s="1982"/>
      <c r="AA222" s="1982"/>
      <c r="AB222" s="1982"/>
      <c r="AC222" s="1982"/>
      <c r="AD222" s="1982"/>
      <c r="AE222" s="1982"/>
      <c r="AF222" s="1982"/>
      <c r="AG222" s="1982"/>
      <c r="AH222" s="1982"/>
      <c r="AI222" s="1982"/>
      <c r="AJ222" s="378"/>
      <c r="AK222" s="378"/>
      <c r="AL222" s="378"/>
    </row>
    <row r="223" spans="1:38" ht="20.100000000000001" customHeight="1">
      <c r="A223" s="767"/>
      <c r="D223" s="315"/>
      <c r="L223" s="316"/>
      <c r="M223" s="316"/>
      <c r="N223" s="316"/>
      <c r="O223" s="316"/>
      <c r="P223" s="316"/>
      <c r="R223" s="373"/>
      <c r="S223" s="318"/>
      <c r="T223" s="318"/>
      <c r="U223" s="316"/>
      <c r="V223" s="316"/>
      <c r="W223" s="316"/>
      <c r="X223" s="316"/>
      <c r="Y223" s="316"/>
      <c r="Z223" s="354"/>
      <c r="AA223" s="354"/>
      <c r="AB223" s="354"/>
      <c r="AC223" s="354"/>
      <c r="AD223" s="354"/>
      <c r="AE223" s="354"/>
      <c r="AF223" s="354"/>
      <c r="AG223" s="354"/>
      <c r="AH223" s="354"/>
      <c r="AI223" s="354"/>
      <c r="AJ223" s="354"/>
      <c r="AK223" s="354"/>
      <c r="AL223" s="354"/>
    </row>
    <row r="224" spans="1:38" ht="20.100000000000001" customHeight="1">
      <c r="A224" s="767"/>
      <c r="D224" s="315"/>
      <c r="N224" s="314"/>
      <c r="O224" s="317" t="s">
        <v>6186</v>
      </c>
      <c r="Q224" s="318" t="s">
        <v>4478</v>
      </c>
      <c r="S224" s="318" t="s">
        <v>3437</v>
      </c>
      <c r="W224" s="318"/>
      <c r="X224" s="318"/>
      <c r="Y224" s="318"/>
    </row>
    <row r="225" spans="1:38" ht="20.100000000000001" customHeight="1">
      <c r="A225" s="767"/>
      <c r="D225" s="315"/>
      <c r="L225" s="1967">
        <f>R222</f>
        <v>3.7</v>
      </c>
      <c r="M225" s="1967"/>
      <c r="N225" s="1967"/>
      <c r="O225" s="1967"/>
      <c r="Q225" s="318" t="str">
        <f>IF(R222&lt;S225,"&lt;",IF(R222&gt;S225,"&gt;",IF(R222=S225,"=","")))</f>
        <v>&lt;</v>
      </c>
      <c r="R225" s="316"/>
      <c r="S225" s="1996">
        <f>S214</f>
        <v>4</v>
      </c>
      <c r="T225" s="1996"/>
      <c r="U225" s="1996"/>
      <c r="V225" s="1996"/>
      <c r="W225" s="1996"/>
      <c r="X225" s="1996"/>
      <c r="Y225" s="1996"/>
      <c r="Z225" s="1996"/>
      <c r="AA225" s="1996"/>
      <c r="AB225" s="1996"/>
      <c r="AC225" s="1996"/>
      <c r="AD225" s="345"/>
      <c r="AE225" s="345"/>
      <c r="AF225" s="345"/>
      <c r="AG225" s="345"/>
      <c r="AH225" s="345"/>
      <c r="AI225" s="345"/>
      <c r="AJ225" s="345"/>
      <c r="AK225" s="345"/>
      <c r="AL225" s="345"/>
    </row>
    <row r="226" spans="1:38" ht="20.100000000000001" customHeight="1">
      <c r="A226" s="767"/>
      <c r="C226" s="321" t="str">
        <f>IF(ROUND(M211/(NL!U37*0.85),2)&lt;S225,"* Kết luận điện trở nối đất của trạm đạt theo tiêu chuẩn",IF(ROUND(M211/(NL!U37*0.85),2)&gt;S225,"Kết luận điện trở nối đất của trạm không đạt theo tiêu chuẩn"," "))</f>
        <v>* Kết luận điện trở nối đất của trạm đạt theo tiêu chuẩn</v>
      </c>
      <c r="N226" s="314"/>
      <c r="Q226" s="342"/>
      <c r="S226" s="318"/>
      <c r="T226" s="318"/>
      <c r="U226" s="318"/>
      <c r="V226" s="318"/>
      <c r="W226" s="318"/>
      <c r="X226" s="318"/>
      <c r="Y226" s="318"/>
      <c r="Z226" s="318"/>
      <c r="AA226" s="318"/>
      <c r="AB226" s="318"/>
      <c r="AC226" s="318"/>
      <c r="AD226" s="318"/>
      <c r="AE226" s="318"/>
      <c r="AF226" s="318"/>
      <c r="AG226" s="318"/>
      <c r="AH226" s="318"/>
      <c r="AI226" s="318"/>
      <c r="AJ226" s="318"/>
      <c r="AK226" s="318"/>
      <c r="AL226" s="318"/>
    </row>
    <row r="227" spans="1:38" ht="20.100000000000001" customHeight="1">
      <c r="A227" s="767"/>
      <c r="C227" s="327"/>
      <c r="D227" s="327"/>
      <c r="E227" s="327"/>
      <c r="F227" s="327"/>
      <c r="G227" s="327"/>
      <c r="H227" s="327"/>
      <c r="I227" s="327"/>
      <c r="J227" s="327"/>
      <c r="K227" s="327"/>
      <c r="L227" s="327"/>
      <c r="M227" s="327"/>
      <c r="N227" s="338"/>
      <c r="O227" s="327"/>
      <c r="P227" s="327"/>
      <c r="Q227" s="327"/>
      <c r="R227" s="327"/>
      <c r="S227" s="327"/>
      <c r="T227" s="327"/>
      <c r="U227" s="327"/>
      <c r="V227" s="327"/>
      <c r="W227" s="327"/>
      <c r="X227" s="327"/>
      <c r="Y227" s="327"/>
      <c r="Z227" s="328"/>
      <c r="AA227" s="328"/>
      <c r="AB227" s="328"/>
      <c r="AC227" s="328"/>
      <c r="AD227" s="328"/>
      <c r="AE227" s="328"/>
      <c r="AF227" s="328"/>
      <c r="AG227" s="328"/>
      <c r="AH227" s="328"/>
      <c r="AI227" s="328"/>
      <c r="AJ227" s="328"/>
      <c r="AK227" s="328"/>
      <c r="AL227" s="328"/>
    </row>
    <row r="228" spans="1:38" ht="20.100000000000001" customHeight="1">
      <c r="A228" s="767"/>
      <c r="C228" s="327"/>
      <c r="D228" s="327"/>
      <c r="E228" s="327"/>
      <c r="F228" s="327"/>
      <c r="G228" s="327"/>
      <c r="H228" s="327"/>
      <c r="I228" s="327"/>
      <c r="J228" s="327"/>
      <c r="K228" s="327"/>
      <c r="L228" s="327"/>
      <c r="M228" s="327"/>
      <c r="N228" s="338"/>
      <c r="O228" s="327"/>
      <c r="P228" s="327"/>
      <c r="Q228" s="327"/>
      <c r="R228" s="327"/>
      <c r="S228" s="327"/>
      <c r="T228" s="327"/>
      <c r="U228" s="327"/>
      <c r="V228" s="327"/>
      <c r="W228" s="327"/>
      <c r="X228" s="327"/>
      <c r="Y228" s="327"/>
      <c r="Z228" s="328"/>
      <c r="AA228" s="328"/>
      <c r="AB228" s="328"/>
      <c r="AC228" s="328"/>
      <c r="AD228" s="328"/>
      <c r="AE228" s="328"/>
      <c r="AF228" s="328"/>
      <c r="AG228" s="328"/>
      <c r="AH228" s="328"/>
      <c r="AI228" s="328"/>
      <c r="AJ228" s="328"/>
      <c r="AK228" s="328"/>
      <c r="AL228" s="328"/>
    </row>
    <row r="229" spans="1:38" ht="20.100000000000001" customHeight="1">
      <c r="A229" s="767"/>
      <c r="C229" s="327"/>
      <c r="D229" s="327"/>
      <c r="E229" s="327"/>
      <c r="F229" s="327"/>
      <c r="G229" s="327"/>
      <c r="H229" s="327"/>
      <c r="I229" s="327"/>
      <c r="J229" s="327"/>
      <c r="K229" s="327"/>
      <c r="L229" s="327"/>
      <c r="M229" s="327"/>
      <c r="N229" s="338"/>
      <c r="O229" s="327"/>
      <c r="P229" s="327"/>
      <c r="Q229" s="327"/>
      <c r="R229" s="327"/>
      <c r="S229" s="327"/>
      <c r="T229" s="327"/>
      <c r="U229" s="327"/>
      <c r="V229" s="327"/>
      <c r="W229" s="327"/>
      <c r="X229" s="327"/>
      <c r="Y229" s="327"/>
      <c r="Z229" s="328"/>
      <c r="AA229" s="328"/>
      <c r="AB229" s="328"/>
      <c r="AC229" s="328"/>
      <c r="AD229" s="328"/>
      <c r="AE229" s="328"/>
      <c r="AF229" s="328"/>
      <c r="AG229" s="328"/>
      <c r="AH229" s="328"/>
      <c r="AI229" s="328"/>
      <c r="AJ229" s="328"/>
      <c r="AK229" s="328"/>
      <c r="AL229" s="328"/>
    </row>
    <row r="230" spans="1:38" ht="30" customHeight="1">
      <c r="A230" s="767"/>
      <c r="C230" s="327"/>
      <c r="D230" s="327"/>
      <c r="E230" s="327"/>
      <c r="F230" s="327"/>
      <c r="G230" s="327"/>
      <c r="H230" s="327"/>
      <c r="I230" s="327"/>
      <c r="J230" s="327"/>
      <c r="K230" s="327"/>
      <c r="L230" s="327"/>
      <c r="M230" s="327"/>
      <c r="N230" s="338"/>
      <c r="O230" s="327"/>
      <c r="P230" s="327"/>
      <c r="Q230" s="327"/>
      <c r="R230" s="327"/>
      <c r="S230" s="327"/>
      <c r="T230" s="327"/>
      <c r="U230" s="327"/>
      <c r="V230" s="327"/>
      <c r="W230" s="327"/>
      <c r="X230" s="327"/>
      <c r="Y230" s="327"/>
      <c r="Z230" s="328"/>
      <c r="AA230" s="328"/>
      <c r="AB230" s="328"/>
      <c r="AC230" s="328"/>
      <c r="AD230" s="328"/>
      <c r="AE230" s="328"/>
      <c r="AF230" s="328"/>
      <c r="AG230" s="328"/>
      <c r="AH230" s="328"/>
      <c r="AI230" s="328"/>
      <c r="AJ230" s="328"/>
      <c r="AK230" s="328"/>
      <c r="AL230" s="328"/>
    </row>
    <row r="231" spans="1:38" ht="20.100000000000001" customHeight="1">
      <c r="A231" s="767"/>
      <c r="C231" s="327"/>
      <c r="D231" s="327"/>
      <c r="E231" s="327"/>
      <c r="F231" s="327"/>
      <c r="G231" s="327"/>
      <c r="H231" s="327"/>
      <c r="I231" s="327"/>
      <c r="J231" s="327"/>
      <c r="K231" s="327"/>
      <c r="L231" s="327"/>
      <c r="M231" s="327"/>
      <c r="N231" s="338"/>
      <c r="O231" s="327"/>
      <c r="P231" s="327"/>
      <c r="Q231" s="327"/>
      <c r="R231" s="327"/>
      <c r="S231" s="327"/>
      <c r="T231" s="327"/>
      <c r="U231" s="327"/>
      <c r="V231" s="327"/>
      <c r="W231" s="327"/>
      <c r="X231" s="327"/>
      <c r="Y231" s="327"/>
      <c r="Z231" s="328"/>
      <c r="AA231" s="328"/>
      <c r="AB231" s="328"/>
      <c r="AC231" s="328"/>
      <c r="AD231" s="328"/>
      <c r="AE231" s="328"/>
      <c r="AF231" s="328"/>
      <c r="AG231" s="328"/>
      <c r="AH231" s="328"/>
      <c r="AI231" s="328"/>
      <c r="AJ231" s="328"/>
      <c r="AK231" s="328"/>
      <c r="AL231" s="328"/>
    </row>
    <row r="232" spans="1:38" ht="20.100000000000001" customHeight="1">
      <c r="A232" s="767"/>
      <c r="C232" s="327"/>
      <c r="D232" s="327"/>
      <c r="E232" s="327"/>
      <c r="F232" s="327"/>
      <c r="G232" s="327"/>
      <c r="H232" s="327"/>
      <c r="I232" s="327"/>
      <c r="J232" s="327"/>
      <c r="K232" s="327"/>
      <c r="L232" s="327"/>
      <c r="M232" s="327"/>
      <c r="N232" s="338"/>
      <c r="O232" s="327"/>
      <c r="P232" s="327"/>
      <c r="Q232" s="327"/>
      <c r="R232" s="327"/>
      <c r="S232" s="327"/>
      <c r="T232" s="327"/>
      <c r="U232" s="327"/>
      <c r="V232" s="327"/>
      <c r="W232" s="327"/>
      <c r="X232" s="327"/>
      <c r="Y232" s="327"/>
      <c r="Z232" s="328"/>
      <c r="AA232" s="328"/>
      <c r="AB232" s="328"/>
      <c r="AC232" s="328"/>
      <c r="AD232" s="328"/>
      <c r="AE232" s="328"/>
      <c r="AF232" s="328"/>
      <c r="AG232" s="328"/>
      <c r="AH232" s="328"/>
      <c r="AI232" s="328"/>
      <c r="AJ232" s="328"/>
      <c r="AK232" s="328"/>
      <c r="AL232" s="328"/>
    </row>
    <row r="233" spans="1:38" ht="20.100000000000001" customHeight="1">
      <c r="A233" s="767"/>
      <c r="C233" s="327"/>
      <c r="D233" s="327"/>
      <c r="E233" s="327"/>
      <c r="F233" s="327"/>
      <c r="G233" s="327"/>
      <c r="H233" s="327"/>
      <c r="I233" s="327"/>
      <c r="J233" s="327"/>
      <c r="K233" s="327"/>
      <c r="L233" s="327"/>
      <c r="M233" s="327"/>
      <c r="N233" s="338"/>
      <c r="O233" s="327"/>
      <c r="P233" s="327"/>
      <c r="Q233" s="327"/>
      <c r="R233" s="327"/>
      <c r="S233" s="327"/>
      <c r="T233" s="327"/>
      <c r="U233" s="327"/>
      <c r="V233" s="327"/>
      <c r="W233" s="327"/>
      <c r="X233" s="327"/>
      <c r="Y233" s="327"/>
      <c r="Z233" s="328"/>
      <c r="AA233" s="328"/>
      <c r="AB233" s="328"/>
      <c r="AC233" s="328"/>
      <c r="AD233" s="328"/>
      <c r="AE233" s="328"/>
      <c r="AF233" s="328"/>
      <c r="AG233" s="328"/>
      <c r="AH233" s="328"/>
      <c r="AI233" s="328"/>
      <c r="AJ233" s="328"/>
      <c r="AK233" s="328"/>
      <c r="AL233" s="328"/>
    </row>
    <row r="234" spans="1:38" ht="20.100000000000001" customHeight="1">
      <c r="A234" s="767"/>
      <c r="C234" s="327"/>
      <c r="D234" s="327"/>
      <c r="E234" s="327"/>
      <c r="F234" s="327"/>
      <c r="G234" s="327"/>
      <c r="H234" s="327"/>
      <c r="I234" s="327"/>
      <c r="J234" s="327"/>
      <c r="K234" s="327"/>
      <c r="L234" s="327"/>
      <c r="M234" s="327"/>
      <c r="N234" s="338"/>
      <c r="O234" s="327"/>
      <c r="P234" s="327"/>
      <c r="Q234" s="327"/>
      <c r="R234" s="327"/>
      <c r="S234" s="327"/>
      <c r="T234" s="327"/>
      <c r="U234" s="327"/>
      <c r="V234" s="327"/>
      <c r="W234" s="327"/>
      <c r="X234" s="327"/>
      <c r="Y234" s="327"/>
      <c r="Z234" s="328"/>
      <c r="AA234" s="328"/>
      <c r="AB234" s="328"/>
      <c r="AC234" s="328"/>
      <c r="AD234" s="328"/>
      <c r="AE234" s="328"/>
      <c r="AF234" s="328"/>
      <c r="AG234" s="328"/>
      <c r="AH234" s="328"/>
      <c r="AI234" s="328"/>
      <c r="AJ234" s="328"/>
      <c r="AK234" s="328"/>
      <c r="AL234" s="328"/>
    </row>
    <row r="235" spans="1:38" ht="24.95" customHeight="1" thickBot="1">
      <c r="A235" s="767"/>
      <c r="C235" s="1950" t="s">
        <v>6189</v>
      </c>
      <c r="D235" s="1950"/>
      <c r="E235" s="1950"/>
      <c r="F235" s="1950"/>
      <c r="G235" s="1950"/>
      <c r="H235" s="1950"/>
      <c r="I235" s="1950"/>
      <c r="J235" s="1950"/>
      <c r="K235" s="1950"/>
      <c r="L235" s="1950"/>
      <c r="M235" s="1950"/>
      <c r="N235" s="1950"/>
      <c r="O235" s="1950"/>
      <c r="P235" s="1950"/>
      <c r="Q235" s="1950"/>
      <c r="R235" s="1950"/>
      <c r="S235" s="1950"/>
      <c r="T235" s="1950"/>
      <c r="U235" s="1950"/>
      <c r="V235" s="1950"/>
      <c r="W235" s="1950"/>
      <c r="X235" s="1950"/>
      <c r="Y235" s="1950"/>
      <c r="Z235" s="1950"/>
      <c r="AA235" s="1950"/>
      <c r="AB235" s="1950"/>
      <c r="AC235" s="1950"/>
      <c r="AD235" s="1950"/>
      <c r="AE235" s="1950"/>
      <c r="AF235" s="1950"/>
      <c r="AG235" s="1950"/>
      <c r="AH235" s="1950"/>
      <c r="AI235" s="1950"/>
      <c r="AJ235" s="1950"/>
      <c r="AK235" s="1950"/>
      <c r="AL235" s="1950"/>
    </row>
    <row r="236" spans="1:38" ht="12.75" customHeight="1">
      <c r="A236" s="767"/>
      <c r="C236" s="327"/>
      <c r="D236" s="346"/>
      <c r="E236" s="346"/>
      <c r="F236" s="346"/>
      <c r="G236" s="346"/>
      <c r="H236" s="346"/>
      <c r="I236" s="346"/>
      <c r="J236" s="346"/>
      <c r="K236" s="346"/>
      <c r="L236" s="346"/>
      <c r="M236" s="346"/>
      <c r="N236" s="347"/>
      <c r="O236" s="346"/>
      <c r="P236" s="346"/>
      <c r="Q236" s="346"/>
      <c r="R236" s="346"/>
      <c r="S236" s="346"/>
      <c r="T236" s="346"/>
      <c r="U236" s="346"/>
      <c r="V236" s="346"/>
      <c r="W236" s="346"/>
      <c r="X236" s="346"/>
      <c r="Y236" s="346"/>
      <c r="Z236" s="348"/>
      <c r="AA236" s="348"/>
      <c r="AB236" s="348"/>
      <c r="AC236" s="348"/>
      <c r="AD236" s="348"/>
      <c r="AE236" s="348"/>
      <c r="AF236" s="348"/>
      <c r="AG236" s="348"/>
      <c r="AH236" s="348"/>
      <c r="AI236" s="348"/>
      <c r="AJ236" s="348"/>
      <c r="AK236" s="348"/>
      <c r="AL236" s="328"/>
    </row>
    <row r="237" spans="1:38" ht="20.100000000000001" customHeight="1">
      <c r="A237" s="767"/>
      <c r="C237" s="1873" t="s">
        <v>1817</v>
      </c>
      <c r="D237" s="1873"/>
      <c r="E237" s="1873"/>
      <c r="F237" s="1873"/>
      <c r="G237" s="1873"/>
      <c r="H237" s="1873"/>
      <c r="I237" s="1873"/>
      <c r="J237" s="1873"/>
      <c r="K237" s="1873"/>
      <c r="L237" s="1873"/>
      <c r="M237" s="1873"/>
      <c r="N237" s="1873"/>
      <c r="O237" s="1873"/>
      <c r="P237" s="1873"/>
      <c r="Q237" s="1873"/>
      <c r="R237" s="1873"/>
      <c r="S237" s="1873"/>
      <c r="T237" s="1873"/>
      <c r="U237" s="1873"/>
      <c r="V237" s="1873"/>
      <c r="W237" s="1873"/>
      <c r="X237" s="1873"/>
      <c r="Y237" s="1873"/>
      <c r="Z237" s="1873"/>
      <c r="AA237" s="1873"/>
      <c r="AB237" s="1873"/>
      <c r="AC237" s="1873"/>
      <c r="AD237" s="1873"/>
      <c r="AE237" s="1873"/>
      <c r="AF237" s="1873"/>
      <c r="AG237" s="1873"/>
      <c r="AH237" s="1873"/>
      <c r="AI237" s="1873"/>
      <c r="AJ237" s="1873"/>
      <c r="AK237" s="1873"/>
      <c r="AL237" s="1873"/>
    </row>
    <row r="238" spans="1:38" ht="20.100000000000001" customHeight="1">
      <c r="A238" s="767"/>
      <c r="D238" s="322" t="s">
        <v>4726</v>
      </c>
      <c r="E238" s="322"/>
      <c r="F238" s="322"/>
      <c r="G238" s="322"/>
      <c r="H238" s="322"/>
      <c r="I238" s="322"/>
      <c r="J238" s="322"/>
      <c r="K238" s="322"/>
      <c r="L238" s="322"/>
      <c r="M238" s="322"/>
      <c r="N238" s="322"/>
      <c r="Q238" s="352"/>
      <c r="T238" s="352"/>
      <c r="U238" s="353"/>
      <c r="V238" s="353"/>
      <c r="W238" s="353"/>
      <c r="X238" s="353"/>
    </row>
    <row r="239" spans="1:38" ht="20.100000000000001" customHeight="1">
      <c r="A239" s="767"/>
      <c r="D239" s="322"/>
      <c r="E239" s="322" t="s">
        <v>1714</v>
      </c>
      <c r="F239" s="322"/>
      <c r="G239" s="322"/>
      <c r="H239" s="322"/>
      <c r="I239" s="322"/>
      <c r="J239" s="322"/>
      <c r="K239" s="322"/>
      <c r="L239" s="322"/>
      <c r="M239" s="322"/>
      <c r="N239" s="322"/>
      <c r="Q239" s="352"/>
      <c r="R239" s="352"/>
      <c r="S239" s="352"/>
      <c r="T239" s="352"/>
    </row>
    <row r="240" spans="1:38" ht="20.100000000000001" customHeight="1">
      <c r="A240" s="767"/>
      <c r="G240" s="315"/>
      <c r="H240" s="316"/>
      <c r="I240" s="1862" t="s">
        <v>559</v>
      </c>
      <c r="J240" s="1862"/>
      <c r="K240" s="1862" t="s">
        <v>3306</v>
      </c>
      <c r="L240" s="1929" t="s">
        <v>598</v>
      </c>
      <c r="M240" s="1929"/>
      <c r="N240" s="1929"/>
      <c r="O240" s="1863" t="s">
        <v>3656</v>
      </c>
      <c r="P240" s="1863"/>
      <c r="Q240" s="1863"/>
    </row>
    <row r="241" spans="1:38" ht="20.100000000000001" customHeight="1">
      <c r="A241" s="767"/>
      <c r="G241" s="315"/>
      <c r="H241" s="316"/>
      <c r="I241" s="1862"/>
      <c r="J241" s="1862"/>
      <c r="K241" s="1862"/>
      <c r="L241" s="1929"/>
      <c r="M241" s="1929"/>
      <c r="N241" s="1929"/>
      <c r="O241" s="1919">
        <v>1000</v>
      </c>
      <c r="P241" s="1919"/>
      <c r="Q241" s="1919"/>
    </row>
    <row r="242" spans="1:38" ht="20.100000000000001" customHeight="1">
      <c r="A242" s="767"/>
      <c r="G242" s="315"/>
      <c r="H242" s="316"/>
      <c r="I242" s="1862" t="s">
        <v>559</v>
      </c>
      <c r="J242" s="1862"/>
      <c r="K242" s="1862" t="s">
        <v>3306</v>
      </c>
      <c r="L242" s="1929" t="s">
        <v>598</v>
      </c>
      <c r="M242" s="1929"/>
      <c r="N242" s="1929"/>
      <c r="O242" s="1863" t="e">
        <f>VLOOKUP(NL!U46,NL!BY80:CJ116,NL!CJ76,FALSE)</f>
        <v>#N/A</v>
      </c>
      <c r="P242" s="1863"/>
      <c r="Q242" s="1863"/>
    </row>
    <row r="243" spans="1:38" ht="20.100000000000001" customHeight="1">
      <c r="A243" s="767"/>
      <c r="G243" s="315"/>
      <c r="H243" s="316"/>
      <c r="I243" s="1862"/>
      <c r="J243" s="1862"/>
      <c r="K243" s="1862"/>
      <c r="L243" s="1929"/>
      <c r="M243" s="1929"/>
      <c r="N243" s="1929"/>
      <c r="O243" s="1919">
        <v>1000</v>
      </c>
      <c r="P243" s="1919"/>
      <c r="Q243" s="1919"/>
    </row>
    <row r="244" spans="1:38" ht="20.100000000000001" customHeight="1">
      <c r="A244" s="767"/>
      <c r="G244" s="315"/>
      <c r="H244" s="316"/>
      <c r="I244" s="318"/>
      <c r="J244" s="318"/>
      <c r="K244" s="318" t="s">
        <v>3306</v>
      </c>
      <c r="L244" s="1858" t="e">
        <f>ROUND(1.03*VLOOKUP(NL!U46,NL!BY80:CJ116,NL!CJ76,FALSE)/1000,5)</f>
        <v>#N/A</v>
      </c>
      <c r="M244" s="1858"/>
      <c r="N244" s="1858"/>
      <c r="O244" s="1858"/>
      <c r="P244" s="1858"/>
      <c r="Q244" s="1858"/>
      <c r="R244" s="318" t="s">
        <v>3655</v>
      </c>
    </row>
    <row r="245" spans="1:38" ht="20.100000000000001" customHeight="1">
      <c r="A245" s="767"/>
      <c r="G245" s="315"/>
      <c r="H245" s="316"/>
      <c r="I245" s="1862" t="s">
        <v>559</v>
      </c>
      <c r="J245" s="1862"/>
      <c r="K245" s="1862" t="s">
        <v>3306</v>
      </c>
      <c r="L245" s="1929" t="s">
        <v>598</v>
      </c>
      <c r="M245" s="1929"/>
      <c r="N245" s="1929"/>
      <c r="O245" s="1863" t="s">
        <v>4335</v>
      </c>
      <c r="P245" s="1863"/>
      <c r="Q245" s="1863"/>
      <c r="R245" s="1863"/>
      <c r="S245" s="1863"/>
      <c r="T245" s="1863"/>
    </row>
    <row r="246" spans="1:38" ht="20.100000000000001" customHeight="1">
      <c r="A246" s="767"/>
      <c r="G246" s="315"/>
      <c r="H246" s="316"/>
      <c r="I246" s="1862"/>
      <c r="J246" s="1862"/>
      <c r="K246" s="1862"/>
      <c r="L246" s="1929"/>
      <c r="M246" s="1929"/>
      <c r="N246" s="1929"/>
      <c r="O246" s="1857" t="s">
        <v>3657</v>
      </c>
      <c r="P246" s="1857"/>
      <c r="Q246" s="1857"/>
      <c r="R246" s="1857"/>
      <c r="S246" s="1857"/>
      <c r="T246" s="1857"/>
      <c r="X246" s="1859"/>
      <c r="Y246" s="1859"/>
      <c r="Z246" s="1859"/>
      <c r="AA246" s="1859"/>
      <c r="AB246" s="1859"/>
      <c r="AC246" s="1859"/>
      <c r="AD246" s="1859"/>
    </row>
    <row r="247" spans="1:38" ht="20.100000000000001" customHeight="1">
      <c r="A247" s="767"/>
      <c r="G247" s="315"/>
      <c r="H247" s="316"/>
      <c r="K247" s="1862" t="s">
        <v>3306</v>
      </c>
      <c r="L247" s="1929" t="s">
        <v>598</v>
      </c>
      <c r="M247" s="1929"/>
      <c r="N247" s="1929"/>
      <c r="O247" s="1863" t="e">
        <f>26.0566&amp;" . "&amp;VLOOKUP(NL!U46,NL!BY80:CG116,NL!CE76,FALSE)&amp;" + "&amp;71.1066&amp;" . "&amp;VLOOKUP(NL!U46,NL!BY80:CG116,NL!CF76,FALSE)</f>
        <v>#N/A</v>
      </c>
      <c r="P247" s="1863"/>
      <c r="Q247" s="1863"/>
      <c r="R247" s="1863"/>
      <c r="S247" s="1863"/>
      <c r="T247" s="1863"/>
      <c r="U247" s="1863"/>
      <c r="V247" s="1863"/>
      <c r="W247" s="1863"/>
      <c r="X247" s="1863"/>
      <c r="Y247" s="1863"/>
      <c r="Z247" s="1863"/>
      <c r="AA247" s="1863"/>
      <c r="AC247" s="315"/>
    </row>
    <row r="248" spans="1:38" ht="20.100000000000001" customHeight="1">
      <c r="A248" s="767"/>
      <c r="G248" s="315"/>
      <c r="H248" s="316"/>
      <c r="K248" s="1862"/>
      <c r="L248" s="1929"/>
      <c r="M248" s="1929"/>
      <c r="N248" s="1929"/>
      <c r="O248" s="1949" t="e">
        <f>"1.000 . "&amp;VLOOKUP(NL!U46,NL!BY80:CG116,NL!CG76,FALSE)</f>
        <v>#N/A</v>
      </c>
      <c r="P248" s="1857"/>
      <c r="Q248" s="1857"/>
      <c r="R248" s="1857"/>
      <c r="S248" s="1857"/>
      <c r="T248" s="1857"/>
      <c r="U248" s="1857"/>
      <c r="V248" s="1857"/>
      <c r="W248" s="1857"/>
      <c r="X248" s="1857"/>
      <c r="Y248" s="1857"/>
      <c r="Z248" s="1857"/>
      <c r="AA248" s="1857"/>
      <c r="AC248" s="315"/>
    </row>
    <row r="249" spans="1:38" ht="20.100000000000001" customHeight="1">
      <c r="A249" s="767"/>
      <c r="G249" s="315"/>
      <c r="H249" s="316"/>
      <c r="I249" s="318"/>
      <c r="J249" s="318"/>
      <c r="K249" s="318" t="s">
        <v>3306</v>
      </c>
      <c r="L249" s="1858" t="e">
        <f>ROUND(1.03*((26.0566*VLOOKUP(NL!U46,NL!BY80:CG116,NL!CE76,FALSE))+(71.1066*VLOOKUP(NL!U46,NL!BY80:CG116,NL!CF76,FALSE)))/(1000*VLOOKUP(NL!U46,NL!BY80:CG116,NL!CG76,FALSE)),5)</f>
        <v>#N/A</v>
      </c>
      <c r="M249" s="1858"/>
      <c r="N249" s="1858"/>
      <c r="O249" s="1858"/>
      <c r="P249" s="1858"/>
      <c r="Q249" s="1858"/>
      <c r="R249" s="318" t="s">
        <v>3655</v>
      </c>
      <c r="W249" s="317"/>
      <c r="X249" s="317"/>
      <c r="Y249" s="317"/>
      <c r="Z249" s="317"/>
      <c r="AI249" s="318"/>
      <c r="AJ249" s="318"/>
      <c r="AK249" s="318"/>
      <c r="AL249" s="318"/>
    </row>
    <row r="250" spans="1:38" ht="20.100000000000001" customHeight="1">
      <c r="A250" s="767"/>
      <c r="D250" s="316"/>
      <c r="E250" s="316"/>
      <c r="F250" s="318"/>
      <c r="G250" s="315" t="s">
        <v>1712</v>
      </c>
      <c r="H250" s="316"/>
      <c r="I250" s="316"/>
      <c r="J250" s="316"/>
      <c r="K250" s="316"/>
      <c r="L250" s="316"/>
      <c r="M250" s="316"/>
      <c r="N250" s="316"/>
      <c r="S250" s="380"/>
      <c r="T250" s="380"/>
      <c r="U250" s="380"/>
      <c r="V250" s="380"/>
      <c r="W250" s="380"/>
      <c r="X250" s="380"/>
      <c r="Y250" s="380"/>
      <c r="Z250" s="380"/>
      <c r="AA250" s="380"/>
      <c r="AB250" s="380"/>
      <c r="AC250" s="380"/>
      <c r="AD250" s="380"/>
      <c r="AE250" s="380"/>
      <c r="AF250" s="380"/>
      <c r="AG250" s="380"/>
      <c r="AH250" s="380"/>
      <c r="AI250" s="380"/>
      <c r="AJ250" s="380"/>
      <c r="AK250" s="380"/>
      <c r="AL250" s="380"/>
    </row>
    <row r="251" spans="1:38" ht="20.100000000000001" customHeight="1">
      <c r="A251" s="767"/>
      <c r="D251" s="316"/>
      <c r="E251" s="316"/>
      <c r="F251" s="318"/>
      <c r="G251" s="315" t="s">
        <v>823</v>
      </c>
      <c r="H251" s="316"/>
      <c r="I251" s="316"/>
      <c r="J251" s="316"/>
      <c r="K251" s="316"/>
      <c r="L251" s="316"/>
      <c r="M251" s="316"/>
      <c r="N251" s="316"/>
      <c r="S251" s="380"/>
      <c r="T251" s="380"/>
      <c r="U251" s="380"/>
      <c r="V251" s="380"/>
      <c r="W251" s="380"/>
      <c r="X251" s="380"/>
      <c r="Y251" s="380"/>
      <c r="Z251" s="380"/>
      <c r="AA251" s="380"/>
      <c r="AB251" s="380"/>
      <c r="AC251" s="380"/>
      <c r="AD251" s="380"/>
      <c r="AE251" s="380"/>
      <c r="AF251" s="380"/>
      <c r="AG251" s="380"/>
      <c r="AH251" s="380"/>
      <c r="AI251" s="380"/>
      <c r="AJ251" s="380"/>
      <c r="AK251" s="380"/>
      <c r="AL251" s="380"/>
    </row>
    <row r="252" spans="1:38" ht="20.100000000000001" customHeight="1">
      <c r="A252" s="767"/>
      <c r="D252" s="316"/>
      <c r="E252" s="316"/>
      <c r="F252" s="318"/>
      <c r="G252" s="314" t="s">
        <v>822</v>
      </c>
      <c r="H252" s="316"/>
      <c r="I252" s="316"/>
      <c r="J252" s="316"/>
      <c r="K252" s="316"/>
      <c r="L252" s="316"/>
      <c r="M252" s="316"/>
      <c r="N252" s="316"/>
      <c r="S252" s="380"/>
      <c r="T252" s="380"/>
      <c r="U252" s="380"/>
      <c r="V252" s="380"/>
      <c r="W252" s="380"/>
      <c r="X252" s="380"/>
      <c r="Y252" s="380"/>
      <c r="Z252" s="380"/>
      <c r="AA252" s="380"/>
      <c r="AB252" s="380"/>
      <c r="AC252" s="380"/>
      <c r="AD252" s="380"/>
      <c r="AE252" s="380"/>
      <c r="AF252" s="380"/>
      <c r="AG252" s="380"/>
      <c r="AH252" s="380"/>
      <c r="AI252" s="380"/>
      <c r="AJ252" s="380"/>
      <c r="AK252" s="380"/>
      <c r="AL252" s="380"/>
    </row>
    <row r="253" spans="1:38" ht="20.100000000000001" customHeight="1">
      <c r="A253" s="767"/>
      <c r="D253" s="316"/>
      <c r="E253" s="316"/>
      <c r="F253" s="318"/>
      <c r="G253" s="314" t="s">
        <v>1713</v>
      </c>
      <c r="H253" s="316"/>
      <c r="I253" s="316"/>
      <c r="J253" s="316"/>
      <c r="K253" s="316"/>
      <c r="L253" s="316"/>
      <c r="M253" s="316"/>
      <c r="N253" s="316"/>
      <c r="S253" s="380"/>
      <c r="T253" s="380"/>
      <c r="U253" s="380"/>
      <c r="V253" s="380"/>
      <c r="W253" s="380"/>
      <c r="X253" s="380"/>
      <c r="Y253" s="380"/>
      <c r="Z253" s="380"/>
      <c r="AA253" s="380"/>
      <c r="AB253" s="380"/>
      <c r="AC253" s="380"/>
      <c r="AD253" s="380"/>
      <c r="AE253" s="380"/>
      <c r="AF253" s="380"/>
      <c r="AG253" s="380"/>
      <c r="AH253" s="380"/>
      <c r="AI253" s="380"/>
      <c r="AJ253" s="380"/>
      <c r="AK253" s="380"/>
      <c r="AL253" s="380"/>
    </row>
    <row r="254" spans="1:38" ht="20.100000000000001" customHeight="1">
      <c r="A254" s="767"/>
      <c r="D254" s="322"/>
      <c r="E254" s="322" t="s">
        <v>2786</v>
      </c>
      <c r="F254" s="322"/>
      <c r="G254" s="322"/>
      <c r="H254" s="322"/>
      <c r="I254" s="322"/>
      <c r="J254" s="322"/>
      <c r="K254" s="322"/>
      <c r="L254" s="322"/>
      <c r="M254" s="322"/>
      <c r="N254" s="322"/>
      <c r="Q254" s="352"/>
      <c r="R254" s="352"/>
      <c r="S254" s="352"/>
      <c r="T254" s="352"/>
      <c r="U254" s="353"/>
      <c r="V254" s="353"/>
      <c r="W254" s="353"/>
    </row>
    <row r="255" spans="1:38" ht="20.100000000000001" customHeight="1">
      <c r="A255" s="767"/>
      <c r="G255" s="315"/>
      <c r="H255" s="316"/>
      <c r="I255" s="1862" t="s">
        <v>560</v>
      </c>
      <c r="J255" s="1862"/>
      <c r="K255" s="1862" t="s">
        <v>3306</v>
      </c>
      <c r="L255" s="1863" t="s">
        <v>3727</v>
      </c>
      <c r="M255" s="1863"/>
      <c r="N255" s="1863"/>
      <c r="O255" s="1863"/>
      <c r="P255" s="1863"/>
      <c r="Q255" s="1863"/>
    </row>
    <row r="256" spans="1:38" ht="20.100000000000001" customHeight="1">
      <c r="A256" s="767"/>
      <c r="G256" s="315"/>
      <c r="H256" s="316"/>
      <c r="I256" s="1862"/>
      <c r="J256" s="1862"/>
      <c r="K256" s="1862"/>
      <c r="L256" s="1857" t="s">
        <v>6282</v>
      </c>
      <c r="M256" s="1857"/>
      <c r="N256" s="1857"/>
      <c r="O256" s="1857"/>
      <c r="P256" s="1857"/>
      <c r="Q256" s="1857"/>
    </row>
    <row r="257" spans="1:38" ht="9.9499999999999993" customHeight="1">
      <c r="A257" s="767"/>
      <c r="G257" s="315"/>
      <c r="H257" s="316"/>
      <c r="I257" s="318"/>
      <c r="J257" s="318"/>
      <c r="K257" s="1859" t="s">
        <v>3306</v>
      </c>
      <c r="L257" s="1858" t="e">
        <f>"9,81 . 0,85 . "&amp;IF(VLOOKUP(NL!U46,NL!BY80:CJ116,NL!CB76,FALSE)&lt;20,1.1,1.2)&amp;" . "&amp;VLOOKUP(NL!U46,NL!BY80:CJ116,NL!CB76,FALSE)</f>
        <v>#N/A</v>
      </c>
      <c r="M257" s="1858"/>
      <c r="N257" s="1858"/>
      <c r="O257" s="1858"/>
      <c r="P257" s="1858"/>
      <c r="Q257" s="1858"/>
      <c r="R257" s="1858"/>
      <c r="S257" s="1858"/>
      <c r="T257" s="1858"/>
      <c r="U257" s="1858"/>
      <c r="V257" s="1858" t="s">
        <v>6316</v>
      </c>
      <c r="W257" s="1858"/>
      <c r="X257" s="360">
        <v>2</v>
      </c>
    </row>
    <row r="258" spans="1:38" ht="9.9499999999999993" customHeight="1">
      <c r="A258" s="767"/>
      <c r="G258" s="315"/>
      <c r="H258" s="316"/>
      <c r="K258" s="1859"/>
      <c r="L258" s="1946"/>
      <c r="M258" s="1946"/>
      <c r="N258" s="1946"/>
      <c r="O258" s="1946"/>
      <c r="P258" s="1946"/>
      <c r="Q258" s="1946"/>
      <c r="R258" s="1946"/>
      <c r="S258" s="1946"/>
      <c r="T258" s="1946"/>
      <c r="U258" s="1946"/>
      <c r="V258" s="1946"/>
      <c r="W258" s="1946"/>
      <c r="X258" s="370"/>
      <c r="AC258" s="315"/>
    </row>
    <row r="259" spans="1:38" ht="20.100000000000001" customHeight="1">
      <c r="A259" s="767"/>
      <c r="G259" s="315"/>
      <c r="H259" s="316"/>
      <c r="K259" s="1859"/>
      <c r="L259" s="1947" t="e">
        <f>"16 . "&amp;(VLOOKUP(NL!U46,NL!BY80:CJ116,NL!CG76,FALSE))</f>
        <v>#N/A</v>
      </c>
      <c r="M259" s="1947"/>
      <c r="N259" s="1947"/>
      <c r="O259" s="1947"/>
      <c r="P259" s="1947"/>
      <c r="Q259" s="1947"/>
      <c r="R259" s="1947"/>
      <c r="S259" s="1947"/>
      <c r="T259" s="1948" t="s">
        <v>6317</v>
      </c>
      <c r="U259" s="1948"/>
      <c r="V259" s="1948"/>
      <c r="W259" s="1948"/>
      <c r="X259" s="1948"/>
    </row>
    <row r="260" spans="1:38" ht="20.100000000000001" customHeight="1">
      <c r="A260" s="767"/>
      <c r="G260" s="315"/>
      <c r="H260" s="316"/>
      <c r="I260" s="318"/>
      <c r="J260" s="318"/>
      <c r="K260" s="318" t="s">
        <v>3306</v>
      </c>
      <c r="L260" s="1858" t="e">
        <f>ROUND(9.81*0.85*IF(VLOOKUP(NL!U46,NL!BY80:CJ116,NL!CB76,FALSE)&lt;20,1.1,1.2)*VLOOKUP(NL!U46,NL!BY80:CJ116,NL!CB76,FALSE)*25^2/(16*(VLOOKUP(NL!U46,NL!BY80:CJ116,NL!CE76,FALSE)+VLOOKUP(NL!U46,NL!BY80:CJ116,NL!CF76,FALSE))*10^3),5)</f>
        <v>#N/A</v>
      </c>
      <c r="M260" s="1858"/>
      <c r="N260" s="1858"/>
      <c r="O260" s="1858"/>
      <c r="P260" s="1858"/>
      <c r="Q260" s="1858"/>
      <c r="R260" s="318" t="s">
        <v>3655</v>
      </c>
      <c r="W260" s="317"/>
      <c r="X260" s="317"/>
      <c r="Y260" s="317"/>
      <c r="Z260" s="317"/>
      <c r="AI260" s="318"/>
      <c r="AJ260" s="318"/>
      <c r="AK260" s="318"/>
      <c r="AL260" s="318"/>
    </row>
    <row r="261" spans="1:38" ht="20.100000000000001" customHeight="1">
      <c r="A261" s="767"/>
      <c r="D261" s="316"/>
      <c r="E261" s="316"/>
      <c r="F261" s="318"/>
      <c r="G261" s="314" t="s">
        <v>6283</v>
      </c>
      <c r="H261" s="316"/>
      <c r="I261" s="316"/>
      <c r="J261" s="316"/>
      <c r="K261" s="316"/>
      <c r="L261" s="316"/>
      <c r="M261" s="316"/>
      <c r="N261" s="316"/>
      <c r="S261" s="380"/>
      <c r="T261" s="380"/>
      <c r="U261" s="380"/>
      <c r="V261" s="380"/>
      <c r="W261" s="380"/>
      <c r="X261" s="380"/>
      <c r="Y261" s="380"/>
      <c r="Z261" s="380"/>
      <c r="AA261" s="380"/>
      <c r="AB261" s="380"/>
      <c r="AC261" s="380"/>
      <c r="AD261" s="380"/>
      <c r="AE261" s="380"/>
      <c r="AF261" s="380"/>
      <c r="AG261" s="380"/>
      <c r="AH261" s="380"/>
      <c r="AI261" s="380"/>
      <c r="AJ261" s="380"/>
      <c r="AK261" s="380"/>
      <c r="AL261" s="380"/>
    </row>
    <row r="262" spans="1:38" ht="20.100000000000001" customHeight="1">
      <c r="A262" s="767"/>
      <c r="D262" s="316"/>
      <c r="E262" s="316"/>
      <c r="F262" s="318"/>
      <c r="G262" s="314" t="s">
        <v>6284</v>
      </c>
      <c r="H262" s="316"/>
      <c r="I262" s="316"/>
      <c r="J262" s="316"/>
      <c r="K262" s="316"/>
      <c r="L262" s="316"/>
      <c r="M262" s="316"/>
      <c r="N262" s="316"/>
      <c r="S262" s="380"/>
      <c r="T262" s="380"/>
      <c r="U262" s="380"/>
      <c r="V262" s="380"/>
      <c r="W262" s="380"/>
      <c r="X262" s="380"/>
      <c r="Y262" s="380"/>
      <c r="Z262" s="380"/>
      <c r="AA262" s="380"/>
      <c r="AB262" s="380"/>
      <c r="AC262" s="380"/>
      <c r="AD262" s="380"/>
      <c r="AE262" s="380"/>
      <c r="AF262" s="380"/>
      <c r="AG262" s="380"/>
      <c r="AH262" s="380"/>
      <c r="AI262" s="380"/>
      <c r="AJ262" s="380"/>
      <c r="AK262" s="380"/>
      <c r="AL262" s="380"/>
    </row>
    <row r="263" spans="1:38" ht="20.100000000000001" customHeight="1">
      <c r="A263" s="767"/>
      <c r="D263" s="316"/>
      <c r="E263" s="316"/>
      <c r="F263" s="318"/>
      <c r="G263" s="314" t="s">
        <v>6315</v>
      </c>
      <c r="H263" s="316"/>
      <c r="I263" s="316"/>
      <c r="J263" s="316"/>
      <c r="K263" s="316"/>
      <c r="L263" s="316"/>
      <c r="M263" s="316"/>
      <c r="N263" s="316"/>
      <c r="S263" s="380"/>
      <c r="T263" s="380"/>
      <c r="U263" s="380"/>
      <c r="V263" s="380"/>
      <c r="W263" s="380"/>
      <c r="X263" s="380"/>
      <c r="Y263" s="380"/>
      <c r="Z263" s="380"/>
      <c r="AA263" s="380"/>
      <c r="AB263" s="380"/>
      <c r="AC263" s="380"/>
      <c r="AD263" s="380"/>
      <c r="AE263" s="380"/>
      <c r="AF263" s="380"/>
      <c r="AG263" s="380"/>
      <c r="AH263" s="380"/>
      <c r="AI263" s="380"/>
      <c r="AJ263" s="380"/>
      <c r="AK263" s="380"/>
      <c r="AL263" s="380"/>
    </row>
    <row r="264" spans="1:38" ht="20.100000000000001" customHeight="1">
      <c r="A264" s="767"/>
      <c r="D264" s="316"/>
      <c r="E264" s="316"/>
      <c r="F264" s="318"/>
      <c r="G264" s="314" t="s">
        <v>6314</v>
      </c>
      <c r="H264" s="316"/>
      <c r="I264" s="316"/>
      <c r="J264" s="316"/>
      <c r="K264" s="316"/>
      <c r="L264" s="316"/>
      <c r="M264" s="316"/>
      <c r="N264" s="316"/>
      <c r="S264" s="380"/>
      <c r="T264" s="380"/>
      <c r="U264" s="380"/>
      <c r="V264" s="380"/>
      <c r="W264" s="380"/>
      <c r="X264" s="380"/>
      <c r="Y264" s="380"/>
      <c r="Z264" s="380"/>
      <c r="AA264" s="380"/>
      <c r="AB264" s="380"/>
      <c r="AC264" s="380"/>
      <c r="AD264" s="380"/>
      <c r="AE264" s="380"/>
      <c r="AF264" s="380"/>
      <c r="AG264" s="380"/>
      <c r="AH264" s="380"/>
      <c r="AI264" s="380"/>
      <c r="AJ264" s="380"/>
      <c r="AK264" s="380"/>
      <c r="AL264" s="380"/>
    </row>
    <row r="265" spans="1:38" ht="20.100000000000001" customHeight="1">
      <c r="A265" s="767"/>
      <c r="D265" s="322"/>
      <c r="E265" s="322" t="s">
        <v>4334</v>
      </c>
      <c r="F265" s="322"/>
      <c r="G265" s="322"/>
      <c r="H265" s="322"/>
      <c r="I265" s="322"/>
      <c r="J265" s="322"/>
      <c r="K265" s="322"/>
      <c r="L265" s="322"/>
      <c r="M265" s="322"/>
      <c r="N265" s="322"/>
      <c r="Q265" s="352"/>
      <c r="R265" s="352"/>
      <c r="S265" s="352"/>
      <c r="T265" s="352"/>
      <c r="U265" s="353"/>
      <c r="V265" s="353"/>
      <c r="W265" s="353"/>
    </row>
    <row r="266" spans="1:38" ht="9.9499999999999993" customHeight="1">
      <c r="A266" s="767"/>
      <c r="D266" s="316"/>
      <c r="E266" s="316"/>
      <c r="F266" s="318"/>
      <c r="G266" s="315"/>
      <c r="H266" s="316"/>
      <c r="I266" s="316"/>
      <c r="J266" s="316"/>
      <c r="K266" s="316"/>
      <c r="L266" s="1859" t="s">
        <v>561</v>
      </c>
      <c r="N266" s="1859" t="s">
        <v>3306</v>
      </c>
      <c r="P266" s="1858" t="s">
        <v>5936</v>
      </c>
      <c r="Q266" s="383">
        <v>2</v>
      </c>
      <c r="R266" s="1859" t="s">
        <v>5644</v>
      </c>
      <c r="S266" s="1858" t="s">
        <v>5936</v>
      </c>
      <c r="T266" s="383">
        <v>2</v>
      </c>
    </row>
    <row r="267" spans="1:38" ht="9.9499999999999993" customHeight="1">
      <c r="A267" s="767"/>
      <c r="D267" s="316"/>
      <c r="E267" s="316"/>
      <c r="F267" s="318"/>
      <c r="G267" s="315"/>
      <c r="H267" s="316"/>
      <c r="I267" s="316"/>
      <c r="J267" s="316"/>
      <c r="K267" s="316"/>
      <c r="L267" s="1859"/>
      <c r="N267" s="1859"/>
      <c r="P267" s="1858"/>
      <c r="Q267" s="360">
        <v>1</v>
      </c>
      <c r="R267" s="1859"/>
      <c r="S267" s="1858"/>
      <c r="T267" s="360">
        <v>2</v>
      </c>
      <c r="V267" s="317"/>
      <c r="W267" s="317"/>
      <c r="X267" s="317"/>
      <c r="Y267" s="317"/>
      <c r="Z267" s="317"/>
      <c r="AA267" s="318"/>
      <c r="AB267" s="318"/>
      <c r="AC267" s="318"/>
      <c r="AD267" s="318"/>
      <c r="AE267" s="318"/>
      <c r="AF267" s="318"/>
      <c r="AG267" s="318"/>
      <c r="AH267" s="318"/>
      <c r="AI267" s="318"/>
      <c r="AJ267" s="318"/>
      <c r="AK267" s="318"/>
      <c r="AL267" s="318"/>
    </row>
    <row r="268" spans="1:38" ht="9.9499999999999993" customHeight="1">
      <c r="A268" s="767"/>
      <c r="D268" s="316"/>
      <c r="E268" s="316"/>
      <c r="F268" s="318"/>
      <c r="G268" s="315"/>
      <c r="H268" s="316"/>
      <c r="I268" s="316"/>
      <c r="J268" s="316"/>
      <c r="K268" s="316"/>
      <c r="L268" s="316"/>
      <c r="N268" s="316"/>
      <c r="P268" s="317"/>
      <c r="Q268" s="360"/>
      <c r="R268" s="316"/>
      <c r="S268" s="317"/>
      <c r="T268" s="360"/>
      <c r="V268" s="316"/>
      <c r="W268" s="317"/>
      <c r="X268" s="317"/>
      <c r="Y268" s="317"/>
      <c r="Z268" s="317"/>
      <c r="AA268" s="318"/>
      <c r="AB268" s="318"/>
      <c r="AC268" s="318"/>
      <c r="AD268" s="318"/>
      <c r="AE268" s="318"/>
      <c r="AF268" s="318"/>
      <c r="AG268" s="318"/>
      <c r="AH268" s="318"/>
      <c r="AI268" s="318"/>
      <c r="AJ268" s="318"/>
      <c r="AK268" s="318"/>
      <c r="AL268" s="318"/>
    </row>
    <row r="269" spans="1:38" ht="9.9499999999999993" customHeight="1">
      <c r="A269" s="767"/>
      <c r="D269" s="316"/>
      <c r="E269" s="316"/>
      <c r="F269" s="318"/>
      <c r="G269" s="315"/>
      <c r="H269" s="316"/>
      <c r="I269" s="316"/>
      <c r="J269" s="316"/>
      <c r="K269" s="316"/>
      <c r="L269" s="1859"/>
      <c r="N269" s="1859" t="s">
        <v>3306</v>
      </c>
      <c r="P269" s="1943" t="e">
        <f>L249+L244</f>
        <v>#N/A</v>
      </c>
      <c r="Q269" s="1943"/>
      <c r="R269" s="1943"/>
      <c r="S269" s="1943"/>
      <c r="T269" s="383">
        <v>2</v>
      </c>
      <c r="U269" s="1859" t="s">
        <v>5644</v>
      </c>
      <c r="V269" s="1943" t="e">
        <f>L260</f>
        <v>#N/A</v>
      </c>
      <c r="W269" s="1943"/>
      <c r="X269" s="1943"/>
      <c r="Y269" s="1943"/>
      <c r="Z269" s="383">
        <v>2</v>
      </c>
    </row>
    <row r="270" spans="1:38" ht="9.9499999999999993" customHeight="1">
      <c r="A270" s="767"/>
      <c r="D270" s="316"/>
      <c r="E270" s="316"/>
      <c r="F270" s="318"/>
      <c r="G270" s="315"/>
      <c r="H270" s="316"/>
      <c r="I270" s="316"/>
      <c r="J270" s="316"/>
      <c r="K270" s="316"/>
      <c r="L270" s="1859"/>
      <c r="N270" s="1859"/>
      <c r="P270" s="1943"/>
      <c r="Q270" s="1943"/>
      <c r="R270" s="1943"/>
      <c r="S270" s="1943"/>
      <c r="T270" s="360"/>
      <c r="U270" s="1859"/>
      <c r="V270" s="1943"/>
      <c r="W270" s="1943"/>
      <c r="X270" s="1943"/>
      <c r="Y270" s="1943"/>
      <c r="Z270" s="375"/>
      <c r="AG270" s="318"/>
      <c r="AH270" s="318"/>
      <c r="AI270" s="318"/>
      <c r="AJ270" s="318"/>
      <c r="AK270" s="318"/>
      <c r="AL270" s="318"/>
    </row>
    <row r="271" spans="1:38" ht="20.100000000000001" customHeight="1">
      <c r="A271" s="767"/>
      <c r="D271" s="316"/>
      <c r="E271" s="316"/>
      <c r="F271" s="318"/>
      <c r="G271" s="315"/>
      <c r="H271" s="316"/>
      <c r="I271" s="316"/>
      <c r="J271" s="316"/>
      <c r="K271" s="316"/>
      <c r="L271" s="316"/>
      <c r="N271" s="316" t="s">
        <v>3306</v>
      </c>
      <c r="O271" s="1943" t="e">
        <f>ROUND(SQRT(P269^2+V269^2),5)</f>
        <v>#N/A</v>
      </c>
      <c r="P271" s="1943"/>
      <c r="Q271" s="1943"/>
      <c r="R271" s="1943"/>
      <c r="S271" s="1943"/>
      <c r="T271" s="318" t="s">
        <v>3655</v>
      </c>
      <c r="V271" s="316"/>
      <c r="W271" s="317"/>
      <c r="X271" s="317"/>
      <c r="Y271" s="317"/>
      <c r="Z271" s="317"/>
      <c r="AA271" s="318"/>
      <c r="AB271" s="318"/>
      <c r="AC271" s="318"/>
      <c r="AD271" s="318"/>
      <c r="AE271" s="318"/>
      <c r="AF271" s="318"/>
      <c r="AG271" s="318"/>
      <c r="AH271" s="318"/>
      <c r="AI271" s="318"/>
      <c r="AJ271" s="318"/>
      <c r="AK271" s="318"/>
      <c r="AL271" s="318"/>
    </row>
    <row r="272" spans="1:38" ht="20.100000000000001" customHeight="1">
      <c r="A272" s="767"/>
      <c r="D272" s="322" t="s">
        <v>5419</v>
      </c>
      <c r="E272" s="322"/>
      <c r="F272" s="322"/>
      <c r="G272" s="322"/>
      <c r="H272" s="322"/>
      <c r="I272" s="322"/>
      <c r="J272" s="322"/>
      <c r="K272" s="322"/>
      <c r="L272" s="322"/>
      <c r="M272" s="322"/>
      <c r="N272" s="322"/>
      <c r="Q272" s="352"/>
      <c r="S272" s="352"/>
      <c r="T272" s="352"/>
      <c r="U272" s="353"/>
      <c r="V272" s="353"/>
      <c r="W272" s="353"/>
    </row>
    <row r="273" spans="1:38" ht="20.100000000000001" customHeight="1">
      <c r="A273" s="767"/>
      <c r="D273" s="322"/>
      <c r="E273" s="322" t="s">
        <v>1248</v>
      </c>
      <c r="F273" s="322"/>
      <c r="G273" s="322"/>
      <c r="H273" s="322"/>
      <c r="I273" s="322"/>
      <c r="J273" s="322"/>
      <c r="K273" s="322"/>
      <c r="L273" s="322"/>
      <c r="M273" s="322"/>
      <c r="N273" s="322"/>
      <c r="Q273" s="352"/>
      <c r="S273" s="352"/>
      <c r="T273" s="352"/>
      <c r="U273" s="353"/>
      <c r="V273" s="353"/>
      <c r="W273" s="353"/>
      <c r="X273" s="353"/>
    </row>
    <row r="274" spans="1:38" s="405" customFormat="1" ht="20.100000000000001" customHeight="1">
      <c r="A274" s="768"/>
      <c r="B274" s="314"/>
      <c r="L274" s="1879" t="s">
        <v>4269</v>
      </c>
      <c r="M274" s="1879" t="s">
        <v>3279</v>
      </c>
      <c r="N274" s="1879" t="s">
        <v>4270</v>
      </c>
      <c r="O274" s="1879"/>
      <c r="Q274" s="1884" t="s">
        <v>4271</v>
      </c>
      <c r="R274" s="1884"/>
      <c r="S274" s="1884"/>
      <c r="T274" s="1884"/>
      <c r="U274" s="1884"/>
      <c r="V274" s="1884"/>
      <c r="W274" s="1884"/>
    </row>
    <row r="275" spans="1:38" s="405" customFormat="1" ht="20.100000000000001" customHeight="1">
      <c r="A275" s="768"/>
      <c r="B275" s="314"/>
      <c r="L275" s="1879"/>
      <c r="M275" s="1879"/>
      <c r="N275" s="1879"/>
      <c r="O275" s="1879"/>
      <c r="Q275" s="1876" t="s">
        <v>6291</v>
      </c>
      <c r="R275" s="1876"/>
      <c r="S275" s="1876"/>
      <c r="T275" s="1876"/>
      <c r="U275" s="1876"/>
      <c r="V275" s="1876"/>
      <c r="W275" s="1876"/>
    </row>
    <row r="276" spans="1:38" s="405" customFormat="1" ht="20.100000000000001" customHeight="1">
      <c r="A276" s="768"/>
      <c r="B276" s="314"/>
      <c r="L276" s="1879" t="s">
        <v>4269</v>
      </c>
      <c r="M276" s="1879" t="s">
        <v>3279</v>
      </c>
      <c r="N276" s="1878" t="str">
        <f>IF(LEFT(NL!$U$46,2)="C ",382/2,0)&amp;" ."</f>
        <v>0 .</v>
      </c>
      <c r="O276" s="1879"/>
      <c r="Q276" s="1944" t="str">
        <f>"24 . "&amp;IF(LEFT(NL!$U$46,2)="C ",17,0)</f>
        <v>24 . 0</v>
      </c>
      <c r="R276" s="1944"/>
      <c r="S276" s="1944"/>
      <c r="T276" s="1944"/>
      <c r="U276" s="1944"/>
      <c r="V276" s="494" t="s">
        <v>6292</v>
      </c>
      <c r="W276" s="495"/>
      <c r="X276" s="495"/>
      <c r="Y276" s="495"/>
      <c r="Z276" s="495"/>
      <c r="AA276" s="495"/>
    </row>
    <row r="277" spans="1:38" s="405" customFormat="1" ht="9.9499999999999993" customHeight="1">
      <c r="A277" s="768"/>
      <c r="B277" s="314"/>
      <c r="L277" s="1879"/>
      <c r="M277" s="1879"/>
      <c r="N277" s="1878"/>
      <c r="O277" s="1879"/>
      <c r="Q277" s="1941" t="e">
        <f>O271</f>
        <v>#N/A</v>
      </c>
      <c r="R277" s="1941"/>
      <c r="S277" s="1941"/>
      <c r="T277" s="1941"/>
      <c r="U277" s="496">
        <v>2</v>
      </c>
      <c r="V277" s="1876" t="s">
        <v>6344</v>
      </c>
      <c r="W277" s="1941" t="e">
        <f>L249</f>
        <v>#N/A</v>
      </c>
      <c r="X277" s="1941"/>
      <c r="Y277" s="1941"/>
      <c r="Z277" s="1941"/>
      <c r="AA277" s="496">
        <v>2</v>
      </c>
    </row>
    <row r="278" spans="1:38" s="405" customFormat="1" ht="9.9499999999999993" customHeight="1">
      <c r="A278" s="768"/>
      <c r="B278" s="314"/>
      <c r="L278" s="1879"/>
      <c r="M278" s="1879"/>
      <c r="N278" s="1879"/>
      <c r="O278" s="1879"/>
      <c r="Q278" s="1941"/>
      <c r="R278" s="1941"/>
      <c r="S278" s="1941"/>
      <c r="T278" s="1941"/>
      <c r="U278" s="497"/>
      <c r="V278" s="1879"/>
      <c r="W278" s="1941"/>
      <c r="X278" s="1941"/>
      <c r="Y278" s="1941"/>
      <c r="Z278" s="1941"/>
      <c r="AA278" s="498"/>
    </row>
    <row r="279" spans="1:38" s="405" customFormat="1" ht="20.100000000000001" customHeight="1">
      <c r="A279" s="768"/>
      <c r="B279" s="314"/>
      <c r="M279" s="405" t="s">
        <v>3279</v>
      </c>
      <c r="N279" s="1942" t="e">
        <f>ROUND(IF(LEFT(NL!$U$46,2)="C ",382/2,0)*SQRT(24*IF(LEFT(NL!$U$46,2)="C ",(17*10^(-6)),0)*(25-5)/((Q277^2)-(W277^2))),1)</f>
        <v>#N/A</v>
      </c>
      <c r="O279" s="1942"/>
      <c r="P279" s="1942"/>
      <c r="Q279" s="1942"/>
      <c r="R279" s="1942"/>
      <c r="S279" s="1942"/>
      <c r="T279" s="1942"/>
      <c r="U279" s="1942"/>
      <c r="V279" s="1942"/>
      <c r="W279" s="1942"/>
      <c r="X279" s="1942"/>
      <c r="Y279" s="1942"/>
      <c r="Z279" s="1942"/>
      <c r="AA279" s="1942"/>
      <c r="AB279" s="1942"/>
      <c r="AC279" s="1942"/>
      <c r="AD279" s="1942"/>
      <c r="AE279" s="1942"/>
      <c r="AF279" s="1942"/>
      <c r="AG279" s="1942"/>
      <c r="AH279" s="1942"/>
      <c r="AI279" s="1942"/>
      <c r="AJ279" s="1942"/>
      <c r="AK279" s="1942"/>
      <c r="AL279" s="1942"/>
    </row>
    <row r="280" spans="1:38" s="386" customFormat="1" ht="20.100000000000001" customHeight="1">
      <c r="A280" s="769"/>
      <c r="B280" s="314"/>
      <c r="N280" s="387"/>
      <c r="O280" s="387"/>
      <c r="P280" s="387"/>
      <c r="Q280" s="387"/>
      <c r="R280" s="387"/>
      <c r="S280" s="387"/>
      <c r="T280" s="387"/>
      <c r="U280" s="387"/>
      <c r="V280" s="387"/>
      <c r="W280" s="387"/>
      <c r="X280" s="387"/>
      <c r="Y280" s="387"/>
      <c r="Z280" s="387"/>
      <c r="AA280" s="387"/>
      <c r="AB280" s="387"/>
      <c r="AC280" s="387"/>
      <c r="AD280" s="387"/>
      <c r="AE280" s="387"/>
      <c r="AF280" s="387"/>
      <c r="AG280" s="387"/>
      <c r="AH280" s="387"/>
      <c r="AI280" s="387"/>
      <c r="AJ280" s="387"/>
      <c r="AK280" s="387"/>
      <c r="AL280" s="387"/>
    </row>
    <row r="281" spans="1:38" s="386" customFormat="1" ht="20.100000000000001" customHeight="1">
      <c r="A281" s="769"/>
      <c r="B281" s="314"/>
      <c r="N281" s="387"/>
      <c r="O281" s="387"/>
      <c r="P281" s="387"/>
      <c r="Q281" s="387"/>
      <c r="R281" s="387"/>
      <c r="S281" s="387"/>
      <c r="T281" s="387"/>
      <c r="U281" s="387"/>
      <c r="V281" s="387"/>
      <c r="W281" s="387"/>
      <c r="X281" s="387"/>
      <c r="Y281" s="387"/>
      <c r="Z281" s="387"/>
      <c r="AA281" s="387"/>
      <c r="AB281" s="387"/>
      <c r="AC281" s="387"/>
      <c r="AD281" s="387"/>
      <c r="AE281" s="387"/>
      <c r="AF281" s="387"/>
      <c r="AG281" s="387"/>
      <c r="AH281" s="387"/>
      <c r="AI281" s="387"/>
      <c r="AJ281" s="387"/>
      <c r="AK281" s="387"/>
      <c r="AL281" s="387"/>
    </row>
    <row r="282" spans="1:38" s="386" customFormat="1" ht="20.100000000000001" customHeight="1">
      <c r="A282" s="769"/>
      <c r="B282" s="314"/>
      <c r="K282" s="1890" t="s">
        <v>558</v>
      </c>
      <c r="L282" s="1890"/>
      <c r="M282" s="1916" t="s">
        <v>3306</v>
      </c>
      <c r="N282" s="1892" t="s">
        <v>909</v>
      </c>
      <c r="O282" s="1892"/>
      <c r="P282" s="1916" t="s">
        <v>3306</v>
      </c>
      <c r="Q282" s="1945" t="e">
        <f>VLOOKUP(NL!U46,NL!BY80:CJ116,NL!CE76,FALSE)</f>
        <v>#N/A</v>
      </c>
      <c r="R282" s="1945"/>
      <c r="S282" s="1945"/>
      <c r="T282" s="1916" t="s">
        <v>3306</v>
      </c>
      <c r="U282" s="1939" t="e">
        <f>ROUND(Q282/Q283,1)</f>
        <v>#N/A</v>
      </c>
      <c r="V282" s="1939"/>
      <c r="W282" s="389"/>
      <c r="X282" s="389"/>
      <c r="Y282" s="389"/>
      <c r="Z282" s="387"/>
      <c r="AA282" s="387"/>
      <c r="AB282" s="387"/>
      <c r="AC282" s="387"/>
      <c r="AD282" s="387"/>
      <c r="AE282" s="387"/>
      <c r="AF282" s="387"/>
      <c r="AG282" s="387"/>
      <c r="AH282" s="387"/>
      <c r="AI282" s="387"/>
      <c r="AJ282" s="387"/>
      <c r="AK282" s="387"/>
      <c r="AL282" s="387"/>
    </row>
    <row r="283" spans="1:38" s="386" customFormat="1" ht="20.100000000000001" customHeight="1">
      <c r="A283" s="769"/>
      <c r="B283" s="314"/>
      <c r="K283" s="1890"/>
      <c r="L283" s="1890"/>
      <c r="M283" s="1916"/>
      <c r="N283" s="1921" t="s">
        <v>910</v>
      </c>
      <c r="O283" s="1921"/>
      <c r="P283" s="1916"/>
      <c r="Q283" s="1939" t="e">
        <f>VLOOKUP(NL!U46,NL!BY80:CJ116,NL!CF76,FALSE)</f>
        <v>#N/A</v>
      </c>
      <c r="R283" s="1939"/>
      <c r="S283" s="1939"/>
      <c r="T283" s="1916"/>
      <c r="U283" s="1939"/>
      <c r="V283" s="1939"/>
      <c r="W283" s="389"/>
      <c r="X283" s="389"/>
      <c r="Y283" s="389"/>
      <c r="Z283" s="387"/>
      <c r="AA283" s="387"/>
      <c r="AB283" s="387"/>
      <c r="AC283" s="387"/>
      <c r="AD283" s="387"/>
      <c r="AE283" s="387"/>
      <c r="AF283" s="387"/>
      <c r="AG283" s="387"/>
      <c r="AH283" s="387"/>
      <c r="AI283" s="387"/>
      <c r="AJ283" s="387"/>
      <c r="AK283" s="387"/>
      <c r="AL283" s="387"/>
    </row>
    <row r="284" spans="1:38" ht="20.100000000000001" customHeight="1">
      <c r="A284" s="767"/>
      <c r="D284" s="316"/>
      <c r="E284" s="316"/>
      <c r="F284" s="318"/>
      <c r="G284" s="314" t="s">
        <v>2415</v>
      </c>
      <c r="H284" s="316"/>
      <c r="I284" s="316"/>
      <c r="J284" s="316"/>
      <c r="K284" s="316"/>
      <c r="L284" s="316"/>
      <c r="M284" s="316"/>
      <c r="N284" s="316"/>
      <c r="S284" s="380"/>
      <c r="T284" s="380"/>
      <c r="U284" s="380"/>
      <c r="V284" s="380"/>
      <c r="W284" s="380"/>
      <c r="X284" s="380"/>
      <c r="Y284" s="380"/>
      <c r="Z284" s="380"/>
      <c r="AA284" s="380"/>
      <c r="AB284" s="380"/>
      <c r="AC284" s="380"/>
      <c r="AD284" s="380"/>
      <c r="AE284" s="380"/>
      <c r="AF284" s="380"/>
      <c r="AG284" s="380"/>
      <c r="AH284" s="380"/>
      <c r="AI284" s="380"/>
      <c r="AJ284" s="380"/>
      <c r="AK284" s="380"/>
      <c r="AL284" s="380"/>
    </row>
    <row r="285" spans="1:38" s="386" customFormat="1" ht="20.100000000000001" customHeight="1">
      <c r="A285" s="769"/>
      <c r="B285" s="314"/>
      <c r="K285" s="1890" t="s">
        <v>911</v>
      </c>
      <c r="L285" s="1890"/>
      <c r="M285" s="1916" t="s">
        <v>3306</v>
      </c>
      <c r="N285" s="1892" t="s">
        <v>912</v>
      </c>
      <c r="O285" s="1892"/>
      <c r="P285" s="1892"/>
      <c r="Q285" s="1892"/>
      <c r="R285" s="1892"/>
      <c r="S285" s="1892"/>
      <c r="T285" s="1892"/>
    </row>
    <row r="286" spans="1:38" s="386" customFormat="1" ht="20.100000000000001" customHeight="1">
      <c r="A286" s="769"/>
      <c r="B286" s="314"/>
      <c r="K286" s="1890"/>
      <c r="L286" s="1890"/>
      <c r="M286" s="1916"/>
      <c r="N286" s="1916" t="s">
        <v>913</v>
      </c>
      <c r="O286" s="1916"/>
      <c r="P286" s="1916"/>
      <c r="Q286" s="1916"/>
      <c r="R286" s="1916"/>
      <c r="S286" s="1916"/>
      <c r="T286" s="1916"/>
    </row>
    <row r="287" spans="1:38" s="386" customFormat="1" ht="20.100000000000001" customHeight="1">
      <c r="A287" s="769"/>
      <c r="B287" s="314"/>
      <c r="M287" s="1916" t="s">
        <v>3306</v>
      </c>
      <c r="N287" s="1896" t="s">
        <v>914</v>
      </c>
      <c r="O287" s="1896"/>
      <c r="P287" s="1896"/>
      <c r="Q287" s="1896"/>
      <c r="R287" s="1896"/>
      <c r="S287" s="1896"/>
      <c r="T287" s="1896"/>
      <c r="U287" s="1896"/>
      <c r="V287" s="1925" t="e">
        <f>U282&amp;" ."</f>
        <v>#N/A</v>
      </c>
      <c r="W287" s="1925"/>
      <c r="X287" s="1892" t="s">
        <v>915</v>
      </c>
      <c r="Y287" s="1892"/>
      <c r="Z287" s="1892"/>
      <c r="AA287" s="1892"/>
      <c r="AB287" s="1892"/>
      <c r="AC287" s="1892"/>
      <c r="AD287" s="1892"/>
      <c r="AE287" s="387"/>
      <c r="AF287" s="387"/>
      <c r="AG287" s="387"/>
      <c r="AH287" s="387"/>
      <c r="AI287" s="387"/>
      <c r="AJ287" s="387"/>
      <c r="AK287" s="387"/>
      <c r="AL287" s="387"/>
    </row>
    <row r="288" spans="1:38" s="386" customFormat="1" ht="20.100000000000001" customHeight="1">
      <c r="A288" s="769"/>
      <c r="B288" s="314"/>
      <c r="M288" s="1916"/>
      <c r="N288" s="1918" t="s">
        <v>6290</v>
      </c>
      <c r="O288" s="1918"/>
      <c r="P288" s="1918"/>
      <c r="Q288" s="1918"/>
      <c r="R288" s="1918"/>
      <c r="S288" s="1918"/>
      <c r="T288" s="1918"/>
      <c r="U288" s="1918"/>
      <c r="V288" s="1924" t="e">
        <f>U282&amp;" ."</f>
        <v>#N/A</v>
      </c>
      <c r="W288" s="1924"/>
      <c r="X288" s="1940" t="s">
        <v>916</v>
      </c>
      <c r="Y288" s="1940"/>
      <c r="Z288" s="1940"/>
      <c r="AA288" s="1940"/>
      <c r="AB288" s="1940"/>
      <c r="AC288" s="1940"/>
      <c r="AD288" s="1940"/>
      <c r="AE288" s="387"/>
      <c r="AF288" s="387"/>
      <c r="AG288" s="387"/>
      <c r="AH288" s="387"/>
      <c r="AI288" s="387"/>
      <c r="AJ288" s="387"/>
      <c r="AK288" s="387"/>
      <c r="AL288" s="387"/>
    </row>
    <row r="289" spans="1:38" s="386" customFormat="1" ht="20.100000000000001" customHeight="1">
      <c r="A289" s="769"/>
      <c r="B289" s="314"/>
      <c r="M289" s="388" t="s">
        <v>3306</v>
      </c>
      <c r="N289" s="1890" t="e">
        <f>ROUND(((((12*10^(-6)*19.6*10^4)+(U282*23*10^(-6)*6.18*10^4))/((19.6*10^4)+(U282*6.18*10^4)))*10^6),2)</f>
        <v>#N/A</v>
      </c>
      <c r="O289" s="1890"/>
      <c r="P289" s="1890"/>
      <c r="Q289" s="1890"/>
      <c r="R289" s="393" t="s">
        <v>2233</v>
      </c>
      <c r="T289" s="386" t="s">
        <v>2232</v>
      </c>
      <c r="U289" s="391"/>
      <c r="V289" s="392"/>
      <c r="W289" s="392"/>
      <c r="X289" s="392"/>
      <c r="Y289" s="392"/>
      <c r="Z289" s="392"/>
      <c r="AA289" s="392"/>
      <c r="AB289" s="392"/>
      <c r="AC289" s="387"/>
      <c r="AD289" s="387"/>
      <c r="AE289" s="387"/>
      <c r="AF289" s="387"/>
      <c r="AG289" s="387"/>
      <c r="AH289" s="387"/>
      <c r="AI289" s="387"/>
      <c r="AJ289" s="387"/>
      <c r="AK289" s="387"/>
      <c r="AL289" s="387"/>
    </row>
    <row r="290" spans="1:38" ht="20.100000000000001" customHeight="1">
      <c r="A290" s="767"/>
      <c r="D290" s="316"/>
      <c r="E290" s="316"/>
      <c r="F290" s="318"/>
      <c r="G290" s="314" t="s">
        <v>4982</v>
      </c>
      <c r="H290" s="316"/>
      <c r="I290" s="316"/>
      <c r="J290" s="316"/>
      <c r="K290" s="316"/>
      <c r="L290" s="316"/>
      <c r="M290" s="316"/>
      <c r="N290" s="316"/>
      <c r="S290" s="380"/>
      <c r="T290" s="380"/>
      <c r="U290" s="380"/>
      <c r="V290" s="380"/>
      <c r="W290" s="380"/>
      <c r="X290" s="380"/>
      <c r="Y290" s="380"/>
      <c r="Z290" s="380"/>
      <c r="AA290" s="380"/>
      <c r="AB290" s="380"/>
      <c r="AC290" s="380"/>
      <c r="AD290" s="380"/>
      <c r="AE290" s="380"/>
      <c r="AF290" s="380"/>
      <c r="AG290" s="380"/>
      <c r="AH290" s="380"/>
      <c r="AI290" s="380"/>
      <c r="AJ290" s="380"/>
      <c r="AK290" s="380"/>
      <c r="AL290" s="380"/>
    </row>
    <row r="291" spans="1:38" s="386" customFormat="1" ht="20.100000000000001" customHeight="1">
      <c r="A291" s="769"/>
      <c r="B291" s="314"/>
      <c r="K291" s="1890" t="s">
        <v>4983</v>
      </c>
      <c r="L291" s="1890"/>
      <c r="M291" s="1916" t="s">
        <v>3306</v>
      </c>
      <c r="N291" s="1892" t="s">
        <v>4984</v>
      </c>
      <c r="O291" s="1892"/>
      <c r="P291" s="1892"/>
      <c r="Q291" s="1892"/>
      <c r="R291" s="1892"/>
    </row>
    <row r="292" spans="1:38" s="386" customFormat="1" ht="20.100000000000001" customHeight="1">
      <c r="A292" s="769"/>
      <c r="B292" s="314"/>
      <c r="K292" s="1890"/>
      <c r="L292" s="1890"/>
      <c r="M292" s="1916"/>
      <c r="N292" s="1921" t="s">
        <v>913</v>
      </c>
      <c r="O292" s="1921"/>
      <c r="P292" s="1921"/>
      <c r="Q292" s="1921"/>
      <c r="R292" s="1921"/>
    </row>
    <row r="293" spans="1:38" s="386" customFormat="1" ht="20.100000000000001" customHeight="1">
      <c r="A293" s="769"/>
      <c r="B293" s="314"/>
      <c r="M293" s="1916" t="s">
        <v>3306</v>
      </c>
      <c r="N293" s="1892" t="e">
        <f>"1 + "&amp;U282</f>
        <v>#N/A</v>
      </c>
      <c r="O293" s="1892"/>
      <c r="P293" s="1892"/>
      <c r="Q293" s="1892"/>
      <c r="R293" s="1892"/>
      <c r="S293" s="1892"/>
      <c r="T293" s="1892"/>
      <c r="U293" s="1892"/>
      <c r="V293" s="1892"/>
      <c r="W293" s="1892"/>
      <c r="X293" s="1892"/>
      <c r="AF293" s="387"/>
      <c r="AG293" s="387"/>
      <c r="AH293" s="387"/>
      <c r="AI293" s="387"/>
      <c r="AJ293" s="387"/>
      <c r="AK293" s="387"/>
      <c r="AL293" s="387"/>
    </row>
    <row r="294" spans="1:38" s="386" customFormat="1" ht="20.100000000000001" customHeight="1">
      <c r="A294" s="769"/>
      <c r="B294" s="314"/>
      <c r="M294" s="1916"/>
      <c r="N294" s="1918" t="s">
        <v>6290</v>
      </c>
      <c r="O294" s="1918"/>
      <c r="P294" s="1918"/>
      <c r="Q294" s="1918"/>
      <c r="R294" s="1918"/>
      <c r="S294" s="1924" t="e">
        <f>U282&amp;" ."</f>
        <v>#N/A</v>
      </c>
      <c r="T294" s="1924"/>
      <c r="U294" s="1940" t="s">
        <v>916</v>
      </c>
      <c r="V294" s="1940"/>
      <c r="W294" s="1940"/>
      <c r="X294" s="1940"/>
      <c r="AF294" s="387"/>
      <c r="AG294" s="387"/>
      <c r="AH294" s="387"/>
      <c r="AI294" s="387"/>
      <c r="AJ294" s="387"/>
      <c r="AK294" s="387"/>
      <c r="AL294" s="387"/>
    </row>
    <row r="295" spans="1:38" s="386" customFormat="1" ht="20.100000000000001" customHeight="1">
      <c r="A295" s="769"/>
      <c r="B295" s="314"/>
      <c r="M295" s="388" t="s">
        <v>3306</v>
      </c>
      <c r="N295" s="1933" t="e">
        <f>ROUND((((1+U282)/((19.6*10^4)+(U282*6.18*10^4)))*10^6),2)</f>
        <v>#N/A</v>
      </c>
      <c r="O295" s="1934"/>
      <c r="P295" s="1934"/>
      <c r="Q295" s="1934"/>
      <c r="R295" s="393" t="s">
        <v>2233</v>
      </c>
      <c r="T295" s="386" t="s">
        <v>4985</v>
      </c>
      <c r="U295" s="391"/>
      <c r="V295" s="392"/>
      <c r="W295" s="392"/>
      <c r="X295" s="392"/>
      <c r="Y295" s="392"/>
      <c r="Z295" s="392"/>
      <c r="AA295" s="392"/>
      <c r="AB295" s="392"/>
      <c r="AC295" s="387"/>
      <c r="AD295" s="387"/>
      <c r="AE295" s="387"/>
      <c r="AF295" s="387"/>
      <c r="AG295" s="387"/>
      <c r="AH295" s="387"/>
      <c r="AI295" s="387"/>
      <c r="AJ295" s="387"/>
      <c r="AK295" s="387"/>
      <c r="AL295" s="387"/>
    </row>
    <row r="296" spans="1:38" s="386" customFormat="1" ht="20.100000000000001" customHeight="1">
      <c r="A296" s="769"/>
      <c r="B296" s="314"/>
      <c r="G296" s="386" t="s">
        <v>2416</v>
      </c>
      <c r="M296" s="388"/>
      <c r="N296" s="391"/>
      <c r="O296" s="391"/>
      <c r="P296" s="391"/>
      <c r="Q296" s="391"/>
      <c r="R296" s="391"/>
      <c r="S296" s="391"/>
      <c r="T296" s="391"/>
      <c r="U296" s="391"/>
      <c r="V296" s="390"/>
      <c r="W296" s="390"/>
      <c r="X296" s="387"/>
      <c r="Y296" s="387"/>
      <c r="Z296" s="387"/>
      <c r="AA296" s="387"/>
      <c r="AB296" s="387"/>
      <c r="AC296" s="387"/>
      <c r="AD296" s="387"/>
      <c r="AE296" s="387"/>
      <c r="AF296" s="387"/>
      <c r="AG296" s="387"/>
      <c r="AH296" s="387"/>
      <c r="AI296" s="387"/>
      <c r="AJ296" s="387"/>
      <c r="AK296" s="387"/>
      <c r="AL296" s="387"/>
    </row>
    <row r="297" spans="1:38" s="386" customFormat="1" ht="20.100000000000001" customHeight="1">
      <c r="A297" s="769"/>
      <c r="B297" s="314"/>
      <c r="K297" s="1858" t="s">
        <v>2417</v>
      </c>
      <c r="L297" s="1858"/>
      <c r="M297" s="1916" t="s">
        <v>3306</v>
      </c>
      <c r="N297" s="1863" t="s">
        <v>6042</v>
      </c>
      <c r="O297" s="1863"/>
      <c r="P297" s="1916" t="s">
        <v>3306</v>
      </c>
      <c r="Q297" s="1928">
        <v>157</v>
      </c>
      <c r="R297" s="1928"/>
      <c r="S297" s="1928"/>
      <c r="T297" s="1916" t="s">
        <v>3306</v>
      </c>
      <c r="U297" s="1939">
        <f>Q297/Q298</f>
        <v>78.5</v>
      </c>
      <c r="V297" s="1939"/>
      <c r="W297" s="1939"/>
      <c r="X297" s="1939" t="s">
        <v>6043</v>
      </c>
      <c r="Y297" s="1939"/>
      <c r="Z297" s="1939"/>
      <c r="AA297" s="1939"/>
      <c r="AB297" s="387"/>
      <c r="AC297" s="387"/>
      <c r="AD297" s="387"/>
      <c r="AE297" s="387"/>
      <c r="AF297" s="387"/>
      <c r="AG297" s="387"/>
      <c r="AH297" s="387"/>
      <c r="AI297" s="387"/>
      <c r="AJ297" s="387"/>
      <c r="AK297" s="387"/>
      <c r="AL297" s="387"/>
    </row>
    <row r="298" spans="1:38" s="386" customFormat="1" ht="20.100000000000001" customHeight="1">
      <c r="A298" s="769"/>
      <c r="B298" s="314"/>
      <c r="K298" s="1858"/>
      <c r="L298" s="1858"/>
      <c r="M298" s="1916"/>
      <c r="N298" s="1857" t="s">
        <v>2553</v>
      </c>
      <c r="O298" s="1857"/>
      <c r="P298" s="1916"/>
      <c r="Q298" s="1920">
        <v>2</v>
      </c>
      <c r="R298" s="1920"/>
      <c r="S298" s="1920"/>
      <c r="T298" s="1916"/>
      <c r="U298" s="1939"/>
      <c r="V298" s="1939"/>
      <c r="W298" s="1939"/>
      <c r="X298" s="1939"/>
      <c r="Y298" s="1939"/>
      <c r="Z298" s="1939"/>
      <c r="AA298" s="1939"/>
      <c r="AB298" s="387"/>
      <c r="AC298" s="387"/>
      <c r="AD298" s="387"/>
      <c r="AE298" s="387"/>
      <c r="AF298" s="387"/>
      <c r="AG298" s="387"/>
      <c r="AH298" s="387"/>
      <c r="AI298" s="387"/>
      <c r="AJ298" s="387"/>
      <c r="AK298" s="387"/>
      <c r="AL298" s="387"/>
    </row>
    <row r="299" spans="1:38" s="386" customFormat="1" ht="20.100000000000001" customHeight="1">
      <c r="A299" s="769"/>
      <c r="B299" s="314"/>
      <c r="J299" s="1862" t="s">
        <v>6044</v>
      </c>
      <c r="K299" s="1862"/>
      <c r="L299" s="1862"/>
      <c r="M299" s="1916" t="s">
        <v>3306</v>
      </c>
      <c r="N299" s="1863" t="s">
        <v>4987</v>
      </c>
      <c r="O299" s="1863"/>
      <c r="P299" s="1863"/>
      <c r="Q299" s="1863"/>
      <c r="R299" s="1863"/>
      <c r="S299" s="1863"/>
      <c r="T299" s="1863"/>
      <c r="U299" s="1863"/>
      <c r="V299" s="1863"/>
      <c r="W299" s="1863"/>
      <c r="X299" s="1863"/>
      <c r="Y299" s="1863"/>
      <c r="Z299" s="1863"/>
      <c r="AA299" s="387"/>
      <c r="AB299" s="387"/>
      <c r="AC299" s="387"/>
      <c r="AD299" s="387"/>
      <c r="AE299" s="387"/>
      <c r="AF299" s="387"/>
      <c r="AG299" s="387"/>
      <c r="AH299" s="387"/>
      <c r="AL299" s="387"/>
    </row>
    <row r="300" spans="1:38" s="386" customFormat="1" ht="20.100000000000001" customHeight="1">
      <c r="A300" s="769"/>
      <c r="B300" s="314"/>
      <c r="J300" s="1862"/>
      <c r="K300" s="1862"/>
      <c r="L300" s="1862"/>
      <c r="M300" s="1916"/>
      <c r="N300" s="1938" t="s">
        <v>4986</v>
      </c>
      <c r="O300" s="1938"/>
      <c r="P300" s="1938"/>
      <c r="Q300" s="1938"/>
      <c r="R300" s="1938"/>
      <c r="S300" s="1938"/>
      <c r="T300" s="1938"/>
      <c r="U300" s="1938"/>
      <c r="V300" s="1938"/>
      <c r="W300" s="1938"/>
      <c r="X300" s="1938"/>
      <c r="Y300" s="1938"/>
      <c r="Z300" s="1938"/>
      <c r="AA300" s="387"/>
      <c r="AB300" s="387"/>
      <c r="AC300" s="387"/>
      <c r="AD300" s="387"/>
      <c r="AE300" s="387"/>
      <c r="AF300" s="387"/>
      <c r="AG300" s="387"/>
      <c r="AH300" s="387"/>
      <c r="AL300" s="387"/>
    </row>
    <row r="301" spans="1:38" s="386" customFormat="1" ht="20.100000000000001" customHeight="1">
      <c r="A301" s="769"/>
      <c r="B301" s="314"/>
      <c r="J301" s="314"/>
      <c r="K301" s="314"/>
      <c r="L301" s="314"/>
      <c r="M301" s="1916" t="s">
        <v>3306</v>
      </c>
      <c r="N301" s="1936" t="str">
        <f>U297&amp;" - ( 23"</f>
        <v>78,5 - ( 23</v>
      </c>
      <c r="O301" s="1936"/>
      <c r="P301" s="1936"/>
      <c r="Q301" s="1936"/>
      <c r="R301" s="1936"/>
      <c r="S301" s="1928" t="s">
        <v>2233</v>
      </c>
      <c r="T301" s="1928"/>
      <c r="U301" s="1937" t="e">
        <f>"- "&amp;N289</f>
        <v>#N/A</v>
      </c>
      <c r="V301" s="1937"/>
      <c r="W301" s="1937"/>
      <c r="X301" s="1928" t="s">
        <v>4980</v>
      </c>
      <c r="Y301" s="1928"/>
      <c r="Z301" s="1892" t="s">
        <v>4981</v>
      </c>
      <c r="AA301" s="1892"/>
      <c r="AB301" s="1892"/>
      <c r="AC301" s="1892" t="s">
        <v>4988</v>
      </c>
      <c r="AD301" s="1892"/>
      <c r="AE301" s="1892"/>
      <c r="AF301" s="1892"/>
      <c r="AG301" s="387"/>
      <c r="AH301" s="387"/>
      <c r="AL301" s="387"/>
    </row>
    <row r="302" spans="1:38" s="386" customFormat="1" ht="20.100000000000001" customHeight="1">
      <c r="A302" s="769"/>
      <c r="B302" s="314"/>
      <c r="J302" s="314"/>
      <c r="K302" s="314"/>
      <c r="L302" s="314"/>
      <c r="M302" s="1916"/>
      <c r="N302" s="1935" t="s">
        <v>4323</v>
      </c>
      <c r="O302" s="1935"/>
      <c r="P302" s="1935"/>
      <c r="Q302" s="1935"/>
      <c r="R302" s="1935"/>
      <c r="S302" s="1935"/>
      <c r="T302" s="1935"/>
      <c r="U302" s="1935"/>
      <c r="V302" s="1935"/>
      <c r="W302" s="1918" t="e">
        <f>N295</f>
        <v>#N/A</v>
      </c>
      <c r="X302" s="1918"/>
      <c r="Y302" s="1918"/>
      <c r="Z302" s="393" t="s">
        <v>2233</v>
      </c>
      <c r="AA302" s="394"/>
      <c r="AB302" s="394"/>
      <c r="AC302" s="394"/>
      <c r="AD302" s="394"/>
      <c r="AE302" s="394"/>
      <c r="AF302" s="394"/>
      <c r="AG302" s="387"/>
      <c r="AH302" s="387"/>
      <c r="AL302" s="387"/>
    </row>
    <row r="303" spans="1:38" s="386" customFormat="1" ht="20.100000000000001" customHeight="1">
      <c r="A303" s="769"/>
      <c r="B303" s="314"/>
      <c r="M303" s="388" t="s">
        <v>3306</v>
      </c>
      <c r="N303" s="1933" t="e">
        <f>ROUND((U297-(23*10^-6-19.24*10^-6)*(15-5)*6.18*10^4)/(6.18*10^4*N295*10^-6),2)</f>
        <v>#N/A</v>
      </c>
      <c r="O303" s="1934"/>
      <c r="P303" s="1934"/>
      <c r="Q303" s="1934"/>
      <c r="R303" s="386" t="s">
        <v>6043</v>
      </c>
      <c r="U303" s="391"/>
      <c r="V303" s="392"/>
      <c r="W303" s="392"/>
      <c r="X303" s="392"/>
      <c r="Y303" s="392"/>
      <c r="Z303" s="392"/>
      <c r="AA303" s="392"/>
      <c r="AB303" s="392"/>
      <c r="AC303" s="387"/>
      <c r="AD303" s="387"/>
      <c r="AE303" s="387"/>
      <c r="AF303" s="387"/>
      <c r="AG303" s="387"/>
      <c r="AH303" s="387"/>
      <c r="AI303" s="387"/>
      <c r="AJ303" s="387"/>
      <c r="AK303" s="387"/>
      <c r="AL303" s="387"/>
    </row>
    <row r="304" spans="1:38" s="386" customFormat="1" ht="20.100000000000001" customHeight="1">
      <c r="A304" s="769"/>
      <c r="B304" s="314"/>
      <c r="J304" s="1862" t="s">
        <v>4324</v>
      </c>
      <c r="K304" s="1862"/>
      <c r="L304" s="1862"/>
      <c r="M304" s="1916" t="s">
        <v>3306</v>
      </c>
      <c r="N304" s="1863" t="s">
        <v>4325</v>
      </c>
      <c r="O304" s="1863"/>
      <c r="P304" s="1863"/>
      <c r="Q304" s="1863"/>
      <c r="R304" s="1863"/>
      <c r="S304" s="1863"/>
      <c r="T304" s="1863"/>
      <c r="U304" s="1863"/>
      <c r="V304" s="1863"/>
      <c r="W304" s="1863"/>
      <c r="X304" s="1863"/>
      <c r="Y304" s="1863"/>
      <c r="Z304" s="1863"/>
      <c r="AA304" s="387"/>
      <c r="AB304" s="387"/>
      <c r="AC304" s="387"/>
      <c r="AD304" s="387"/>
      <c r="AE304" s="387"/>
      <c r="AF304" s="387"/>
      <c r="AG304" s="387"/>
      <c r="AH304" s="387"/>
      <c r="AL304" s="387"/>
    </row>
    <row r="305" spans="1:38" s="386" customFormat="1" ht="20.100000000000001" customHeight="1">
      <c r="A305" s="769"/>
      <c r="B305" s="314"/>
      <c r="J305" s="1862"/>
      <c r="K305" s="1862"/>
      <c r="L305" s="1862"/>
      <c r="M305" s="1916"/>
      <c r="N305" s="1938" t="s">
        <v>4986</v>
      </c>
      <c r="O305" s="1938"/>
      <c r="P305" s="1938"/>
      <c r="Q305" s="1938"/>
      <c r="R305" s="1938"/>
      <c r="S305" s="1938"/>
      <c r="T305" s="1938"/>
      <c r="U305" s="1938"/>
      <c r="V305" s="1938"/>
      <c r="W305" s="1938"/>
      <c r="X305" s="1938"/>
      <c r="Y305" s="1938"/>
      <c r="Z305" s="1938"/>
      <c r="AA305" s="387"/>
      <c r="AB305" s="387"/>
      <c r="AC305" s="387"/>
      <c r="AD305" s="387"/>
      <c r="AE305" s="387"/>
      <c r="AF305" s="387"/>
      <c r="AG305" s="387"/>
      <c r="AH305" s="387"/>
      <c r="AL305" s="387"/>
    </row>
    <row r="306" spans="1:38" s="386" customFormat="1" ht="20.100000000000001" customHeight="1">
      <c r="A306" s="769"/>
      <c r="B306" s="314"/>
      <c r="J306" s="314"/>
      <c r="K306" s="314"/>
      <c r="L306" s="314"/>
      <c r="M306" s="1916" t="s">
        <v>3306</v>
      </c>
      <c r="N306" s="1936" t="str">
        <f>U297&amp;" - ( 23"</f>
        <v>78,5 - ( 23</v>
      </c>
      <c r="O306" s="1936"/>
      <c r="P306" s="1936"/>
      <c r="Q306" s="1936"/>
      <c r="R306" s="1936"/>
      <c r="S306" s="1928" t="s">
        <v>2233</v>
      </c>
      <c r="T306" s="1928"/>
      <c r="U306" s="1937" t="e">
        <f>"- "&amp;N289</f>
        <v>#N/A</v>
      </c>
      <c r="V306" s="1937"/>
      <c r="W306" s="1937"/>
      <c r="X306" s="1928" t="s">
        <v>4980</v>
      </c>
      <c r="Y306" s="1928"/>
      <c r="Z306" s="1892" t="s">
        <v>4326</v>
      </c>
      <c r="AA306" s="1892"/>
      <c r="AB306" s="1892"/>
      <c r="AC306" s="1892" t="s">
        <v>4988</v>
      </c>
      <c r="AD306" s="1892"/>
      <c r="AE306" s="1892"/>
      <c r="AF306" s="1892"/>
      <c r="AG306" s="387"/>
      <c r="AH306" s="387"/>
      <c r="AL306" s="387"/>
    </row>
    <row r="307" spans="1:38" s="386" customFormat="1" ht="20.100000000000001" customHeight="1">
      <c r="A307" s="769"/>
      <c r="B307" s="314"/>
      <c r="J307" s="314"/>
      <c r="K307" s="314"/>
      <c r="L307" s="314"/>
      <c r="M307" s="1916"/>
      <c r="N307" s="1935" t="s">
        <v>4323</v>
      </c>
      <c r="O307" s="1935"/>
      <c r="P307" s="1935"/>
      <c r="Q307" s="1935"/>
      <c r="R307" s="1935"/>
      <c r="S307" s="1935"/>
      <c r="T307" s="1935"/>
      <c r="U307" s="1935"/>
      <c r="V307" s="1935"/>
      <c r="W307" s="1918" t="e">
        <f>N295</f>
        <v>#N/A</v>
      </c>
      <c r="X307" s="1918"/>
      <c r="Y307" s="1918"/>
      <c r="Z307" s="393" t="s">
        <v>2233</v>
      </c>
      <c r="AA307" s="394"/>
      <c r="AB307" s="394"/>
      <c r="AC307" s="394"/>
      <c r="AD307" s="394"/>
      <c r="AE307" s="394"/>
      <c r="AF307" s="394"/>
      <c r="AG307" s="387"/>
      <c r="AH307" s="387"/>
      <c r="AL307" s="387"/>
    </row>
    <row r="308" spans="1:38" s="386" customFormat="1" ht="20.100000000000001" customHeight="1">
      <c r="A308" s="769"/>
      <c r="B308" s="314"/>
      <c r="M308" s="388" t="s">
        <v>3306</v>
      </c>
      <c r="N308" s="1933" t="e">
        <f>ROUND((U297-(23*10^-6-19.24*10^-6)*(15-25)*6.18*10^4)/(6.18*10^4*N295*10^-6),2)</f>
        <v>#N/A</v>
      </c>
      <c r="O308" s="1934"/>
      <c r="P308" s="1934"/>
      <c r="Q308" s="1934"/>
      <c r="R308" s="386" t="s">
        <v>6043</v>
      </c>
      <c r="U308" s="391"/>
      <c r="V308" s="392"/>
      <c r="W308" s="392"/>
      <c r="X308" s="392"/>
      <c r="Y308" s="392"/>
      <c r="Z308" s="392"/>
      <c r="AA308" s="392"/>
      <c r="AB308" s="392"/>
      <c r="AC308" s="387"/>
      <c r="AD308" s="387"/>
      <c r="AE308" s="387"/>
      <c r="AF308" s="387"/>
      <c r="AG308" s="387"/>
      <c r="AH308" s="387"/>
      <c r="AI308" s="387"/>
      <c r="AJ308" s="387"/>
      <c r="AK308" s="387"/>
      <c r="AL308" s="387"/>
    </row>
    <row r="309" spans="1:38" s="386" customFormat="1" ht="20.100000000000001" customHeight="1">
      <c r="A309" s="769"/>
      <c r="B309" s="314"/>
      <c r="G309" s="386" t="str">
        <f>"Khoảng vượt tới hạn của dây "&amp;NL!U46</f>
        <v>Khoảng vượt tới hạn của dây CXV 24kV 25mm2</v>
      </c>
      <c r="M309" s="388"/>
      <c r="N309" s="395"/>
      <c r="O309"/>
      <c r="P309"/>
      <c r="Q309"/>
      <c r="U309" s="391"/>
      <c r="V309" s="392"/>
      <c r="W309" s="392"/>
      <c r="X309" s="392"/>
      <c r="Y309" s="392"/>
      <c r="Z309" s="392"/>
      <c r="AA309" s="392"/>
      <c r="AB309" s="392"/>
      <c r="AC309" s="387"/>
      <c r="AD309" s="387"/>
      <c r="AE309" s="387"/>
      <c r="AF309" s="387"/>
      <c r="AG309" s="387"/>
      <c r="AH309" s="387"/>
      <c r="AI309" s="387"/>
      <c r="AJ309" s="387"/>
      <c r="AK309" s="387"/>
      <c r="AL309" s="387"/>
    </row>
    <row r="310" spans="1:38" ht="20.100000000000001" customHeight="1">
      <c r="A310" s="767"/>
      <c r="L310" s="1859" t="s">
        <v>3278</v>
      </c>
      <c r="M310" s="1859" t="s">
        <v>3279</v>
      </c>
      <c r="N310" s="314"/>
      <c r="O310" s="384" t="s">
        <v>3280</v>
      </c>
      <c r="P310" s="381"/>
      <c r="Q310" s="381"/>
      <c r="R310" s="381"/>
      <c r="S310" s="381"/>
      <c r="T310" s="381"/>
      <c r="U310" s="381"/>
    </row>
    <row r="311" spans="1:38" ht="9.9499999999999993" customHeight="1">
      <c r="A311" s="767"/>
      <c r="L311" s="1859"/>
      <c r="M311" s="1859"/>
      <c r="N311" s="314"/>
      <c r="O311" s="1857" t="s">
        <v>14</v>
      </c>
      <c r="P311" s="1857"/>
      <c r="Q311" s="1857"/>
      <c r="R311" s="383">
        <v>2</v>
      </c>
      <c r="S311" s="1857" t="s">
        <v>15</v>
      </c>
      <c r="T311" s="1857"/>
      <c r="U311" s="1857"/>
      <c r="V311" s="383">
        <v>2</v>
      </c>
    </row>
    <row r="312" spans="1:38" ht="9.9499999999999993" customHeight="1">
      <c r="A312" s="767"/>
      <c r="L312" s="1859"/>
      <c r="M312" s="1859"/>
      <c r="N312" s="314"/>
      <c r="O312" s="1863"/>
      <c r="P312" s="1863"/>
      <c r="Q312" s="1863"/>
      <c r="R312" s="1859" t="s">
        <v>6344</v>
      </c>
      <c r="S312" s="1863"/>
      <c r="T312" s="1863"/>
      <c r="U312" s="1863"/>
      <c r="V312" s="316"/>
    </row>
    <row r="313" spans="1:38" ht="9.9499999999999993" customHeight="1">
      <c r="A313" s="767"/>
      <c r="L313" s="316"/>
      <c r="M313" s="316"/>
      <c r="N313" s="314"/>
      <c r="O313" s="1857" t="s">
        <v>4324</v>
      </c>
      <c r="P313" s="1857"/>
      <c r="Q313" s="1857"/>
      <c r="R313" s="1859"/>
      <c r="S313" s="1857" t="s">
        <v>6044</v>
      </c>
      <c r="T313" s="1857"/>
      <c r="U313" s="1857"/>
      <c r="V313" s="316"/>
    </row>
    <row r="314" spans="1:38" ht="9.9499999999999993" customHeight="1">
      <c r="A314" s="767"/>
      <c r="N314" s="314"/>
      <c r="O314" s="1859"/>
      <c r="P314" s="1859"/>
      <c r="Q314" s="1859"/>
      <c r="S314" s="1859"/>
      <c r="T314" s="1859"/>
      <c r="U314" s="1859"/>
    </row>
    <row r="315" spans="1:38" ht="9.9499999999999993" customHeight="1">
      <c r="A315" s="767"/>
      <c r="N315" s="314"/>
      <c r="O315" s="316"/>
      <c r="P315" s="316"/>
      <c r="Q315" s="316"/>
      <c r="S315" s="316"/>
      <c r="T315" s="316"/>
      <c r="U315" s="316"/>
    </row>
    <row r="316" spans="1:38" ht="20.100000000000001" customHeight="1">
      <c r="A316" s="767"/>
      <c r="L316" s="1859" t="s">
        <v>3278</v>
      </c>
      <c r="M316" s="1859" t="s">
        <v>3279</v>
      </c>
      <c r="N316" s="314"/>
      <c r="O316" s="1894" t="str">
        <f>"24 . "&amp;IF(LEFT(NL!$U$46,2)="AC",23,0)</f>
        <v>24 . 0</v>
      </c>
      <c r="P316" s="1894"/>
      <c r="Q316" s="1894"/>
      <c r="R316" s="385" t="s">
        <v>908</v>
      </c>
      <c r="S316" s="377"/>
      <c r="U316" s="370"/>
      <c r="V316" s="370"/>
      <c r="W316" s="370"/>
    </row>
    <row r="317" spans="1:38" ht="9.9499999999999993" customHeight="1">
      <c r="A317" s="767"/>
      <c r="L317" s="1859"/>
      <c r="M317" s="1859"/>
      <c r="N317" s="314"/>
      <c r="O317" s="1930" t="e">
        <f>O271</f>
        <v>#N/A</v>
      </c>
      <c r="P317" s="1931"/>
      <c r="Q317" s="1931"/>
      <c r="R317" s="1931"/>
      <c r="S317" s="383">
        <v>2</v>
      </c>
      <c r="T317" s="1930" t="e">
        <f>L249</f>
        <v>#N/A</v>
      </c>
      <c r="U317" s="1931"/>
      <c r="V317" s="1931"/>
      <c r="W317" s="1931"/>
      <c r="X317" s="383">
        <v>2</v>
      </c>
    </row>
    <row r="318" spans="1:38" ht="9.9499999999999993" customHeight="1">
      <c r="A318" s="767"/>
      <c r="L318" s="1859"/>
      <c r="M318" s="1859"/>
      <c r="N318" s="314"/>
      <c r="O318" s="1932"/>
      <c r="P318" s="1932"/>
      <c r="Q318" s="1932"/>
      <c r="R318" s="1932"/>
      <c r="S318" s="1859" t="s">
        <v>6344</v>
      </c>
      <c r="T318" s="1932"/>
      <c r="U318" s="1932"/>
      <c r="V318" s="1932"/>
      <c r="W318" s="1932"/>
    </row>
    <row r="319" spans="1:38" ht="9.9499999999999993" customHeight="1">
      <c r="A319" s="767"/>
      <c r="L319" s="316"/>
      <c r="M319" s="316"/>
      <c r="N319" s="314"/>
      <c r="O319" s="1916" t="e">
        <f>N308</f>
        <v>#N/A</v>
      </c>
      <c r="P319" s="1916"/>
      <c r="Q319" s="1916"/>
      <c r="R319" s="1916"/>
      <c r="S319" s="1859"/>
      <c r="T319" s="1916" t="e">
        <f>N303</f>
        <v>#N/A</v>
      </c>
      <c r="U319" s="1916"/>
      <c r="V319" s="1916"/>
      <c r="W319" s="1916"/>
    </row>
    <row r="320" spans="1:38" ht="9.9499999999999993" customHeight="1">
      <c r="A320" s="767"/>
      <c r="N320" s="314"/>
      <c r="O320" s="1916"/>
      <c r="P320" s="1916"/>
      <c r="Q320" s="1916"/>
      <c r="R320" s="1916"/>
      <c r="T320" s="1916"/>
      <c r="U320" s="1916"/>
      <c r="V320" s="1916"/>
      <c r="W320" s="1916"/>
    </row>
    <row r="321" spans="1:38" ht="20.100000000000001" customHeight="1">
      <c r="A321" s="767"/>
      <c r="M321" s="314" t="s">
        <v>3279</v>
      </c>
      <c r="N321" s="314"/>
      <c r="O321" s="1929" t="e">
        <f>ROUND(SQRT((24*IF(LEFT(NL!$U$46,2)="AC",23*10^-6,0)*(25-5))/(((O317/O319)^2)-((T317/T319)^2))),2)</f>
        <v>#N/A</v>
      </c>
      <c r="P321" s="1929"/>
      <c r="Q321" s="1929"/>
      <c r="R321" s="1929"/>
      <c r="S321" s="318" t="s">
        <v>2550</v>
      </c>
      <c r="T321" s="316"/>
      <c r="U321" s="316"/>
    </row>
    <row r="322" spans="1:38" ht="20.100000000000001" customHeight="1">
      <c r="A322" s="767"/>
      <c r="G322" s="386" t="s">
        <v>5142</v>
      </c>
      <c r="N322" s="314"/>
    </row>
    <row r="323" spans="1:38" ht="20.100000000000001" customHeight="1">
      <c r="A323" s="767"/>
      <c r="G323" s="386"/>
      <c r="N323" s="314"/>
    </row>
    <row r="324" spans="1:38" ht="20.100000000000001" customHeight="1">
      <c r="A324" s="767"/>
      <c r="E324" s="322" t="s">
        <v>5143</v>
      </c>
      <c r="N324" s="314"/>
    </row>
    <row r="325" spans="1:38" ht="20.100000000000001" customHeight="1">
      <c r="A325" s="767"/>
      <c r="G325" s="1859" t="s">
        <v>1186</v>
      </c>
      <c r="H325" s="1859"/>
      <c r="I325" s="1859"/>
      <c r="J325" s="1859"/>
      <c r="K325" s="1863" t="s">
        <v>1187</v>
      </c>
      <c r="L325" s="1863"/>
      <c r="M325" s="1863"/>
      <c r="N325" s="1863"/>
      <c r="O325" s="1863"/>
      <c r="P325" s="1863"/>
      <c r="Q325" s="1859" t="s">
        <v>3306</v>
      </c>
      <c r="R325" s="1859" t="s">
        <v>1188</v>
      </c>
      <c r="S325" s="1859"/>
      <c r="T325" s="1859"/>
      <c r="U325" s="1859"/>
      <c r="V325" s="1863" t="s">
        <v>1187</v>
      </c>
      <c r="W325" s="1863"/>
      <c r="X325" s="1863"/>
      <c r="Y325" s="1863"/>
      <c r="Z325" s="1863"/>
      <c r="AA325" s="1863"/>
      <c r="AB325" s="1859" t="s">
        <v>6344</v>
      </c>
      <c r="AC325" s="1892" t="s">
        <v>911</v>
      </c>
      <c r="AD325" s="1892"/>
      <c r="AE325" s="1859" t="s">
        <v>2928</v>
      </c>
      <c r="AF325" s="1859"/>
      <c r="AG325" s="1859"/>
      <c r="AH325" s="1859"/>
      <c r="AI325" s="1859"/>
      <c r="AJ325" s="316"/>
      <c r="AK325" s="316"/>
    </row>
    <row r="326" spans="1:38" ht="20.100000000000001" customHeight="1">
      <c r="A326" s="767"/>
      <c r="G326" s="1859"/>
      <c r="H326" s="1859"/>
      <c r="I326" s="1859"/>
      <c r="J326" s="1859"/>
      <c r="K326" s="1921" t="s">
        <v>2929</v>
      </c>
      <c r="L326" s="1921"/>
      <c r="M326" s="1921"/>
      <c r="N326" s="1921"/>
      <c r="O326" s="1921"/>
      <c r="P326" s="1921"/>
      <c r="Q326" s="1859"/>
      <c r="R326" s="1859"/>
      <c r="S326" s="1859"/>
      <c r="T326" s="1859"/>
      <c r="U326" s="1859"/>
      <c r="V326" s="1921" t="s">
        <v>2269</v>
      </c>
      <c r="W326" s="1921"/>
      <c r="X326" s="1921"/>
      <c r="Y326" s="1921"/>
      <c r="Z326" s="1921"/>
      <c r="AA326" s="1921"/>
      <c r="AB326" s="1859"/>
      <c r="AC326" s="1916" t="s">
        <v>4983</v>
      </c>
      <c r="AD326" s="1916"/>
      <c r="AE326" s="1859"/>
      <c r="AF326" s="1859"/>
      <c r="AG326" s="1859"/>
      <c r="AH326" s="1859"/>
      <c r="AI326" s="1859"/>
      <c r="AJ326" s="316"/>
      <c r="AK326" s="316"/>
    </row>
    <row r="327" spans="1:38" ht="9.9499999999999993" customHeight="1">
      <c r="A327" s="767"/>
      <c r="H327" s="316"/>
      <c r="I327" s="316"/>
      <c r="J327" s="316"/>
      <c r="K327" s="316"/>
      <c r="L327" s="388"/>
      <c r="M327" s="388"/>
      <c r="N327" s="388"/>
      <c r="O327" s="388"/>
      <c r="P327" s="388"/>
      <c r="Q327" s="388"/>
      <c r="R327" s="316"/>
      <c r="S327" s="316"/>
      <c r="T327" s="316"/>
      <c r="U327" s="316"/>
      <c r="V327" s="316"/>
      <c r="W327" s="388"/>
      <c r="X327" s="388"/>
      <c r="Y327" s="388"/>
      <c r="Z327" s="388"/>
      <c r="AA327" s="388"/>
      <c r="AB327" s="388"/>
      <c r="AC327" s="316"/>
      <c r="AD327" s="388"/>
      <c r="AE327" s="388"/>
      <c r="AF327" s="316"/>
      <c r="AG327" s="316"/>
      <c r="AH327" s="316"/>
      <c r="AI327" s="316"/>
      <c r="AJ327" s="316"/>
      <c r="AK327" s="316"/>
      <c r="AL327" s="316"/>
    </row>
    <row r="328" spans="1:38" ht="9.9499999999999993" customHeight="1">
      <c r="A328" s="767"/>
      <c r="C328" s="1859" t="s">
        <v>1186</v>
      </c>
      <c r="D328" s="1859"/>
      <c r="E328" s="1859"/>
      <c r="F328" s="1859"/>
      <c r="G328" s="1924">
        <f>MAX(NL!U41:AL42)</f>
        <v>60</v>
      </c>
      <c r="H328" s="1924"/>
      <c r="I328" s="1924"/>
      <c r="J328" s="1924"/>
      <c r="K328" s="383">
        <v>2</v>
      </c>
      <c r="L328" s="1926" t="e">
        <f>L249</f>
        <v>#N/A</v>
      </c>
      <c r="M328" s="1926"/>
      <c r="N328" s="1926"/>
      <c r="O328" s="1926"/>
      <c r="P328" s="383">
        <v>2</v>
      </c>
      <c r="Q328" s="1859" t="s">
        <v>3306</v>
      </c>
      <c r="R328" s="1916" t="e">
        <f>N303&amp;" -"</f>
        <v>#N/A</v>
      </c>
      <c r="S328" s="1916"/>
      <c r="T328" s="1916"/>
      <c r="U328" s="1924">
        <f>MAX(NL!U41:AL42)</f>
        <v>60</v>
      </c>
      <c r="V328" s="1924"/>
      <c r="W328" s="1924"/>
      <c r="X328" s="1924"/>
      <c r="Y328" s="383">
        <v>2</v>
      </c>
      <c r="Z328" s="1926" t="e">
        <f>O271</f>
        <v>#N/A</v>
      </c>
      <c r="AA328" s="1926"/>
      <c r="AB328" s="1926"/>
      <c r="AC328" s="1926"/>
      <c r="AD328" s="383">
        <v>2</v>
      </c>
      <c r="AE328" s="1916" t="e">
        <f>N289</f>
        <v>#N/A</v>
      </c>
      <c r="AF328" s="1916"/>
      <c r="AG328" s="1916"/>
      <c r="AH328" s="1920" t="s">
        <v>2233</v>
      </c>
      <c r="AI328" s="1920"/>
      <c r="AJ328" s="1859" t="s">
        <v>1479</v>
      </c>
      <c r="AK328" s="1859"/>
      <c r="AL328" s="1859"/>
    </row>
    <row r="329" spans="1:38" ht="9.9499999999999993" customHeight="1">
      <c r="A329" s="767"/>
      <c r="C329" s="1859"/>
      <c r="D329" s="1859"/>
      <c r="E329" s="1859"/>
      <c r="F329" s="1859"/>
      <c r="G329" s="1925"/>
      <c r="H329" s="1925"/>
      <c r="I329" s="1925"/>
      <c r="J329" s="1925"/>
      <c r="K329" s="482" t="s">
        <v>3309</v>
      </c>
      <c r="L329" s="1927"/>
      <c r="M329" s="1927"/>
      <c r="N329" s="1927"/>
      <c r="O329" s="1927"/>
      <c r="P329" s="483"/>
      <c r="Q329" s="1859"/>
      <c r="R329" s="1916"/>
      <c r="S329" s="1916"/>
      <c r="T329" s="1916"/>
      <c r="U329" s="1925"/>
      <c r="V329" s="1925"/>
      <c r="W329" s="1925"/>
      <c r="X329" s="1925"/>
      <c r="Y329" s="482" t="s">
        <v>3309</v>
      </c>
      <c r="Z329" s="1927"/>
      <c r="AA329" s="1927"/>
      <c r="AB329" s="1927"/>
      <c r="AC329" s="1927"/>
      <c r="AD329" s="391"/>
      <c r="AE329" s="1892"/>
      <c r="AF329" s="1892"/>
      <c r="AG329" s="1892"/>
      <c r="AH329" s="1928"/>
      <c r="AI329" s="1928"/>
      <c r="AJ329" s="1859"/>
      <c r="AK329" s="1859"/>
      <c r="AL329" s="1859"/>
    </row>
    <row r="330" spans="1:38" ht="9.9499999999999993" customHeight="1">
      <c r="A330" s="767"/>
      <c r="C330" s="1859"/>
      <c r="D330" s="1859"/>
      <c r="E330" s="1859"/>
      <c r="F330" s="1859"/>
      <c r="G330" s="1918" t="e">
        <f>"24 ."&amp;N295</f>
        <v>#N/A</v>
      </c>
      <c r="H330" s="1918"/>
      <c r="I330" s="1918"/>
      <c r="J330" s="1918"/>
      <c r="K330" s="1919" t="s">
        <v>2233</v>
      </c>
      <c r="L330" s="1919"/>
      <c r="M330" s="1921" t="s">
        <v>2270</v>
      </c>
      <c r="N330" s="1922"/>
      <c r="O330" s="1922"/>
      <c r="P330" s="1922"/>
      <c r="Q330" s="1859"/>
      <c r="R330" s="1916"/>
      <c r="S330" s="1916"/>
      <c r="T330" s="1916"/>
      <c r="U330" s="1921" t="e">
        <f>"24 ."&amp;N295</f>
        <v>#N/A</v>
      </c>
      <c r="V330" s="1921"/>
      <c r="W330" s="1921"/>
      <c r="X330" s="1921"/>
      <c r="Y330" s="1919" t="s">
        <v>2233</v>
      </c>
      <c r="Z330" s="1919"/>
      <c r="AA330" s="1918" t="e">
        <f>N303</f>
        <v>#N/A</v>
      </c>
      <c r="AB330" s="1918"/>
      <c r="AC330" s="1918"/>
      <c r="AD330" s="383">
        <v>2</v>
      </c>
      <c r="AE330" s="1921" t="e">
        <f>N295</f>
        <v>#N/A</v>
      </c>
      <c r="AF330" s="1921"/>
      <c r="AG330" s="1921"/>
      <c r="AH330" s="1919" t="s">
        <v>2233</v>
      </c>
      <c r="AI330" s="1919"/>
      <c r="AJ330" s="1859"/>
      <c r="AK330" s="1859"/>
      <c r="AL330" s="1859"/>
    </row>
    <row r="331" spans="1:38" ht="9.9499999999999993" customHeight="1">
      <c r="A331" s="767"/>
      <c r="C331" s="1859"/>
      <c r="D331" s="1859"/>
      <c r="E331" s="1859"/>
      <c r="F331" s="1859"/>
      <c r="G331" s="1890"/>
      <c r="H331" s="1890"/>
      <c r="I331" s="1890"/>
      <c r="J331" s="1890"/>
      <c r="K331" s="1920"/>
      <c r="L331" s="1920"/>
      <c r="M331" s="1923"/>
      <c r="N331" s="1923"/>
      <c r="O331" s="1923"/>
      <c r="P331" s="1923"/>
      <c r="Q331" s="1859"/>
      <c r="R331" s="1916"/>
      <c r="S331" s="1916"/>
      <c r="T331" s="1916"/>
      <c r="U331" s="1916"/>
      <c r="V331" s="1916"/>
      <c r="W331" s="1916"/>
      <c r="X331" s="1916"/>
      <c r="Y331" s="1920"/>
      <c r="Z331" s="1920"/>
      <c r="AA331" s="1890"/>
      <c r="AB331" s="1890"/>
      <c r="AC331" s="1890"/>
      <c r="AD331" s="386"/>
      <c r="AE331" s="1916"/>
      <c r="AF331" s="1916"/>
      <c r="AG331" s="1916"/>
      <c r="AH331" s="1920"/>
      <c r="AI331" s="1920"/>
      <c r="AJ331" s="1859"/>
      <c r="AK331" s="1859"/>
      <c r="AL331" s="1859"/>
    </row>
    <row r="332" spans="1:38" ht="9.9499999999999993" customHeight="1">
      <c r="A332" s="767"/>
      <c r="H332" s="316"/>
      <c r="N332" s="314"/>
      <c r="AF332" s="316"/>
      <c r="AG332" s="316"/>
      <c r="AH332" s="316"/>
      <c r="AI332" s="316"/>
      <c r="AJ332" s="316"/>
      <c r="AK332" s="316"/>
      <c r="AL332" s="316"/>
    </row>
    <row r="333" spans="1:38" ht="9.9499999999999993" customHeight="1">
      <c r="A333" s="767"/>
      <c r="G333" s="1859" t="s">
        <v>1186</v>
      </c>
      <c r="H333" s="1859"/>
      <c r="I333" s="1859"/>
      <c r="J333" s="1859"/>
      <c r="K333" s="1916" t="e">
        <f>ROUND(((MAX(NL!U41:AL42)^2)*(L328^2))/(24*N295*(10^-6)),2)</f>
        <v>#N/A</v>
      </c>
      <c r="L333" s="1916"/>
      <c r="M333" s="1916"/>
      <c r="N333" s="1916"/>
      <c r="O333" s="1916"/>
      <c r="P333" s="1916"/>
      <c r="Q333" s="1859" t="s">
        <v>3306</v>
      </c>
      <c r="R333" s="1917" t="e">
        <f>ROUND(N303-(((U328^2)*(Z328^2))/(24*(N295*(10^-6))*(AA330^2)))-((AE328/AE330)*15),2)</f>
        <v>#N/A</v>
      </c>
      <c r="S333" s="1914"/>
      <c r="T333" s="1914"/>
      <c r="U333" s="1914"/>
      <c r="V333" s="1914"/>
      <c r="W333" s="484"/>
      <c r="X333" s="392"/>
      <c r="Y333" s="392"/>
      <c r="Z333" s="392"/>
      <c r="AA333" s="392"/>
      <c r="AB333" s="392"/>
      <c r="AC333" s="392"/>
      <c r="AD333" s="392"/>
      <c r="AE333" s="392"/>
      <c r="AF333" s="392"/>
      <c r="AI333" s="316"/>
      <c r="AJ333" s="316"/>
      <c r="AK333" s="316"/>
      <c r="AL333" s="316"/>
    </row>
    <row r="334" spans="1:38" ht="9.9499999999999993" customHeight="1">
      <c r="A334" s="767"/>
      <c r="G334" s="1859"/>
      <c r="H334" s="1859"/>
      <c r="I334" s="1859"/>
      <c r="J334" s="1859"/>
      <c r="K334" s="1892"/>
      <c r="L334" s="1892"/>
      <c r="M334" s="1892"/>
      <c r="N334" s="1892"/>
      <c r="O334" s="1892"/>
      <c r="P334" s="1892"/>
      <c r="Q334" s="1859"/>
      <c r="R334" s="1914"/>
      <c r="S334" s="1914"/>
      <c r="T334" s="1914"/>
      <c r="U334" s="1914"/>
      <c r="V334" s="1914"/>
      <c r="W334" s="392"/>
      <c r="X334" s="392"/>
      <c r="Y334" s="392"/>
      <c r="Z334" s="392"/>
      <c r="AA334" s="392"/>
      <c r="AB334" s="392"/>
      <c r="AC334" s="392"/>
      <c r="AD334" s="392"/>
      <c r="AE334" s="392"/>
      <c r="AF334" s="392"/>
      <c r="AL334" s="316"/>
    </row>
    <row r="335" spans="1:38" ht="9.9499999999999993" customHeight="1">
      <c r="A335" s="767"/>
      <c r="G335" s="1859"/>
      <c r="H335" s="1859"/>
      <c r="I335" s="1859"/>
      <c r="J335" s="1859"/>
      <c r="K335" s="1916" t="s">
        <v>2270</v>
      </c>
      <c r="L335" s="1916"/>
      <c r="M335" s="1916"/>
      <c r="N335" s="1916"/>
      <c r="O335" s="1916"/>
      <c r="P335" s="1916"/>
      <c r="Q335" s="1859"/>
      <c r="R335" s="1914"/>
      <c r="S335" s="1914"/>
      <c r="T335" s="1914"/>
      <c r="U335" s="1914"/>
      <c r="V335" s="1914"/>
      <c r="W335" s="392"/>
      <c r="X335" s="392"/>
      <c r="Y335" s="392"/>
      <c r="Z335" s="392"/>
      <c r="AA335" s="392"/>
      <c r="AB335" s="392"/>
      <c r="AC335" s="392"/>
      <c r="AD335" s="392"/>
      <c r="AE335" s="392"/>
      <c r="AF335" s="392"/>
      <c r="AL335" s="316"/>
    </row>
    <row r="336" spans="1:38" ht="9.9499999999999993" customHeight="1">
      <c r="A336" s="767"/>
      <c r="G336" s="1859"/>
      <c r="H336" s="1859"/>
      <c r="I336" s="1859"/>
      <c r="J336" s="1859"/>
      <c r="K336" s="1916"/>
      <c r="L336" s="1916"/>
      <c r="M336" s="1916"/>
      <c r="N336" s="1916"/>
      <c r="O336" s="1916"/>
      <c r="P336" s="1916"/>
      <c r="Q336" s="1859"/>
      <c r="R336" s="1914"/>
      <c r="S336" s="1914"/>
      <c r="T336" s="1914"/>
      <c r="U336" s="1914"/>
      <c r="V336" s="1914"/>
      <c r="W336" s="392"/>
      <c r="X336" s="392"/>
      <c r="Y336" s="392"/>
      <c r="Z336" s="392"/>
      <c r="AA336" s="392"/>
      <c r="AB336" s="392"/>
      <c r="AC336" s="392"/>
      <c r="AD336" s="392"/>
      <c r="AE336" s="392"/>
      <c r="AF336" s="392"/>
      <c r="AL336" s="316"/>
    </row>
    <row r="337" spans="1:43" ht="20.100000000000001" customHeight="1">
      <c r="A337" s="767"/>
      <c r="E337" s="315" t="s">
        <v>1480</v>
      </c>
      <c r="H337" s="1914" t="s">
        <v>2271</v>
      </c>
      <c r="I337" s="1914"/>
      <c r="J337" s="1914"/>
      <c r="K337" s="1914"/>
      <c r="L337" s="386" t="s">
        <v>6344</v>
      </c>
      <c r="M337" s="1890" t="e">
        <f>R333</f>
        <v>#N/A</v>
      </c>
      <c r="N337" s="1890"/>
      <c r="O337" s="1890"/>
      <c r="P337" s="1914" t="s">
        <v>4293</v>
      </c>
      <c r="Q337" s="1914"/>
      <c r="R337" s="1914"/>
      <c r="S337" s="1914"/>
      <c r="T337" s="398" t="s">
        <v>6344</v>
      </c>
      <c r="U337" s="1890" t="e">
        <f>ROUND(K333/10^4,2)</f>
        <v>#N/A</v>
      </c>
      <c r="V337" s="1890"/>
      <c r="W337" s="1890"/>
      <c r="X337" s="485" t="s">
        <v>4294</v>
      </c>
      <c r="Y337" s="485"/>
      <c r="Z337" s="484" t="s">
        <v>3306</v>
      </c>
      <c r="AA337" s="485">
        <v>0</v>
      </c>
      <c r="AB337" s="392"/>
      <c r="AC337" s="392"/>
      <c r="AD337" s="392"/>
      <c r="AE337" s="392"/>
      <c r="AF337" s="392"/>
      <c r="AL337" s="316"/>
    </row>
    <row r="338" spans="1:43" ht="20.100000000000001" customHeight="1">
      <c r="A338" s="767"/>
      <c r="E338" s="315"/>
      <c r="H338" s="315" t="s">
        <v>5652</v>
      </c>
      <c r="I338" s="387"/>
      <c r="J338" s="1914" t="s">
        <v>4295</v>
      </c>
      <c r="K338" s="1914"/>
      <c r="L338" s="1914"/>
      <c r="M338" s="1914"/>
      <c r="N338" s="391" t="s">
        <v>3306</v>
      </c>
      <c r="O338" s="391"/>
      <c r="P338" s="1890" t="e">
        <f>AN351</f>
        <v>#N/A</v>
      </c>
      <c r="Q338" s="1890"/>
      <c r="R338" s="1890"/>
      <c r="S338" s="386" t="s">
        <v>6043</v>
      </c>
      <c r="T338" s="398"/>
      <c r="U338" s="391"/>
      <c r="V338" s="391"/>
      <c r="W338" s="391"/>
      <c r="X338" s="485"/>
      <c r="Y338" s="485"/>
      <c r="Z338" s="484"/>
      <c r="AA338" s="485"/>
      <c r="AB338" s="392"/>
      <c r="AC338" s="392"/>
      <c r="AD338" s="392"/>
      <c r="AE338" s="392"/>
      <c r="AF338" s="392"/>
      <c r="AL338" s="316"/>
    </row>
    <row r="339" spans="1:43" ht="20.100000000000001" customHeight="1">
      <c r="A339" s="767"/>
      <c r="E339" s="322" t="s">
        <v>4774</v>
      </c>
      <c r="F339" s="322"/>
      <c r="G339" s="322"/>
      <c r="H339" s="322"/>
      <c r="I339" s="322"/>
      <c r="J339" s="322"/>
      <c r="K339" s="322"/>
      <c r="L339" s="322"/>
      <c r="M339" s="322"/>
      <c r="N339" s="322"/>
    </row>
    <row r="340" spans="1:43" s="405" customFormat="1" ht="20.100000000000001" customHeight="1">
      <c r="A340" s="768"/>
      <c r="B340" s="314"/>
      <c r="D340" s="406"/>
      <c r="E340" s="406"/>
      <c r="F340" s="406"/>
      <c r="G340" s="409"/>
      <c r="H340" s="406"/>
      <c r="I340" s="406"/>
      <c r="J340" s="406"/>
      <c r="K340" s="406"/>
      <c r="L340" s="408"/>
      <c r="M340" s="408"/>
      <c r="N340" s="407"/>
      <c r="O340" s="407"/>
      <c r="P340" s="407"/>
      <c r="Q340" s="407"/>
      <c r="R340" s="408"/>
      <c r="S340" s="408"/>
      <c r="T340" s="408"/>
      <c r="U340" s="408"/>
      <c r="V340" s="408"/>
      <c r="W340" s="408"/>
      <c r="X340" s="408"/>
      <c r="Y340" s="408"/>
      <c r="Z340" s="408"/>
      <c r="AA340" s="408"/>
      <c r="AB340" s="408"/>
      <c r="AC340" s="408"/>
      <c r="AD340" s="408"/>
      <c r="AE340" s="408"/>
      <c r="AF340" s="408"/>
      <c r="AG340" s="408"/>
      <c r="AH340" s="408"/>
      <c r="AI340" s="408"/>
      <c r="AJ340" s="408"/>
      <c r="AK340" s="408"/>
      <c r="AL340" s="408"/>
      <c r="AM340" s="475" t="s">
        <v>558</v>
      </c>
      <c r="AN340" s="475" t="s">
        <v>3490</v>
      </c>
      <c r="AO340" s="475" t="s">
        <v>3491</v>
      </c>
      <c r="AP340" s="475" t="s">
        <v>1252</v>
      </c>
      <c r="AQ340" s="475" t="s">
        <v>1175</v>
      </c>
    </row>
    <row r="341" spans="1:43" s="405" customFormat="1" ht="20.100000000000001" customHeight="1">
      <c r="A341" s="768"/>
      <c r="B341" s="314"/>
      <c r="D341" s="406"/>
      <c r="E341" s="406"/>
      <c r="F341" s="406"/>
      <c r="G341" s="409"/>
      <c r="H341" s="406"/>
      <c r="I341" s="406"/>
      <c r="J341" s="406"/>
      <c r="K341" s="406"/>
      <c r="L341" s="408"/>
      <c r="M341" s="408"/>
      <c r="N341" s="407"/>
      <c r="O341" s="407"/>
      <c r="P341" s="407"/>
      <c r="Q341" s="407"/>
      <c r="R341" s="408"/>
      <c r="S341" s="408"/>
      <c r="T341" s="408"/>
      <c r="U341" s="408"/>
      <c r="V341" s="408"/>
      <c r="W341" s="408"/>
      <c r="X341" s="408"/>
      <c r="Y341" s="408"/>
      <c r="Z341" s="408"/>
      <c r="AA341" s="408"/>
      <c r="AB341" s="408"/>
      <c r="AC341" s="408"/>
      <c r="AD341" s="408"/>
      <c r="AE341" s="408"/>
      <c r="AF341" s="408"/>
      <c r="AG341" s="408"/>
      <c r="AH341" s="408"/>
      <c r="AI341" s="408"/>
      <c r="AJ341" s="408"/>
      <c r="AK341" s="408"/>
      <c r="AL341" s="408"/>
      <c r="AM341">
        <v>1</v>
      </c>
      <c r="AN341" s="583" t="e">
        <f>-M337</f>
        <v>#N/A</v>
      </c>
      <c r="AO341">
        <v>0</v>
      </c>
      <c r="AP341" t="e">
        <f>-U337*10^4</f>
        <v>#N/A</v>
      </c>
      <c r="AQ341" s="476">
        <v>3.14159265358979</v>
      </c>
    </row>
    <row r="342" spans="1:43" s="405" customFormat="1" ht="20.100000000000001" customHeight="1">
      <c r="A342" s="768"/>
      <c r="B342" s="314"/>
      <c r="D342" s="406"/>
      <c r="E342" s="406"/>
      <c r="F342" s="406"/>
      <c r="G342" s="409"/>
      <c r="H342" s="406"/>
      <c r="I342" s="406"/>
      <c r="J342" s="406"/>
      <c r="K342" s="406"/>
      <c r="L342" s="408"/>
      <c r="M342" s="408"/>
      <c r="N342" s="407"/>
      <c r="O342" s="407"/>
      <c r="P342" s="407"/>
      <c r="Q342" s="407"/>
      <c r="R342" s="408"/>
      <c r="S342" s="408"/>
      <c r="T342" s="408"/>
      <c r="U342" s="408"/>
      <c r="V342" s="408"/>
      <c r="W342" s="408"/>
      <c r="X342" s="408"/>
      <c r="Y342" s="408"/>
      <c r="Z342" s="408"/>
      <c r="AA342" s="408"/>
      <c r="AB342" s="408"/>
      <c r="AC342" s="408"/>
      <c r="AD342" s="408"/>
      <c r="AE342" s="408"/>
      <c r="AF342" s="408"/>
      <c r="AG342" s="408"/>
      <c r="AH342" s="408"/>
      <c r="AI342" s="408"/>
      <c r="AJ342" s="408"/>
      <c r="AK342" s="408"/>
      <c r="AL342" s="408"/>
      <c r="AM342" s="477" t="s">
        <v>1176</v>
      </c>
      <c r="AN342" t="e">
        <f>+(POWER(AN341,2)-3*AM341*AO341)</f>
        <v>#N/A</v>
      </c>
      <c r="AO342"/>
      <c r="AP342"/>
      <c r="AQ342"/>
    </row>
    <row r="343" spans="1:43" s="405" customFormat="1" ht="20.100000000000001" customHeight="1">
      <c r="A343" s="768"/>
      <c r="B343" s="314"/>
      <c r="D343" s="406"/>
      <c r="E343" s="406"/>
      <c r="F343" s="406"/>
      <c r="G343" s="409"/>
      <c r="H343" s="406"/>
      <c r="I343" s="406"/>
      <c r="J343" s="406"/>
      <c r="K343" s="406"/>
      <c r="L343" s="408"/>
      <c r="M343" s="408"/>
      <c r="N343" s="407"/>
      <c r="O343" s="407"/>
      <c r="P343" s="407"/>
      <c r="Q343" s="407"/>
      <c r="R343" s="408"/>
      <c r="S343" s="408"/>
      <c r="T343" s="408"/>
      <c r="U343" s="408"/>
      <c r="V343" s="408"/>
      <c r="W343" s="408"/>
      <c r="X343" s="408"/>
      <c r="Y343" s="408"/>
      <c r="Z343" s="408"/>
      <c r="AA343" s="408"/>
      <c r="AB343" s="408"/>
      <c r="AC343" s="408"/>
      <c r="AD343" s="408"/>
      <c r="AE343" s="408"/>
      <c r="AF343" s="408"/>
      <c r="AG343" s="408"/>
      <c r="AH343" s="408"/>
      <c r="AI343" s="408"/>
      <c r="AJ343" s="408"/>
      <c r="AK343" s="408"/>
      <c r="AL343" s="408"/>
      <c r="AM343" t="s">
        <v>1177</v>
      </c>
      <c r="AN343" t="e">
        <f>+(9*AM341*AN341*AO341-2*POWER(AN341,3)-27*POWER(AM341,2)*AP341)/(2*(POWER(ABS(AN342),3/2)))</f>
        <v>#N/A</v>
      </c>
      <c r="AO343"/>
      <c r="AP343"/>
      <c r="AQ343"/>
    </row>
    <row r="344" spans="1:43" s="405" customFormat="1" ht="20.100000000000001" customHeight="1">
      <c r="A344" s="768"/>
      <c r="B344" s="314"/>
      <c r="D344" s="406"/>
      <c r="E344" s="406"/>
      <c r="F344" s="406"/>
      <c r="G344" s="409"/>
      <c r="H344" s="406"/>
      <c r="I344" s="406"/>
      <c r="J344" s="406"/>
      <c r="K344" s="406"/>
      <c r="L344" s="408"/>
      <c r="M344" s="408"/>
      <c r="N344" s="407"/>
      <c r="O344" s="407"/>
      <c r="P344" s="407"/>
      <c r="Q344" s="407"/>
      <c r="R344" s="408"/>
      <c r="S344" s="408"/>
      <c r="T344" s="408"/>
      <c r="U344" s="408"/>
      <c r="V344" s="408"/>
      <c r="W344" s="408"/>
      <c r="X344" s="408"/>
      <c r="Y344" s="408"/>
      <c r="Z344" s="408"/>
      <c r="AA344" s="408"/>
      <c r="AB344" s="408"/>
      <c r="AC344" s="408"/>
      <c r="AD344" s="408"/>
      <c r="AE344" s="408"/>
      <c r="AF344" s="408"/>
      <c r="AG344" s="408"/>
      <c r="AH344" s="408"/>
      <c r="AI344" s="408"/>
      <c r="AJ344" s="408"/>
      <c r="AK344" s="408"/>
      <c r="AL344" s="408"/>
      <c r="AM344" s="478" t="e">
        <f>AND(AN342&gt;0,ABS(AN343)&lt;=1)</f>
        <v>#N/A</v>
      </c>
      <c r="AN344"/>
      <c r="AO344"/>
      <c r="AP344"/>
      <c r="AQ344"/>
    </row>
    <row r="345" spans="1:43" s="405" customFormat="1" ht="20.100000000000001" customHeight="1">
      <c r="A345" s="768"/>
      <c r="B345" s="314"/>
      <c r="D345" s="406"/>
      <c r="E345" s="406"/>
      <c r="F345" s="406"/>
      <c r="G345" s="409"/>
      <c r="H345" s="406"/>
      <c r="I345" s="406"/>
      <c r="J345" s="406"/>
      <c r="K345" s="406"/>
      <c r="L345" s="408"/>
      <c r="M345" s="408"/>
      <c r="N345" s="407"/>
      <c r="O345" s="407"/>
      <c r="P345" s="407"/>
      <c r="Q345" s="407"/>
      <c r="R345" s="408"/>
      <c r="S345" s="408"/>
      <c r="T345" s="408"/>
      <c r="U345" s="408"/>
      <c r="V345" s="408"/>
      <c r="W345" s="408"/>
      <c r="X345" s="408"/>
      <c r="Y345" s="408"/>
      <c r="Z345" s="408"/>
      <c r="AA345" s="408"/>
      <c r="AB345" s="408"/>
      <c r="AC345" s="408"/>
      <c r="AD345" s="408"/>
      <c r="AE345" s="408"/>
      <c r="AF345" s="408"/>
      <c r="AG345" s="408"/>
      <c r="AH345" s="408"/>
      <c r="AI345" s="408"/>
      <c r="AJ345" s="408"/>
      <c r="AK345" s="408"/>
      <c r="AL345" s="408"/>
      <c r="AM345" t="s">
        <v>1178</v>
      </c>
      <c r="AN345"/>
      <c r="AO345"/>
      <c r="AP345"/>
      <c r="AQ345"/>
    </row>
    <row r="346" spans="1:43" s="405" customFormat="1" ht="20.100000000000001" customHeight="1">
      <c r="A346" s="768"/>
      <c r="B346" s="314"/>
      <c r="D346" s="406"/>
      <c r="E346" s="406"/>
      <c r="F346" s="406"/>
      <c r="G346" s="409"/>
      <c r="H346" s="406"/>
      <c r="I346" s="406"/>
      <c r="J346" s="406"/>
      <c r="K346" s="406"/>
      <c r="L346" s="408"/>
      <c r="M346" s="408"/>
      <c r="N346" s="407"/>
      <c r="O346" s="407"/>
      <c r="P346" s="407"/>
      <c r="Q346" s="407"/>
      <c r="R346" s="408"/>
      <c r="S346" s="408"/>
      <c r="T346" s="408"/>
      <c r="U346" s="408"/>
      <c r="V346" s="408"/>
      <c r="W346" s="408"/>
      <c r="X346" s="408"/>
      <c r="Y346" s="408"/>
      <c r="Z346" s="408"/>
      <c r="AA346" s="408"/>
      <c r="AB346" s="408"/>
      <c r="AC346" s="408"/>
      <c r="AD346" s="408"/>
      <c r="AE346" s="408"/>
      <c r="AF346" s="408"/>
      <c r="AG346" s="408"/>
      <c r="AH346" s="408"/>
      <c r="AI346" s="408"/>
      <c r="AJ346" s="408"/>
      <c r="AK346" s="408"/>
      <c r="AL346" s="408"/>
      <c r="AM346" t="s">
        <v>1179</v>
      </c>
      <c r="AN346" s="479" t="e">
        <f>+(2*POWER(AN342,0.5)*COS(ACOS(AN343)/3)-AN341)/(3*AM341)</f>
        <v>#N/A</v>
      </c>
      <c r="AO346"/>
      <c r="AP346"/>
      <c r="AQ346"/>
    </row>
    <row r="347" spans="1:43" s="405" customFormat="1" ht="20.100000000000001" customHeight="1">
      <c r="A347" s="768"/>
      <c r="B347" s="314"/>
      <c r="D347" s="406"/>
      <c r="E347" s="406"/>
      <c r="F347" s="406"/>
      <c r="G347" s="409"/>
      <c r="H347" s="406"/>
      <c r="I347" s="406"/>
      <c r="J347" s="406"/>
      <c r="K347" s="406"/>
      <c r="L347" s="408"/>
      <c r="M347" s="408"/>
      <c r="N347" s="407"/>
      <c r="O347" s="407"/>
      <c r="P347" s="407"/>
      <c r="Q347" s="407"/>
      <c r="R347" s="408"/>
      <c r="S347" s="408"/>
      <c r="T347" s="408"/>
      <c r="U347" s="408"/>
      <c r="V347" s="408"/>
      <c r="W347" s="408"/>
      <c r="X347" s="408"/>
      <c r="Y347" s="408"/>
      <c r="Z347" s="408"/>
      <c r="AA347" s="408"/>
      <c r="AB347" s="408"/>
      <c r="AC347" s="408"/>
      <c r="AD347" s="408"/>
      <c r="AE347" s="408"/>
      <c r="AF347" s="408"/>
      <c r="AG347" s="408"/>
      <c r="AH347" s="408"/>
      <c r="AI347" s="408"/>
      <c r="AJ347" s="408"/>
      <c r="AK347" s="408"/>
      <c r="AL347" s="408"/>
      <c r="AM347" t="s">
        <v>1180</v>
      </c>
      <c r="AN347" s="479" t="e">
        <f>+(2*POWER(AN342,0.5)*COS((ACOS(AN343)/3)-(2*AQ341/3))-AN341)/(3*AM341)</f>
        <v>#N/A</v>
      </c>
      <c r="AO347"/>
      <c r="AP347"/>
      <c r="AQ347"/>
    </row>
    <row r="348" spans="1:43" ht="20.100000000000001" customHeight="1">
      <c r="A348" s="767"/>
      <c r="E348" s="314" t="s">
        <v>940</v>
      </c>
      <c r="N348" s="314"/>
      <c r="R348" s="314" t="s">
        <v>944</v>
      </c>
      <c r="S348" s="1915">
        <f>MAX(NL!U41:AL42)</f>
        <v>60</v>
      </c>
      <c r="T348" s="1915"/>
      <c r="U348" s="1915"/>
      <c r="V348" s="1915"/>
      <c r="W348" s="1915"/>
      <c r="X348" s="1915"/>
      <c r="Y348" s="1915"/>
      <c r="Z348" s="1915"/>
      <c r="AA348" s="1915"/>
      <c r="AB348" s="1915"/>
      <c r="AC348" s="1915"/>
      <c r="AD348" s="1915"/>
      <c r="AE348" s="1915"/>
      <c r="AF348" s="1915"/>
      <c r="AG348" s="1915"/>
      <c r="AH348" s="1915"/>
      <c r="AI348" s="1915"/>
      <c r="AJ348" s="1915"/>
      <c r="AK348" s="1915"/>
      <c r="AL348" s="1915"/>
      <c r="AM348" t="s">
        <v>1181</v>
      </c>
      <c r="AN348" s="479" t="e">
        <f>+(2*POWER(AN342,0.5)*COS((ACOS(AN343)/3)+(2*AQ341/3))-AN341)/(3*AM341)</f>
        <v>#N/A</v>
      </c>
      <c r="AO348"/>
      <c r="AP348"/>
      <c r="AQ348" s="480"/>
    </row>
    <row r="349" spans="1:43" ht="20.100000000000001" customHeight="1">
      <c r="A349" s="767"/>
      <c r="E349" s="314" t="s">
        <v>5621</v>
      </c>
      <c r="N349" s="314"/>
      <c r="R349" s="314" t="s">
        <v>944</v>
      </c>
      <c r="S349" s="1898">
        <f>S348*1.02</f>
        <v>61.2</v>
      </c>
      <c r="T349" s="1898"/>
      <c r="U349" s="1898"/>
      <c r="V349" s="1898"/>
      <c r="W349" s="1898"/>
      <c r="X349" s="1898"/>
      <c r="Y349" s="1898"/>
      <c r="Z349" s="1898"/>
      <c r="AA349" s="1898"/>
      <c r="AB349" s="1898"/>
      <c r="AC349" s="1898"/>
      <c r="AD349" s="1898"/>
      <c r="AE349" s="1898"/>
      <c r="AF349" s="1898"/>
      <c r="AG349" s="1898"/>
      <c r="AH349" s="1898"/>
      <c r="AI349" s="1898"/>
      <c r="AJ349" s="1898"/>
      <c r="AK349" s="1898"/>
      <c r="AL349" s="1898"/>
      <c r="AM349" s="478" t="e">
        <f>AND(AN342&gt;0,ABS(AN343)&gt;1)</f>
        <v>#N/A</v>
      </c>
      <c r="AN349"/>
      <c r="AO349"/>
      <c r="AP349"/>
      <c r="AQ349"/>
    </row>
    <row r="350" spans="1:43" ht="20.100000000000001" customHeight="1">
      <c r="A350" s="767"/>
      <c r="D350" s="322"/>
      <c r="E350" s="314" t="s">
        <v>563</v>
      </c>
      <c r="F350" s="322"/>
      <c r="G350" s="315"/>
      <c r="H350" s="322"/>
      <c r="I350" s="322"/>
      <c r="J350" s="322"/>
      <c r="K350" s="322"/>
      <c r="L350" s="318"/>
      <c r="M350" s="318"/>
      <c r="N350" s="316"/>
      <c r="O350" s="316"/>
      <c r="P350" s="316"/>
      <c r="Q350" s="316"/>
      <c r="R350" s="318"/>
      <c r="S350" s="318"/>
      <c r="T350" s="318"/>
      <c r="U350" s="318"/>
      <c r="V350" s="318"/>
      <c r="W350" s="318"/>
      <c r="X350" s="318"/>
      <c r="Y350" s="318"/>
      <c r="Z350" s="318"/>
      <c r="AA350" s="318"/>
      <c r="AB350" s="318"/>
      <c r="AC350" s="318"/>
      <c r="AD350" s="318"/>
      <c r="AE350" s="318"/>
      <c r="AF350" s="318"/>
      <c r="AG350" s="318"/>
      <c r="AH350" s="318"/>
      <c r="AI350" s="318"/>
      <c r="AJ350" s="318"/>
      <c r="AK350" s="318"/>
      <c r="AL350" s="318"/>
      <c r="AM350" t="s">
        <v>1182</v>
      </c>
      <c r="AN350"/>
      <c r="AO350"/>
      <c r="AP350"/>
      <c r="AQ350"/>
    </row>
    <row r="351" spans="1:43" ht="20.100000000000001" customHeight="1">
      <c r="A351" s="767"/>
      <c r="D351" s="322"/>
      <c r="E351" s="322"/>
      <c r="F351" s="315" t="str">
        <f>"- Trụ "&amp;NL!U48&amp;"; lực đầu trụ = "&amp;IF(NL!U48="BTLT 10,5m", 520,IF(NL!U48="BTLT 12m", 720,IF(NL!U48="BTLT 14m",1100,IF(NL!U48="BTLT 20m",1300,""))))&amp;"[kgf] cho vị trí dừng và góc."</f>
        <v>- Trụ BTLT 12m; lực đầu trụ = 720[kgf] cho vị trí dừng và góc.</v>
      </c>
      <c r="H351" s="322"/>
      <c r="I351" s="322"/>
      <c r="J351" s="322"/>
      <c r="K351" s="322"/>
      <c r="L351" s="318"/>
      <c r="M351" s="318"/>
      <c r="N351" s="316"/>
      <c r="O351" s="316"/>
      <c r="P351" s="316"/>
      <c r="Q351" s="316"/>
      <c r="R351" s="318"/>
      <c r="S351" s="318"/>
      <c r="T351" s="318"/>
      <c r="U351" s="318"/>
      <c r="V351" s="318"/>
      <c r="W351" s="318"/>
      <c r="X351" s="318"/>
      <c r="Y351" s="318"/>
      <c r="Z351" s="318"/>
      <c r="AA351" s="318"/>
      <c r="AB351" s="318"/>
      <c r="AC351" s="318"/>
      <c r="AD351" s="318"/>
      <c r="AE351" s="318"/>
      <c r="AF351" s="318"/>
      <c r="AG351" s="318"/>
      <c r="AH351" s="318"/>
      <c r="AI351" s="318"/>
      <c r="AJ351" s="318"/>
      <c r="AK351" s="318"/>
      <c r="AL351" s="318"/>
      <c r="AM351" t="s">
        <v>1183</v>
      </c>
      <c r="AN351" s="481" t="e">
        <f>ROUND((((POWER(AN342,0.5)*ABS(AN343))/(3*AM341*AN343))*((POWER(ABS(AN343)+POWER(POWER(AN343,2)-1,0.5),1/3))+(POWER(ABS(AN343)-POWER(POWER(AN343,2)-1,0.5),1/3))))-(AN341/(3*AM341)),2)</f>
        <v>#N/A</v>
      </c>
      <c r="AO351"/>
      <c r="AP351"/>
      <c r="AQ351"/>
    </row>
    <row r="352" spans="1:43" ht="20.100000000000001" customHeight="1">
      <c r="A352" s="767"/>
      <c r="D352" s="322"/>
      <c r="E352" s="322"/>
      <c r="F352" s="315" t="str">
        <f>"- Trụ "&amp;NL!U48&amp;"; lực đầu trụ = "&amp;IF(NL!U48="BTLT 10,5m", 420,IF(NL!U48="BTLT 12m", 440,IF(NL!U48="BTLT 14m",850,IF(NL!U48="BTLT 20m",1000,""))))&amp;"[kgf] cho vị trí đở thẳng."</f>
        <v>- Trụ BTLT 12m; lực đầu trụ = 440[kgf] cho vị trí đở thẳng.</v>
      </c>
      <c r="H352" s="322"/>
      <c r="I352" s="322"/>
      <c r="J352" s="322"/>
      <c r="K352" s="322"/>
      <c r="L352" s="318"/>
      <c r="M352" s="318"/>
      <c r="N352" s="316"/>
      <c r="O352" s="316"/>
      <c r="P352" s="316"/>
      <c r="Q352" s="316"/>
      <c r="R352" s="318"/>
      <c r="S352" s="318"/>
      <c r="T352" s="318"/>
      <c r="U352" s="318"/>
      <c r="V352" s="318"/>
      <c r="W352" s="318"/>
      <c r="X352" s="318"/>
      <c r="Y352" s="318"/>
      <c r="Z352" s="318"/>
      <c r="AA352" s="318"/>
      <c r="AB352" s="318"/>
      <c r="AC352" s="318"/>
      <c r="AD352" s="318"/>
      <c r="AE352" s="318"/>
      <c r="AF352" s="318"/>
      <c r="AG352" s="318"/>
      <c r="AH352" s="318"/>
      <c r="AI352" s="318"/>
      <c r="AJ352" s="318"/>
      <c r="AK352" s="318"/>
      <c r="AL352" s="318"/>
      <c r="AM352" s="486" t="b">
        <f>+AND(AM342=0)</f>
        <v>0</v>
      </c>
      <c r="AN352" s="38"/>
      <c r="AO352" s="38"/>
      <c r="AP352" s="38"/>
      <c r="AQ352" s="38"/>
    </row>
    <row r="353" spans="1:43" ht="20.100000000000001" customHeight="1">
      <c r="A353" s="767"/>
      <c r="D353" s="322"/>
      <c r="E353" s="322"/>
      <c r="F353" s="322"/>
      <c r="H353" s="322"/>
      <c r="I353" s="322"/>
      <c r="J353" s="322"/>
      <c r="K353" s="322"/>
      <c r="L353" s="314" t="s">
        <v>4296</v>
      </c>
      <c r="M353" s="318"/>
      <c r="N353" s="316" t="s">
        <v>3306</v>
      </c>
      <c r="O353" s="314" t="s">
        <v>4768</v>
      </c>
      <c r="AM353" s="38" t="s">
        <v>1184</v>
      </c>
      <c r="AN353" s="38"/>
      <c r="AO353" s="38"/>
      <c r="AP353" s="38"/>
      <c r="AQ353" s="38"/>
    </row>
    <row r="354" spans="1:43" ht="20.100000000000001" customHeight="1">
      <c r="A354" s="767"/>
      <c r="D354" s="322"/>
      <c r="E354" s="322"/>
      <c r="F354" s="322"/>
      <c r="H354" s="322"/>
      <c r="I354" s="322"/>
      <c r="J354" s="322"/>
      <c r="K354" s="322"/>
      <c r="M354" s="318"/>
      <c r="N354" s="316" t="s">
        <v>3306</v>
      </c>
      <c r="O354" s="489" t="str">
        <f>S357&amp;" - ("&amp;S358&amp;" + "&amp;S359&amp;" + "&amp;S360&amp;")"</f>
        <v>11,1 - (2 + 6 + 0)</v>
      </c>
      <c r="P354" s="489"/>
      <c r="Q354" s="489"/>
      <c r="R354" s="489"/>
      <c r="S354" s="489"/>
      <c r="T354" s="489"/>
      <c r="U354" s="489"/>
      <c r="V354" s="489"/>
      <c r="W354" s="489"/>
      <c r="X354" s="489"/>
      <c r="Y354" s="489"/>
      <c r="Z354" s="489"/>
      <c r="AA354" s="489"/>
      <c r="AB354" s="489"/>
      <c r="AC354" s="489"/>
      <c r="AD354" s="489"/>
      <c r="AE354" s="489"/>
      <c r="AF354" s="489"/>
      <c r="AG354" s="489"/>
      <c r="AH354" s="489"/>
      <c r="AI354" s="489"/>
      <c r="AJ354" s="489"/>
      <c r="AK354" s="489"/>
      <c r="AL354" s="489"/>
      <c r="AM354" s="38" t="s">
        <v>1183</v>
      </c>
      <c r="AN354" s="487" t="e">
        <f>ROUND((-AN341+POWER(POWER(AN341,3)-27*POWER(AM341,2)*AP341,1/3))/(3*AM341),2)</f>
        <v>#N/A</v>
      </c>
      <c r="AO354" s="38"/>
      <c r="AP354" s="38"/>
      <c r="AQ354" s="38"/>
    </row>
    <row r="355" spans="1:43" ht="20.100000000000001" customHeight="1">
      <c r="A355" s="767"/>
      <c r="D355" s="322"/>
      <c r="E355" s="322"/>
      <c r="F355" s="322"/>
      <c r="G355" s="315"/>
      <c r="H355" s="322"/>
      <c r="I355" s="322"/>
      <c r="J355" s="322"/>
      <c r="K355" s="322"/>
      <c r="L355" s="318"/>
      <c r="M355" s="318"/>
      <c r="N355" s="316" t="s">
        <v>3306</v>
      </c>
      <c r="O355" s="1898">
        <f>S357-(S358+S359+S360)</f>
        <v>3.0999999999999996</v>
      </c>
      <c r="P355" s="1898"/>
      <c r="Q355" s="1898"/>
      <c r="R355" s="1898"/>
      <c r="S355" s="1898"/>
      <c r="T355" s="1898"/>
      <c r="U355" s="400"/>
      <c r="V355" s="400"/>
      <c r="W355" s="400"/>
      <c r="X355" s="400"/>
      <c r="Y355" s="400"/>
      <c r="Z355" s="400"/>
      <c r="AA355" s="400"/>
      <c r="AB355" s="400"/>
      <c r="AC355" s="400"/>
      <c r="AD355" s="400"/>
      <c r="AE355" s="400"/>
      <c r="AF355" s="400"/>
      <c r="AG355" s="400"/>
      <c r="AH355" s="400"/>
      <c r="AI355" s="400"/>
      <c r="AJ355" s="400"/>
      <c r="AK355" s="400"/>
      <c r="AL355" s="400"/>
      <c r="AM355" s="486" t="e">
        <f>+AND(AN342&lt;0)</f>
        <v>#N/A</v>
      </c>
      <c r="AN355" s="38"/>
      <c r="AO355" s="38"/>
      <c r="AP355" s="38"/>
      <c r="AQ355" s="38"/>
    </row>
    <row r="356" spans="1:43" ht="20.100000000000001" customHeight="1">
      <c r="A356" s="767"/>
      <c r="D356" s="322"/>
      <c r="E356" s="322"/>
      <c r="F356" s="315" t="s">
        <v>4811</v>
      </c>
      <c r="I356" s="322"/>
      <c r="J356" s="322"/>
      <c r="K356" s="322"/>
      <c r="L356" s="318"/>
      <c r="M356" s="318"/>
      <c r="N356" s="316"/>
      <c r="O356" s="316"/>
      <c r="P356" s="316"/>
      <c r="Q356" s="316"/>
      <c r="R356" s="318"/>
      <c r="S356" s="318"/>
      <c r="T356" s="318"/>
      <c r="U356" s="318"/>
      <c r="V356" s="318"/>
      <c r="W356" s="318"/>
      <c r="X356" s="318"/>
      <c r="Y356" s="318"/>
      <c r="Z356" s="318"/>
      <c r="AA356" s="318"/>
      <c r="AB356" s="318"/>
      <c r="AC356" s="318"/>
      <c r="AD356" s="318"/>
      <c r="AE356" s="318"/>
      <c r="AF356" s="318"/>
      <c r="AG356" s="318"/>
      <c r="AH356" s="318"/>
      <c r="AI356" s="318"/>
      <c r="AJ356" s="318"/>
      <c r="AK356" s="318"/>
      <c r="AL356" s="318"/>
      <c r="AM356" s="38" t="s">
        <v>1185</v>
      </c>
      <c r="AN356" s="38"/>
      <c r="AO356" s="38"/>
      <c r="AP356" s="38"/>
      <c r="AQ356" s="38"/>
    </row>
    <row r="357" spans="1:43" ht="20.100000000000001" customHeight="1">
      <c r="A357" s="767"/>
      <c r="D357" s="322"/>
      <c r="E357" s="322"/>
      <c r="F357" s="322"/>
      <c r="I357" s="322"/>
      <c r="J357" s="322"/>
      <c r="K357" s="322"/>
      <c r="M357" s="318"/>
      <c r="N357" s="316"/>
      <c r="O357" s="316"/>
      <c r="P357" s="314" t="s">
        <v>4769</v>
      </c>
      <c r="Q357" s="316"/>
      <c r="R357" s="318" t="s">
        <v>944</v>
      </c>
      <c r="S357" s="1898">
        <f>ROUND(IF(NL!U48="BTLT 10,5m",10.5,IF(NL!U48="BTLT 12m",12,IF(NL!U48="BTLT 14m",14,IF(NL!U48="BTLT 20m",20,0))))-0.9,1)</f>
        <v>11.1</v>
      </c>
      <c r="T357" s="1898"/>
      <c r="U357" s="1898"/>
      <c r="V357" s="1898"/>
      <c r="W357" s="1898"/>
      <c r="X357" s="1898"/>
      <c r="Y357" s="1898"/>
      <c r="Z357" s="400"/>
      <c r="AA357" s="400"/>
      <c r="AB357" s="400"/>
      <c r="AC357" s="400"/>
      <c r="AD357" s="400"/>
      <c r="AE357" s="400"/>
      <c r="AF357" s="400"/>
      <c r="AG357" s="400"/>
      <c r="AH357" s="400"/>
      <c r="AI357" s="400"/>
      <c r="AJ357" s="400"/>
      <c r="AK357" s="400"/>
      <c r="AL357" s="400"/>
      <c r="AM357" s="38" t="s">
        <v>1183</v>
      </c>
      <c r="AN357" s="488" t="e">
        <f>ROUND((((POWER(ABS(AN342),0.5))/(3*AM341))*((POWER(AN343+POWER(POWER(AN343,2)+1,0.5),1/3))+(POWER(AN343-POWER(POWER(AN343,2)+1,0.5),1/3))))-(AN341/(3*AM341)),2)</f>
        <v>#N/A</v>
      </c>
      <c r="AO357" s="38"/>
      <c r="AP357" s="38"/>
      <c r="AQ357" s="38"/>
    </row>
    <row r="358" spans="1:43" ht="20.100000000000001" customHeight="1">
      <c r="A358" s="767"/>
      <c r="D358" s="322"/>
      <c r="E358" s="322"/>
      <c r="F358" s="315" t="s">
        <v>4812</v>
      </c>
      <c r="H358" s="322"/>
      <c r="I358" s="322"/>
      <c r="J358" s="322"/>
      <c r="K358" s="322"/>
      <c r="L358" s="318"/>
      <c r="M358" s="318"/>
      <c r="N358" s="316"/>
      <c r="O358" s="316"/>
      <c r="P358" s="314" t="s">
        <v>4770</v>
      </c>
      <c r="Q358" s="316"/>
      <c r="R358" s="318" t="s">
        <v>944</v>
      </c>
      <c r="S358" s="1898">
        <f>ROUND(IF(NL!U48="BTLT 10,5m",1.8,IF(NL!U48="BTLT 12m",2,IF(NL!U48="BTLT 14m",2.5,IF(NL!U48="BTLT 20m",3,0)))),1)</f>
        <v>2</v>
      </c>
      <c r="T358" s="1898"/>
      <c r="U358" s="1898"/>
      <c r="V358" s="1898"/>
      <c r="W358" s="1898"/>
      <c r="X358" s="1898"/>
      <c r="Y358" s="1898"/>
      <c r="Z358" s="400"/>
      <c r="AA358" s="400"/>
      <c r="AB358" s="400"/>
      <c r="AC358" s="400"/>
      <c r="AD358" s="400"/>
      <c r="AE358" s="400"/>
      <c r="AF358" s="400"/>
      <c r="AG358" s="400"/>
      <c r="AH358" s="400"/>
      <c r="AI358" s="400"/>
      <c r="AJ358" s="400"/>
      <c r="AK358" s="400"/>
      <c r="AL358" s="400"/>
    </row>
    <row r="359" spans="1:43" ht="20.100000000000001" customHeight="1">
      <c r="A359" s="767"/>
      <c r="D359" s="322"/>
      <c r="E359" s="322"/>
      <c r="F359" s="315" t="s">
        <v>4813</v>
      </c>
      <c r="H359" s="322"/>
      <c r="I359" s="322"/>
      <c r="J359" s="322"/>
      <c r="K359" s="322"/>
      <c r="L359" s="318"/>
      <c r="M359" s="318"/>
      <c r="N359" s="316"/>
      <c r="O359" s="316"/>
      <c r="P359" s="314" t="s">
        <v>4771</v>
      </c>
      <c r="Q359" s="316"/>
      <c r="R359" s="318" t="s">
        <v>944</v>
      </c>
      <c r="S359" s="1898">
        <f>NL!U51</f>
        <v>6</v>
      </c>
      <c r="T359" s="1898"/>
      <c r="U359" s="1898"/>
      <c r="V359" s="1898"/>
      <c r="W359" s="1898"/>
      <c r="X359" s="1898"/>
      <c r="Y359" s="1898"/>
      <c r="Z359" s="400"/>
      <c r="AA359" s="400"/>
      <c r="AB359" s="400"/>
      <c r="AC359" s="400"/>
      <c r="AD359" s="400"/>
      <c r="AE359" s="400"/>
      <c r="AF359" s="400"/>
      <c r="AG359" s="400"/>
      <c r="AH359" s="400"/>
      <c r="AI359" s="400"/>
      <c r="AJ359" s="400"/>
      <c r="AK359" s="400"/>
      <c r="AL359" s="400"/>
    </row>
    <row r="360" spans="1:43" ht="20.100000000000001" customHeight="1">
      <c r="A360" s="767"/>
      <c r="D360" s="322"/>
      <c r="E360" s="322"/>
      <c r="F360" s="315" t="s">
        <v>5050</v>
      </c>
      <c r="H360" s="322"/>
      <c r="I360" s="322"/>
      <c r="J360" s="322"/>
      <c r="K360" s="322"/>
      <c r="L360" s="318"/>
      <c r="M360" s="318"/>
      <c r="N360" s="316"/>
      <c r="O360" s="316"/>
      <c r="P360" s="314" t="s">
        <v>5051</v>
      </c>
      <c r="Q360" s="316"/>
      <c r="R360" s="318" t="s">
        <v>944</v>
      </c>
      <c r="S360" s="1898">
        <v>0</v>
      </c>
      <c r="T360" s="1898"/>
      <c r="U360" s="1898"/>
      <c r="V360" s="1898"/>
      <c r="W360" s="1898"/>
      <c r="X360" s="1898"/>
      <c r="Y360" s="1898"/>
      <c r="Z360" s="400"/>
      <c r="AA360" s="400"/>
      <c r="AB360" s="400"/>
      <c r="AC360" s="400"/>
      <c r="AD360" s="400"/>
      <c r="AE360" s="400"/>
      <c r="AF360" s="400"/>
      <c r="AG360" s="400"/>
      <c r="AH360" s="400"/>
      <c r="AI360" s="400"/>
      <c r="AJ360" s="400"/>
      <c r="AK360" s="400"/>
      <c r="AL360" s="400"/>
    </row>
    <row r="361" spans="1:43" ht="20.100000000000001" customHeight="1">
      <c r="A361" s="767"/>
      <c r="D361" s="322"/>
      <c r="E361" s="1862" t="str">
        <f>"Độ võng tính toán ứng với dây dẫn :"&amp;NL!U46</f>
        <v>Độ võng tính toán ứng với dây dẫn :CXV 24kV 25mm2</v>
      </c>
      <c r="F361" s="1862"/>
      <c r="G361" s="1862"/>
      <c r="H361" s="1862"/>
      <c r="I361" s="1862"/>
      <c r="J361" s="1862"/>
      <c r="K361" s="1862"/>
      <c r="L361" s="1862"/>
      <c r="M361" s="1862"/>
      <c r="N361" s="1862"/>
      <c r="O361" s="1862"/>
      <c r="P361" s="1862"/>
      <c r="Q361" s="1862"/>
      <c r="R361" s="1862"/>
      <c r="S361" s="1862"/>
      <c r="T361" s="1862"/>
      <c r="U361" s="1862"/>
      <c r="V361" s="1862"/>
      <c r="W361" s="1862"/>
      <c r="X361" s="1862"/>
      <c r="Y361" s="1862"/>
      <c r="Z361" s="1862"/>
      <c r="AA361" s="1862"/>
      <c r="AB361" s="1862"/>
      <c r="AC361" s="1862"/>
      <c r="AD361" s="1862"/>
      <c r="AE361" s="1862"/>
      <c r="AF361" s="1862"/>
      <c r="AG361" s="1862"/>
      <c r="AH361" s="1862"/>
      <c r="AI361" s="1862"/>
      <c r="AJ361" s="1862"/>
      <c r="AK361" s="1862"/>
      <c r="AL361" s="1862"/>
    </row>
    <row r="362" spans="1:43" ht="20.100000000000001" customHeight="1">
      <c r="A362" s="767"/>
      <c r="D362" s="322"/>
      <c r="E362" s="322"/>
      <c r="F362" s="322"/>
      <c r="G362" s="315"/>
      <c r="H362" s="322"/>
      <c r="I362" s="322"/>
      <c r="J362" s="322"/>
      <c r="K362" s="322"/>
      <c r="L362" s="1862" t="s">
        <v>4772</v>
      </c>
      <c r="M362" s="1862"/>
      <c r="N362" s="1862" t="s">
        <v>3306</v>
      </c>
      <c r="O362" s="1863" t="s">
        <v>4773</v>
      </c>
      <c r="P362" s="1863"/>
      <c r="Q362" s="1863"/>
      <c r="R362" s="1863"/>
      <c r="T362" s="315"/>
      <c r="U362" s="315"/>
      <c r="V362" s="315"/>
      <c r="W362" s="315"/>
      <c r="X362" s="315"/>
      <c r="Y362" s="315"/>
      <c r="Z362" s="315"/>
      <c r="AA362" s="315"/>
      <c r="AB362" s="315"/>
      <c r="AC362" s="315"/>
      <c r="AD362" s="315"/>
      <c r="AE362" s="315"/>
      <c r="AF362" s="315"/>
      <c r="AG362" s="315"/>
      <c r="AH362" s="315"/>
      <c r="AI362" s="315"/>
      <c r="AJ362" s="315"/>
      <c r="AK362" s="315"/>
      <c r="AL362" s="315"/>
    </row>
    <row r="363" spans="1:43" ht="20.100000000000001" customHeight="1">
      <c r="A363" s="767"/>
      <c r="D363" s="322"/>
      <c r="E363" s="322"/>
      <c r="F363" s="322"/>
      <c r="G363" s="315"/>
      <c r="H363" s="322"/>
      <c r="I363" s="322"/>
      <c r="J363" s="322"/>
      <c r="K363" s="322"/>
      <c r="L363" s="1862"/>
      <c r="M363" s="1862"/>
      <c r="N363" s="1862"/>
      <c r="O363" s="1859" t="s">
        <v>4629</v>
      </c>
      <c r="P363" s="1859"/>
      <c r="Q363" s="1859"/>
      <c r="R363" s="1859"/>
      <c r="S363" s="315"/>
      <c r="T363" s="315"/>
      <c r="U363" s="315"/>
      <c r="V363" s="315"/>
      <c r="W363" s="315"/>
      <c r="X363" s="315"/>
      <c r="Y363" s="315"/>
      <c r="Z363" s="315"/>
      <c r="AA363" s="315"/>
      <c r="AB363" s="315"/>
      <c r="AC363" s="315"/>
      <c r="AD363" s="315"/>
      <c r="AE363" s="315"/>
      <c r="AF363" s="315"/>
      <c r="AG363" s="315"/>
      <c r="AH363" s="315"/>
      <c r="AI363" s="315"/>
      <c r="AJ363" s="315"/>
      <c r="AK363" s="315"/>
      <c r="AL363" s="315"/>
    </row>
    <row r="364" spans="1:43" ht="9.9499999999999993" customHeight="1">
      <c r="A364" s="767"/>
      <c r="D364" s="322"/>
      <c r="E364" s="322"/>
      <c r="F364" s="322"/>
      <c r="G364" s="315"/>
      <c r="H364" s="322"/>
      <c r="I364" s="322"/>
      <c r="J364" s="322"/>
      <c r="K364" s="322"/>
      <c r="L364" s="318"/>
      <c r="M364" s="318"/>
      <c r="N364" s="1859" t="s">
        <v>3306</v>
      </c>
      <c r="O364" s="1911" t="e">
        <f>L249&amp;" . "&amp;S349</f>
        <v>#N/A</v>
      </c>
      <c r="P364" s="1911"/>
      <c r="Q364" s="1911"/>
      <c r="R364" s="1911"/>
      <c r="S364" s="1911"/>
      <c r="T364" s="1911"/>
      <c r="U364" s="1911"/>
      <c r="V364" s="360">
        <v>2</v>
      </c>
      <c r="W364" s="1859" t="s">
        <v>3306</v>
      </c>
      <c r="X364" s="1910" t="e">
        <f>ROUND((L249*(S349^2))/(8*P338),3)</f>
        <v>#N/A</v>
      </c>
      <c r="Y364" s="1910"/>
      <c r="Z364" s="1910"/>
      <c r="AA364" s="1910"/>
      <c r="AB364" s="1910"/>
      <c r="AC364" s="1910"/>
      <c r="AD364" s="315"/>
      <c r="AE364" s="315"/>
      <c r="AF364" s="315"/>
      <c r="AG364" s="315"/>
      <c r="AH364" s="315"/>
      <c r="AI364" s="315"/>
      <c r="AJ364" s="315"/>
      <c r="AK364" s="315"/>
      <c r="AL364" s="315"/>
    </row>
    <row r="365" spans="1:43" ht="9.9499999999999993" customHeight="1">
      <c r="A365" s="767"/>
      <c r="D365" s="322"/>
      <c r="E365" s="322"/>
      <c r="F365" s="322"/>
      <c r="G365" s="315"/>
      <c r="H365" s="322"/>
      <c r="I365" s="322"/>
      <c r="J365" s="322"/>
      <c r="K365" s="322"/>
      <c r="L365" s="322"/>
      <c r="M365" s="322"/>
      <c r="N365" s="1859"/>
      <c r="O365" s="1912"/>
      <c r="P365" s="1912"/>
      <c r="Q365" s="1912"/>
      <c r="R365" s="1912"/>
      <c r="S365" s="1912"/>
      <c r="T365" s="1912"/>
      <c r="U365" s="1912"/>
      <c r="V365" s="377"/>
      <c r="W365" s="1859"/>
      <c r="X365" s="1910"/>
      <c r="Y365" s="1910"/>
      <c r="Z365" s="1910"/>
      <c r="AA365" s="1910"/>
      <c r="AB365" s="1910"/>
      <c r="AC365" s="1910"/>
      <c r="AD365" s="315"/>
      <c r="AE365" s="315"/>
      <c r="AF365" s="315"/>
      <c r="AG365" s="315"/>
      <c r="AH365" s="315"/>
      <c r="AI365" s="315"/>
      <c r="AJ365" s="315"/>
      <c r="AK365" s="315"/>
      <c r="AL365" s="315"/>
    </row>
    <row r="366" spans="1:43" ht="20.100000000000001" customHeight="1">
      <c r="A366" s="767"/>
      <c r="D366" s="322"/>
      <c r="E366" s="322"/>
      <c r="F366" s="322"/>
      <c r="G366" s="315"/>
      <c r="H366" s="322"/>
      <c r="I366" s="322"/>
      <c r="J366" s="322"/>
      <c r="K366" s="322"/>
      <c r="L366" s="322"/>
      <c r="M366" s="322"/>
      <c r="N366" s="1859"/>
      <c r="O366" s="1913" t="e">
        <f>"8 . "&amp;P338</f>
        <v>#N/A</v>
      </c>
      <c r="P366" s="1913"/>
      <c r="Q366" s="1913"/>
      <c r="R366" s="1913"/>
      <c r="S366" s="1913"/>
      <c r="T366" s="1913"/>
      <c r="U366" s="1913"/>
      <c r="V366" s="1913"/>
      <c r="W366" s="1859"/>
      <c r="X366" s="1910"/>
      <c r="Y366" s="1910"/>
      <c r="Z366" s="1910"/>
      <c r="AA366" s="1910"/>
      <c r="AB366" s="1910"/>
      <c r="AC366" s="1910"/>
      <c r="AD366" s="315"/>
      <c r="AE366" s="315"/>
      <c r="AF366" s="315"/>
      <c r="AG366" s="315"/>
      <c r="AH366" s="315"/>
      <c r="AI366" s="315"/>
      <c r="AJ366" s="315"/>
      <c r="AK366" s="315"/>
      <c r="AL366" s="315"/>
    </row>
    <row r="367" spans="1:43" ht="20.100000000000001" customHeight="1">
      <c r="A367" s="767"/>
      <c r="D367" s="322"/>
      <c r="E367" s="322"/>
      <c r="F367" s="322"/>
      <c r="I367" s="322"/>
      <c r="L367" s="318" t="s">
        <v>4772</v>
      </c>
      <c r="N367" s="316" t="s">
        <v>3438</v>
      </c>
      <c r="P367" s="314" t="s">
        <v>4296</v>
      </c>
      <c r="X367" s="318"/>
      <c r="Y367" s="318"/>
      <c r="Z367" s="318"/>
      <c r="AA367" s="318"/>
      <c r="AB367" s="318"/>
      <c r="AC367" s="318"/>
      <c r="AD367" s="318"/>
      <c r="AE367" s="318"/>
      <c r="AF367" s="318"/>
      <c r="AG367" s="318"/>
      <c r="AH367" s="318"/>
      <c r="AI367" s="318"/>
      <c r="AJ367" s="318"/>
      <c r="AK367" s="318"/>
      <c r="AL367" s="318"/>
    </row>
    <row r="368" spans="1:43" ht="20.100000000000001" customHeight="1">
      <c r="A368" s="767"/>
      <c r="D368" s="322"/>
      <c r="E368" s="322"/>
      <c r="F368" s="322"/>
      <c r="G368" s="1909" t="e">
        <f>X364</f>
        <v>#N/A</v>
      </c>
      <c r="H368" s="1909"/>
      <c r="I368" s="1909"/>
      <c r="J368" s="1909"/>
      <c r="K368" s="1909"/>
      <c r="L368" s="1909"/>
      <c r="M368" s="374"/>
      <c r="N368" s="316" t="s">
        <v>3438</v>
      </c>
      <c r="P368" s="1898">
        <f>O355</f>
        <v>3.0999999999999996</v>
      </c>
      <c r="Q368" s="1898"/>
      <c r="R368" s="1898"/>
      <c r="S368" s="1898"/>
      <c r="T368" s="368"/>
      <c r="U368" s="368"/>
      <c r="V368" s="368"/>
      <c r="X368" s="318"/>
      <c r="Y368" s="318"/>
      <c r="Z368" s="318"/>
      <c r="AA368" s="318"/>
      <c r="AB368" s="318"/>
      <c r="AC368" s="318"/>
      <c r="AD368" s="318"/>
      <c r="AE368" s="318"/>
      <c r="AF368" s="318"/>
      <c r="AG368" s="318"/>
      <c r="AH368" s="318"/>
      <c r="AI368" s="318"/>
      <c r="AJ368" s="318"/>
      <c r="AK368" s="318"/>
      <c r="AL368" s="318"/>
    </row>
    <row r="369" spans="1:38" ht="20.100000000000001" customHeight="1">
      <c r="A369" s="767"/>
      <c r="C369" s="491" t="s">
        <v>5052</v>
      </c>
      <c r="D369" s="322"/>
      <c r="E369" s="322"/>
      <c r="F369" s="322"/>
      <c r="G369" s="315"/>
      <c r="H369" s="322"/>
      <c r="I369" s="322"/>
      <c r="J369" s="322"/>
      <c r="K369" s="322"/>
      <c r="L369" s="318"/>
      <c r="M369" s="318"/>
      <c r="N369" s="316"/>
      <c r="O369" s="316"/>
      <c r="P369" s="316"/>
      <c r="Q369" s="316"/>
      <c r="R369" s="318"/>
      <c r="S369" s="318"/>
      <c r="T369" s="318"/>
      <c r="U369" s="318"/>
      <c r="V369" s="318"/>
      <c r="W369" s="318"/>
      <c r="X369" s="318"/>
      <c r="Y369" s="318"/>
      <c r="Z369" s="318"/>
      <c r="AA369" s="318"/>
      <c r="AB369" s="318"/>
      <c r="AC369" s="318"/>
      <c r="AD369" s="318"/>
      <c r="AE369" s="318"/>
      <c r="AF369" s="318"/>
      <c r="AG369" s="318"/>
      <c r="AH369" s="318"/>
      <c r="AI369" s="318"/>
      <c r="AJ369" s="318"/>
      <c r="AK369" s="318"/>
      <c r="AL369" s="318"/>
    </row>
    <row r="370" spans="1:38" s="405" customFormat="1" ht="20.100000000000001" customHeight="1">
      <c r="A370" s="768"/>
      <c r="B370" s="314"/>
      <c r="D370" s="406"/>
      <c r="E370" s="322" t="s">
        <v>2766</v>
      </c>
      <c r="F370" s="406"/>
      <c r="G370" s="409"/>
      <c r="H370" s="406"/>
      <c r="I370" s="406"/>
      <c r="J370" s="406"/>
      <c r="K370" s="406"/>
      <c r="L370" s="408"/>
      <c r="M370" s="408"/>
      <c r="N370" s="407"/>
      <c r="O370" s="407"/>
      <c r="P370" s="407"/>
      <c r="Q370" s="407"/>
      <c r="R370" s="408"/>
      <c r="S370" s="408"/>
      <c r="T370" s="408"/>
      <c r="U370" s="408"/>
      <c r="V370" s="408"/>
      <c r="W370" s="408"/>
      <c r="X370" s="408"/>
      <c r="Y370" s="408"/>
      <c r="Z370" s="408"/>
      <c r="AA370" s="408"/>
      <c r="AB370" s="408"/>
      <c r="AC370" s="408"/>
      <c r="AD370" s="408"/>
      <c r="AE370" s="408"/>
      <c r="AF370" s="408"/>
      <c r="AG370" s="408"/>
      <c r="AH370" s="408"/>
      <c r="AI370" s="408"/>
      <c r="AJ370" s="408"/>
      <c r="AK370" s="408"/>
      <c r="AL370" s="408"/>
    </row>
    <row r="371" spans="1:38" ht="24.75" customHeight="1">
      <c r="A371" s="767"/>
      <c r="D371" s="322"/>
      <c r="E371" s="322"/>
      <c r="F371" s="322"/>
      <c r="H371" s="322"/>
      <c r="I371" s="322"/>
      <c r="J371" s="322"/>
      <c r="K371" s="322"/>
      <c r="L371" s="314" t="s">
        <v>2767</v>
      </c>
      <c r="M371" s="318"/>
      <c r="N371" s="316" t="s">
        <v>3306</v>
      </c>
      <c r="O371" s="314" t="s">
        <v>2768</v>
      </c>
    </row>
    <row r="372" spans="1:38" ht="24.75" customHeight="1">
      <c r="A372" s="767"/>
      <c r="D372" s="322"/>
      <c r="E372" s="322"/>
      <c r="F372" s="322"/>
      <c r="H372" s="322"/>
      <c r="I372" s="322"/>
      <c r="J372" s="322"/>
      <c r="K372" s="322"/>
      <c r="M372" s="318"/>
      <c r="N372" s="316" t="s">
        <v>3306</v>
      </c>
      <c r="O372" s="492" t="e">
        <f>S373&amp;" - ("&amp;S374&amp;" + "&amp;S375&amp;" + "&amp;S377&amp;")"</f>
        <v>#N/A</v>
      </c>
      <c r="P372" s="489"/>
      <c r="Q372" s="489"/>
      <c r="R372" s="489"/>
      <c r="S372" s="489"/>
      <c r="T372" s="489"/>
      <c r="U372" s="489"/>
      <c r="V372" s="489"/>
      <c r="W372" s="489"/>
      <c r="X372" s="316" t="s">
        <v>3306</v>
      </c>
      <c r="Y372" s="1910" t="e">
        <f>S373-(S374+S375+S377)</f>
        <v>#N/A</v>
      </c>
      <c r="Z372" s="1910"/>
      <c r="AA372" s="1910"/>
      <c r="AB372" s="1910"/>
      <c r="AC372" s="1910"/>
      <c r="AD372" s="1910"/>
      <c r="AE372" s="489"/>
      <c r="AF372" s="489"/>
      <c r="AG372" s="489"/>
      <c r="AH372" s="489"/>
      <c r="AI372" s="489"/>
      <c r="AJ372" s="489"/>
      <c r="AK372" s="489"/>
      <c r="AL372" s="489"/>
    </row>
    <row r="373" spans="1:38" ht="20.100000000000001" customHeight="1">
      <c r="A373" s="767"/>
      <c r="D373" s="322"/>
      <c r="E373" s="322"/>
      <c r="F373" s="315" t="s">
        <v>5053</v>
      </c>
      <c r="G373" s="315"/>
      <c r="H373" s="322"/>
      <c r="I373" s="322"/>
      <c r="J373" s="322"/>
      <c r="K373" s="322"/>
      <c r="L373" s="318"/>
      <c r="M373" s="318"/>
      <c r="N373" s="316"/>
      <c r="P373" s="314" t="s">
        <v>2769</v>
      </c>
      <c r="Q373" s="316"/>
      <c r="R373" s="318" t="s">
        <v>944</v>
      </c>
      <c r="S373" s="1898">
        <f>IF(NL!U48="BTLT 10,5m",10.5,IF(NL!U48="BTLT 12m",12,IF(NL!U48="BTLT 14m",14,IF(NL!U48="BTLT 20m",20,0))))</f>
        <v>12</v>
      </c>
      <c r="T373" s="1898"/>
      <c r="U373" s="1898"/>
      <c r="V373" s="1898"/>
      <c r="W373" s="1898"/>
      <c r="X373" s="1898"/>
      <c r="Y373" s="1898"/>
      <c r="Z373" s="400"/>
      <c r="AA373" s="400"/>
      <c r="AB373" s="400"/>
      <c r="AC373" s="400"/>
      <c r="AD373" s="400"/>
      <c r="AE373" s="400"/>
      <c r="AF373" s="400"/>
      <c r="AG373" s="400"/>
      <c r="AH373" s="400"/>
      <c r="AI373" s="400"/>
      <c r="AJ373" s="400"/>
      <c r="AK373" s="400"/>
      <c r="AL373" s="400"/>
    </row>
    <row r="374" spans="1:38" ht="20.100000000000001" customHeight="1">
      <c r="A374" s="767"/>
      <c r="D374" s="322"/>
      <c r="E374" s="322"/>
      <c r="F374" s="315" t="s">
        <v>3497</v>
      </c>
      <c r="G374" s="315"/>
      <c r="H374" s="322"/>
      <c r="I374" s="322"/>
      <c r="J374" s="322"/>
      <c r="K374" s="322"/>
      <c r="L374" s="318"/>
      <c r="M374" s="318"/>
      <c r="N374" s="316"/>
      <c r="P374" s="314" t="s">
        <v>4772</v>
      </c>
      <c r="Q374" s="316"/>
      <c r="R374" s="318" t="s">
        <v>944</v>
      </c>
      <c r="S374" s="1898" t="e">
        <f>X364</f>
        <v>#N/A</v>
      </c>
      <c r="T374" s="1898"/>
      <c r="U374" s="1898"/>
      <c r="V374" s="1898"/>
      <c r="W374" s="1898"/>
      <c r="X374" s="1898"/>
      <c r="Y374" s="1898"/>
      <c r="Z374" s="490"/>
      <c r="AA374" s="490"/>
      <c r="AB374" s="490"/>
      <c r="AC374" s="490"/>
      <c r="AD374" s="490"/>
      <c r="AE374" s="490"/>
      <c r="AF374" s="490"/>
      <c r="AG374" s="490"/>
      <c r="AH374" s="490"/>
      <c r="AI374" s="490"/>
      <c r="AJ374" s="490"/>
      <c r="AK374" s="490"/>
      <c r="AL374" s="490"/>
    </row>
    <row r="375" spans="1:38" ht="20.100000000000001" customHeight="1">
      <c r="A375" s="767"/>
      <c r="D375" s="322"/>
      <c r="E375" s="322"/>
      <c r="F375" s="315" t="s">
        <v>4812</v>
      </c>
      <c r="H375" s="322"/>
      <c r="I375" s="322"/>
      <c r="J375" s="322"/>
      <c r="K375" s="322"/>
      <c r="L375" s="318"/>
      <c r="M375" s="318"/>
      <c r="N375" s="316"/>
      <c r="O375" s="316"/>
      <c r="P375" s="314" t="s">
        <v>4770</v>
      </c>
      <c r="Q375" s="316"/>
      <c r="R375" s="318" t="s">
        <v>944</v>
      </c>
      <c r="S375" s="1898">
        <f>ROUND(IF(NL!U48="BTLT 10,5m",1.8,IF(NL!U48="BTLT 12m",2,IF(NL!U48="BTLT 14m",2.5,IF(NL!U48="BTLT 20m",3,0)))),2)</f>
        <v>2</v>
      </c>
      <c r="T375" s="1898"/>
      <c r="U375" s="1898"/>
      <c r="V375" s="1898"/>
      <c r="W375" s="1898"/>
      <c r="X375" s="1898"/>
      <c r="Y375" s="1898"/>
      <c r="Z375" s="400"/>
      <c r="AA375" s="400"/>
      <c r="AB375" s="400"/>
      <c r="AC375" s="400"/>
      <c r="AD375" s="400"/>
      <c r="AE375" s="400"/>
      <c r="AF375" s="400"/>
      <c r="AG375" s="400"/>
      <c r="AH375" s="400"/>
      <c r="AI375" s="400"/>
      <c r="AJ375" s="400"/>
      <c r="AK375" s="400"/>
      <c r="AL375" s="400"/>
    </row>
    <row r="376" spans="1:38" ht="20.100000000000001" customHeight="1">
      <c r="A376" s="767"/>
      <c r="D376" s="322"/>
      <c r="E376" s="322"/>
      <c r="F376" s="315" t="s">
        <v>3498</v>
      </c>
      <c r="H376" s="322"/>
      <c r="I376" s="322"/>
      <c r="J376" s="322"/>
      <c r="K376" s="322"/>
      <c r="L376" s="318"/>
      <c r="M376" s="318"/>
      <c r="N376" s="316"/>
      <c r="O376" s="316"/>
      <c r="Q376" s="316"/>
      <c r="R376" s="318"/>
      <c r="S376" s="489"/>
      <c r="T376" s="489"/>
      <c r="U376" s="489"/>
      <c r="V376" s="489"/>
      <c r="W376" s="489"/>
      <c r="X376" s="489"/>
      <c r="Y376" s="489"/>
      <c r="Z376" s="489"/>
      <c r="AA376" s="489"/>
      <c r="AB376" s="489"/>
      <c r="AC376" s="489"/>
      <c r="AD376" s="489"/>
      <c r="AE376" s="489"/>
      <c r="AF376" s="489"/>
      <c r="AG376" s="489"/>
      <c r="AH376" s="489"/>
      <c r="AI376" s="489"/>
      <c r="AJ376" s="489"/>
      <c r="AK376" s="489"/>
      <c r="AL376" s="489"/>
    </row>
    <row r="377" spans="1:38" ht="20.100000000000001" customHeight="1">
      <c r="A377" s="767"/>
      <c r="D377" s="322"/>
      <c r="E377" s="322"/>
      <c r="F377" s="322"/>
      <c r="I377" s="322"/>
      <c r="J377" s="322"/>
      <c r="K377" s="322"/>
      <c r="M377" s="318"/>
      <c r="N377" s="316"/>
      <c r="O377" s="316"/>
      <c r="P377" s="314" t="s">
        <v>3499</v>
      </c>
      <c r="Q377" s="316"/>
      <c r="R377" s="318" t="s">
        <v>944</v>
      </c>
      <c r="S377" s="1898">
        <v>0</v>
      </c>
      <c r="T377" s="1898"/>
      <c r="U377" s="1898"/>
      <c r="V377" s="1898"/>
      <c r="W377" s="1898"/>
      <c r="X377" s="1898"/>
      <c r="Y377" s="1898"/>
      <c r="Z377" s="400"/>
      <c r="AA377" s="400"/>
      <c r="AB377" s="400"/>
      <c r="AC377" s="400"/>
      <c r="AD377" s="400"/>
      <c r="AE377" s="400"/>
      <c r="AF377" s="400"/>
      <c r="AG377" s="400"/>
      <c r="AH377" s="400"/>
      <c r="AI377" s="400"/>
      <c r="AJ377" s="400"/>
      <c r="AK377" s="400"/>
      <c r="AL377" s="400"/>
    </row>
    <row r="378" spans="1:38" ht="20.100000000000001" customHeight="1">
      <c r="A378" s="767"/>
      <c r="D378" s="322"/>
      <c r="E378" s="314" t="s">
        <v>3500</v>
      </c>
      <c r="F378" s="322"/>
      <c r="G378" s="315"/>
      <c r="H378" s="322"/>
      <c r="I378" s="322"/>
      <c r="J378" s="322"/>
      <c r="K378" s="322"/>
      <c r="L378" s="318"/>
      <c r="M378" s="318"/>
      <c r="N378" s="316"/>
      <c r="O378" s="316"/>
      <c r="P378" s="316"/>
      <c r="Q378" s="316"/>
      <c r="R378" s="318"/>
      <c r="S378" s="318"/>
      <c r="T378" s="318"/>
      <c r="U378" s="318"/>
      <c r="V378" s="318"/>
      <c r="W378" s="318"/>
      <c r="X378" s="318"/>
      <c r="Y378" s="318"/>
      <c r="Z378" s="318"/>
      <c r="AA378" s="318"/>
      <c r="AB378" s="318"/>
      <c r="AC378" s="318"/>
      <c r="AD378" s="318"/>
      <c r="AE378" s="318"/>
      <c r="AF378" s="318"/>
      <c r="AG378" s="318"/>
      <c r="AH378" s="318"/>
      <c r="AI378" s="318"/>
      <c r="AJ378" s="318"/>
      <c r="AK378" s="318"/>
      <c r="AL378" s="318"/>
    </row>
    <row r="379" spans="1:38" ht="24.75" customHeight="1">
      <c r="A379" s="767"/>
      <c r="I379" s="318"/>
      <c r="J379" s="316"/>
      <c r="L379" s="317" t="s">
        <v>2767</v>
      </c>
      <c r="N379" s="314" t="s">
        <v>2182</v>
      </c>
      <c r="P379" s="314" t="s">
        <v>4627</v>
      </c>
    </row>
    <row r="380" spans="1:38" ht="24.75" customHeight="1">
      <c r="A380" s="767"/>
      <c r="H380" s="1909" t="e">
        <f>Y372</f>
        <v>#N/A</v>
      </c>
      <c r="I380" s="1909"/>
      <c r="J380" s="1909"/>
      <c r="K380" s="1909"/>
      <c r="L380" s="1909"/>
      <c r="M380" s="316"/>
      <c r="N380" s="314" t="s">
        <v>2182</v>
      </c>
      <c r="P380" s="489" t="str">
        <f>S359&amp;" + 0,8"</f>
        <v>6 + 0,8</v>
      </c>
      <c r="Q380" s="489"/>
      <c r="R380" s="489"/>
      <c r="S380" s="489"/>
      <c r="T380" s="489"/>
      <c r="U380" s="489"/>
      <c r="V380" s="489"/>
      <c r="W380" s="489"/>
      <c r="X380" s="489"/>
      <c r="Y380" s="489"/>
      <c r="Z380" s="489"/>
      <c r="AA380" s="489"/>
      <c r="AB380" s="489"/>
      <c r="AC380" s="489"/>
      <c r="AD380" s="489"/>
      <c r="AE380" s="489"/>
      <c r="AF380" s="489"/>
      <c r="AG380" s="493"/>
      <c r="AH380" s="493"/>
      <c r="AI380" s="493"/>
      <c r="AJ380" s="493"/>
      <c r="AK380" s="493"/>
      <c r="AL380" s="493"/>
    </row>
    <row r="381" spans="1:38" ht="24.75" customHeight="1">
      <c r="A381" s="767"/>
      <c r="H381" s="1909" t="e">
        <f>Y372</f>
        <v>#N/A</v>
      </c>
      <c r="I381" s="1909"/>
      <c r="J381" s="1909"/>
      <c r="K381" s="1909"/>
      <c r="L381" s="1909"/>
      <c r="M381" s="316"/>
      <c r="N381" s="314" t="s">
        <v>2182</v>
      </c>
      <c r="P381" s="1898">
        <f>S359+0.8</f>
        <v>6.8</v>
      </c>
      <c r="Q381" s="1898"/>
      <c r="R381" s="1898"/>
      <c r="S381" s="1898"/>
      <c r="T381" s="1898"/>
      <c r="U381" s="1898"/>
      <c r="V381" s="1898"/>
      <c r="W381" s="400"/>
      <c r="X381" s="400"/>
      <c r="Y381" s="400"/>
      <c r="Z381" s="400"/>
      <c r="AA381" s="400"/>
      <c r="AB381" s="400"/>
      <c r="AC381" s="400"/>
      <c r="AD381" s="400"/>
      <c r="AE381" s="400"/>
      <c r="AF381" s="400"/>
      <c r="AG381" s="493"/>
      <c r="AH381" s="493"/>
      <c r="AI381" s="493"/>
      <c r="AJ381" s="493"/>
      <c r="AK381" s="493"/>
      <c r="AL381" s="493"/>
    </row>
    <row r="382" spans="1:38" ht="20.100000000000001" customHeight="1">
      <c r="A382" s="767"/>
      <c r="F382" s="315" t="s">
        <v>2183</v>
      </c>
      <c r="G382" s="315"/>
      <c r="L382" s="318"/>
      <c r="M382" s="318"/>
      <c r="N382" s="314"/>
      <c r="O382" s="314" t="s">
        <v>4628</v>
      </c>
      <c r="P382" s="316"/>
      <c r="Q382" s="316"/>
      <c r="R382" s="316" t="s">
        <v>944</v>
      </c>
      <c r="S382" s="318" t="s">
        <v>980</v>
      </c>
      <c r="T382" s="318"/>
      <c r="U382" s="318"/>
      <c r="V382" s="318"/>
      <c r="W382" s="318"/>
      <c r="X382" s="318"/>
      <c r="Y382" s="318"/>
      <c r="Z382" s="318"/>
      <c r="AA382" s="318"/>
      <c r="AB382" s="318"/>
      <c r="AC382" s="318"/>
      <c r="AD382" s="318"/>
      <c r="AE382" s="318"/>
      <c r="AF382" s="318"/>
      <c r="AG382" s="318"/>
      <c r="AH382" s="318"/>
      <c r="AI382" s="318"/>
      <c r="AJ382" s="318"/>
      <c r="AK382" s="318"/>
      <c r="AL382" s="318"/>
    </row>
    <row r="383" spans="1:38" ht="20.100000000000001" customHeight="1">
      <c r="A383" s="767"/>
      <c r="C383" s="491" t="s">
        <v>2184</v>
      </c>
      <c r="D383" s="322"/>
      <c r="E383" s="322"/>
      <c r="F383" s="322"/>
      <c r="G383" s="315"/>
      <c r="H383" s="322"/>
      <c r="I383" s="322"/>
      <c r="J383" s="322"/>
      <c r="K383" s="322"/>
      <c r="L383" s="318"/>
      <c r="M383" s="318"/>
      <c r="N383" s="316"/>
      <c r="O383" s="316"/>
      <c r="P383" s="316"/>
      <c r="Q383" s="316"/>
      <c r="R383" s="318"/>
      <c r="S383" s="318"/>
      <c r="T383" s="318"/>
      <c r="U383" s="318"/>
      <c r="V383" s="318"/>
      <c r="W383" s="318"/>
      <c r="X383" s="318"/>
      <c r="Y383" s="318"/>
      <c r="Z383" s="318"/>
      <c r="AA383" s="318"/>
      <c r="AB383" s="318"/>
      <c r="AC383" s="318"/>
      <c r="AD383" s="318"/>
      <c r="AE383" s="318"/>
      <c r="AF383" s="318"/>
      <c r="AG383" s="318"/>
      <c r="AH383" s="318"/>
      <c r="AI383" s="318"/>
      <c r="AJ383" s="318"/>
      <c r="AK383" s="318"/>
      <c r="AL383" s="318"/>
    </row>
    <row r="384" spans="1:38" ht="20.100000000000001" customHeight="1">
      <c r="A384" s="767"/>
      <c r="D384" s="322" t="s">
        <v>3978</v>
      </c>
      <c r="E384" s="322"/>
      <c r="F384" s="322"/>
      <c r="G384" s="322"/>
      <c r="H384" s="322"/>
      <c r="I384" s="322"/>
      <c r="J384" s="322"/>
      <c r="K384" s="322"/>
      <c r="L384" s="322"/>
      <c r="M384" s="322"/>
      <c r="N384" s="314"/>
      <c r="Q384" s="352"/>
      <c r="R384" s="352"/>
      <c r="S384" s="352"/>
      <c r="U384" s="353"/>
      <c r="V384" s="353"/>
      <c r="W384" s="353"/>
      <c r="X384" s="353"/>
    </row>
    <row r="385" spans="1:38" ht="20.100000000000001" customHeight="1">
      <c r="A385" s="767"/>
      <c r="E385" s="322" t="s">
        <v>3802</v>
      </c>
      <c r="G385" s="315"/>
      <c r="L385" s="318"/>
      <c r="M385" s="318"/>
      <c r="N385" s="316"/>
      <c r="O385" s="316"/>
      <c r="P385" s="316"/>
      <c r="Q385" s="316"/>
      <c r="R385" s="318"/>
      <c r="S385" s="318"/>
      <c r="T385" s="318"/>
      <c r="U385" s="318"/>
      <c r="V385" s="318"/>
      <c r="W385" s="318"/>
      <c r="X385" s="318"/>
      <c r="Y385" s="318"/>
      <c r="Z385" s="318"/>
      <c r="AA385" s="318"/>
    </row>
    <row r="386" spans="1:38" ht="20.100000000000001" customHeight="1">
      <c r="A386" s="767"/>
      <c r="F386" s="322" t="s">
        <v>1478</v>
      </c>
      <c r="G386" s="315"/>
      <c r="L386" s="318"/>
      <c r="M386" s="318"/>
      <c r="N386" s="316"/>
      <c r="O386" s="316"/>
      <c r="P386" s="316"/>
      <c r="R386" s="318"/>
      <c r="S386" s="318"/>
      <c r="T386" s="318"/>
      <c r="U386" s="318"/>
      <c r="V386" s="318"/>
      <c r="W386" s="318"/>
      <c r="X386" s="318"/>
      <c r="Y386" s="318"/>
      <c r="Z386" s="318"/>
      <c r="AA386" s="318"/>
    </row>
    <row r="387" spans="1:38" ht="20.100000000000001" customHeight="1">
      <c r="A387" s="767"/>
      <c r="D387" s="322"/>
      <c r="E387" s="322"/>
      <c r="F387" s="322"/>
      <c r="G387" s="315"/>
      <c r="H387" s="322"/>
      <c r="I387" s="322"/>
      <c r="J387" s="322"/>
      <c r="K387" s="322"/>
      <c r="L387" s="1862" t="s">
        <v>1626</v>
      </c>
      <c r="M387" s="1862"/>
      <c r="N387" s="1862" t="s">
        <v>3306</v>
      </c>
      <c r="O387" s="1863">
        <v>9.81</v>
      </c>
      <c r="P387" s="1863"/>
      <c r="Q387" s="1863"/>
      <c r="R387" s="1859" t="s">
        <v>1627</v>
      </c>
      <c r="S387" s="1859"/>
      <c r="T387" s="1859"/>
      <c r="U387" s="1859"/>
      <c r="V387" s="1859"/>
      <c r="W387" s="1859"/>
      <c r="X387" s="315"/>
      <c r="Y387" s="315"/>
      <c r="Z387" s="315"/>
      <c r="AA387" s="315"/>
    </row>
    <row r="388" spans="1:38" ht="20.100000000000001" customHeight="1">
      <c r="A388" s="767"/>
      <c r="D388" s="322"/>
      <c r="E388" s="322"/>
      <c r="F388" s="322"/>
      <c r="G388" s="315"/>
      <c r="H388" s="322"/>
      <c r="I388" s="322"/>
      <c r="J388" s="322"/>
      <c r="K388" s="322"/>
      <c r="L388" s="1862"/>
      <c r="M388" s="1862"/>
      <c r="N388" s="1862"/>
      <c r="O388" s="1857">
        <v>16</v>
      </c>
      <c r="P388" s="1857"/>
      <c r="Q388" s="1857"/>
      <c r="R388" s="1859"/>
      <c r="S388" s="1859"/>
      <c r="T388" s="1859"/>
      <c r="U388" s="1859"/>
      <c r="V388" s="1859"/>
      <c r="W388" s="1859"/>
      <c r="X388" s="315"/>
      <c r="Y388" s="315"/>
      <c r="Z388" s="315"/>
      <c r="AA388" s="315"/>
    </row>
    <row r="389" spans="1:38" ht="9.9499999999999993" customHeight="1">
      <c r="A389" s="767"/>
      <c r="D389" s="322"/>
      <c r="E389" s="322"/>
      <c r="F389" s="322"/>
      <c r="G389" s="315"/>
      <c r="H389" s="322"/>
      <c r="I389" s="322"/>
      <c r="J389" s="322"/>
      <c r="K389" s="322"/>
      <c r="L389" s="318"/>
      <c r="M389" s="318"/>
      <c r="N389" s="1859" t="s">
        <v>3306</v>
      </c>
      <c r="O389" s="1907">
        <v>9.81</v>
      </c>
      <c r="P389" s="1907"/>
      <c r="Q389" s="1907"/>
      <c r="R389" s="1893" t="str">
        <f>". "&amp;AF393&amp;" . "&amp;AF394</f>
        <v>. 0,75 . 1,1</v>
      </c>
      <c r="S389" s="1893"/>
      <c r="T389" s="1893"/>
      <c r="U389" s="1893"/>
      <c r="V389" s="1893" t="str">
        <f>" . "&amp;Z395</f>
        <v xml:space="preserve"> . 30</v>
      </c>
      <c r="W389" s="1893"/>
      <c r="Y389" s="1906" t="str">
        <f>". "&amp;Z396</f>
        <v>. 2,6</v>
      </c>
      <c r="Z389" s="1906"/>
      <c r="AA389" s="1859" t="s">
        <v>3306</v>
      </c>
      <c r="AB389" s="1900">
        <f>ROUND(((O389/O391)*AF393*AF394*(Z395^2)*Z396),2)</f>
        <v>1183.6400000000001</v>
      </c>
      <c r="AC389" s="1900"/>
      <c r="AD389" s="1900"/>
      <c r="AE389" s="1900"/>
      <c r="AF389" s="1900"/>
      <c r="AG389" s="1900"/>
      <c r="AH389" s="1900"/>
      <c r="AI389" s="511"/>
      <c r="AJ389" s="511"/>
      <c r="AK389" s="511"/>
      <c r="AL389" s="511"/>
    </row>
    <row r="390" spans="1:38" ht="9.9499999999999993" customHeight="1">
      <c r="A390" s="767"/>
      <c r="D390" s="322"/>
      <c r="E390" s="322"/>
      <c r="F390" s="322"/>
      <c r="G390" s="315"/>
      <c r="H390" s="322"/>
      <c r="I390" s="322"/>
      <c r="J390" s="322"/>
      <c r="K390" s="322"/>
      <c r="L390" s="322"/>
      <c r="M390" s="322"/>
      <c r="N390" s="1859"/>
      <c r="O390" s="1908"/>
      <c r="P390" s="1908"/>
      <c r="Q390" s="1908"/>
      <c r="R390" s="1893"/>
      <c r="S390" s="1893"/>
      <c r="T390" s="1893"/>
      <c r="U390" s="1893"/>
      <c r="V390" s="1893"/>
      <c r="W390" s="1893"/>
      <c r="X390" s="360">
        <v>2</v>
      </c>
      <c r="Y390" s="1906"/>
      <c r="Z390" s="1906"/>
      <c r="AA390" s="1859"/>
      <c r="AB390" s="1900"/>
      <c r="AC390" s="1900"/>
      <c r="AD390" s="1900"/>
      <c r="AE390" s="1900"/>
      <c r="AF390" s="1900"/>
      <c r="AG390" s="1900"/>
      <c r="AH390" s="1900"/>
      <c r="AI390" s="511"/>
      <c r="AJ390" s="511"/>
      <c r="AK390" s="511"/>
      <c r="AL390" s="511"/>
    </row>
    <row r="391" spans="1:38" ht="9.9499999999999993" customHeight="1">
      <c r="A391" s="767"/>
      <c r="D391" s="322"/>
      <c r="E391" s="322"/>
      <c r="F391" s="322"/>
      <c r="G391" s="315"/>
      <c r="H391" s="322"/>
      <c r="I391" s="322"/>
      <c r="J391" s="322"/>
      <c r="K391" s="322"/>
      <c r="L391" s="322"/>
      <c r="M391" s="322"/>
      <c r="N391" s="1859"/>
      <c r="O391" s="1857">
        <v>16</v>
      </c>
      <c r="P391" s="1857"/>
      <c r="Q391" s="1857"/>
      <c r="R391" s="1893"/>
      <c r="S391" s="1893"/>
      <c r="T391" s="1893"/>
      <c r="U391" s="1893"/>
      <c r="V391" s="1893"/>
      <c r="W391" s="1893"/>
      <c r="X391" s="399"/>
      <c r="Y391" s="1906"/>
      <c r="Z391" s="1906"/>
      <c r="AA391" s="1859"/>
      <c r="AB391" s="1900"/>
      <c r="AC391" s="1900"/>
      <c r="AD391" s="1900"/>
      <c r="AE391" s="1900"/>
      <c r="AF391" s="1900"/>
      <c r="AG391" s="1900"/>
      <c r="AH391" s="1900"/>
      <c r="AI391" s="511"/>
      <c r="AJ391" s="511"/>
      <c r="AK391" s="511"/>
      <c r="AL391" s="511"/>
    </row>
    <row r="392" spans="1:38" ht="9.9499999999999993" customHeight="1">
      <c r="A392" s="767"/>
      <c r="D392" s="322"/>
      <c r="E392" s="322"/>
      <c r="F392" s="322"/>
      <c r="G392" s="315"/>
      <c r="H392" s="322"/>
      <c r="I392" s="322"/>
      <c r="J392" s="322"/>
      <c r="K392" s="322"/>
      <c r="L392" s="322"/>
      <c r="M392" s="322"/>
      <c r="N392" s="1859"/>
      <c r="O392" s="1859"/>
      <c r="P392" s="1859"/>
      <c r="Q392" s="1859"/>
      <c r="R392" s="1893"/>
      <c r="S392" s="1893"/>
      <c r="T392" s="1893"/>
      <c r="U392" s="1893"/>
      <c r="V392" s="1893"/>
      <c r="W392" s="1893"/>
      <c r="Y392" s="1906"/>
      <c r="Z392" s="1906"/>
      <c r="AA392" s="1859"/>
      <c r="AB392" s="1900"/>
      <c r="AC392" s="1900"/>
      <c r="AD392" s="1900"/>
      <c r="AE392" s="1900"/>
      <c r="AF392" s="1900"/>
      <c r="AG392" s="1900"/>
      <c r="AH392" s="1900"/>
      <c r="AI392" s="511"/>
      <c r="AJ392" s="511"/>
      <c r="AK392" s="511"/>
      <c r="AL392" s="511"/>
    </row>
    <row r="393" spans="1:38" ht="20.100000000000001" customHeight="1">
      <c r="A393" s="767"/>
      <c r="D393" s="322"/>
      <c r="E393" s="322"/>
      <c r="F393" s="315" t="s">
        <v>5603</v>
      </c>
      <c r="G393" s="315"/>
      <c r="H393" s="322"/>
      <c r="I393" s="322"/>
      <c r="J393" s="322"/>
      <c r="K393" s="322"/>
      <c r="L393" s="318"/>
      <c r="M393" s="318"/>
      <c r="N393" s="316"/>
      <c r="Q393" s="316"/>
      <c r="R393" s="318"/>
      <c r="S393" s="400"/>
      <c r="T393" s="400"/>
      <c r="U393" s="400"/>
      <c r="V393" s="400"/>
      <c r="W393" s="400"/>
      <c r="X393" s="400"/>
      <c r="Y393" s="400"/>
      <c r="Z393" s="400"/>
      <c r="AA393" s="400"/>
      <c r="AB393" s="400"/>
      <c r="AC393" s="400"/>
      <c r="AD393" s="400"/>
      <c r="AE393" s="314" t="s">
        <v>5604</v>
      </c>
      <c r="AF393" s="1903">
        <v>0.75</v>
      </c>
      <c r="AG393" s="1903"/>
      <c r="AH393" s="1903"/>
      <c r="AL393" s="376"/>
    </row>
    <row r="394" spans="1:38" ht="20.100000000000001" customHeight="1">
      <c r="A394" s="767"/>
      <c r="D394" s="322"/>
      <c r="E394" s="322"/>
      <c r="F394" s="315" t="s">
        <v>5605</v>
      </c>
      <c r="G394" s="315"/>
      <c r="H394" s="322"/>
      <c r="I394" s="322"/>
      <c r="J394" s="322"/>
      <c r="K394" s="322"/>
      <c r="L394" s="318"/>
      <c r="M394" s="318"/>
      <c r="N394" s="316"/>
      <c r="Q394" s="316"/>
      <c r="R394" s="318"/>
      <c r="S394" s="400"/>
      <c r="T394" s="400"/>
      <c r="U394" s="400"/>
      <c r="V394" s="400"/>
      <c r="W394" s="400"/>
      <c r="X394" s="400"/>
      <c r="Y394" s="400"/>
      <c r="Z394" s="400"/>
      <c r="AA394" s="400"/>
      <c r="AB394" s="400"/>
      <c r="AC394" s="400"/>
      <c r="AD394" s="400"/>
      <c r="AE394" s="314" t="s">
        <v>5606</v>
      </c>
      <c r="AF394" s="1858">
        <v>1.1000000000000001</v>
      </c>
      <c r="AG394" s="1858"/>
      <c r="AL394" s="376"/>
    </row>
    <row r="395" spans="1:38" ht="20.100000000000001" customHeight="1">
      <c r="A395" s="767"/>
      <c r="D395" s="322"/>
      <c r="E395" s="322"/>
      <c r="F395" s="315" t="s">
        <v>5607</v>
      </c>
      <c r="G395" s="315"/>
      <c r="H395" s="322"/>
      <c r="I395" s="322"/>
      <c r="J395" s="322"/>
      <c r="K395" s="322"/>
      <c r="L395" s="318"/>
      <c r="M395" s="318"/>
      <c r="N395" s="316"/>
      <c r="X395" s="314" t="s">
        <v>5608</v>
      </c>
      <c r="Y395" s="314" t="s">
        <v>3306</v>
      </c>
      <c r="Z395" s="1858">
        <v>30</v>
      </c>
      <c r="AA395" s="1858"/>
      <c r="AB395" s="376" t="s">
        <v>5609</v>
      </c>
      <c r="AC395" s="400"/>
      <c r="AI395" s="400"/>
      <c r="AJ395" s="400"/>
      <c r="AK395" s="400"/>
      <c r="AL395" s="400"/>
    </row>
    <row r="396" spans="1:38" ht="20.100000000000001" customHeight="1">
      <c r="A396" s="767"/>
      <c r="D396" s="316"/>
      <c r="E396" s="316"/>
      <c r="F396" s="315" t="s">
        <v>5610</v>
      </c>
      <c r="H396" s="316"/>
      <c r="I396" s="316"/>
      <c r="J396" s="316"/>
      <c r="K396" s="316"/>
      <c r="L396" s="316"/>
      <c r="M396" s="316"/>
      <c r="N396" s="316"/>
      <c r="X396" s="314" t="s">
        <v>3854</v>
      </c>
      <c r="Y396" s="314" t="s">
        <v>3306</v>
      </c>
      <c r="Z396" s="1904">
        <f>VLOOKUP(NL!U48,NL!CE4:CK7,7)</f>
        <v>2.6</v>
      </c>
      <c r="AA396" s="1905"/>
      <c r="AB396" s="380" t="s">
        <v>5611</v>
      </c>
      <c r="AC396" s="402"/>
      <c r="AH396" s="380"/>
      <c r="AI396" s="380"/>
      <c r="AJ396" s="380"/>
      <c r="AK396" s="380"/>
      <c r="AL396" s="380"/>
    </row>
    <row r="397" spans="1:38" ht="20.100000000000001" customHeight="1">
      <c r="A397" s="767"/>
      <c r="D397" s="316"/>
      <c r="E397" s="316"/>
      <c r="F397" s="315" t="s">
        <v>4923</v>
      </c>
      <c r="H397" s="316"/>
      <c r="I397" s="316"/>
      <c r="J397" s="316"/>
      <c r="K397" s="316"/>
      <c r="L397" s="316"/>
      <c r="M397" s="316"/>
      <c r="N397" s="316"/>
      <c r="Z397" s="401"/>
      <c r="AA397" s="401"/>
      <c r="AB397" s="380"/>
      <c r="AC397" s="402"/>
      <c r="AH397" s="380"/>
      <c r="AI397" s="380"/>
      <c r="AJ397" s="380"/>
      <c r="AK397" s="380"/>
      <c r="AL397" s="380"/>
    </row>
    <row r="398" spans="1:38" ht="20.100000000000001" customHeight="1">
      <c r="A398" s="767"/>
      <c r="D398" s="316"/>
      <c r="E398" s="316"/>
      <c r="F398" s="315"/>
      <c r="H398" s="1862" t="s">
        <v>4924</v>
      </c>
      <c r="I398" s="1862"/>
      <c r="J398" s="1859" t="s">
        <v>3306</v>
      </c>
      <c r="K398" s="1863" t="s">
        <v>4925</v>
      </c>
      <c r="L398" s="1863"/>
      <c r="M398" s="1863"/>
      <c r="N398" s="1863"/>
      <c r="O398" s="1859" t="s">
        <v>4926</v>
      </c>
      <c r="P398" s="370" t="s">
        <v>4927</v>
      </c>
      <c r="Q398" s="1859" t="s">
        <v>3306</v>
      </c>
      <c r="R398" s="1863" t="str">
        <f>"2 ."&amp;VLOOKUP(NL!U48,NL!CE4:CK7,3)&amp;" + "&amp;VLOOKUP(NL!U48,NL!CE4:CK7,4)</f>
        <v>2 .190 + 323,3</v>
      </c>
      <c r="S398" s="1863"/>
      <c r="T398" s="1863"/>
      <c r="U398" s="1863"/>
      <c r="V398" s="1863"/>
      <c r="W398" s="1863"/>
      <c r="X398" s="1863"/>
      <c r="Y398" s="1859" t="s">
        <v>4926</v>
      </c>
      <c r="Z398" s="1863">
        <f>VLOOKUP(NL!U48,NL!CE4:CK7,2)-VLOOKUP(NL!U48,NL!CE4:CK7,6)</f>
        <v>10</v>
      </c>
      <c r="AA398" s="1863"/>
      <c r="AB398" s="1863"/>
      <c r="AC398" s="1859" t="s">
        <v>3306</v>
      </c>
      <c r="AD398" s="1902">
        <f>ROUND((((2*VLOOKUP(NL!U48,NL!CE4:CK7,3))+VLOOKUP(NL!U48,NL!CE4:CK7,4))/(VLOOKUP(NL!U48,NL!CE4:CK7,3)+VLOOKUP(NL!U48,NL!CE4:CK7,4)))*((VLOOKUP(NL!U48,NL!CE4:CK7,2)-VLOOKUP(NL!U48,NL!CE4:CK7,6))/3),2)</f>
        <v>4.57</v>
      </c>
      <c r="AE398" s="1902"/>
      <c r="AF398" s="1902"/>
      <c r="AG398" s="1862" t="s">
        <v>2550</v>
      </c>
      <c r="AH398" s="1862"/>
      <c r="AI398" s="1862"/>
      <c r="AJ398" s="1862"/>
      <c r="AK398" s="1862"/>
      <c r="AL398" s="1862"/>
    </row>
    <row r="399" spans="1:38" ht="20.100000000000001" customHeight="1">
      <c r="A399" s="767"/>
      <c r="D399" s="316"/>
      <c r="E399" s="316"/>
      <c r="F399" s="315"/>
      <c r="H399" s="1862"/>
      <c r="I399" s="1862"/>
      <c r="J399" s="1859"/>
      <c r="K399" s="1859" t="s">
        <v>4327</v>
      </c>
      <c r="L399" s="1859"/>
      <c r="M399" s="1859"/>
      <c r="N399" s="1859"/>
      <c r="O399" s="1859"/>
      <c r="P399" s="314">
        <v>3</v>
      </c>
      <c r="Q399" s="1859"/>
      <c r="R399" s="1857" t="str">
        <f>VLOOKUP(NL!U48,NL!CE4:CK7,3)&amp;" + "&amp;VLOOKUP(NL!U48,NL!CE4:CK7,4)</f>
        <v>190 + 323,3</v>
      </c>
      <c r="S399" s="1857"/>
      <c r="T399" s="1857"/>
      <c r="U399" s="1857"/>
      <c r="V399" s="1857"/>
      <c r="W399" s="1857"/>
      <c r="X399" s="1857"/>
      <c r="Y399" s="1859"/>
      <c r="Z399" s="1859">
        <v>3</v>
      </c>
      <c r="AA399" s="1859"/>
      <c r="AB399" s="1859"/>
      <c r="AC399" s="1859"/>
      <c r="AD399" s="1902"/>
      <c r="AE399" s="1902"/>
      <c r="AF399" s="1902"/>
      <c r="AG399" s="1862"/>
      <c r="AH399" s="1862"/>
      <c r="AI399" s="1862"/>
      <c r="AJ399" s="1862"/>
      <c r="AK399" s="1862"/>
      <c r="AL399" s="1862"/>
    </row>
    <row r="400" spans="1:38" ht="20.100000000000001" customHeight="1">
      <c r="A400" s="767"/>
      <c r="E400" s="322"/>
      <c r="F400" s="322" t="s">
        <v>4328</v>
      </c>
      <c r="G400" s="315"/>
      <c r="L400" s="318"/>
      <c r="M400" s="318"/>
      <c r="N400" s="316"/>
      <c r="O400" s="316"/>
      <c r="P400" s="316"/>
      <c r="Q400" s="316"/>
      <c r="R400" s="318"/>
      <c r="S400" s="318"/>
      <c r="T400" s="318"/>
      <c r="U400" s="318"/>
      <c r="V400" s="318"/>
      <c r="W400" s="318"/>
      <c r="X400" s="318"/>
      <c r="Y400" s="318"/>
    </row>
    <row r="401" spans="1:38" ht="20.100000000000001" customHeight="1">
      <c r="A401" s="767"/>
      <c r="D401" s="322"/>
      <c r="E401" s="322"/>
      <c r="F401" s="322"/>
      <c r="G401" s="315"/>
      <c r="H401" s="322"/>
      <c r="K401" s="314" t="s">
        <v>4329</v>
      </c>
      <c r="N401" s="314" t="s">
        <v>3306</v>
      </c>
      <c r="O401" s="314" t="s">
        <v>6294</v>
      </c>
      <c r="Y401" s="315"/>
    </row>
    <row r="402" spans="1:38" ht="20.100000000000001" customHeight="1">
      <c r="A402" s="767"/>
      <c r="D402" s="322"/>
      <c r="E402" s="322"/>
      <c r="F402" s="322"/>
      <c r="G402" s="315"/>
      <c r="H402" s="322"/>
      <c r="K402" s="314" t="s">
        <v>4331</v>
      </c>
      <c r="N402" s="314" t="s">
        <v>3306</v>
      </c>
      <c r="O402" s="315" t="e">
        <f>L260&amp;" . "&amp;W406&amp;" . "&amp;S408</f>
        <v>#N/A</v>
      </c>
      <c r="W402" s="316" t="s">
        <v>3306</v>
      </c>
      <c r="X402" s="1900" t="e">
        <f>ROUND(L260*W406*S408,2)</f>
        <v>#N/A</v>
      </c>
      <c r="Y402" s="1900"/>
      <c r="Z402" s="1900"/>
      <c r="AA402" s="1900"/>
      <c r="AB402" s="1900"/>
      <c r="AC402" s="1900"/>
      <c r="AD402" s="1900"/>
      <c r="AE402" s="1900"/>
      <c r="AF402" s="1900"/>
      <c r="AG402" s="1900"/>
      <c r="AH402" s="1900"/>
      <c r="AI402" s="1900"/>
      <c r="AJ402" s="1900"/>
      <c r="AK402" s="1900"/>
    </row>
    <row r="403" spans="1:38" ht="20.100000000000001" customHeight="1">
      <c r="A403" s="767"/>
      <c r="D403" s="322"/>
      <c r="E403" s="322"/>
      <c r="F403" s="322"/>
      <c r="G403" s="315"/>
      <c r="H403" s="322"/>
      <c r="I403" s="322"/>
      <c r="J403" s="322"/>
      <c r="K403" s="314" t="s">
        <v>4332</v>
      </c>
      <c r="N403" s="314" t="s">
        <v>3306</v>
      </c>
      <c r="O403" s="315" t="e">
        <f>L260&amp;" . "&amp;W407&amp;" . "&amp;S408</f>
        <v>#N/A</v>
      </c>
      <c r="W403" s="316" t="s">
        <v>3306</v>
      </c>
      <c r="X403" s="1900" t="e">
        <f>ROUND(L260*W407*S408,2)</f>
        <v>#N/A</v>
      </c>
      <c r="Y403" s="1900"/>
      <c r="Z403" s="1900"/>
      <c r="AA403" s="1900"/>
      <c r="AB403" s="1900"/>
      <c r="AC403" s="1900"/>
      <c r="AD403" s="1900"/>
      <c r="AE403" s="1900"/>
      <c r="AF403" s="1900"/>
      <c r="AG403" s="1900"/>
      <c r="AH403" s="1900"/>
      <c r="AI403" s="1900"/>
      <c r="AJ403" s="1900"/>
      <c r="AK403" s="1900"/>
    </row>
    <row r="404" spans="1:38" ht="20.100000000000001" customHeight="1">
      <c r="A404" s="767"/>
      <c r="E404" s="322"/>
      <c r="F404" s="322"/>
      <c r="G404" s="315"/>
      <c r="L404" s="314" t="s">
        <v>4329</v>
      </c>
      <c r="M404" s="318"/>
      <c r="N404" s="316" t="s">
        <v>3306</v>
      </c>
      <c r="O404" s="314" t="str">
        <f>IF(NL!U45=22,"3.","")</f>
        <v>3.</v>
      </c>
      <c r="P404" s="314" t="s">
        <v>4330</v>
      </c>
      <c r="Q404" s="316"/>
      <c r="R404" s="318"/>
      <c r="S404" s="318"/>
      <c r="T404" s="318"/>
      <c r="U404" s="318"/>
      <c r="V404" s="318"/>
      <c r="W404" s="318"/>
      <c r="X404" s="318"/>
      <c r="AH404" s="318"/>
      <c r="AI404" s="318"/>
      <c r="AJ404" s="318"/>
      <c r="AK404" s="318"/>
      <c r="AL404" s="318"/>
    </row>
    <row r="405" spans="1:38" ht="20.100000000000001" customHeight="1">
      <c r="A405" s="767"/>
      <c r="E405" s="322"/>
      <c r="F405" s="322"/>
      <c r="G405" s="315"/>
      <c r="M405" s="318"/>
      <c r="N405" s="316" t="s">
        <v>3306</v>
      </c>
      <c r="O405" s="314" t="str">
        <f>IF(NL!U45=22,"3.","")</f>
        <v>3.</v>
      </c>
      <c r="P405" s="392" t="e">
        <f>X402&amp;" + "&amp;X403</f>
        <v>#N/A</v>
      </c>
      <c r="Q405" s="392"/>
      <c r="R405" s="392"/>
      <c r="S405" s="392"/>
      <c r="T405" s="392"/>
      <c r="U405" s="392"/>
      <c r="V405" s="392"/>
      <c r="W405" s="316" t="s">
        <v>3306</v>
      </c>
      <c r="X405" s="1900" t="e">
        <f>IF(NL!U45=22,3,1)*X402+X403</f>
        <v>#N/A</v>
      </c>
      <c r="Y405" s="1900"/>
      <c r="Z405" s="1900"/>
      <c r="AA405" s="1900"/>
      <c r="AB405" s="1900"/>
      <c r="AC405" s="1900"/>
      <c r="AD405" s="1900"/>
      <c r="AE405" s="1900"/>
      <c r="AF405" s="1900"/>
      <c r="AG405" s="1900"/>
      <c r="AH405" s="1900"/>
      <c r="AI405" s="1900"/>
      <c r="AJ405" s="1900"/>
      <c r="AK405" s="1900"/>
      <c r="AL405" s="392"/>
    </row>
    <row r="406" spans="1:38" ht="20.100000000000001" customHeight="1">
      <c r="A406" s="767"/>
      <c r="D406" s="316"/>
      <c r="E406" s="316"/>
      <c r="F406" s="315" t="s">
        <v>6293</v>
      </c>
      <c r="H406" s="316"/>
      <c r="I406" s="316"/>
      <c r="J406" s="316"/>
      <c r="K406" s="316"/>
      <c r="L406" s="316"/>
      <c r="M406" s="316"/>
      <c r="N406" s="316"/>
      <c r="P406" s="314" t="s">
        <v>3854</v>
      </c>
      <c r="R406" s="314" t="s">
        <v>6344</v>
      </c>
      <c r="S406" s="314" t="s">
        <v>4333</v>
      </c>
      <c r="W406" s="1901" t="e">
        <f>VLOOKUP(NL!U46,NL!BY80:CE116,NL!CA76,FALSE)</f>
        <v>#N/A</v>
      </c>
      <c r="X406" s="1897"/>
      <c r="Y406" s="1897"/>
      <c r="Z406" s="1897"/>
      <c r="AA406" s="1897"/>
      <c r="AB406" s="403"/>
      <c r="AC406" s="490"/>
      <c r="AD406" s="490"/>
      <c r="AE406" s="490"/>
      <c r="AF406" s="490"/>
      <c r="AG406" s="490"/>
      <c r="AH406" s="490"/>
      <c r="AI406" s="490"/>
      <c r="AJ406" s="490"/>
      <c r="AK406" s="490"/>
      <c r="AL406" s="490"/>
    </row>
    <row r="407" spans="1:38" ht="20.100000000000001" customHeight="1">
      <c r="A407" s="767"/>
      <c r="D407" s="316"/>
      <c r="E407" s="316"/>
      <c r="F407" s="315"/>
      <c r="H407" s="316"/>
      <c r="I407" s="316"/>
      <c r="J407" s="316"/>
      <c r="K407" s="316"/>
      <c r="L407" s="316"/>
      <c r="M407" s="316"/>
      <c r="N407" s="316"/>
      <c r="R407" s="314" t="s">
        <v>6344</v>
      </c>
      <c r="S407" s="314" t="s">
        <v>5240</v>
      </c>
      <c r="W407" s="1897">
        <f>VLOOKUP(NL!U47,NL!BY80:CE116,NL!CA76,FALSE)</f>
        <v>25</v>
      </c>
      <c r="X407" s="1897"/>
      <c r="Y407" s="1897"/>
      <c r="Z407" s="1897"/>
      <c r="AA407" s="1897"/>
      <c r="AB407" s="403"/>
      <c r="AC407" s="490"/>
      <c r="AD407" s="490"/>
      <c r="AE407" s="490"/>
      <c r="AF407" s="490"/>
      <c r="AG407" s="490"/>
      <c r="AH407" s="490"/>
      <c r="AI407" s="490"/>
      <c r="AJ407" s="490"/>
      <c r="AK407" s="490"/>
      <c r="AL407" s="490"/>
    </row>
    <row r="408" spans="1:38" ht="20.100000000000001" customHeight="1">
      <c r="A408" s="767"/>
      <c r="D408" s="316"/>
      <c r="E408" s="316"/>
      <c r="F408" s="315" t="s">
        <v>5241</v>
      </c>
      <c r="H408" s="316"/>
      <c r="I408" s="316"/>
      <c r="J408" s="316"/>
      <c r="K408" s="316"/>
      <c r="L408" s="316"/>
      <c r="M408" s="316"/>
      <c r="N408" s="316"/>
      <c r="P408" s="314" t="s">
        <v>3944</v>
      </c>
      <c r="R408" s="314" t="s">
        <v>944</v>
      </c>
      <c r="S408" s="1898">
        <f>MAX(NL!U41:AL42)*1.02</f>
        <v>61.2</v>
      </c>
      <c r="T408" s="1898"/>
      <c r="U408" s="1898"/>
      <c r="V408" s="1898"/>
      <c r="W408" s="1898"/>
      <c r="X408" s="1898"/>
      <c r="Y408" s="1898"/>
      <c r="Z408" s="1898"/>
      <c r="AA408" s="1898"/>
      <c r="AB408" s="1898"/>
      <c r="AC408" s="1898"/>
      <c r="AD408" s="1898"/>
      <c r="AE408" s="404"/>
      <c r="AF408" s="404"/>
      <c r="AG408" s="404"/>
      <c r="AH408" s="404"/>
      <c r="AI408" s="404"/>
      <c r="AJ408" s="404"/>
      <c r="AK408" s="404"/>
      <c r="AL408" s="404"/>
    </row>
    <row r="409" spans="1:38" ht="20.100000000000001" customHeight="1">
      <c r="A409" s="767"/>
      <c r="D409" s="316"/>
      <c r="E409" s="316"/>
      <c r="F409" s="315" t="s">
        <v>4923</v>
      </c>
      <c r="H409" s="316"/>
      <c r="I409" s="316"/>
      <c r="J409" s="316"/>
      <c r="K409" s="316"/>
      <c r="L409" s="316"/>
      <c r="M409" s="316"/>
      <c r="N409" s="316"/>
      <c r="R409" s="314" t="s">
        <v>5242</v>
      </c>
      <c r="T409" s="314" t="s">
        <v>3306</v>
      </c>
      <c r="U409" s="1858">
        <f>VLOOKUP(NL!U48,NL!CE4:CK7,2)-VLOOKUP(NL!U48,NL!CE4:CK7,6)</f>
        <v>10</v>
      </c>
      <c r="V409" s="1858"/>
      <c r="W409" s="1858"/>
      <c r="X409" s="314" t="s">
        <v>2550</v>
      </c>
      <c r="Z409" s="401"/>
      <c r="AA409" s="401"/>
      <c r="AB409" s="380"/>
      <c r="AC409" s="402"/>
      <c r="AH409" s="380"/>
      <c r="AI409" s="380"/>
      <c r="AJ409" s="380"/>
      <c r="AK409" s="380"/>
      <c r="AL409" s="380"/>
    </row>
    <row r="410" spans="1:38" ht="20.100000000000001" customHeight="1">
      <c r="A410" s="767"/>
      <c r="D410" s="316"/>
      <c r="E410" s="316"/>
      <c r="F410" s="322" t="s">
        <v>5243</v>
      </c>
      <c r="H410" s="316"/>
      <c r="I410" s="316"/>
      <c r="J410" s="316"/>
      <c r="K410" s="316"/>
      <c r="L410" s="316"/>
      <c r="M410" s="316"/>
      <c r="N410" s="316"/>
      <c r="T410" s="396"/>
      <c r="U410" s="396"/>
      <c r="V410" s="396"/>
      <c r="W410" s="396"/>
      <c r="X410" s="396"/>
      <c r="Y410" s="396"/>
      <c r="Z410" s="396"/>
      <c r="AA410" s="396"/>
      <c r="AB410" s="396"/>
      <c r="AC410" s="396"/>
      <c r="AD410" s="396"/>
      <c r="AE410" s="404"/>
      <c r="AF410" s="404"/>
      <c r="AG410" s="404"/>
      <c r="AH410" s="404"/>
      <c r="AI410" s="404"/>
      <c r="AJ410" s="404"/>
      <c r="AK410" s="404"/>
      <c r="AL410" s="404"/>
    </row>
    <row r="411" spans="1:38" ht="20.100000000000001" customHeight="1">
      <c r="A411" s="767"/>
      <c r="E411" s="322"/>
      <c r="F411" s="322"/>
      <c r="G411" s="315"/>
      <c r="L411" s="314" t="s">
        <v>1628</v>
      </c>
      <c r="M411" s="318"/>
      <c r="N411" s="316" t="s">
        <v>3306</v>
      </c>
      <c r="P411" s="314" t="s">
        <v>1629</v>
      </c>
      <c r="Q411" s="316"/>
      <c r="R411" s="318"/>
      <c r="S411" s="318"/>
      <c r="T411" s="318"/>
      <c r="U411" s="318"/>
      <c r="V411" s="318"/>
      <c r="W411" s="318"/>
      <c r="X411" s="318"/>
      <c r="Y411" s="318"/>
      <c r="Z411" s="318"/>
      <c r="AA411" s="318"/>
      <c r="AB411" s="318"/>
      <c r="AC411" s="318"/>
      <c r="AD411" s="318"/>
      <c r="AE411" s="318"/>
      <c r="AF411" s="318"/>
      <c r="AG411" s="318"/>
      <c r="AH411" s="318"/>
      <c r="AI411" s="318"/>
      <c r="AJ411" s="318"/>
      <c r="AK411" s="318"/>
      <c r="AL411" s="318"/>
    </row>
    <row r="412" spans="1:38" ht="20.100000000000001" customHeight="1">
      <c r="A412" s="767"/>
      <c r="E412" s="322"/>
      <c r="F412" s="322"/>
      <c r="G412" s="315"/>
      <c r="M412" s="314" t="s">
        <v>1630</v>
      </c>
      <c r="N412" s="316"/>
      <c r="O412" s="314" t="s">
        <v>3306</v>
      </c>
      <c r="P412" s="314" t="s">
        <v>1631</v>
      </c>
      <c r="Q412" s="316"/>
      <c r="R412" s="318"/>
      <c r="S412" s="318"/>
      <c r="T412" s="318"/>
      <c r="U412" s="318"/>
      <c r="W412" s="318"/>
      <c r="X412" s="318"/>
      <c r="Y412" s="318"/>
      <c r="Z412" s="318"/>
      <c r="AA412" s="318"/>
      <c r="AB412" s="318"/>
      <c r="AC412" s="318"/>
      <c r="AD412" s="318"/>
      <c r="AE412" s="318"/>
      <c r="AF412" s="318"/>
      <c r="AG412" s="318"/>
    </row>
    <row r="413" spans="1:38" ht="20.100000000000001" customHeight="1">
      <c r="A413" s="767"/>
      <c r="E413" s="322"/>
      <c r="F413" s="322"/>
      <c r="G413" s="315"/>
      <c r="N413" s="316"/>
      <c r="O413" s="314" t="s">
        <v>3306</v>
      </c>
      <c r="P413" s="318" t="e">
        <f>AB389&amp;" . "&amp;AD398&amp;" + "&amp;X405&amp;" . "&amp;U409&amp;" ="</f>
        <v>#N/A</v>
      </c>
      <c r="Q413" s="316"/>
      <c r="R413" s="318"/>
      <c r="S413" s="318"/>
      <c r="T413" s="318"/>
      <c r="U413" s="318"/>
      <c r="V413" s="318"/>
      <c r="W413" s="318"/>
      <c r="X413" s="318"/>
      <c r="Y413" s="318"/>
      <c r="Z413" s="318"/>
      <c r="AA413" s="318"/>
      <c r="AD413" s="1899" t="e">
        <f>(AB389*AD398)+(X405*U409)</f>
        <v>#N/A</v>
      </c>
      <c r="AE413" s="1899"/>
      <c r="AF413" s="1899"/>
      <c r="AG413" s="1899"/>
      <c r="AH413" s="1899"/>
      <c r="AI413" s="1899"/>
      <c r="AJ413" s="1899"/>
      <c r="AK413" s="1899"/>
      <c r="AL413" s="1899"/>
    </row>
    <row r="414" spans="1:38" ht="20.100000000000001" customHeight="1">
      <c r="A414" s="767"/>
      <c r="E414" s="322"/>
      <c r="F414" s="322"/>
      <c r="G414" s="315"/>
      <c r="L414" s="314" t="s">
        <v>1628</v>
      </c>
      <c r="M414" s="318"/>
      <c r="N414" s="316" t="s">
        <v>3306</v>
      </c>
      <c r="P414" s="314" t="e">
        <f>"1,2 .["&amp;AD413&amp;" + 10%. "&amp;AD413&amp;"]"</f>
        <v>#N/A</v>
      </c>
      <c r="Q414" s="316"/>
      <c r="R414" s="318"/>
      <c r="S414" s="318"/>
      <c r="T414" s="318"/>
      <c r="U414" s="318"/>
      <c r="V414" s="318"/>
      <c r="W414" s="318"/>
      <c r="X414" s="318"/>
      <c r="Y414" s="318"/>
      <c r="Z414" s="318"/>
      <c r="AA414" s="318"/>
      <c r="AB414" s="318"/>
      <c r="AC414" s="318"/>
      <c r="AD414" s="318"/>
      <c r="AE414" s="318"/>
      <c r="AF414" s="376"/>
      <c r="AG414" s="318"/>
      <c r="AH414" s="318"/>
      <c r="AI414" s="318"/>
      <c r="AJ414" s="318"/>
      <c r="AK414" s="318"/>
      <c r="AL414" s="318"/>
    </row>
    <row r="415" spans="1:38" ht="20.100000000000001" customHeight="1">
      <c r="A415" s="767"/>
      <c r="D415" s="316"/>
      <c r="E415" s="316"/>
      <c r="F415" s="315"/>
      <c r="H415" s="316"/>
      <c r="I415" s="316"/>
      <c r="J415" s="316"/>
      <c r="K415" s="316"/>
      <c r="L415" s="316"/>
      <c r="M415" s="316"/>
      <c r="N415" s="316" t="s">
        <v>3306</v>
      </c>
      <c r="P415" s="1891" t="e">
        <f>1.2*(AD413 +(10%*AD413))</f>
        <v>#N/A</v>
      </c>
      <c r="Q415" s="1891"/>
      <c r="R415" s="1891"/>
      <c r="S415" s="1891"/>
      <c r="T415" s="1891"/>
      <c r="U415" s="1891"/>
      <c r="V415" s="1891"/>
      <c r="W415" s="1891"/>
      <c r="X415" s="1891"/>
      <c r="Y415" s="1891"/>
      <c r="Z415" s="1891"/>
      <c r="AA415" s="1891"/>
      <c r="AB415" s="1891"/>
      <c r="AC415" s="1891"/>
      <c r="AD415" s="1891"/>
      <c r="AE415" s="1891"/>
      <c r="AF415" s="1891"/>
      <c r="AG415" s="1891"/>
      <c r="AH415" s="1891"/>
      <c r="AI415" s="1891"/>
      <c r="AJ415" s="1891"/>
      <c r="AK415" s="1891"/>
      <c r="AL415" s="1891"/>
    </row>
    <row r="416" spans="1:38" ht="20.100000000000001" customHeight="1">
      <c r="A416" s="767"/>
      <c r="D416" s="316"/>
      <c r="E416" s="316"/>
      <c r="F416" s="315" t="s">
        <v>1632</v>
      </c>
      <c r="H416" s="316"/>
      <c r="I416" s="316"/>
      <c r="J416" s="316"/>
      <c r="K416" s="316"/>
      <c r="L416" s="316"/>
      <c r="M416" s="316"/>
      <c r="N416" s="316"/>
      <c r="P416" s="391"/>
      <c r="Q416" s="391"/>
      <c r="R416" s="391"/>
      <c r="S416" s="391"/>
      <c r="T416" s="391"/>
      <c r="U416" s="318"/>
      <c r="V416" s="397"/>
      <c r="W416" s="397"/>
      <c r="X416" s="397"/>
      <c r="Y416" s="397"/>
      <c r="Z416" s="397"/>
      <c r="AA416" s="397"/>
      <c r="AB416" s="397"/>
      <c r="AC416" s="397"/>
      <c r="AD416" s="397"/>
      <c r="AE416" s="397"/>
      <c r="AF416" s="397"/>
      <c r="AG416" s="397"/>
      <c r="AH416" s="397"/>
      <c r="AI416" s="397"/>
      <c r="AJ416" s="397"/>
      <c r="AK416" s="397"/>
      <c r="AL416" s="397"/>
    </row>
    <row r="417" spans="1:38" ht="20.100000000000001" customHeight="1">
      <c r="A417" s="767"/>
      <c r="D417" s="322"/>
      <c r="E417" s="322"/>
      <c r="F417" s="322"/>
      <c r="G417" s="315"/>
      <c r="H417" s="322"/>
      <c r="I417" s="322"/>
      <c r="J417" s="322"/>
      <c r="K417" s="322"/>
      <c r="L417" s="1862" t="s">
        <v>5964</v>
      </c>
      <c r="M417" s="1862"/>
      <c r="N417" s="1862" t="s">
        <v>3306</v>
      </c>
      <c r="O417" s="1863" t="s">
        <v>1628</v>
      </c>
      <c r="P417" s="1863"/>
      <c r="Q417" s="1862" t="s">
        <v>3306</v>
      </c>
      <c r="R417" s="1896" t="e">
        <f>P415</f>
        <v>#N/A</v>
      </c>
      <c r="S417" s="1896"/>
      <c r="T417" s="1896"/>
      <c r="U417" s="1896"/>
      <c r="V417" s="1896"/>
    </row>
    <row r="418" spans="1:38" ht="20.100000000000001" customHeight="1">
      <c r="A418" s="767"/>
      <c r="D418" s="322"/>
      <c r="E418" s="322"/>
      <c r="F418" s="322"/>
      <c r="G418" s="315"/>
      <c r="H418" s="322"/>
      <c r="I418" s="322"/>
      <c r="J418" s="322"/>
      <c r="K418" s="322"/>
      <c r="L418" s="1862"/>
      <c r="M418" s="1862"/>
      <c r="N418" s="1862"/>
      <c r="O418" s="1857" t="s">
        <v>4927</v>
      </c>
      <c r="P418" s="1857"/>
      <c r="Q418" s="1862"/>
      <c r="R418" s="1859">
        <f>VLOOKUP(NL!U48,NL!CE4:CK7,2)-VLOOKUP(NL!U48,NL!CE4:CK7,6)</f>
        <v>10</v>
      </c>
      <c r="S418" s="1859"/>
      <c r="T418" s="1859"/>
      <c r="U418" s="1859"/>
      <c r="V418" s="1859"/>
    </row>
    <row r="419" spans="1:38" ht="20.100000000000001" customHeight="1">
      <c r="A419" s="767"/>
      <c r="D419" s="316"/>
      <c r="E419" s="316"/>
      <c r="F419" s="315"/>
      <c r="H419" s="316"/>
      <c r="I419" s="316"/>
      <c r="J419" s="316"/>
      <c r="K419" s="316"/>
      <c r="L419" s="316"/>
      <c r="M419" s="316"/>
      <c r="N419" s="1862" t="s">
        <v>3306</v>
      </c>
      <c r="O419" s="1888" t="e">
        <f>ROUND(R417/R418,2)</f>
        <v>#N/A</v>
      </c>
      <c r="P419" s="1888"/>
      <c r="Q419" s="1888"/>
      <c r="R419" s="1888"/>
      <c r="S419" s="1888"/>
      <c r="T419" s="1888"/>
      <c r="U419" s="1888"/>
      <c r="V419" s="1862" t="s">
        <v>3306</v>
      </c>
      <c r="W419" s="1889" t="e">
        <f>ROUND(O419/9.81,2)</f>
        <v>#N/A</v>
      </c>
      <c r="X419" s="1889"/>
      <c r="Y419" s="1889"/>
      <c r="Z419" s="1889"/>
      <c r="AA419" s="1889"/>
      <c r="AB419" s="1889"/>
      <c r="AC419" s="1889"/>
      <c r="AD419" s="397"/>
      <c r="AE419" s="397"/>
      <c r="AF419" s="397"/>
      <c r="AG419" s="397"/>
      <c r="AH419" s="397"/>
      <c r="AI419" s="397"/>
      <c r="AJ419" s="397"/>
      <c r="AK419" s="397"/>
      <c r="AL419" s="397"/>
    </row>
    <row r="420" spans="1:38" ht="20.100000000000001" customHeight="1">
      <c r="A420" s="767"/>
      <c r="D420" s="316"/>
      <c r="E420" s="316"/>
      <c r="F420" s="315"/>
      <c r="H420" s="316"/>
      <c r="I420" s="316"/>
      <c r="J420" s="316"/>
      <c r="K420" s="316"/>
      <c r="L420" s="316"/>
      <c r="M420" s="316"/>
      <c r="N420" s="1862"/>
      <c r="O420" s="1888"/>
      <c r="P420" s="1888"/>
      <c r="Q420" s="1888"/>
      <c r="R420" s="1888"/>
      <c r="S420" s="1888"/>
      <c r="T420" s="1888"/>
      <c r="U420" s="1888"/>
      <c r="V420" s="1862"/>
      <c r="W420" s="1889"/>
      <c r="X420" s="1889"/>
      <c r="Y420" s="1889"/>
      <c r="Z420" s="1889"/>
      <c r="AA420" s="1889"/>
      <c r="AB420" s="1889"/>
      <c r="AC420" s="1889"/>
      <c r="AD420" s="397"/>
      <c r="AE420" s="397"/>
      <c r="AF420" s="397"/>
      <c r="AG420" s="397"/>
      <c r="AH420" s="397"/>
      <c r="AI420" s="397"/>
      <c r="AJ420" s="397"/>
      <c r="AK420" s="397"/>
      <c r="AL420" s="397"/>
    </row>
    <row r="421" spans="1:38" ht="20.100000000000001" customHeight="1">
      <c r="A421" s="767"/>
      <c r="D421" s="322"/>
      <c r="E421" s="322"/>
      <c r="F421" s="322"/>
      <c r="I421" s="322"/>
      <c r="L421" s="318" t="s">
        <v>5964</v>
      </c>
      <c r="N421" s="316" t="s">
        <v>4478</v>
      </c>
      <c r="P421" s="314" t="s">
        <v>1633</v>
      </c>
      <c r="X421" s="318"/>
      <c r="Y421" s="318"/>
      <c r="Z421" s="318"/>
      <c r="AA421" s="318"/>
      <c r="AB421" s="318"/>
      <c r="AC421" s="318"/>
      <c r="AD421" s="318"/>
      <c r="AE421" s="318"/>
      <c r="AF421" s="318"/>
      <c r="AG421" s="318"/>
      <c r="AH421" s="318"/>
      <c r="AI421" s="318"/>
      <c r="AJ421" s="318"/>
      <c r="AK421" s="318"/>
      <c r="AL421" s="318"/>
    </row>
    <row r="422" spans="1:38" ht="20.100000000000001" customHeight="1">
      <c r="A422" s="767"/>
      <c r="D422" s="322"/>
      <c r="E422" s="322"/>
      <c r="F422" s="322"/>
      <c r="G422" s="1895" t="e">
        <f>W419</f>
        <v>#N/A</v>
      </c>
      <c r="H422" s="1895"/>
      <c r="I422" s="1895"/>
      <c r="J422" s="1895"/>
      <c r="K422" s="1895"/>
      <c r="L422" s="1895"/>
      <c r="M422" s="374"/>
      <c r="N422" s="316" t="s">
        <v>3438</v>
      </c>
      <c r="P422" s="1887">
        <f>IF(NL!U48="BTLT 10,5m", 420,IF(NL!U48="BTLT 12m", 720,IF(NL!U48="BTLT 14m",850,IF(NL!U48="BTLT 20m",1000,""))))</f>
        <v>720</v>
      </c>
      <c r="Q422" s="1887"/>
      <c r="R422" s="1887"/>
      <c r="S422" s="1887"/>
      <c r="T422" s="1887"/>
      <c r="U422" s="1887"/>
      <c r="V422" s="368"/>
      <c r="X422" s="318"/>
      <c r="Y422" s="318"/>
      <c r="Z422" s="318"/>
      <c r="AA422" s="318"/>
      <c r="AB422" s="318"/>
      <c r="AC422" s="318"/>
      <c r="AD422" s="318"/>
      <c r="AE422" s="318"/>
      <c r="AF422" s="318"/>
      <c r="AG422" s="318"/>
      <c r="AH422" s="318"/>
      <c r="AI422" s="318"/>
      <c r="AJ422" s="318"/>
      <c r="AK422" s="318"/>
      <c r="AL422" s="318"/>
    </row>
    <row r="423" spans="1:38" ht="20.100000000000001" customHeight="1">
      <c r="A423" s="767"/>
      <c r="D423" s="316"/>
      <c r="E423" s="316"/>
      <c r="F423" s="322" t="s">
        <v>1475</v>
      </c>
      <c r="H423" s="316"/>
      <c r="I423" s="316"/>
      <c r="J423" s="316"/>
      <c r="K423" s="316"/>
      <c r="L423" s="316"/>
      <c r="M423" s="316"/>
      <c r="N423" s="316"/>
      <c r="T423" s="396"/>
      <c r="U423" s="396"/>
      <c r="V423" s="396"/>
      <c r="W423" s="396"/>
      <c r="X423" s="396"/>
      <c r="Y423" s="396"/>
      <c r="Z423" s="396"/>
      <c r="AA423" s="396"/>
      <c r="AB423" s="396"/>
      <c r="AC423" s="396"/>
      <c r="AD423" s="396"/>
      <c r="AE423" s="404"/>
      <c r="AF423" s="404"/>
      <c r="AG423" s="404"/>
      <c r="AH423" s="404"/>
      <c r="AI423" s="404"/>
      <c r="AJ423" s="404"/>
      <c r="AK423" s="404"/>
      <c r="AL423" s="404"/>
    </row>
    <row r="424" spans="1:38" ht="20.100000000000001" customHeight="1">
      <c r="A424" s="767"/>
      <c r="E424" s="322" t="s">
        <v>5090</v>
      </c>
      <c r="G424" s="315"/>
      <c r="L424" s="318"/>
      <c r="M424" s="318"/>
      <c r="N424" s="316"/>
      <c r="O424" s="316"/>
      <c r="P424" s="316"/>
      <c r="Q424" s="316"/>
      <c r="R424" s="318"/>
      <c r="S424" s="318"/>
      <c r="T424" s="318"/>
      <c r="U424" s="318"/>
      <c r="V424" s="318"/>
      <c r="W424" s="318"/>
      <c r="X424" s="318"/>
      <c r="Y424" s="318"/>
      <c r="Z424" s="318"/>
      <c r="AA424" s="318"/>
      <c r="AB424" s="318"/>
      <c r="AC424" s="318"/>
      <c r="AD424" s="318"/>
      <c r="AE424" s="318"/>
      <c r="AF424" s="318"/>
      <c r="AG424" s="318"/>
      <c r="AH424" s="318"/>
      <c r="AI424" s="318"/>
      <c r="AJ424" s="318"/>
      <c r="AK424" s="318"/>
      <c r="AL424" s="318"/>
    </row>
    <row r="425" spans="1:38" ht="20.100000000000001" customHeight="1">
      <c r="A425" s="767"/>
      <c r="F425" s="322" t="s">
        <v>437</v>
      </c>
      <c r="G425" s="315"/>
      <c r="L425" s="318"/>
      <c r="M425" s="318"/>
      <c r="N425" s="316"/>
      <c r="O425" s="316"/>
      <c r="P425" s="316"/>
      <c r="Q425" s="316"/>
      <c r="R425" s="318"/>
      <c r="S425" s="318"/>
      <c r="T425" s="318"/>
      <c r="U425" s="318"/>
      <c r="V425" s="318"/>
      <c r="W425" s="318"/>
      <c r="X425" s="318"/>
      <c r="Y425" s="318"/>
      <c r="Z425" s="318"/>
      <c r="AA425" s="318"/>
      <c r="AB425" s="318"/>
      <c r="AC425" s="318"/>
      <c r="AD425" s="318"/>
      <c r="AE425" s="318"/>
      <c r="AF425" s="318"/>
      <c r="AG425" s="318"/>
      <c r="AH425" s="318"/>
      <c r="AI425" s="318"/>
      <c r="AJ425" s="318"/>
      <c r="AK425" s="318"/>
      <c r="AL425" s="318"/>
    </row>
    <row r="426" spans="1:38" ht="20.100000000000001" customHeight="1">
      <c r="A426" s="767"/>
      <c r="F426" s="321" t="s">
        <v>1810</v>
      </c>
      <c r="G426" s="315"/>
      <c r="L426" s="318"/>
      <c r="M426" s="318"/>
      <c r="N426" s="316"/>
      <c r="O426" s="316"/>
      <c r="P426" s="316"/>
      <c r="Q426" s="316"/>
      <c r="R426" s="318"/>
      <c r="S426" s="318"/>
      <c r="T426" s="318"/>
      <c r="U426" s="318"/>
      <c r="V426" s="318"/>
      <c r="W426" s="318"/>
      <c r="X426" s="318"/>
      <c r="Y426" s="318"/>
      <c r="Z426" s="318"/>
      <c r="AA426" s="318"/>
      <c r="AB426" s="318"/>
      <c r="AC426" s="318"/>
      <c r="AD426" s="318"/>
      <c r="AE426" s="318"/>
      <c r="AF426" s="318"/>
      <c r="AG426" s="318"/>
      <c r="AH426" s="318"/>
      <c r="AI426" s="318"/>
      <c r="AJ426" s="318"/>
      <c r="AK426" s="318"/>
      <c r="AL426" s="318"/>
    </row>
    <row r="427" spans="1:38" ht="20.100000000000001" customHeight="1">
      <c r="A427" s="767"/>
      <c r="F427" s="322"/>
      <c r="G427" s="315"/>
      <c r="L427" s="318"/>
      <c r="M427" s="318"/>
      <c r="N427" s="316"/>
      <c r="O427" s="316"/>
      <c r="P427" s="316"/>
      <c r="Q427" s="316"/>
      <c r="R427" s="318"/>
      <c r="S427" s="318"/>
      <c r="T427" s="318"/>
      <c r="U427" s="318"/>
      <c r="V427" s="318"/>
      <c r="W427" s="318"/>
      <c r="X427" s="318"/>
      <c r="Y427" s="318"/>
      <c r="Z427" s="318"/>
      <c r="AA427" s="318"/>
      <c r="AB427" s="318"/>
      <c r="AC427" s="318"/>
      <c r="AD427" s="318"/>
      <c r="AE427" s="318"/>
      <c r="AF427" s="318"/>
      <c r="AG427" s="318"/>
      <c r="AH427" s="318"/>
      <c r="AI427" s="318"/>
      <c r="AJ427" s="318"/>
      <c r="AK427" s="318"/>
      <c r="AL427" s="318"/>
    </row>
    <row r="428" spans="1:38" ht="20.100000000000001" customHeight="1">
      <c r="A428" s="767"/>
      <c r="F428" s="322"/>
      <c r="G428" s="315"/>
      <c r="L428" s="318"/>
      <c r="M428" s="318"/>
      <c r="N428" s="316"/>
      <c r="O428" s="316"/>
      <c r="P428" s="316"/>
      <c r="Q428" s="316"/>
      <c r="R428" s="318"/>
      <c r="S428" s="318"/>
      <c r="T428" s="318"/>
      <c r="U428" s="318"/>
      <c r="V428" s="318"/>
      <c r="W428" s="318"/>
      <c r="X428" s="318"/>
      <c r="Y428" s="318"/>
      <c r="Z428" s="318"/>
      <c r="AA428" s="318"/>
      <c r="AB428" s="318"/>
      <c r="AC428" s="318"/>
      <c r="AD428" s="318"/>
      <c r="AE428" s="318"/>
      <c r="AF428" s="318"/>
      <c r="AG428" s="318"/>
      <c r="AH428" s="318"/>
      <c r="AI428" s="318"/>
      <c r="AJ428" s="318"/>
      <c r="AK428" s="318"/>
      <c r="AL428" s="318"/>
    </row>
    <row r="429" spans="1:38" ht="20.100000000000001" customHeight="1">
      <c r="A429" s="767"/>
      <c r="F429" s="322"/>
      <c r="G429" s="315"/>
      <c r="L429" s="318"/>
      <c r="M429" s="318"/>
      <c r="N429" s="316"/>
      <c r="O429" s="316"/>
      <c r="P429" s="316"/>
      <c r="Q429" s="316"/>
      <c r="R429" s="318"/>
      <c r="S429" s="318"/>
      <c r="T429" s="318"/>
      <c r="U429" s="318"/>
      <c r="V429" s="318"/>
      <c r="W429" s="318"/>
      <c r="X429" s="318"/>
      <c r="Y429" s="318"/>
      <c r="Z429" s="318"/>
      <c r="AA429" s="318"/>
      <c r="AB429" s="318"/>
      <c r="AC429" s="318"/>
      <c r="AD429" s="318"/>
      <c r="AE429" s="318"/>
      <c r="AF429" s="318"/>
      <c r="AG429" s="318"/>
      <c r="AH429" s="318"/>
      <c r="AI429" s="318"/>
      <c r="AJ429" s="318"/>
      <c r="AK429" s="318"/>
      <c r="AL429" s="318"/>
    </row>
    <row r="430" spans="1:38" ht="20.100000000000001" customHeight="1">
      <c r="A430" s="767"/>
      <c r="F430" s="322"/>
      <c r="G430" s="315"/>
      <c r="L430" s="318"/>
      <c r="M430" s="318"/>
      <c r="N430" s="316"/>
      <c r="O430" s="316"/>
      <c r="P430" s="316"/>
      <c r="Q430" s="316"/>
      <c r="R430" s="318"/>
      <c r="S430" s="318"/>
      <c r="T430" s="318"/>
      <c r="U430" s="318"/>
      <c r="V430" s="318"/>
      <c r="W430" s="318"/>
      <c r="X430" s="318"/>
      <c r="Y430" s="318"/>
      <c r="Z430" s="318"/>
      <c r="AA430" s="318"/>
      <c r="AB430" s="318"/>
      <c r="AC430" s="318"/>
      <c r="AD430" s="318"/>
      <c r="AE430" s="318"/>
      <c r="AF430" s="318"/>
      <c r="AG430" s="318"/>
      <c r="AH430" s="318"/>
      <c r="AI430" s="318"/>
      <c r="AJ430" s="318"/>
      <c r="AK430" s="318"/>
      <c r="AL430" s="318"/>
    </row>
    <row r="431" spans="1:38" ht="20.100000000000001" customHeight="1">
      <c r="A431" s="767"/>
      <c r="F431" s="322"/>
      <c r="G431" s="315"/>
      <c r="L431" s="318"/>
      <c r="M431" s="318"/>
      <c r="N431" s="316"/>
      <c r="O431" s="316"/>
      <c r="P431" s="316"/>
      <c r="Q431" s="316"/>
      <c r="R431" s="318"/>
      <c r="S431" s="318"/>
      <c r="T431" s="318"/>
      <c r="U431" s="318"/>
      <c r="V431" s="318"/>
      <c r="W431" s="318"/>
      <c r="X431" s="318"/>
      <c r="Y431" s="318"/>
      <c r="Z431" s="318"/>
      <c r="AA431" s="318"/>
      <c r="AB431" s="318"/>
      <c r="AC431" s="318"/>
      <c r="AD431" s="318"/>
      <c r="AE431" s="318"/>
      <c r="AF431" s="318"/>
      <c r="AG431" s="318"/>
      <c r="AH431" s="318"/>
      <c r="AI431" s="318"/>
      <c r="AJ431" s="318"/>
      <c r="AK431" s="318"/>
      <c r="AL431" s="318"/>
    </row>
    <row r="432" spans="1:38" ht="20.100000000000001" customHeight="1">
      <c r="A432" s="767"/>
      <c r="F432" s="315" t="s">
        <v>1476</v>
      </c>
      <c r="G432" s="315"/>
      <c r="L432" s="318"/>
      <c r="M432" s="318"/>
      <c r="N432" s="316"/>
      <c r="O432" s="316"/>
      <c r="P432" s="316"/>
      <c r="Q432" s="316"/>
      <c r="R432" s="318"/>
      <c r="S432" s="318"/>
      <c r="T432" s="318"/>
      <c r="U432" s="318"/>
      <c r="V432" s="318"/>
      <c r="W432" s="318"/>
      <c r="X432" s="318"/>
      <c r="Y432" s="318"/>
      <c r="Z432" s="318"/>
      <c r="AA432" s="318"/>
      <c r="AB432" s="318"/>
      <c r="AC432" s="318"/>
      <c r="AD432" s="318"/>
      <c r="AE432" s="318"/>
      <c r="AF432" s="318"/>
      <c r="AG432" s="318"/>
      <c r="AH432" s="318"/>
      <c r="AI432" s="318"/>
      <c r="AJ432" s="318"/>
      <c r="AK432" s="318"/>
      <c r="AL432" s="318"/>
    </row>
    <row r="433" spans="1:38" ht="20.100000000000001" customHeight="1">
      <c r="A433" s="767"/>
      <c r="E433" s="322"/>
      <c r="F433" s="322"/>
      <c r="G433" s="315"/>
      <c r="L433" s="1862" t="s">
        <v>1477</v>
      </c>
      <c r="M433" s="1862"/>
      <c r="N433" s="1859" t="s">
        <v>3306</v>
      </c>
      <c r="O433" s="1859" t="str">
        <f>IF(NL!U45=22,"3.","")</f>
        <v>3.</v>
      </c>
      <c r="P433" s="1863" t="s">
        <v>438</v>
      </c>
      <c r="Q433" s="1863"/>
      <c r="R433" s="1863"/>
      <c r="S433" s="1863"/>
      <c r="T433" s="1893" t="s">
        <v>5644</v>
      </c>
      <c r="U433" s="1863" t="s">
        <v>440</v>
      </c>
      <c r="V433" s="1863"/>
      <c r="W433" s="1863"/>
      <c r="X433" s="1863"/>
      <c r="Y433" s="318"/>
      <c r="Z433" s="318"/>
      <c r="AA433" s="318"/>
      <c r="AB433" s="318"/>
      <c r="AC433" s="318"/>
      <c r="AD433" s="318"/>
      <c r="AE433" s="318"/>
      <c r="AF433" s="318"/>
      <c r="AG433" s="318"/>
      <c r="AH433" s="318"/>
      <c r="AI433" s="318"/>
      <c r="AJ433" s="318"/>
      <c r="AK433" s="318"/>
      <c r="AL433" s="318"/>
    </row>
    <row r="434" spans="1:38" ht="20.100000000000001" customHeight="1">
      <c r="A434" s="767"/>
      <c r="F434" s="315"/>
      <c r="G434" s="315"/>
      <c r="L434" s="1862"/>
      <c r="M434" s="1862"/>
      <c r="N434" s="1859"/>
      <c r="O434" s="1859"/>
      <c r="P434" s="1859" t="s">
        <v>439</v>
      </c>
      <c r="Q434" s="1859"/>
      <c r="R434" s="1859"/>
      <c r="S434" s="1859"/>
      <c r="T434" s="1859"/>
      <c r="U434" s="1859" t="s">
        <v>439</v>
      </c>
      <c r="V434" s="1859"/>
      <c r="W434" s="1859"/>
      <c r="X434" s="1859"/>
      <c r="Y434" s="318"/>
      <c r="Z434" s="318"/>
      <c r="AA434" s="318"/>
      <c r="AB434" s="318"/>
      <c r="AC434" s="318"/>
      <c r="AD434" s="318"/>
      <c r="AE434" s="318"/>
      <c r="AF434" s="318"/>
      <c r="AG434" s="318"/>
      <c r="AH434" s="318"/>
      <c r="AI434" s="318"/>
      <c r="AJ434" s="318"/>
      <c r="AK434" s="318"/>
      <c r="AL434" s="318"/>
    </row>
    <row r="435" spans="1:38" ht="20.100000000000001" customHeight="1">
      <c r="A435" s="767"/>
      <c r="E435" s="322"/>
      <c r="F435" s="322"/>
      <c r="G435" s="315"/>
      <c r="L435" s="1862" t="s">
        <v>1477</v>
      </c>
      <c r="M435" s="1862"/>
      <c r="N435" s="1859" t="s">
        <v>3306</v>
      </c>
      <c r="O435" s="1859" t="str">
        <f>IF(NL!U45=22,"3.","")</f>
        <v>3.</v>
      </c>
      <c r="P435" s="1863" t="s">
        <v>441</v>
      </c>
      <c r="Q435" s="1863"/>
      <c r="R435" s="1863"/>
      <c r="S435" s="1863"/>
      <c r="T435" s="1893" t="s">
        <v>5644</v>
      </c>
      <c r="U435" s="1863" t="s">
        <v>442</v>
      </c>
      <c r="V435" s="1863"/>
      <c r="W435" s="1863"/>
      <c r="X435" s="1863"/>
      <c r="Y435" s="318"/>
      <c r="Z435" s="318"/>
      <c r="AA435" s="318"/>
      <c r="AB435" s="318"/>
      <c r="AC435" s="318"/>
      <c r="AD435" s="318"/>
      <c r="AE435" s="318"/>
      <c r="AF435" s="318"/>
      <c r="AG435" s="318"/>
      <c r="AH435" s="318"/>
      <c r="AI435" s="318"/>
      <c r="AJ435" s="318"/>
      <c r="AK435" s="318"/>
      <c r="AL435" s="318"/>
    </row>
    <row r="436" spans="1:38" ht="20.100000000000001" customHeight="1">
      <c r="A436" s="767"/>
      <c r="F436" s="315"/>
      <c r="G436" s="315"/>
      <c r="L436" s="1862"/>
      <c r="M436" s="1862"/>
      <c r="N436" s="1859"/>
      <c r="O436" s="1859"/>
      <c r="P436" s="1859" t="s">
        <v>439</v>
      </c>
      <c r="Q436" s="1859"/>
      <c r="R436" s="1859"/>
      <c r="S436" s="1859"/>
      <c r="T436" s="1859"/>
      <c r="U436" s="1859" t="s">
        <v>439</v>
      </c>
      <c r="V436" s="1859"/>
      <c r="W436" s="1859"/>
      <c r="X436" s="1859"/>
      <c r="Y436" s="318"/>
      <c r="Z436" s="318"/>
      <c r="AA436" s="318"/>
      <c r="AB436" s="318"/>
      <c r="AC436" s="318"/>
      <c r="AD436" s="318"/>
      <c r="AE436" s="318"/>
      <c r="AF436" s="318"/>
      <c r="AG436" s="318"/>
      <c r="AH436" s="318"/>
      <c r="AI436" s="318"/>
      <c r="AJ436" s="318"/>
      <c r="AK436" s="318"/>
      <c r="AL436" s="318"/>
    </row>
    <row r="437" spans="1:38" ht="20.100000000000001" customHeight="1">
      <c r="A437" s="767"/>
      <c r="E437" s="322"/>
      <c r="F437" s="322"/>
      <c r="G437" s="315"/>
      <c r="L437" s="1862" t="s">
        <v>1477</v>
      </c>
      <c r="M437" s="1862"/>
      <c r="N437" s="1859" t="s">
        <v>3306</v>
      </c>
      <c r="O437" s="1859" t="str">
        <f>IF(NL!U45=22,"3.","")</f>
        <v>3.</v>
      </c>
      <c r="P437" s="1894" t="e">
        <f>N303&amp;" . "&amp;VLOOKUP(NL!U46,NL!BY80:CE116,NL!CA76,FALSE)</f>
        <v>#N/A</v>
      </c>
      <c r="Q437" s="1894"/>
      <c r="R437" s="1894"/>
      <c r="S437" s="1894"/>
      <c r="T437" s="1894"/>
      <c r="U437" s="1893" t="s">
        <v>5644</v>
      </c>
      <c r="V437" s="1894" t="e">
        <f>N303&amp;" . "&amp;VLOOKUP(NL!U47,NL!BY80:CE116,NL!CA76,FALSE)</f>
        <v>#N/A</v>
      </c>
      <c r="W437" s="1894"/>
      <c r="X437" s="1894"/>
      <c r="Y437" s="1894"/>
      <c r="Z437" s="1894"/>
      <c r="AA437" s="318"/>
      <c r="AB437" s="318"/>
      <c r="AC437" s="318"/>
      <c r="AI437" s="318"/>
      <c r="AJ437" s="318"/>
      <c r="AK437" s="318"/>
      <c r="AL437" s="318"/>
    </row>
    <row r="438" spans="1:38" ht="20.100000000000001" customHeight="1">
      <c r="A438" s="767"/>
      <c r="F438" s="315"/>
      <c r="G438" s="315"/>
      <c r="L438" s="1862"/>
      <c r="M438" s="1862"/>
      <c r="N438" s="1859"/>
      <c r="O438" s="1859"/>
      <c r="P438" s="1859" t="s">
        <v>439</v>
      </c>
      <c r="Q438" s="1859"/>
      <c r="R438" s="1859"/>
      <c r="S438" s="1859"/>
      <c r="T438" s="1859"/>
      <c r="U438" s="1859"/>
      <c r="V438" s="1859" t="s">
        <v>439</v>
      </c>
      <c r="W438" s="1859"/>
      <c r="X438" s="1859"/>
      <c r="Y438" s="1859"/>
      <c r="Z438" s="1859"/>
      <c r="AA438" s="318"/>
      <c r="AB438" s="318"/>
      <c r="AC438" s="318"/>
      <c r="AI438" s="318"/>
      <c r="AJ438" s="318"/>
      <c r="AK438" s="318"/>
      <c r="AL438" s="318"/>
    </row>
    <row r="439" spans="1:38" ht="20.100000000000001" customHeight="1">
      <c r="A439" s="767"/>
      <c r="E439" s="322"/>
      <c r="F439" s="322"/>
      <c r="G439" s="315"/>
      <c r="L439" s="314" t="s">
        <v>1477</v>
      </c>
      <c r="M439" s="318"/>
      <c r="N439" s="316" t="s">
        <v>3306</v>
      </c>
      <c r="O439" s="1890" t="e">
        <f>ROUND(((IF(NL!U45=22,3,1)*(N303*VLOOKUP(NL!U46,NL!BY80:CE116,NL!CA76,FALSE))/COS(PI()/4))+((N303*VLOOKUP(NL!U47,NL!BY80:CE116,NL!CA76,FALSE))/COS(PI()/4))),2)</f>
        <v>#N/A</v>
      </c>
      <c r="P439" s="1890"/>
      <c r="Q439" s="1890"/>
      <c r="R439" s="1890"/>
      <c r="S439" s="1890"/>
      <c r="T439" s="1890"/>
      <c r="U439" s="318" t="s">
        <v>443</v>
      </c>
      <c r="V439" s="318"/>
      <c r="W439" s="318"/>
      <c r="X439" s="318"/>
      <c r="Y439" s="318"/>
      <c r="Z439" s="318"/>
      <c r="AA439" s="318"/>
      <c r="AB439" s="318"/>
      <c r="AC439" s="318"/>
      <c r="AD439" s="318"/>
      <c r="AE439" s="318"/>
      <c r="AF439" s="318"/>
      <c r="AG439" s="318"/>
      <c r="AH439" s="318"/>
      <c r="AI439" s="318"/>
      <c r="AJ439" s="318"/>
      <c r="AK439" s="318"/>
      <c r="AL439" s="318"/>
    </row>
    <row r="440" spans="1:38" ht="20.100000000000001" customHeight="1">
      <c r="A440" s="767"/>
      <c r="D440" s="316"/>
      <c r="E440" s="316"/>
      <c r="F440" s="315" t="s">
        <v>4923</v>
      </c>
      <c r="H440" s="316"/>
      <c r="I440" s="316"/>
      <c r="J440" s="316"/>
      <c r="K440" s="316"/>
      <c r="L440" s="316"/>
      <c r="M440" s="316"/>
      <c r="N440" s="316"/>
      <c r="R440" s="314" t="s">
        <v>5242</v>
      </c>
      <c r="T440" s="314" t="s">
        <v>3306</v>
      </c>
      <c r="U440" s="1858">
        <f>VLOOKUP(NL!U48,NL!CE4:CK7,2)-VLOOKUP(NL!U48,NL!CE4:CK7,6)</f>
        <v>10</v>
      </c>
      <c r="V440" s="1858"/>
      <c r="W440" s="1858"/>
      <c r="X440" s="314" t="s">
        <v>2550</v>
      </c>
      <c r="Z440" s="401"/>
      <c r="AA440" s="401"/>
      <c r="AB440" s="380"/>
      <c r="AC440" s="402"/>
      <c r="AH440" s="380"/>
      <c r="AI440" s="380"/>
      <c r="AJ440" s="380"/>
      <c r="AK440" s="380"/>
      <c r="AL440" s="380"/>
    </row>
    <row r="441" spans="1:38" ht="20.100000000000001" customHeight="1">
      <c r="A441" s="767"/>
      <c r="D441" s="316"/>
      <c r="E441" s="316"/>
      <c r="F441" s="322" t="s">
        <v>5243</v>
      </c>
      <c r="H441" s="316"/>
      <c r="I441" s="316"/>
      <c r="J441" s="316"/>
      <c r="K441" s="316"/>
      <c r="L441" s="316"/>
      <c r="M441" s="316"/>
      <c r="N441" s="316"/>
      <c r="T441" s="396"/>
      <c r="U441" s="396"/>
      <c r="V441" s="396"/>
      <c r="W441" s="396"/>
      <c r="X441" s="396"/>
      <c r="Y441" s="396"/>
      <c r="Z441" s="396"/>
      <c r="AA441" s="396"/>
      <c r="AB441" s="396"/>
      <c r="AC441" s="396"/>
      <c r="AD441" s="396"/>
      <c r="AE441" s="404"/>
      <c r="AF441" s="404"/>
      <c r="AG441" s="404"/>
      <c r="AH441" s="404"/>
      <c r="AI441" s="404"/>
      <c r="AJ441" s="404"/>
      <c r="AK441" s="404"/>
      <c r="AL441" s="404"/>
    </row>
    <row r="442" spans="1:38" ht="20.100000000000001" customHeight="1">
      <c r="A442" s="767"/>
      <c r="E442" s="322"/>
      <c r="F442" s="322"/>
      <c r="G442" s="315"/>
      <c r="L442" s="314" t="s">
        <v>1628</v>
      </c>
      <c r="M442" s="318"/>
      <c r="N442" s="316" t="s">
        <v>3306</v>
      </c>
      <c r="P442" s="314" t="s">
        <v>5850</v>
      </c>
      <c r="Q442" s="316"/>
      <c r="R442" s="318"/>
      <c r="S442" s="318"/>
      <c r="T442" s="318"/>
      <c r="U442" s="318"/>
      <c r="V442" s="318"/>
      <c r="W442" s="318"/>
      <c r="X442" s="318"/>
      <c r="Y442" s="318"/>
      <c r="Z442" s="318"/>
      <c r="AA442" s="318"/>
      <c r="AB442" s="318"/>
      <c r="AC442" s="318"/>
      <c r="AD442" s="318"/>
      <c r="AE442" s="318"/>
      <c r="AF442" s="318"/>
      <c r="AG442" s="318"/>
      <c r="AH442" s="318"/>
      <c r="AI442" s="318"/>
      <c r="AJ442" s="318"/>
      <c r="AK442" s="318"/>
      <c r="AL442" s="318"/>
    </row>
    <row r="443" spans="1:38" ht="20.100000000000001" customHeight="1">
      <c r="A443" s="767"/>
      <c r="E443" s="322"/>
      <c r="F443" s="322"/>
      <c r="G443" s="315"/>
      <c r="M443" s="318"/>
      <c r="N443" s="316" t="s">
        <v>3306</v>
      </c>
      <c r="P443" s="314" t="s">
        <v>5851</v>
      </c>
      <c r="Q443" s="316"/>
      <c r="R443" s="318"/>
      <c r="S443" s="318"/>
      <c r="T443" s="318"/>
      <c r="U443" s="318"/>
      <c r="V443" s="318"/>
      <c r="W443" s="318"/>
      <c r="X443" s="318"/>
      <c r="Y443" s="318"/>
      <c r="Z443" s="318"/>
      <c r="AA443" s="318"/>
      <c r="AB443" s="318"/>
      <c r="AC443" s="318"/>
      <c r="AD443" s="318"/>
      <c r="AE443" s="318"/>
      <c r="AF443" s="318"/>
      <c r="AG443" s="318"/>
      <c r="AH443" s="318"/>
      <c r="AI443" s="318"/>
      <c r="AJ443" s="318"/>
      <c r="AK443" s="318"/>
      <c r="AL443" s="318"/>
    </row>
    <row r="444" spans="1:38" ht="20.100000000000001" customHeight="1">
      <c r="A444" s="767"/>
      <c r="E444" s="322"/>
      <c r="F444" s="322"/>
      <c r="G444" s="315"/>
      <c r="N444" s="316" t="s">
        <v>3306</v>
      </c>
      <c r="P444" s="387" t="e">
        <f>"1,3 . "&amp;O439&amp;" . "&amp;U440</f>
        <v>#N/A</v>
      </c>
      <c r="Q444" s="316"/>
      <c r="R444" s="318"/>
      <c r="S444" s="318"/>
      <c r="T444" s="318"/>
      <c r="U444" s="318"/>
      <c r="V444" s="318"/>
      <c r="W444" s="318"/>
      <c r="X444" s="376"/>
      <c r="Y444" s="318"/>
      <c r="Z444" s="318"/>
      <c r="AA444" s="318"/>
      <c r="AG444" s="318"/>
      <c r="AH444" s="318"/>
      <c r="AI444" s="318"/>
      <c r="AJ444" s="318"/>
      <c r="AK444" s="318"/>
      <c r="AL444" s="318"/>
    </row>
    <row r="445" spans="1:38" ht="20.100000000000001" customHeight="1">
      <c r="A445" s="767"/>
      <c r="E445" s="322"/>
      <c r="F445" s="322"/>
      <c r="G445" s="315"/>
      <c r="N445" s="316" t="s">
        <v>3306</v>
      </c>
      <c r="P445" s="1891" t="e">
        <f>1.3*O439*U440</f>
        <v>#N/A</v>
      </c>
      <c r="Q445" s="1891"/>
      <c r="R445" s="1891"/>
      <c r="S445" s="1891"/>
      <c r="T445" s="1891"/>
      <c r="U445" s="1891"/>
      <c r="V445" s="1891"/>
      <c r="W445" s="1891"/>
      <c r="X445" s="1891"/>
      <c r="Y445" s="1891"/>
      <c r="Z445" s="1891"/>
      <c r="AA445" s="1891"/>
      <c r="AB445" s="1891"/>
      <c r="AC445" s="1891"/>
      <c r="AD445" s="1891"/>
      <c r="AE445" s="1891"/>
      <c r="AF445" s="1891"/>
      <c r="AG445" s="1891"/>
      <c r="AH445" s="1891"/>
      <c r="AI445" s="1891"/>
      <c r="AJ445" s="1891"/>
      <c r="AK445" s="1891"/>
      <c r="AL445" s="1891"/>
    </row>
    <row r="446" spans="1:38" ht="20.100000000000001" customHeight="1">
      <c r="A446" s="767"/>
      <c r="D446" s="316"/>
      <c r="E446" s="316"/>
      <c r="F446" s="315" t="s">
        <v>1632</v>
      </c>
      <c r="H446" s="316"/>
      <c r="I446" s="316"/>
      <c r="J446" s="316"/>
      <c r="K446" s="316"/>
      <c r="L446" s="316"/>
      <c r="M446" s="316"/>
      <c r="N446" s="316"/>
      <c r="P446" s="391"/>
      <c r="Q446" s="391"/>
      <c r="R446" s="391"/>
      <c r="S446" s="391"/>
      <c r="T446" s="391"/>
      <c r="U446" s="318"/>
      <c r="V446" s="397"/>
      <c r="W446" s="397"/>
      <c r="X446" s="397"/>
      <c r="Y446" s="397"/>
      <c r="Z446" s="397"/>
      <c r="AA446" s="397"/>
      <c r="AB446" s="397"/>
      <c r="AC446" s="397"/>
      <c r="AD446" s="397"/>
      <c r="AE446" s="397"/>
      <c r="AF446" s="397"/>
      <c r="AG446" s="397"/>
      <c r="AH446" s="397"/>
      <c r="AI446" s="397"/>
      <c r="AJ446" s="397"/>
      <c r="AK446" s="397"/>
      <c r="AL446" s="397"/>
    </row>
    <row r="447" spans="1:38" ht="20.100000000000001" customHeight="1">
      <c r="A447" s="767"/>
      <c r="D447" s="322"/>
      <c r="E447" s="322"/>
      <c r="F447" s="322"/>
      <c r="G447" s="315"/>
      <c r="H447" s="322"/>
      <c r="I447" s="322"/>
      <c r="J447" s="322"/>
      <c r="K447" s="322"/>
      <c r="L447" s="1862" t="s">
        <v>5964</v>
      </c>
      <c r="M447" s="1862"/>
      <c r="N447" s="1862" t="s">
        <v>3306</v>
      </c>
      <c r="O447" s="1863" t="s">
        <v>1628</v>
      </c>
      <c r="P447" s="1863"/>
      <c r="Q447" s="1862" t="s">
        <v>3306</v>
      </c>
      <c r="R447" s="1892" t="e">
        <f>P445</f>
        <v>#N/A</v>
      </c>
      <c r="S447" s="1892"/>
      <c r="T447" s="1892"/>
      <c r="U447" s="1892"/>
      <c r="V447" s="1892"/>
      <c r="W447" s="1892"/>
    </row>
    <row r="448" spans="1:38" ht="20.100000000000001" customHeight="1">
      <c r="A448" s="767"/>
      <c r="D448" s="322"/>
      <c r="E448" s="322"/>
      <c r="F448" s="322"/>
      <c r="G448" s="315"/>
      <c r="H448" s="322"/>
      <c r="I448" s="322"/>
      <c r="J448" s="322"/>
      <c r="K448" s="322"/>
      <c r="L448" s="1862"/>
      <c r="M448" s="1862"/>
      <c r="N448" s="1862"/>
      <c r="O448" s="1857" t="s">
        <v>4927</v>
      </c>
      <c r="P448" s="1857"/>
      <c r="Q448" s="1862"/>
      <c r="R448" s="1857">
        <f>U440</f>
        <v>10</v>
      </c>
      <c r="S448" s="1857"/>
      <c r="T448" s="1857"/>
      <c r="U448" s="1857"/>
      <c r="V448" s="1857"/>
      <c r="W448" s="1857"/>
    </row>
    <row r="449" spans="1:38" ht="20.100000000000001" customHeight="1">
      <c r="A449" s="767"/>
      <c r="D449" s="316"/>
      <c r="E449" s="316"/>
      <c r="F449" s="315"/>
      <c r="H449" s="316"/>
      <c r="I449" s="316"/>
      <c r="J449" s="316"/>
      <c r="K449" s="316"/>
      <c r="L449" s="316"/>
      <c r="M449" s="316"/>
      <c r="N449" s="1862" t="s">
        <v>3306</v>
      </c>
      <c r="O449" s="1888" t="e">
        <f>ROUND(R447/R448,2)</f>
        <v>#N/A</v>
      </c>
      <c r="P449" s="1888"/>
      <c r="Q449" s="1888"/>
      <c r="R449" s="1888"/>
      <c r="S449" s="1888"/>
      <c r="T449" s="1888"/>
      <c r="U449" s="1888"/>
      <c r="V449" s="1862" t="s">
        <v>3306</v>
      </c>
      <c r="W449" s="1889" t="e">
        <f>ROUND(O449/9.81,2)</f>
        <v>#N/A</v>
      </c>
      <c r="X449" s="1889"/>
      <c r="Y449" s="1889"/>
      <c r="Z449" s="1889"/>
      <c r="AA449" s="1889"/>
      <c r="AB449" s="1889"/>
      <c r="AC449" s="1889"/>
      <c r="AD449" s="397"/>
      <c r="AE449" s="397"/>
      <c r="AF449" s="397"/>
      <c r="AG449" s="397"/>
      <c r="AH449" s="397"/>
      <c r="AI449" s="397"/>
      <c r="AJ449" s="397"/>
      <c r="AK449" s="397"/>
      <c r="AL449" s="397"/>
    </row>
    <row r="450" spans="1:38" ht="20.100000000000001" customHeight="1">
      <c r="A450" s="767"/>
      <c r="D450" s="316"/>
      <c r="E450" s="316"/>
      <c r="F450" s="315"/>
      <c r="H450" s="316"/>
      <c r="I450" s="316"/>
      <c r="J450" s="316"/>
      <c r="K450" s="316"/>
      <c r="L450" s="316"/>
      <c r="M450" s="316"/>
      <c r="N450" s="1862"/>
      <c r="O450" s="1888"/>
      <c r="P450" s="1888"/>
      <c r="Q450" s="1888"/>
      <c r="R450" s="1888"/>
      <c r="S450" s="1888"/>
      <c r="T450" s="1888"/>
      <c r="U450" s="1888"/>
      <c r="V450" s="1862"/>
      <c r="W450" s="1889"/>
      <c r="X450" s="1889"/>
      <c r="Y450" s="1889"/>
      <c r="Z450" s="1889"/>
      <c r="AA450" s="1889"/>
      <c r="AB450" s="1889"/>
      <c r="AC450" s="1889"/>
      <c r="AD450" s="397"/>
      <c r="AE450" s="397"/>
      <c r="AF450" s="397"/>
      <c r="AG450" s="397"/>
      <c r="AH450" s="397"/>
      <c r="AI450" s="397"/>
      <c r="AJ450" s="397"/>
      <c r="AK450" s="397"/>
      <c r="AL450" s="397"/>
    </row>
    <row r="451" spans="1:38" ht="20.100000000000001" customHeight="1">
      <c r="A451" s="767"/>
      <c r="D451" s="322"/>
      <c r="E451" s="322"/>
      <c r="F451" s="1886" t="e">
        <f>W449</f>
        <v>#N/A</v>
      </c>
      <c r="G451" s="1886"/>
      <c r="H451" s="1886"/>
      <c r="I451" s="1886"/>
      <c r="J451" s="1886"/>
      <c r="K451" s="1886"/>
      <c r="L451" s="1886"/>
      <c r="M451" s="374"/>
      <c r="N451" s="316" t="s">
        <v>313</v>
      </c>
      <c r="P451" s="1887">
        <f>IF(NL!U48="BTLT 10,5m", 520,IF(NL!U48="BTLT 12m", 900,IF(NL!U48="BTLT 14m",1100,IF(NL!U48="BTLT 20m",1300,""))))</f>
        <v>900</v>
      </c>
      <c r="Q451" s="1887"/>
      <c r="R451" s="1887"/>
      <c r="S451" s="1887"/>
      <c r="T451" s="1887"/>
      <c r="U451" s="1887"/>
      <c r="V451" s="368"/>
      <c r="X451" s="318"/>
      <c r="Y451" s="318"/>
      <c r="Z451" s="318"/>
      <c r="AA451" s="318"/>
      <c r="AB451" s="318"/>
      <c r="AC451" s="318"/>
      <c r="AD451" s="318"/>
      <c r="AE451" s="318"/>
      <c r="AF451" s="318"/>
      <c r="AG451" s="318"/>
      <c r="AH451" s="318"/>
      <c r="AI451" s="318"/>
      <c r="AJ451" s="318"/>
      <c r="AK451" s="318"/>
      <c r="AL451" s="318"/>
    </row>
    <row r="452" spans="1:38" ht="20.100000000000001" customHeight="1">
      <c r="A452" s="767"/>
      <c r="D452" s="322"/>
      <c r="E452" s="322"/>
      <c r="F452" s="322"/>
      <c r="I452" s="322"/>
      <c r="L452" s="318" t="s">
        <v>5964</v>
      </c>
      <c r="N452" s="316" t="s">
        <v>313</v>
      </c>
      <c r="P452" s="314" t="s">
        <v>1633</v>
      </c>
      <c r="X452" s="318"/>
      <c r="Y452" s="318"/>
      <c r="Z452" s="318"/>
      <c r="AA452" s="318"/>
      <c r="AB452" s="318"/>
      <c r="AC452" s="318"/>
      <c r="AD452" s="318"/>
      <c r="AE452" s="318"/>
      <c r="AF452" s="318"/>
      <c r="AG452" s="318"/>
      <c r="AH452" s="318"/>
      <c r="AI452" s="318"/>
      <c r="AJ452" s="318"/>
      <c r="AK452" s="318"/>
      <c r="AL452" s="318"/>
    </row>
    <row r="453" spans="1:38" ht="20.100000000000001" customHeight="1">
      <c r="A453" s="767"/>
      <c r="D453" s="316"/>
      <c r="E453" s="316"/>
      <c r="F453" s="322" t="s">
        <v>5852</v>
      </c>
      <c r="H453" s="316"/>
      <c r="I453" s="316"/>
      <c r="J453" s="316"/>
      <c r="K453" s="316"/>
      <c r="L453" s="316"/>
      <c r="M453" s="316"/>
      <c r="N453" s="316"/>
      <c r="T453" s="396"/>
      <c r="U453" s="396"/>
      <c r="V453" s="396"/>
      <c r="W453" s="396"/>
      <c r="X453" s="396"/>
      <c r="Y453" s="396"/>
      <c r="Z453" s="396"/>
      <c r="AA453" s="396"/>
      <c r="AB453" s="396"/>
      <c r="AC453" s="396"/>
      <c r="AD453" s="396"/>
      <c r="AE453" s="404"/>
      <c r="AF453" s="404"/>
      <c r="AG453" s="404"/>
      <c r="AH453" s="404"/>
      <c r="AI453" s="404"/>
      <c r="AJ453" s="404"/>
      <c r="AK453" s="404"/>
      <c r="AL453" s="404"/>
    </row>
    <row r="454" spans="1:38" ht="20.100000000000001" customHeight="1">
      <c r="A454" s="767"/>
      <c r="D454" s="316"/>
      <c r="E454" s="316"/>
      <c r="F454" s="322"/>
      <c r="H454" s="316"/>
      <c r="I454" s="316"/>
      <c r="J454" s="316"/>
      <c r="K454" s="316"/>
      <c r="L454" s="316"/>
      <c r="M454" s="316"/>
      <c r="N454" s="316"/>
      <c r="T454" s="396"/>
      <c r="U454" s="396"/>
      <c r="V454" s="396"/>
      <c r="W454" s="396"/>
      <c r="X454" s="396"/>
      <c r="Y454" s="396"/>
      <c r="Z454" s="396"/>
      <c r="AA454" s="396"/>
      <c r="AB454" s="396"/>
      <c r="AC454" s="396"/>
      <c r="AD454" s="396"/>
      <c r="AE454" s="404"/>
      <c r="AF454" s="404"/>
      <c r="AG454" s="404"/>
      <c r="AH454" s="404"/>
      <c r="AI454" s="404"/>
      <c r="AJ454" s="404"/>
      <c r="AK454" s="404"/>
      <c r="AL454" s="404"/>
    </row>
    <row r="455" spans="1:38" ht="20.100000000000001" customHeight="1">
      <c r="A455" s="767"/>
      <c r="E455" s="322" t="s">
        <v>4896</v>
      </c>
      <c r="G455" s="315"/>
      <c r="L455" s="318"/>
      <c r="M455" s="318"/>
      <c r="N455" s="316"/>
      <c r="O455" s="316"/>
      <c r="P455" s="316"/>
      <c r="Q455" s="316"/>
      <c r="R455" s="318"/>
      <c r="S455" s="318"/>
      <c r="T455" s="318"/>
      <c r="U455" s="318"/>
      <c r="V455" s="318"/>
      <c r="W455" s="318"/>
      <c r="X455" s="318"/>
      <c r="Y455" s="318"/>
      <c r="Z455" s="318"/>
      <c r="AA455" s="318"/>
      <c r="AB455" s="318"/>
      <c r="AC455" s="318"/>
      <c r="AD455" s="318"/>
      <c r="AE455" s="318"/>
      <c r="AF455" s="318"/>
      <c r="AG455" s="318"/>
      <c r="AH455" s="318"/>
      <c r="AI455" s="318"/>
      <c r="AJ455" s="318"/>
      <c r="AK455" s="318"/>
      <c r="AL455" s="318"/>
    </row>
    <row r="456" spans="1:38" ht="20.100000000000001" customHeight="1">
      <c r="A456" s="767"/>
      <c r="F456" s="322" t="s">
        <v>3681</v>
      </c>
      <c r="G456" s="315"/>
      <c r="L456" s="318"/>
      <c r="M456" s="318"/>
      <c r="N456" s="316"/>
      <c r="O456" s="316"/>
      <c r="P456" s="316"/>
      <c r="Q456" s="316"/>
      <c r="R456" s="318"/>
      <c r="S456" s="318"/>
      <c r="T456" s="318"/>
      <c r="U456" s="318"/>
      <c r="V456" s="318"/>
      <c r="W456" s="318"/>
      <c r="X456" s="318"/>
      <c r="Y456" s="318"/>
      <c r="Z456" s="318"/>
      <c r="AA456" s="318"/>
      <c r="AB456" s="318"/>
      <c r="AC456" s="318"/>
      <c r="AD456" s="318"/>
      <c r="AE456" s="318"/>
      <c r="AF456" s="318"/>
      <c r="AG456" s="318"/>
      <c r="AH456" s="318"/>
      <c r="AI456" s="318"/>
      <c r="AJ456" s="318"/>
      <c r="AK456" s="318"/>
      <c r="AL456" s="318"/>
    </row>
    <row r="457" spans="1:38" ht="20.100000000000001" customHeight="1">
      <c r="A457" s="767"/>
      <c r="F457" s="321" t="s">
        <v>5849</v>
      </c>
      <c r="G457" s="315"/>
      <c r="L457" s="318"/>
      <c r="M457" s="318"/>
      <c r="N457" s="316"/>
      <c r="O457" s="316"/>
      <c r="P457" s="316"/>
      <c r="Q457" s="316"/>
      <c r="R457" s="318"/>
      <c r="S457" s="318"/>
      <c r="T457" s="318"/>
      <c r="U457" s="318"/>
      <c r="V457" s="318"/>
      <c r="W457" s="318"/>
      <c r="X457" s="318"/>
      <c r="Y457" s="318"/>
      <c r="Z457" s="318"/>
      <c r="AA457" s="318"/>
      <c r="AB457" s="318"/>
      <c r="AC457" s="318"/>
      <c r="AD457" s="318"/>
      <c r="AE457" s="318"/>
      <c r="AF457" s="318"/>
      <c r="AG457" s="318"/>
      <c r="AH457" s="318"/>
      <c r="AI457" s="318"/>
      <c r="AJ457" s="318"/>
      <c r="AK457" s="318"/>
      <c r="AL457" s="318"/>
    </row>
    <row r="458" spans="1:38" ht="20.100000000000001" customHeight="1">
      <c r="A458" s="767"/>
      <c r="F458" s="315" t="s">
        <v>1476</v>
      </c>
      <c r="G458" s="315"/>
      <c r="L458" s="318"/>
      <c r="M458" s="318"/>
      <c r="N458" s="316"/>
      <c r="O458" s="316"/>
      <c r="P458" s="316"/>
      <c r="Q458" s="316"/>
      <c r="R458" s="318"/>
      <c r="S458" s="318"/>
      <c r="T458" s="318"/>
      <c r="U458" s="318"/>
      <c r="V458" s="318"/>
      <c r="W458" s="318"/>
      <c r="X458" s="318"/>
      <c r="Y458" s="318"/>
      <c r="Z458" s="318"/>
      <c r="AA458" s="318"/>
      <c r="AB458" s="318"/>
      <c r="AC458" s="318"/>
      <c r="AD458" s="318"/>
      <c r="AE458" s="318"/>
      <c r="AF458" s="318"/>
      <c r="AG458" s="318"/>
      <c r="AH458" s="318"/>
      <c r="AI458" s="318"/>
      <c r="AJ458" s="318"/>
      <c r="AK458" s="318"/>
      <c r="AL458" s="318"/>
    </row>
    <row r="459" spans="1:38" ht="20.100000000000001" customHeight="1">
      <c r="A459" s="767"/>
      <c r="E459" s="322"/>
      <c r="F459" s="322"/>
      <c r="G459" s="315"/>
      <c r="L459" s="314" t="s">
        <v>1477</v>
      </c>
      <c r="N459" s="314" t="s">
        <v>3306</v>
      </c>
      <c r="O459" s="314" t="str">
        <f>IF(NL!U45=22,"3.","")</f>
        <v>3.</v>
      </c>
      <c r="P459" s="1859" t="s">
        <v>438</v>
      </c>
      <c r="Q459" s="1859"/>
      <c r="R459" s="1859"/>
      <c r="S459" s="1859"/>
      <c r="T459" s="315" t="s">
        <v>5644</v>
      </c>
      <c r="U459" s="1859" t="s">
        <v>440</v>
      </c>
      <c r="V459" s="1859"/>
      <c r="W459" s="1859"/>
      <c r="X459" s="1859"/>
      <c r="Y459" s="318"/>
      <c r="Z459" s="318"/>
      <c r="AA459" s="318"/>
      <c r="AB459" s="318"/>
      <c r="AC459" s="318"/>
      <c r="AD459" s="318"/>
      <c r="AE459" s="318"/>
      <c r="AF459" s="318"/>
      <c r="AG459" s="318"/>
      <c r="AH459" s="318"/>
      <c r="AI459" s="318"/>
      <c r="AJ459" s="318"/>
      <c r="AK459" s="318"/>
      <c r="AL459" s="318"/>
    </row>
    <row r="460" spans="1:38" ht="20.100000000000001" customHeight="1">
      <c r="A460" s="767"/>
      <c r="E460" s="322"/>
      <c r="F460" s="322"/>
      <c r="G460" s="315"/>
      <c r="L460" s="314" t="s">
        <v>1477</v>
      </c>
      <c r="N460" s="314" t="s">
        <v>3306</v>
      </c>
      <c r="O460" s="314" t="str">
        <f>IF(NL!U45=22,"3.","")</f>
        <v>3.</v>
      </c>
      <c r="P460" s="1859" t="s">
        <v>441</v>
      </c>
      <c r="Q460" s="1859"/>
      <c r="R460" s="1859"/>
      <c r="S460" s="1859"/>
      <c r="T460" s="326" t="s">
        <v>5644</v>
      </c>
      <c r="U460" s="1859" t="s">
        <v>442</v>
      </c>
      <c r="V460" s="1859"/>
      <c r="W460" s="1859"/>
      <c r="X460" s="1859"/>
      <c r="Y460" s="318"/>
      <c r="Z460" s="318"/>
      <c r="AA460" s="318"/>
      <c r="AB460" s="318"/>
      <c r="AC460" s="318"/>
      <c r="AD460" s="318"/>
      <c r="AE460" s="318"/>
      <c r="AF460" s="318"/>
      <c r="AG460" s="318"/>
      <c r="AH460" s="318"/>
      <c r="AI460" s="318"/>
      <c r="AJ460" s="318"/>
      <c r="AK460" s="318"/>
      <c r="AL460" s="318"/>
    </row>
    <row r="461" spans="1:38" ht="20.100000000000001" customHeight="1">
      <c r="A461" s="767"/>
      <c r="E461" s="322"/>
      <c r="F461" s="322"/>
      <c r="G461" s="315"/>
      <c r="L461" s="314" t="s">
        <v>1477</v>
      </c>
      <c r="N461" s="314" t="s">
        <v>3306</v>
      </c>
      <c r="O461" s="314" t="str">
        <f>IF(NL!U45=22,"3.","")</f>
        <v>3.</v>
      </c>
      <c r="P461" s="1893" t="e">
        <f>N303&amp;" . "&amp;VLOOKUP(NL!U46,NL!BY80:CE116,NL!CA76,FALSE)</f>
        <v>#N/A</v>
      </c>
      <c r="Q461" s="1893"/>
      <c r="R461" s="1893"/>
      <c r="S461" s="1893"/>
      <c r="T461" s="1893"/>
      <c r="U461" s="315" t="s">
        <v>5644</v>
      </c>
      <c r="V461" s="1893" t="e">
        <f>N303&amp;" . "&amp;VLOOKUP(NL!U47,NL!BY80:CE116,NL!CA76,FALSE)</f>
        <v>#N/A</v>
      </c>
      <c r="W461" s="1893"/>
      <c r="X461" s="1893"/>
      <c r="Y461" s="1893"/>
      <c r="Z461" s="1893"/>
      <c r="AA461" s="318"/>
      <c r="AB461" s="318"/>
      <c r="AC461" s="318"/>
      <c r="AI461" s="318"/>
      <c r="AJ461" s="318"/>
      <c r="AK461" s="318"/>
      <c r="AL461" s="318"/>
    </row>
    <row r="462" spans="1:38" ht="20.100000000000001" customHeight="1">
      <c r="A462" s="767"/>
      <c r="E462" s="322"/>
      <c r="F462" s="322"/>
      <c r="G462" s="315"/>
      <c r="L462" s="314" t="s">
        <v>1477</v>
      </c>
      <c r="M462" s="318"/>
      <c r="N462" s="316" t="s">
        <v>3306</v>
      </c>
      <c r="O462" s="1890" t="e">
        <f>ROUND(((IF(NL!U45=22,3,1)*(N303*VLOOKUP(NL!U46,NL!BY80:CE116,NL!CA76,FALSE)))+((N303*VLOOKUP(NL!U47,NL!BY80:CE116,NL!CA76,FALSE)))),2)</f>
        <v>#N/A</v>
      </c>
      <c r="P462" s="1890"/>
      <c r="Q462" s="1890"/>
      <c r="R462" s="1890"/>
      <c r="S462" s="1890"/>
      <c r="T462" s="1890"/>
      <c r="U462" s="318" t="s">
        <v>443</v>
      </c>
      <c r="V462" s="318"/>
      <c r="W462" s="318"/>
      <c r="X462" s="318"/>
      <c r="Y462" s="318"/>
      <c r="Z462" s="318"/>
      <c r="AA462" s="318"/>
      <c r="AB462" s="318"/>
      <c r="AC462" s="318"/>
      <c r="AD462" s="318"/>
      <c r="AE462" s="318"/>
      <c r="AF462" s="318"/>
      <c r="AG462" s="318"/>
      <c r="AH462" s="318"/>
      <c r="AI462" s="318"/>
      <c r="AJ462" s="318"/>
      <c r="AK462" s="318"/>
      <c r="AL462" s="318"/>
    </row>
    <row r="463" spans="1:38" ht="20.100000000000001" customHeight="1">
      <c r="A463" s="767"/>
      <c r="D463" s="316"/>
      <c r="E463" s="316"/>
      <c r="F463" s="315" t="s">
        <v>4923</v>
      </c>
      <c r="H463" s="316"/>
      <c r="I463" s="316"/>
      <c r="J463" s="316"/>
      <c r="K463" s="316"/>
      <c r="L463" s="316"/>
      <c r="M463" s="316"/>
      <c r="N463" s="316"/>
      <c r="R463" s="314" t="s">
        <v>5242</v>
      </c>
      <c r="T463" s="314" t="s">
        <v>3306</v>
      </c>
      <c r="U463" s="1858">
        <f>VLOOKUP(NL!U48,NL!CE4:CK7,2)-VLOOKUP(NL!U48,NL!CE4:CK7,6)</f>
        <v>10</v>
      </c>
      <c r="V463" s="1858"/>
      <c r="W463" s="1858"/>
      <c r="X463" s="314" t="s">
        <v>2550</v>
      </c>
      <c r="Z463" s="401"/>
      <c r="AA463" s="401"/>
      <c r="AB463" s="380"/>
      <c r="AC463" s="402"/>
      <c r="AH463" s="380"/>
      <c r="AI463" s="380"/>
      <c r="AJ463" s="380"/>
      <c r="AK463" s="380"/>
      <c r="AL463" s="380"/>
    </row>
    <row r="464" spans="1:38" ht="20.100000000000001" customHeight="1">
      <c r="A464" s="767"/>
      <c r="D464" s="316"/>
      <c r="E464" s="316"/>
      <c r="F464" s="322" t="s">
        <v>5243</v>
      </c>
      <c r="H464" s="316"/>
      <c r="I464" s="316"/>
      <c r="J464" s="316"/>
      <c r="K464" s="316"/>
      <c r="L464" s="316"/>
      <c r="M464" s="316"/>
      <c r="N464" s="316"/>
      <c r="T464" s="396"/>
      <c r="U464" s="396"/>
      <c r="V464" s="396"/>
      <c r="W464" s="396"/>
      <c r="X464" s="396"/>
      <c r="Y464" s="396"/>
      <c r="Z464" s="396"/>
      <c r="AA464" s="396"/>
      <c r="AB464" s="396"/>
      <c r="AC464" s="396"/>
      <c r="AD464" s="396"/>
      <c r="AE464" s="404"/>
      <c r="AF464" s="404"/>
      <c r="AG464" s="404"/>
      <c r="AH464" s="404"/>
      <c r="AI464" s="404"/>
      <c r="AJ464" s="404"/>
      <c r="AK464" s="404"/>
      <c r="AL464" s="404"/>
    </row>
    <row r="465" spans="1:38" ht="20.100000000000001" customHeight="1">
      <c r="A465" s="767"/>
      <c r="E465" s="322"/>
      <c r="F465" s="322"/>
      <c r="G465" s="315"/>
      <c r="L465" s="314" t="s">
        <v>1628</v>
      </c>
      <c r="M465" s="318"/>
      <c r="N465" s="316" t="s">
        <v>3306</v>
      </c>
      <c r="P465" s="314" t="s">
        <v>5850</v>
      </c>
      <c r="Q465" s="316"/>
      <c r="R465" s="318"/>
      <c r="S465" s="318"/>
      <c r="T465" s="318"/>
      <c r="U465" s="318"/>
      <c r="V465" s="318"/>
      <c r="W465" s="318"/>
      <c r="X465" s="318"/>
      <c r="Y465" s="318"/>
      <c r="Z465" s="318"/>
      <c r="AA465" s="318"/>
      <c r="AB465" s="318"/>
      <c r="AC465" s="318"/>
      <c r="AD465" s="318"/>
      <c r="AE465" s="318"/>
      <c r="AF465" s="318"/>
      <c r="AG465" s="318"/>
      <c r="AH465" s="318"/>
      <c r="AI465" s="318"/>
      <c r="AJ465" s="318"/>
      <c r="AK465" s="318"/>
      <c r="AL465" s="318"/>
    </row>
    <row r="466" spans="1:38" ht="20.100000000000001" customHeight="1">
      <c r="A466" s="767"/>
      <c r="E466" s="322"/>
      <c r="F466" s="322"/>
      <c r="G466" s="315"/>
      <c r="M466" s="318"/>
      <c r="N466" s="316" t="s">
        <v>3306</v>
      </c>
      <c r="P466" s="314" t="s">
        <v>5851</v>
      </c>
      <c r="Q466" s="316"/>
      <c r="R466" s="318"/>
      <c r="S466" s="318"/>
      <c r="T466" s="318"/>
      <c r="U466" s="318"/>
      <c r="V466" s="318"/>
      <c r="W466" s="318"/>
      <c r="X466" s="318"/>
      <c r="Y466" s="318"/>
      <c r="Z466" s="318"/>
      <c r="AA466" s="318"/>
      <c r="AB466" s="318"/>
      <c r="AC466" s="318"/>
      <c r="AD466" s="318"/>
      <c r="AE466" s="318"/>
      <c r="AF466" s="318"/>
      <c r="AG466" s="318"/>
      <c r="AH466" s="318"/>
      <c r="AI466" s="318"/>
      <c r="AJ466" s="318"/>
      <c r="AK466" s="318"/>
      <c r="AL466" s="318"/>
    </row>
    <row r="467" spans="1:38" ht="20.100000000000001" customHeight="1">
      <c r="A467" s="767"/>
      <c r="E467" s="322"/>
      <c r="F467" s="322"/>
      <c r="G467" s="315"/>
      <c r="N467" s="316" t="s">
        <v>3306</v>
      </c>
      <c r="P467" s="387" t="e">
        <f>"1,3 . "&amp;O462&amp;" . "&amp;U463</f>
        <v>#N/A</v>
      </c>
      <c r="Q467" s="316"/>
      <c r="R467" s="318"/>
      <c r="S467" s="318"/>
      <c r="T467" s="318"/>
      <c r="U467" s="318"/>
      <c r="V467" s="318"/>
      <c r="W467" s="318"/>
      <c r="X467" s="376"/>
      <c r="Y467" s="318"/>
      <c r="Z467" s="318"/>
      <c r="AA467" s="318"/>
      <c r="AG467" s="318"/>
      <c r="AH467" s="318"/>
      <c r="AI467" s="318"/>
      <c r="AJ467" s="318"/>
      <c r="AK467" s="318"/>
      <c r="AL467" s="318"/>
    </row>
    <row r="468" spans="1:38" ht="20.100000000000001" customHeight="1">
      <c r="A468" s="767"/>
      <c r="E468" s="322"/>
      <c r="F468" s="322"/>
      <c r="G468" s="315"/>
      <c r="N468" s="316" t="s">
        <v>3306</v>
      </c>
      <c r="P468" s="1891" t="e">
        <f>1.3*O462*U463</f>
        <v>#N/A</v>
      </c>
      <c r="Q468" s="1891"/>
      <c r="R468" s="1891"/>
      <c r="S468" s="1891"/>
      <c r="T468" s="1891"/>
      <c r="U468" s="1891"/>
      <c r="V468" s="1891"/>
      <c r="W468" s="1891"/>
      <c r="X468" s="1891"/>
      <c r="Y468" s="1891"/>
      <c r="Z468" s="1891"/>
      <c r="AA468" s="1891"/>
      <c r="AB468" s="1891"/>
      <c r="AC468" s="1891"/>
      <c r="AD468" s="1891"/>
      <c r="AE468" s="1891"/>
      <c r="AF468" s="1891"/>
      <c r="AG468" s="1891"/>
      <c r="AH468" s="1891"/>
      <c r="AI468" s="1891"/>
      <c r="AJ468" s="1891"/>
      <c r="AK468" s="1891"/>
      <c r="AL468" s="1891"/>
    </row>
    <row r="469" spans="1:38" ht="20.100000000000001" customHeight="1">
      <c r="A469" s="767"/>
      <c r="D469" s="316"/>
      <c r="E469" s="316"/>
      <c r="F469" s="315" t="s">
        <v>1632</v>
      </c>
      <c r="H469" s="316"/>
      <c r="I469" s="316"/>
      <c r="J469" s="316"/>
      <c r="K469" s="316"/>
      <c r="L469" s="316"/>
      <c r="M469" s="316"/>
      <c r="N469" s="316"/>
      <c r="P469" s="391"/>
      <c r="Q469" s="391"/>
      <c r="R469" s="391"/>
      <c r="S469" s="391"/>
      <c r="T469" s="391"/>
      <c r="U469" s="318"/>
      <c r="V469" s="397"/>
      <c r="W469" s="397"/>
      <c r="X469" s="397"/>
      <c r="Y469" s="397"/>
      <c r="Z469" s="397"/>
      <c r="AA469" s="397"/>
      <c r="AB469" s="397"/>
      <c r="AC469" s="397"/>
      <c r="AD469" s="397"/>
      <c r="AE469" s="397"/>
      <c r="AF469" s="397"/>
      <c r="AG469" s="397"/>
      <c r="AH469" s="397"/>
      <c r="AI469" s="397"/>
      <c r="AJ469" s="397"/>
      <c r="AK469" s="397"/>
      <c r="AL469" s="397"/>
    </row>
    <row r="470" spans="1:38" ht="20.100000000000001" customHeight="1">
      <c r="A470" s="767"/>
      <c r="D470" s="322"/>
      <c r="E470" s="322"/>
      <c r="F470" s="322"/>
      <c r="G470" s="315"/>
      <c r="H470" s="322"/>
      <c r="I470" s="322"/>
      <c r="J470" s="322"/>
      <c r="K470" s="322"/>
      <c r="L470" s="1862" t="s">
        <v>5964</v>
      </c>
      <c r="M470" s="1862"/>
      <c r="N470" s="1862" t="s">
        <v>3306</v>
      </c>
      <c r="O470" s="1863" t="s">
        <v>1628</v>
      </c>
      <c r="P470" s="1863"/>
      <c r="Q470" s="1862" t="s">
        <v>3306</v>
      </c>
      <c r="R470" s="1892" t="e">
        <f>P468</f>
        <v>#N/A</v>
      </c>
      <c r="S470" s="1892"/>
      <c r="T470" s="1892"/>
      <c r="U470" s="1892"/>
      <c r="V470" s="1892"/>
      <c r="W470" s="1892"/>
    </row>
    <row r="471" spans="1:38" ht="20.100000000000001" customHeight="1">
      <c r="A471" s="767"/>
      <c r="D471" s="322"/>
      <c r="E471" s="322"/>
      <c r="F471" s="322"/>
      <c r="G471" s="315"/>
      <c r="H471" s="322"/>
      <c r="I471" s="322"/>
      <c r="J471" s="322"/>
      <c r="K471" s="322"/>
      <c r="L471" s="1862"/>
      <c r="M471" s="1862"/>
      <c r="N471" s="1862"/>
      <c r="O471" s="1857" t="s">
        <v>4927</v>
      </c>
      <c r="P471" s="1857"/>
      <c r="Q471" s="1862"/>
      <c r="R471" s="1857">
        <f>U463</f>
        <v>10</v>
      </c>
      <c r="S471" s="1857"/>
      <c r="T471" s="1857"/>
      <c r="U471" s="1857"/>
      <c r="V471" s="1857"/>
      <c r="W471" s="1857"/>
    </row>
    <row r="472" spans="1:38" ht="20.100000000000001" customHeight="1">
      <c r="A472" s="767"/>
      <c r="D472" s="316"/>
      <c r="E472" s="316"/>
      <c r="F472" s="315"/>
      <c r="H472" s="316"/>
      <c r="I472" s="316"/>
      <c r="J472" s="316"/>
      <c r="K472" s="316"/>
      <c r="L472" s="316"/>
      <c r="M472" s="316"/>
      <c r="N472" s="1862" t="s">
        <v>3306</v>
      </c>
      <c r="O472" s="1888" t="e">
        <f>ROUND(R470/R471,2)</f>
        <v>#N/A</v>
      </c>
      <c r="P472" s="1888"/>
      <c r="Q472" s="1888"/>
      <c r="R472" s="1888"/>
      <c r="S472" s="1888"/>
      <c r="T472" s="1888"/>
      <c r="U472" s="1888"/>
      <c r="V472" s="1862" t="s">
        <v>3306</v>
      </c>
      <c r="W472" s="1889" t="e">
        <f>ROUND(O472/9.81,2)</f>
        <v>#N/A</v>
      </c>
      <c r="X472" s="1889"/>
      <c r="Y472" s="1889"/>
      <c r="Z472" s="1889"/>
      <c r="AA472" s="1889"/>
      <c r="AB472" s="1889"/>
      <c r="AC472" s="1889"/>
      <c r="AD472" s="397"/>
      <c r="AE472" s="397"/>
      <c r="AF472" s="397"/>
      <c r="AG472" s="397"/>
      <c r="AH472" s="397"/>
      <c r="AI472" s="397"/>
      <c r="AJ472" s="397"/>
      <c r="AK472" s="397"/>
      <c r="AL472" s="397"/>
    </row>
    <row r="473" spans="1:38" ht="20.100000000000001" customHeight="1">
      <c r="A473" s="767"/>
      <c r="D473" s="316"/>
      <c r="E473" s="316"/>
      <c r="F473" s="315"/>
      <c r="H473" s="316"/>
      <c r="I473" s="316"/>
      <c r="J473" s="316"/>
      <c r="K473" s="316"/>
      <c r="L473" s="316"/>
      <c r="M473" s="316"/>
      <c r="N473" s="1862"/>
      <c r="O473" s="1888"/>
      <c r="P473" s="1888"/>
      <c r="Q473" s="1888"/>
      <c r="R473" s="1888"/>
      <c r="S473" s="1888"/>
      <c r="T473" s="1888"/>
      <c r="U473" s="1888"/>
      <c r="V473" s="1862"/>
      <c r="W473" s="1889"/>
      <c r="X473" s="1889"/>
      <c r="Y473" s="1889"/>
      <c r="Z473" s="1889"/>
      <c r="AA473" s="1889"/>
      <c r="AB473" s="1889"/>
      <c r="AC473" s="1889"/>
      <c r="AD473" s="397"/>
      <c r="AE473" s="397"/>
      <c r="AF473" s="397"/>
      <c r="AG473" s="397"/>
      <c r="AH473" s="397"/>
      <c r="AI473" s="397"/>
      <c r="AJ473" s="397"/>
      <c r="AK473" s="397"/>
      <c r="AL473" s="397"/>
    </row>
    <row r="474" spans="1:38" ht="20.100000000000001" customHeight="1">
      <c r="A474" s="767"/>
      <c r="D474" s="322"/>
      <c r="E474" s="322"/>
      <c r="F474" s="1886" t="e">
        <f>W472</f>
        <v>#N/A</v>
      </c>
      <c r="G474" s="1886"/>
      <c r="H474" s="1886"/>
      <c r="I474" s="1886"/>
      <c r="J474" s="1886"/>
      <c r="K474" s="1886"/>
      <c r="L474" s="1886"/>
      <c r="M474" s="374"/>
      <c r="N474" s="316" t="s">
        <v>313</v>
      </c>
      <c r="P474" s="1887">
        <f>IF(NL!U48="BTLT 10,5m", 520,IF(NL!U48="BTLT 12m", 900,IF(NL!U48="BTLT 14m",1100,IF(NL!U48="BTLT 20m",1300,""))))</f>
        <v>900</v>
      </c>
      <c r="Q474" s="1887"/>
      <c r="R474" s="1887"/>
      <c r="S474" s="1887"/>
      <c r="T474" s="1887"/>
      <c r="U474" s="1887"/>
      <c r="V474" s="368"/>
      <c r="X474" s="318"/>
      <c r="Y474" s="318"/>
      <c r="Z474" s="318"/>
      <c r="AA474" s="318"/>
      <c r="AB474" s="318"/>
      <c r="AC474" s="318"/>
      <c r="AD474" s="318"/>
      <c r="AE474" s="318"/>
      <c r="AF474" s="318"/>
      <c r="AG474" s="318"/>
      <c r="AH474" s="318"/>
      <c r="AI474" s="318"/>
      <c r="AJ474" s="318"/>
      <c r="AK474" s="318"/>
      <c r="AL474" s="318"/>
    </row>
    <row r="475" spans="1:38" ht="20.100000000000001" customHeight="1">
      <c r="A475" s="767"/>
      <c r="D475" s="322"/>
      <c r="E475" s="322"/>
      <c r="F475" s="322"/>
      <c r="I475" s="322"/>
      <c r="L475" s="318" t="s">
        <v>5964</v>
      </c>
      <c r="N475" s="316" t="s">
        <v>313</v>
      </c>
      <c r="P475" s="314" t="s">
        <v>1633</v>
      </c>
      <c r="X475" s="318"/>
      <c r="Y475" s="318"/>
      <c r="Z475" s="318"/>
      <c r="AA475" s="318"/>
      <c r="AB475" s="318"/>
      <c r="AC475" s="318"/>
      <c r="AD475" s="318"/>
      <c r="AE475" s="318"/>
      <c r="AF475" s="318"/>
      <c r="AG475" s="318"/>
      <c r="AH475" s="318"/>
      <c r="AI475" s="318"/>
      <c r="AJ475" s="318"/>
      <c r="AK475" s="318"/>
      <c r="AL475" s="318"/>
    </row>
    <row r="476" spans="1:38" ht="20.100000000000001" customHeight="1">
      <c r="A476" s="767"/>
      <c r="D476" s="316"/>
      <c r="E476" s="316"/>
      <c r="F476" s="322" t="s">
        <v>2840</v>
      </c>
      <c r="H476" s="316"/>
      <c r="I476" s="316"/>
      <c r="J476" s="316"/>
      <c r="K476" s="316"/>
      <c r="L476" s="316"/>
      <c r="M476" s="316"/>
      <c r="N476" s="316"/>
      <c r="T476" s="396"/>
      <c r="U476" s="396"/>
      <c r="V476" s="396"/>
      <c r="W476" s="396"/>
      <c r="X476" s="396"/>
      <c r="Y476" s="396"/>
      <c r="Z476" s="396"/>
      <c r="AA476" s="396"/>
      <c r="AB476" s="396"/>
      <c r="AC476" s="396"/>
      <c r="AD476" s="396"/>
      <c r="AE476" s="404"/>
      <c r="AF476" s="404"/>
      <c r="AG476" s="404"/>
      <c r="AH476" s="404"/>
      <c r="AI476" s="404"/>
      <c r="AJ476" s="404"/>
      <c r="AK476" s="404"/>
      <c r="AL476" s="404"/>
    </row>
    <row r="477" spans="1:38" ht="20.100000000000001" customHeight="1">
      <c r="A477" s="767"/>
      <c r="D477" s="316"/>
      <c r="E477" s="316"/>
      <c r="F477" s="322"/>
      <c r="H477" s="316"/>
      <c r="I477" s="316"/>
      <c r="J477" s="316"/>
      <c r="K477" s="316"/>
      <c r="L477" s="316"/>
      <c r="M477" s="316"/>
      <c r="N477" s="316"/>
      <c r="T477" s="396"/>
      <c r="U477" s="396"/>
      <c r="V477" s="396"/>
      <c r="W477" s="396"/>
      <c r="X477" s="396"/>
      <c r="Y477" s="396"/>
      <c r="Z477" s="396"/>
      <c r="AA477" s="396"/>
      <c r="AB477" s="396"/>
      <c r="AC477" s="396"/>
      <c r="AD477" s="396"/>
      <c r="AE477" s="404"/>
      <c r="AF477" s="404"/>
      <c r="AG477" s="404"/>
      <c r="AH477" s="404"/>
      <c r="AI477" s="404"/>
      <c r="AJ477" s="404"/>
      <c r="AK477" s="404"/>
      <c r="AL477" s="404"/>
    </row>
    <row r="478" spans="1:38" s="405" customFormat="1" ht="20.100000000000001" customHeight="1">
      <c r="A478" s="768"/>
      <c r="D478" s="406" t="s">
        <v>2841</v>
      </c>
      <c r="E478" s="406"/>
      <c r="F478" s="406"/>
      <c r="G478" s="406"/>
      <c r="H478" s="406"/>
      <c r="I478" s="406"/>
      <c r="J478" s="406"/>
      <c r="K478" s="406"/>
      <c r="L478" s="406"/>
      <c r="M478" s="406"/>
      <c r="U478" s="499"/>
    </row>
    <row r="479" spans="1:38" s="405" customFormat="1" ht="20.100000000000001" customHeight="1">
      <c r="A479" s="768"/>
      <c r="E479" s="406" t="s">
        <v>2843</v>
      </c>
      <c r="G479" s="409"/>
      <c r="L479" s="408"/>
      <c r="M479" s="408"/>
      <c r="N479" s="407"/>
      <c r="O479" s="407"/>
      <c r="P479" s="407"/>
      <c r="Q479" s="407"/>
      <c r="R479" s="408"/>
      <c r="S479" s="408"/>
      <c r="T479" s="408"/>
      <c r="U479" s="408"/>
      <c r="V479" s="408"/>
      <c r="W479" s="408"/>
      <c r="X479" s="408"/>
      <c r="Y479" s="408"/>
      <c r="Z479" s="499"/>
      <c r="AA479" s="408"/>
      <c r="AB479" s="408"/>
      <c r="AC479" s="408"/>
      <c r="AD479" s="408"/>
      <c r="AE479" s="408"/>
      <c r="AF479" s="408"/>
      <c r="AG479" s="408"/>
      <c r="AH479" s="408"/>
      <c r="AI479" s="408"/>
      <c r="AJ479" s="408"/>
      <c r="AK479" s="408"/>
      <c r="AL479" s="408"/>
    </row>
    <row r="480" spans="1:38" s="405" customFormat="1" ht="20.100000000000001" customHeight="1">
      <c r="A480" s="768"/>
      <c r="E480" s="406"/>
      <c r="F480" s="405" t="s">
        <v>21</v>
      </c>
      <c r="G480" s="409"/>
      <c r="L480" s="408"/>
      <c r="M480" s="408"/>
      <c r="N480" s="407"/>
      <c r="O480" s="407"/>
      <c r="P480" s="407"/>
      <c r="Q480" s="407"/>
      <c r="R480" s="408"/>
      <c r="S480" s="408"/>
      <c r="T480" s="408"/>
      <c r="U480" s="408"/>
      <c r="V480" s="408"/>
      <c r="W480" s="408"/>
      <c r="X480" s="408"/>
      <c r="Y480" s="408"/>
      <c r="Z480" s="499"/>
      <c r="AA480" s="408"/>
      <c r="AB480" s="408"/>
      <c r="AC480" s="408"/>
      <c r="AD480" s="408"/>
      <c r="AE480" s="408"/>
      <c r="AF480" s="408"/>
      <c r="AG480" s="408"/>
      <c r="AH480" s="408"/>
      <c r="AI480" s="408"/>
      <c r="AJ480" s="408"/>
      <c r="AK480" s="408"/>
      <c r="AL480" s="408"/>
    </row>
    <row r="481" spans="1:38" s="405" customFormat="1" ht="20.100000000000001" customHeight="1">
      <c r="A481" s="768"/>
      <c r="E481" s="406"/>
      <c r="F481" s="406"/>
      <c r="G481" s="409"/>
      <c r="L481" s="1879" t="s">
        <v>20</v>
      </c>
      <c r="M481" s="1879"/>
      <c r="N481" s="1879" t="s">
        <v>3306</v>
      </c>
      <c r="P481" s="1884" t="s">
        <v>5018</v>
      </c>
      <c r="Q481" s="1884"/>
      <c r="R481" s="1884"/>
      <c r="S481" s="1884"/>
      <c r="T481" s="1884"/>
      <c r="U481" s="1884"/>
      <c r="V481" s="1879" t="s">
        <v>5644</v>
      </c>
      <c r="W481" s="1879" t="s">
        <v>1812</v>
      </c>
      <c r="Z481" s="408"/>
      <c r="AA481" s="408"/>
      <c r="AB481" s="408"/>
      <c r="AC481" s="408"/>
      <c r="AD481" s="408"/>
      <c r="AE481" s="408"/>
      <c r="AF481" s="408"/>
      <c r="AG481" s="408"/>
      <c r="AH481" s="408"/>
      <c r="AI481" s="408"/>
      <c r="AJ481" s="408"/>
      <c r="AK481" s="408"/>
      <c r="AL481" s="408"/>
    </row>
    <row r="482" spans="1:38" s="405" customFormat="1" ht="20.100000000000001" customHeight="1">
      <c r="A482" s="768"/>
      <c r="E482" s="406"/>
      <c r="G482" s="409"/>
      <c r="L482" s="1879"/>
      <c r="M482" s="1879"/>
      <c r="N482" s="1879"/>
      <c r="O482" s="407"/>
      <c r="P482" s="1876" t="s">
        <v>1813</v>
      </c>
      <c r="Q482" s="1876"/>
      <c r="R482" s="1876"/>
      <c r="S482" s="1876"/>
      <c r="T482" s="1876"/>
      <c r="U482" s="1876"/>
      <c r="V482" s="1879"/>
      <c r="W482" s="1879"/>
      <c r="Z482" s="408"/>
      <c r="AA482" s="408"/>
      <c r="AB482" s="408"/>
      <c r="AC482" s="408"/>
      <c r="AD482" s="408"/>
      <c r="AE482" s="408"/>
      <c r="AF482" s="408"/>
      <c r="AG482" s="408"/>
      <c r="AH482" s="408"/>
      <c r="AI482" s="408"/>
      <c r="AJ482" s="408"/>
      <c r="AK482" s="408"/>
      <c r="AL482" s="408"/>
    </row>
    <row r="483" spans="1:38" s="405" customFormat="1" ht="20.100000000000001" customHeight="1">
      <c r="A483" s="768"/>
      <c r="E483" s="406"/>
      <c r="F483" s="409" t="str">
        <f>"- Đối với:"&amp;NL!U48&amp;"; "&amp;NL!U49</f>
        <v>- Đối với:BTLT 12m; M12ba</v>
      </c>
      <c r="G483" s="409"/>
      <c r="H483" s="409"/>
      <c r="I483" s="409"/>
      <c r="J483" s="409"/>
      <c r="K483" s="409"/>
      <c r="L483" s="409"/>
      <c r="M483" s="409"/>
      <c r="N483" s="409"/>
      <c r="O483" s="407"/>
      <c r="P483" s="407"/>
      <c r="Q483" s="407"/>
      <c r="R483" s="408"/>
      <c r="S483" s="408"/>
      <c r="T483" s="408"/>
      <c r="U483" s="408"/>
      <c r="V483" s="408"/>
      <c r="W483" s="408"/>
      <c r="X483" s="408"/>
      <c r="Y483" s="408"/>
      <c r="Z483" s="408"/>
      <c r="AA483" s="408"/>
      <c r="AB483" s="408"/>
      <c r="AC483" s="408"/>
      <c r="AD483" s="408"/>
      <c r="AE483" s="408"/>
      <c r="AF483" s="408"/>
      <c r="AG483" s="408"/>
      <c r="AH483" s="408"/>
      <c r="AI483" s="408"/>
      <c r="AJ483" s="408"/>
      <c r="AK483" s="408"/>
      <c r="AL483" s="408"/>
    </row>
    <row r="484" spans="1:38" s="405" customFormat="1" ht="20.100000000000001" customHeight="1">
      <c r="A484" s="768"/>
      <c r="E484" s="406"/>
      <c r="F484" s="409"/>
      <c r="G484" s="409"/>
      <c r="H484" s="405" t="s">
        <v>5644</v>
      </c>
      <c r="I484" s="405" t="s">
        <v>25</v>
      </c>
      <c r="J484" s="409"/>
      <c r="K484" s="409"/>
      <c r="L484" s="409"/>
      <c r="M484" s="1885">
        <f>VLOOKUP(NL!U50,NL!CS4:DC17,NL!CX4,FALSE)</f>
        <v>0.83899999999999997</v>
      </c>
      <c r="N484" s="1885"/>
      <c r="O484" s="1885"/>
      <c r="P484" s="500"/>
      <c r="Q484" s="407"/>
      <c r="R484" s="408"/>
      <c r="S484" s="408"/>
      <c r="T484" s="408"/>
      <c r="U484" s="408"/>
      <c r="V484" s="408"/>
      <c r="W484" s="408"/>
      <c r="X484" s="408"/>
      <c r="Y484" s="408"/>
      <c r="Z484" s="408"/>
      <c r="AA484" s="408"/>
      <c r="AB484" s="408"/>
      <c r="AC484" s="408"/>
      <c r="AD484" s="408"/>
      <c r="AE484" s="408"/>
      <c r="AF484" s="408"/>
      <c r="AG484" s="408"/>
      <c r="AH484" s="408"/>
      <c r="AI484" s="408"/>
      <c r="AJ484" s="408"/>
      <c r="AK484" s="408"/>
      <c r="AL484" s="408"/>
    </row>
    <row r="485" spans="1:38" s="405" customFormat="1" ht="20.100000000000001" customHeight="1">
      <c r="A485" s="768"/>
      <c r="E485" s="406"/>
      <c r="G485" s="409"/>
      <c r="H485" s="405" t="s">
        <v>5644</v>
      </c>
      <c r="I485" s="405" t="s">
        <v>639</v>
      </c>
      <c r="L485" s="408" t="s">
        <v>3306</v>
      </c>
      <c r="M485" s="1883">
        <f>VLOOKUP(NL!U50,NL!CS4:DC17,NL!CY4,FALSE)</f>
        <v>67.7</v>
      </c>
      <c r="N485" s="1883"/>
      <c r="O485" s="1883"/>
      <c r="P485" s="407"/>
      <c r="Q485" s="407"/>
      <c r="R485" s="408"/>
      <c r="S485" s="408"/>
      <c r="T485" s="408"/>
      <c r="U485" s="408"/>
      <c r="V485" s="408"/>
      <c r="W485" s="408"/>
      <c r="X485" s="408"/>
      <c r="Y485" s="408"/>
      <c r="Z485" s="408"/>
      <c r="AA485" s="408"/>
      <c r="AB485" s="408"/>
      <c r="AC485" s="408"/>
      <c r="AD485" s="408"/>
      <c r="AE485" s="408"/>
      <c r="AF485" s="408"/>
      <c r="AG485" s="408"/>
      <c r="AH485" s="408"/>
      <c r="AI485" s="408"/>
      <c r="AJ485" s="408"/>
      <c r="AK485" s="408"/>
      <c r="AL485" s="408"/>
    </row>
    <row r="486" spans="1:38" s="405" customFormat="1" ht="20.100000000000001" customHeight="1">
      <c r="A486" s="768"/>
      <c r="E486" s="406"/>
      <c r="G486" s="409"/>
      <c r="H486" s="405" t="s">
        <v>5644</v>
      </c>
      <c r="I486" s="405" t="s">
        <v>1814</v>
      </c>
      <c r="L486" s="408"/>
      <c r="M486" s="408"/>
      <c r="N486" s="407"/>
      <c r="O486" s="407"/>
      <c r="P486" s="407"/>
      <c r="Q486" s="407"/>
      <c r="R486" s="408"/>
      <c r="S486" s="408"/>
      <c r="T486" s="408"/>
      <c r="U486" s="408"/>
      <c r="V486" s="408"/>
      <c r="W486" s="408"/>
      <c r="X486" s="408"/>
      <c r="Y486" s="408"/>
      <c r="Z486" s="408"/>
      <c r="AA486" s="408"/>
      <c r="AB486" s="408"/>
      <c r="AC486" s="408"/>
      <c r="AD486" s="408"/>
      <c r="AE486" s="408"/>
      <c r="AF486" s="408"/>
      <c r="AG486" s="408"/>
      <c r="AH486" s="408"/>
      <c r="AI486" s="408"/>
      <c r="AJ486" s="408"/>
      <c r="AK486" s="408"/>
      <c r="AL486" s="408"/>
    </row>
    <row r="487" spans="1:38" s="405" customFormat="1" ht="20.100000000000001" customHeight="1">
      <c r="A487" s="768"/>
      <c r="E487" s="406"/>
      <c r="G487" s="409"/>
      <c r="L487" s="408"/>
      <c r="M487" s="408"/>
      <c r="N487" s="407"/>
      <c r="O487" s="407"/>
      <c r="P487" s="407"/>
      <c r="Q487" s="407"/>
      <c r="R487" s="408"/>
      <c r="S487" s="408"/>
      <c r="T487" s="408"/>
      <c r="U487" s="408"/>
      <c r="V487" s="408"/>
      <c r="W487" s="408"/>
      <c r="X487" s="408"/>
      <c r="Y487" s="408"/>
      <c r="Z487" s="408"/>
      <c r="AA487" s="408"/>
      <c r="AB487" s="408"/>
      <c r="AC487" s="408"/>
      <c r="AD487" s="408"/>
      <c r="AE487" s="408"/>
      <c r="AF487" s="408"/>
      <c r="AG487" s="408"/>
      <c r="AH487" s="408"/>
      <c r="AI487" s="408"/>
      <c r="AJ487" s="408"/>
      <c r="AK487" s="408"/>
      <c r="AL487" s="408"/>
    </row>
    <row r="488" spans="1:38" s="405" customFormat="1" ht="20.100000000000001" customHeight="1">
      <c r="A488" s="768"/>
      <c r="E488" s="406"/>
      <c r="G488" s="409"/>
      <c r="L488" s="408"/>
      <c r="M488" s="408"/>
      <c r="N488" s="407"/>
      <c r="O488" s="407"/>
      <c r="P488" s="407"/>
      <c r="Q488" s="407"/>
      <c r="R488" s="408"/>
      <c r="S488" s="408"/>
      <c r="T488" s="408"/>
      <c r="U488" s="408"/>
      <c r="V488" s="408"/>
      <c r="W488" s="408"/>
      <c r="X488" s="408"/>
      <c r="Y488" s="408"/>
      <c r="Z488" s="408"/>
      <c r="AA488" s="408"/>
      <c r="AB488" s="408"/>
      <c r="AC488" s="408"/>
      <c r="AD488" s="408"/>
      <c r="AE488" s="408"/>
      <c r="AF488" s="408"/>
      <c r="AG488" s="408"/>
      <c r="AH488" s="408"/>
      <c r="AI488" s="408"/>
      <c r="AJ488" s="408"/>
      <c r="AK488" s="408"/>
      <c r="AL488" s="408"/>
    </row>
    <row r="489" spans="1:38" s="405" customFormat="1" ht="20.100000000000001" customHeight="1">
      <c r="A489" s="768"/>
      <c r="E489" s="406"/>
      <c r="F489" s="406"/>
      <c r="G489" s="409"/>
      <c r="L489" s="1879" t="s">
        <v>2844</v>
      </c>
      <c r="M489" s="1879"/>
      <c r="N489" s="1879" t="s">
        <v>3438</v>
      </c>
      <c r="P489" s="1884">
        <v>1</v>
      </c>
      <c r="Q489" s="1884"/>
      <c r="R489" s="1879" t="s">
        <v>1815</v>
      </c>
      <c r="S489" s="1879"/>
      <c r="T489" s="1879"/>
      <c r="U489" s="1879"/>
      <c r="V489" s="408"/>
      <c r="W489" s="408"/>
      <c r="X489" s="408"/>
      <c r="Y489" s="408"/>
      <c r="Z489" s="408"/>
      <c r="AA489" s="408"/>
      <c r="AB489" s="408"/>
      <c r="AC489" s="408"/>
      <c r="AD489" s="408"/>
      <c r="AE489" s="408"/>
      <c r="AF489" s="408"/>
      <c r="AG489" s="408"/>
      <c r="AH489" s="408"/>
      <c r="AI489" s="408"/>
      <c r="AJ489" s="408"/>
      <c r="AK489" s="408"/>
      <c r="AL489" s="408"/>
    </row>
    <row r="490" spans="1:38" s="405" customFormat="1" ht="20.100000000000001" customHeight="1">
      <c r="A490" s="768"/>
      <c r="E490" s="406"/>
      <c r="G490" s="409"/>
      <c r="L490" s="1879"/>
      <c r="M490" s="1879"/>
      <c r="N490" s="1879"/>
      <c r="O490" s="407"/>
      <c r="P490" s="1879" t="s">
        <v>2845</v>
      </c>
      <c r="Q490" s="1879"/>
      <c r="R490" s="1879"/>
      <c r="S490" s="1879"/>
      <c r="T490" s="1879"/>
      <c r="U490" s="1879"/>
      <c r="V490" s="408"/>
      <c r="W490" s="408"/>
      <c r="X490" s="408"/>
      <c r="Y490" s="408"/>
      <c r="Z490" s="408"/>
      <c r="AA490" s="408"/>
      <c r="AB490" s="408"/>
      <c r="AC490" s="408"/>
      <c r="AD490" s="408"/>
      <c r="AE490" s="408"/>
      <c r="AF490" s="408"/>
      <c r="AG490" s="408"/>
      <c r="AH490" s="408"/>
      <c r="AI490" s="408"/>
      <c r="AJ490" s="408"/>
      <c r="AK490" s="408"/>
      <c r="AL490" s="408"/>
    </row>
    <row r="491" spans="1:38" s="405" customFormat="1" ht="20.100000000000001" customHeight="1">
      <c r="A491" s="768"/>
      <c r="D491" s="407"/>
      <c r="E491" s="407"/>
      <c r="F491" s="1878" t="str">
        <f>"- Đối với:"&amp;NL!U48</f>
        <v>- Đối với:BTLT 12m</v>
      </c>
      <c r="G491" s="1878"/>
      <c r="H491" s="1878"/>
      <c r="I491" s="1878"/>
      <c r="J491" s="1878"/>
      <c r="K491" s="1878"/>
      <c r="L491" s="1878"/>
      <c r="M491" s="1878"/>
      <c r="N491" s="1878"/>
      <c r="O491" s="1879" t="s">
        <v>2846</v>
      </c>
      <c r="P491" s="1879"/>
      <c r="Q491" s="1880" t="s">
        <v>2847</v>
      </c>
      <c r="R491" s="1880"/>
      <c r="S491" s="1874" t="s">
        <v>3306</v>
      </c>
      <c r="T491" s="1881">
        <f>VLOOKUP(NL!U48,NL!CE4:CK7,2)-VLOOKUP(NL!U48,NL!CE4:CK7,6)</f>
        <v>10</v>
      </c>
      <c r="U491" s="1881"/>
      <c r="V491" s="1881"/>
      <c r="W491" s="1874" t="s">
        <v>3306</v>
      </c>
      <c r="X491" s="1875">
        <f>T491/T492</f>
        <v>5</v>
      </c>
      <c r="Y491" s="1875"/>
      <c r="Z491" s="1875"/>
      <c r="AA491" s="1875"/>
      <c r="AB491" s="501"/>
      <c r="AC491" s="501"/>
      <c r="AD491" s="501"/>
      <c r="AE491" s="501"/>
      <c r="AF491" s="501"/>
      <c r="AG491" s="501"/>
      <c r="AH491" s="501"/>
      <c r="AI491" s="501"/>
      <c r="AJ491" s="501"/>
      <c r="AK491" s="501"/>
      <c r="AL491" s="501"/>
    </row>
    <row r="492" spans="1:38" s="405" customFormat="1" ht="20.100000000000001" customHeight="1">
      <c r="A492" s="768"/>
      <c r="E492" s="406"/>
      <c r="F492" s="1878"/>
      <c r="G492" s="1878"/>
      <c r="H492" s="1878"/>
      <c r="I492" s="1878"/>
      <c r="J492" s="1878"/>
      <c r="K492" s="1878"/>
      <c r="L492" s="1878"/>
      <c r="M492" s="1878"/>
      <c r="N492" s="1878"/>
      <c r="O492" s="1879"/>
      <c r="P492" s="1879"/>
      <c r="Q492" s="1876" t="s">
        <v>4927</v>
      </c>
      <c r="R492" s="1876"/>
      <c r="S492" s="1874"/>
      <c r="T492" s="1877">
        <f>VLOOKUP(NL!U48,NL!CE4:CK7,6)</f>
        <v>2</v>
      </c>
      <c r="U492" s="1877"/>
      <c r="V492" s="1877"/>
      <c r="W492" s="1874"/>
      <c r="X492" s="1875"/>
      <c r="Y492" s="1875"/>
      <c r="Z492" s="1875"/>
      <c r="AA492" s="1875"/>
      <c r="AB492" s="408"/>
      <c r="AC492" s="408"/>
      <c r="AD492" s="408"/>
      <c r="AE492" s="408"/>
      <c r="AF492" s="408"/>
      <c r="AG492" s="408"/>
      <c r="AH492" s="408"/>
      <c r="AI492" s="408"/>
      <c r="AJ492" s="408"/>
      <c r="AK492" s="408"/>
      <c r="AL492" s="408"/>
    </row>
    <row r="493" spans="1:38" s="405" customFormat="1" ht="20.100000000000001" customHeight="1">
      <c r="A493" s="768"/>
      <c r="E493" s="406"/>
      <c r="G493" s="409"/>
      <c r="H493" s="405" t="s">
        <v>1420</v>
      </c>
      <c r="L493" s="408"/>
      <c r="M493" s="408"/>
      <c r="N493" s="407"/>
      <c r="O493" s="407"/>
      <c r="P493" s="407"/>
      <c r="Q493" s="407"/>
      <c r="R493" s="408"/>
      <c r="S493" s="408"/>
      <c r="T493" s="408"/>
      <c r="U493" s="408"/>
      <c r="V493" s="408"/>
      <c r="W493" s="408"/>
      <c r="X493" s="408"/>
      <c r="Y493" s="408"/>
      <c r="Z493" s="408"/>
      <c r="AA493" s="408"/>
      <c r="AB493" s="408"/>
      <c r="AC493" s="408"/>
      <c r="AD493" s="408"/>
      <c r="AE493" s="408"/>
      <c r="AF493" s="408"/>
      <c r="AG493" s="408"/>
      <c r="AH493" s="408"/>
      <c r="AI493" s="408"/>
      <c r="AJ493" s="408"/>
      <c r="AK493" s="408"/>
      <c r="AL493" s="408"/>
    </row>
    <row r="494" spans="1:38" s="405" customFormat="1" ht="20.100000000000001" customHeight="1">
      <c r="A494" s="768"/>
      <c r="E494" s="406"/>
      <c r="G494" s="409"/>
      <c r="H494" s="405" t="s">
        <v>1421</v>
      </c>
      <c r="L494" s="408"/>
      <c r="M494" s="408"/>
      <c r="N494" s="407"/>
      <c r="O494" s="407"/>
      <c r="P494" s="407"/>
      <c r="Q494" s="407"/>
      <c r="R494" s="408"/>
      <c r="S494" s="408"/>
      <c r="T494" s="408"/>
      <c r="U494" s="408"/>
      <c r="V494" s="408"/>
      <c r="W494" s="408"/>
      <c r="X494" s="408"/>
      <c r="Y494" s="408"/>
      <c r="Z494" s="408"/>
      <c r="AA494" s="408"/>
      <c r="AB494" s="408"/>
      <c r="AC494" s="408"/>
      <c r="AD494" s="408"/>
      <c r="AE494" s="408"/>
      <c r="AF494" s="408"/>
      <c r="AG494" s="408"/>
      <c r="AH494" s="408"/>
      <c r="AI494" s="408"/>
      <c r="AJ494" s="408"/>
      <c r="AK494" s="408"/>
      <c r="AL494" s="408"/>
    </row>
    <row r="495" spans="1:38" s="405" customFormat="1" ht="20.100000000000001" customHeight="1">
      <c r="A495" s="768"/>
      <c r="E495" s="406"/>
      <c r="F495" s="409" t="s">
        <v>1816</v>
      </c>
      <c r="G495" s="409"/>
      <c r="L495" s="408"/>
      <c r="M495" s="408"/>
      <c r="N495" s="407"/>
      <c r="O495" s="407"/>
      <c r="P495" s="1882">
        <f>VLOOKUP(NL!U50,NL!CS4:CZ17,NL!CY4,FALSE)</f>
        <v>67.7</v>
      </c>
      <c r="Q495" s="1882"/>
      <c r="R495" s="1882"/>
      <c r="S495" s="499"/>
      <c r="T495" s="502"/>
      <c r="U495" s="408"/>
      <c r="V495" s="408"/>
      <c r="W495" s="408"/>
      <c r="X495" s="408"/>
      <c r="Y495" s="408"/>
      <c r="Z495" s="408"/>
      <c r="AA495" s="408"/>
      <c r="AB495" s="408"/>
      <c r="AC495" s="408"/>
      <c r="AD495" s="408"/>
      <c r="AE495" s="408"/>
      <c r="AF495" s="408"/>
      <c r="AG495" s="408"/>
      <c r="AH495" s="408"/>
      <c r="AI495" s="408"/>
      <c r="AJ495" s="408"/>
      <c r="AK495" s="408"/>
      <c r="AL495" s="408"/>
    </row>
    <row r="496" spans="1:38" s="405" customFormat="1" ht="20.100000000000001" customHeight="1">
      <c r="A496" s="768"/>
      <c r="E496" s="406"/>
      <c r="G496" s="409"/>
      <c r="L496" s="408"/>
      <c r="M496" s="408"/>
      <c r="N496" s="407"/>
      <c r="O496" s="407"/>
      <c r="P496" s="407"/>
      <c r="Q496" s="407"/>
      <c r="R496" s="408"/>
      <c r="S496" s="408"/>
      <c r="T496" s="408"/>
      <c r="U496" s="408"/>
      <c r="V496" s="408"/>
      <c r="W496" s="408"/>
      <c r="X496" s="408"/>
      <c r="Y496" s="408"/>
      <c r="Z496" s="408"/>
      <c r="AA496" s="408"/>
      <c r="AB496" s="408"/>
      <c r="AC496" s="408"/>
      <c r="AD496" s="408"/>
      <c r="AE496" s="408"/>
      <c r="AF496" s="408"/>
      <c r="AG496" s="408"/>
      <c r="AH496" s="408"/>
      <c r="AI496" s="408"/>
      <c r="AJ496" s="408"/>
      <c r="AK496" s="408"/>
      <c r="AL496" s="408"/>
    </row>
    <row r="497" spans="1:38" s="405" customFormat="1" ht="20.100000000000001" customHeight="1">
      <c r="A497" s="768"/>
      <c r="E497" s="406"/>
      <c r="G497" s="409"/>
      <c r="L497" s="408"/>
      <c r="M497" s="408"/>
      <c r="N497" s="407"/>
      <c r="O497" s="407"/>
      <c r="P497" s="407"/>
      <c r="Q497" s="407"/>
      <c r="R497" s="408"/>
      <c r="S497" s="408"/>
      <c r="T497" s="408"/>
      <c r="U497" s="408"/>
      <c r="V497" s="408"/>
      <c r="W497" s="408"/>
      <c r="X497" s="408"/>
      <c r="Y497" s="408"/>
      <c r="Z497" s="408"/>
      <c r="AA497" s="408"/>
      <c r="AB497" s="408"/>
      <c r="AC497" s="408"/>
      <c r="AD497" s="408"/>
      <c r="AE497" s="408"/>
      <c r="AF497" s="408"/>
      <c r="AG497" s="408"/>
      <c r="AH497" s="408"/>
      <c r="AI497" s="408"/>
      <c r="AJ497" s="408"/>
      <c r="AK497" s="408"/>
      <c r="AL497" s="408"/>
    </row>
    <row r="498" spans="1:38" s="405" customFormat="1" ht="20.100000000000001" customHeight="1">
      <c r="A498" s="768"/>
      <c r="E498" s="406"/>
      <c r="G498" s="409"/>
      <c r="L498" s="408"/>
      <c r="M498" s="408"/>
      <c r="N498" s="407"/>
      <c r="O498" s="407"/>
      <c r="P498" s="407"/>
      <c r="Q498" s="407"/>
      <c r="R498" s="408"/>
      <c r="S498" s="408"/>
      <c r="T498" s="408"/>
      <c r="U498" s="408"/>
      <c r="V498" s="408"/>
      <c r="W498" s="408"/>
      <c r="X498" s="408"/>
      <c r="Y498" s="408"/>
      <c r="Z498" s="408"/>
      <c r="AA498" s="408"/>
      <c r="AB498" s="408"/>
      <c r="AC498" s="408"/>
      <c r="AD498" s="408"/>
      <c r="AE498" s="408"/>
      <c r="AF498" s="408"/>
      <c r="AG498" s="408"/>
      <c r="AH498" s="408"/>
      <c r="AI498" s="408"/>
      <c r="AJ498" s="408"/>
      <c r="AK498" s="408"/>
      <c r="AL498" s="408"/>
    </row>
    <row r="499" spans="1:38" s="405" customFormat="1" ht="20.100000000000001" customHeight="1">
      <c r="A499" s="768"/>
      <c r="E499" s="406"/>
      <c r="G499" s="409"/>
      <c r="L499" s="408"/>
      <c r="M499" s="408"/>
      <c r="N499" s="407"/>
      <c r="O499" s="407"/>
      <c r="P499" s="407"/>
      <c r="Q499" s="407"/>
      <c r="R499" s="408"/>
      <c r="S499" s="408"/>
      <c r="T499" s="408"/>
      <c r="U499" s="408"/>
      <c r="V499" s="408"/>
      <c r="W499" s="408"/>
      <c r="X499" s="408"/>
      <c r="Y499" s="408"/>
      <c r="Z499" s="408"/>
      <c r="AA499" s="408"/>
      <c r="AB499" s="408"/>
      <c r="AC499" s="408"/>
      <c r="AD499" s="408"/>
      <c r="AE499" s="408"/>
      <c r="AF499" s="408"/>
      <c r="AG499" s="408"/>
      <c r="AH499" s="408"/>
      <c r="AI499" s="408"/>
      <c r="AJ499" s="408"/>
      <c r="AK499" s="408"/>
      <c r="AL499" s="408"/>
    </row>
    <row r="500" spans="1:38" s="405" customFormat="1" ht="20.100000000000001" customHeight="1">
      <c r="A500" s="768"/>
      <c r="E500" s="406"/>
      <c r="G500" s="409"/>
      <c r="L500" s="408"/>
      <c r="M500" s="408"/>
      <c r="N500" s="407"/>
      <c r="O500" s="407"/>
      <c r="P500" s="407"/>
      <c r="Q500" s="407"/>
      <c r="R500" s="408"/>
      <c r="S500" s="408"/>
      <c r="T500" s="408"/>
      <c r="U500" s="408"/>
      <c r="V500" s="408"/>
      <c r="W500" s="408"/>
      <c r="X500" s="408"/>
      <c r="Y500" s="408"/>
      <c r="Z500" s="408"/>
      <c r="AA500" s="408"/>
      <c r="AB500" s="408"/>
      <c r="AC500" s="408"/>
      <c r="AD500" s="408"/>
      <c r="AE500" s="408"/>
      <c r="AF500" s="408"/>
      <c r="AG500" s="408"/>
      <c r="AH500" s="408"/>
      <c r="AI500" s="408"/>
      <c r="AJ500" s="408"/>
      <c r="AK500" s="408"/>
      <c r="AL500" s="408"/>
    </row>
    <row r="501" spans="1:38" s="405" customFormat="1" ht="20.100000000000001" customHeight="1">
      <c r="A501" s="768"/>
      <c r="E501" s="406"/>
      <c r="G501" s="409"/>
      <c r="L501" s="408"/>
      <c r="M501" s="408"/>
      <c r="N501" s="407"/>
      <c r="O501" s="407"/>
      <c r="P501" s="407"/>
      <c r="Q501" s="407"/>
      <c r="R501" s="408"/>
      <c r="S501" s="408"/>
      <c r="T501" s="408"/>
      <c r="U501" s="408"/>
      <c r="V501" s="408"/>
      <c r="W501" s="408"/>
      <c r="X501" s="408"/>
      <c r="Y501" s="408"/>
      <c r="Z501" s="408"/>
      <c r="AA501" s="408"/>
      <c r="AB501" s="408"/>
      <c r="AC501" s="408"/>
      <c r="AD501" s="408"/>
      <c r="AE501" s="408"/>
      <c r="AF501" s="408"/>
      <c r="AG501" s="408"/>
      <c r="AH501" s="408"/>
      <c r="AI501" s="408"/>
      <c r="AJ501" s="408"/>
      <c r="AK501" s="408"/>
      <c r="AL501" s="408"/>
    </row>
    <row r="502" spans="1:38" s="405" customFormat="1" ht="20.100000000000001" customHeight="1">
      <c r="A502" s="768"/>
      <c r="E502" s="406"/>
      <c r="G502" s="409"/>
      <c r="L502" s="408"/>
      <c r="M502" s="408"/>
      <c r="N502" s="407"/>
      <c r="O502" s="407"/>
      <c r="P502" s="407"/>
      <c r="Q502" s="407"/>
      <c r="R502" s="408"/>
      <c r="S502" s="408"/>
      <c r="T502" s="408"/>
      <c r="U502" s="408"/>
      <c r="V502" s="408"/>
      <c r="W502" s="408"/>
      <c r="X502" s="408"/>
      <c r="Y502" s="408"/>
      <c r="Z502" s="408"/>
      <c r="AA502" s="408"/>
      <c r="AB502" s="408"/>
      <c r="AC502" s="408"/>
      <c r="AD502" s="408"/>
      <c r="AE502" s="408"/>
      <c r="AF502" s="408"/>
      <c r="AG502" s="408"/>
      <c r="AH502" s="408"/>
      <c r="AI502" s="408"/>
      <c r="AJ502" s="408"/>
      <c r="AK502" s="408"/>
      <c r="AL502" s="408"/>
    </row>
    <row r="503" spans="1:38" ht="9.75" customHeight="1">
      <c r="A503" s="767"/>
      <c r="C503" s="327"/>
      <c r="D503" s="327"/>
      <c r="E503" s="327"/>
      <c r="F503" s="327"/>
      <c r="G503" s="327"/>
      <c r="H503" s="327"/>
      <c r="I503" s="327"/>
      <c r="J503" s="327"/>
      <c r="K503" s="327"/>
      <c r="L503" s="327"/>
      <c r="M503" s="327"/>
      <c r="N503" s="338"/>
      <c r="O503" s="327"/>
      <c r="P503" s="327"/>
      <c r="Q503" s="327"/>
      <c r="R503" s="327"/>
      <c r="S503" s="327"/>
      <c r="T503" s="327"/>
      <c r="U503" s="327"/>
      <c r="V503" s="327"/>
      <c r="W503" s="327"/>
      <c r="X503" s="327"/>
      <c r="Y503" s="327"/>
      <c r="Z503" s="328"/>
      <c r="AA503" s="328"/>
      <c r="AB503" s="328"/>
      <c r="AC503" s="328"/>
      <c r="AD503" s="328"/>
      <c r="AE503" s="328"/>
      <c r="AF503" s="328"/>
      <c r="AG503" s="328"/>
      <c r="AH503" s="328"/>
      <c r="AI503" s="328"/>
      <c r="AJ503" s="328"/>
      <c r="AK503" s="328"/>
      <c r="AL503" s="328"/>
    </row>
    <row r="504" spans="1:38" ht="20.100000000000001" customHeight="1">
      <c r="A504" s="767"/>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c r="AI504" s="323"/>
      <c r="AJ504" s="323"/>
      <c r="AK504" s="323"/>
    </row>
    <row r="505" spans="1:38" ht="20.100000000000001" customHeight="1">
      <c r="A505" s="767"/>
      <c r="C505" s="323"/>
      <c r="D505" s="323"/>
      <c r="F505" s="323"/>
      <c r="G505" s="323"/>
      <c r="H505" s="324"/>
    </row>
    <row r="506" spans="1:38" ht="20.100000000000001" customHeight="1">
      <c r="A506" s="767"/>
      <c r="C506" s="323"/>
      <c r="D506" s="323"/>
      <c r="F506" s="323"/>
      <c r="G506" s="323"/>
      <c r="H506" s="324"/>
    </row>
    <row r="507" spans="1:38" ht="20.100000000000001" customHeight="1">
      <c r="A507" s="767"/>
      <c r="C507" s="323"/>
      <c r="D507" s="323"/>
      <c r="F507" s="323"/>
      <c r="G507" s="323"/>
      <c r="H507" s="324"/>
    </row>
    <row r="508" spans="1:38" ht="20.100000000000001" customHeight="1">
      <c r="A508" s="767"/>
      <c r="C508" s="323"/>
      <c r="D508" s="323"/>
      <c r="F508" s="323"/>
      <c r="G508" s="323"/>
      <c r="H508" s="324"/>
    </row>
    <row r="509" spans="1:38" ht="20.100000000000001" customHeight="1">
      <c r="A509" s="767"/>
      <c r="C509" s="323"/>
      <c r="D509" s="323"/>
      <c r="F509" s="323"/>
      <c r="G509" s="323"/>
      <c r="H509" s="324"/>
    </row>
    <row r="510" spans="1:38" ht="20.100000000000001" customHeight="1">
      <c r="A510" s="767"/>
      <c r="C510" s="323"/>
      <c r="D510" s="323"/>
      <c r="F510" s="323"/>
      <c r="G510" s="323"/>
      <c r="H510" s="324"/>
    </row>
    <row r="511" spans="1:38" ht="20.100000000000001" customHeight="1">
      <c r="A511" s="767"/>
      <c r="C511" s="323"/>
      <c r="D511" s="323"/>
      <c r="F511" s="323"/>
      <c r="G511" s="323"/>
      <c r="H511" s="324"/>
    </row>
    <row r="512" spans="1:38" ht="20.100000000000001" customHeight="1">
      <c r="A512" s="767"/>
      <c r="C512" s="323"/>
      <c r="D512" s="323"/>
      <c r="F512" s="323"/>
      <c r="G512" s="323"/>
      <c r="H512" s="324"/>
    </row>
    <row r="513" spans="1:38" ht="20.100000000000001" customHeight="1">
      <c r="A513" s="767"/>
      <c r="C513" s="323"/>
      <c r="D513" s="323"/>
      <c r="F513" s="323"/>
      <c r="G513" s="323"/>
      <c r="H513" s="324"/>
    </row>
    <row r="514" spans="1:38" ht="20.100000000000001" customHeight="1">
      <c r="A514" s="767"/>
      <c r="C514" s="323"/>
      <c r="D514" s="323"/>
      <c r="F514" s="323"/>
      <c r="G514" s="323"/>
      <c r="H514" s="324"/>
    </row>
    <row r="515" spans="1:38" ht="20.100000000000001" customHeight="1">
      <c r="A515" s="767"/>
      <c r="C515" s="323"/>
      <c r="D515" s="323"/>
      <c r="F515" s="323"/>
      <c r="G515" s="323"/>
      <c r="H515" s="324"/>
    </row>
    <row r="516" spans="1:38" ht="20.100000000000001" customHeight="1">
      <c r="A516" s="767"/>
      <c r="C516" s="323"/>
      <c r="D516" s="323"/>
      <c r="F516" s="323"/>
      <c r="G516" s="323"/>
      <c r="H516" s="324"/>
    </row>
    <row r="517" spans="1:38" ht="20.100000000000001" customHeight="1">
      <c r="A517" s="767"/>
      <c r="C517" s="323"/>
      <c r="D517" s="323"/>
      <c r="F517" s="323"/>
      <c r="G517" s="323"/>
      <c r="H517" s="324"/>
    </row>
    <row r="518" spans="1:38" ht="20.100000000000001" customHeight="1">
      <c r="A518" s="767"/>
      <c r="C518" s="323"/>
      <c r="D518" s="323"/>
      <c r="F518" s="323"/>
      <c r="G518" s="323"/>
      <c r="H518" s="324"/>
    </row>
    <row r="519" spans="1:38" ht="20.100000000000001" customHeight="1">
      <c r="A519" s="767"/>
      <c r="B519" s="315"/>
      <c r="C519" s="1873" t="s">
        <v>1818</v>
      </c>
      <c r="D519" s="1873"/>
      <c r="E519" s="1873"/>
      <c r="F519" s="1873"/>
      <c r="G519" s="1873"/>
      <c r="H519" s="1873"/>
      <c r="I519" s="1873"/>
      <c r="J519" s="1873"/>
      <c r="K519" s="1873"/>
      <c r="L519" s="1873"/>
      <c r="M519" s="1873"/>
      <c r="N519" s="1873"/>
      <c r="O519" s="1873"/>
      <c r="P519" s="1873"/>
      <c r="Q519" s="1873"/>
      <c r="R519" s="1873"/>
      <c r="S519" s="1873"/>
      <c r="T519" s="1873"/>
      <c r="U519" s="1873"/>
      <c r="V519" s="1873"/>
      <c r="W519" s="1873"/>
      <c r="X519" s="1873"/>
      <c r="Y519" s="1873"/>
      <c r="Z519" s="1873"/>
      <c r="AA519" s="1873"/>
      <c r="AB519" s="1873"/>
      <c r="AC519" s="1873"/>
      <c r="AD519" s="1873"/>
      <c r="AE519" s="1873"/>
      <c r="AF519" s="1873"/>
      <c r="AG519" s="1873"/>
      <c r="AH519" s="1873"/>
      <c r="AI519" s="1873"/>
      <c r="AJ519" s="1873"/>
      <c r="AK519" s="1873"/>
      <c r="AL519" s="1873"/>
    </row>
    <row r="520" spans="1:38" ht="19.5" customHeight="1">
      <c r="A520" s="767"/>
      <c r="E520" s="316"/>
      <c r="F520" s="318"/>
      <c r="G520" s="315"/>
      <c r="H520" s="316"/>
      <c r="I520" s="316"/>
      <c r="J520" s="316"/>
      <c r="K520" s="316"/>
      <c r="L520" s="316"/>
      <c r="M520" s="316"/>
      <c r="N520" s="316"/>
    </row>
    <row r="521" spans="1:38" s="349" customFormat="1" ht="20.100000000000001" customHeight="1">
      <c r="A521" s="770"/>
      <c r="D521" s="350" t="s">
        <v>3436</v>
      </c>
      <c r="J521" s="371"/>
      <c r="K521" s="372"/>
      <c r="O521" s="314"/>
      <c r="X521" s="314"/>
      <c r="Y521" s="314"/>
      <c r="Z521" s="314"/>
      <c r="AA521" s="314"/>
      <c r="AB521" s="314"/>
      <c r="AC521" s="314"/>
      <c r="AD521" s="314"/>
      <c r="AE521" s="314"/>
      <c r="AF521" s="314"/>
      <c r="AG521" s="314"/>
      <c r="AH521" s="314"/>
      <c r="AI521" s="314"/>
      <c r="AJ521" s="314"/>
      <c r="AK521" s="314"/>
      <c r="AL521" s="314"/>
    </row>
    <row r="522" spans="1:38" s="349" customFormat="1" ht="20.100000000000001" customHeight="1">
      <c r="A522" s="770"/>
      <c r="D522" s="350"/>
      <c r="J522" s="371"/>
      <c r="K522" s="372"/>
      <c r="M522" s="318" t="s">
        <v>3940</v>
      </c>
      <c r="O522" s="314"/>
      <c r="P522" s="314"/>
      <c r="Q522" s="342" t="s">
        <v>3939</v>
      </c>
      <c r="R522" s="314"/>
      <c r="S522" s="1869">
        <f>VLOOKUP(NL!U29,NL!BZ29:DD50,NL!CB26,FALSE)</f>
        <v>160</v>
      </c>
      <c r="T522" s="1869"/>
      <c r="U522" s="1869"/>
      <c r="V522" s="1869"/>
      <c r="W522" s="314" t="s">
        <v>4220</v>
      </c>
      <c r="X522" s="314"/>
      <c r="Y522" s="314"/>
      <c r="Z522" s="314"/>
      <c r="AA522" s="314"/>
      <c r="AB522" s="314"/>
      <c r="AC522" s="314"/>
      <c r="AD522" s="314"/>
      <c r="AE522" s="314"/>
      <c r="AF522" s="314"/>
      <c r="AG522" s="314"/>
      <c r="AH522" s="314"/>
      <c r="AI522" s="314"/>
      <c r="AJ522" s="314"/>
      <c r="AK522" s="314"/>
      <c r="AL522" s="314"/>
    </row>
    <row r="523" spans="1:38" ht="20.100000000000001" customHeight="1">
      <c r="A523" s="767"/>
      <c r="C523" s="315"/>
      <c r="L523" s="319" t="s">
        <v>5652</v>
      </c>
      <c r="M523" s="318" t="s">
        <v>3285</v>
      </c>
      <c r="N523" s="314"/>
      <c r="Q523" s="316" t="s">
        <v>3306</v>
      </c>
      <c r="S523" s="1869">
        <f>IF(S42=0.38,S522/3,IF(S42=0.44,S522/2,S522))</f>
        <v>53.333333333333336</v>
      </c>
      <c r="T523" s="1869"/>
      <c r="U523" s="1869"/>
      <c r="V523" s="1869"/>
      <c r="W523" s="314" t="s">
        <v>4220</v>
      </c>
      <c r="X523" s="508"/>
      <c r="Y523" s="508"/>
      <c r="Z523" s="508"/>
      <c r="AA523" s="508"/>
      <c r="AB523" s="508"/>
      <c r="AC523" s="508"/>
      <c r="AD523" s="508"/>
      <c r="AE523" s="508"/>
      <c r="AF523" s="508"/>
      <c r="AG523" s="508"/>
      <c r="AH523" s="508"/>
      <c r="AI523" s="508"/>
      <c r="AJ523" s="508"/>
      <c r="AK523" s="508"/>
      <c r="AL523" s="508"/>
    </row>
    <row r="524" spans="1:38" ht="20.100000000000001" customHeight="1">
      <c r="A524" s="767"/>
      <c r="D524" s="350" t="s">
        <v>6399</v>
      </c>
      <c r="E524" s="316"/>
      <c r="F524" s="318"/>
      <c r="G524" s="315"/>
      <c r="H524" s="316"/>
      <c r="I524" s="316"/>
      <c r="J524" s="316"/>
      <c r="K524" s="316"/>
      <c r="L524" s="316"/>
      <c r="M524" s="316"/>
      <c r="N524" s="316" t="s">
        <v>3944</v>
      </c>
      <c r="Q524" s="314" t="s">
        <v>3306</v>
      </c>
      <c r="S524" s="1858">
        <f>NL!U40</f>
        <v>17</v>
      </c>
      <c r="T524" s="1858"/>
      <c r="U524" s="1858"/>
      <c r="V524" s="1858"/>
      <c r="W524" s="314" t="s">
        <v>2550</v>
      </c>
      <c r="Y524" s="318" t="s">
        <v>3306</v>
      </c>
      <c r="Z524" s="1864">
        <f>S524/1000</f>
        <v>1.7000000000000001E-2</v>
      </c>
      <c r="AA524" s="1864"/>
      <c r="AB524" s="1864"/>
      <c r="AC524" s="1864"/>
      <c r="AD524" s="318" t="s">
        <v>3392</v>
      </c>
      <c r="AE524" s="318"/>
    </row>
    <row r="525" spans="1:38" ht="20.100000000000001" customHeight="1">
      <c r="A525" s="767"/>
      <c r="D525" s="350" t="s">
        <v>4266</v>
      </c>
      <c r="E525" s="316"/>
      <c r="F525" s="318"/>
      <c r="G525" s="315"/>
      <c r="H525" s="316"/>
      <c r="I525" s="316"/>
      <c r="J525" s="316"/>
      <c r="K525" s="316"/>
      <c r="L525" s="316"/>
      <c r="M525" s="316"/>
      <c r="N525" s="316"/>
      <c r="Q525" s="314" t="s">
        <v>3306</v>
      </c>
      <c r="S525" s="314" t="str">
        <f>NL!U43</f>
        <v>145 -  472PH</v>
      </c>
    </row>
    <row r="526" spans="1:38" ht="20.100000000000001" customHeight="1">
      <c r="A526" s="767"/>
      <c r="D526" s="350" t="s">
        <v>4052</v>
      </c>
      <c r="E526" s="316"/>
      <c r="F526" s="318"/>
      <c r="G526" s="315"/>
      <c r="H526" s="316"/>
      <c r="I526" s="316"/>
      <c r="J526" s="316"/>
      <c r="K526" s="316"/>
      <c r="L526" s="316"/>
      <c r="M526" s="316"/>
      <c r="N526" s="316"/>
    </row>
    <row r="527" spans="1:38" ht="20.100000000000001" customHeight="1">
      <c r="A527" s="767"/>
      <c r="D527" s="350"/>
      <c r="E527" s="318" t="s">
        <v>4189</v>
      </c>
      <c r="F527" s="318"/>
      <c r="G527" s="315"/>
      <c r="H527" s="316"/>
      <c r="I527" s="316"/>
      <c r="J527" s="316"/>
      <c r="K527" s="316"/>
      <c r="L527" s="316"/>
      <c r="M527" s="316"/>
      <c r="N527" s="316"/>
    </row>
    <row r="528" spans="1:38" ht="20.100000000000001" customHeight="1">
      <c r="A528" s="767"/>
      <c r="D528" s="350"/>
      <c r="E528" s="316"/>
      <c r="F528" s="318"/>
      <c r="G528" s="315"/>
      <c r="H528" s="316"/>
      <c r="I528" s="316"/>
      <c r="J528" s="316"/>
      <c r="K528" s="316"/>
      <c r="L528" s="316"/>
      <c r="M528" s="316"/>
      <c r="N528" s="318" t="s">
        <v>4053</v>
      </c>
      <c r="Q528" s="314" t="s">
        <v>3306</v>
      </c>
      <c r="S528" s="1858">
        <f>NL!U44</f>
        <v>21.5</v>
      </c>
      <c r="T528" s="1858"/>
      <c r="U528" s="1858"/>
      <c r="V528" s="1858"/>
      <c r="W528" s="314" t="s">
        <v>3319</v>
      </c>
    </row>
    <row r="529" spans="1:38" ht="20.100000000000001" customHeight="1">
      <c r="A529" s="767"/>
      <c r="D529" s="350"/>
      <c r="E529" s="316"/>
      <c r="F529" s="503"/>
      <c r="G529" s="315"/>
      <c r="H529" s="316"/>
      <c r="I529" s="316"/>
      <c r="J529" s="316"/>
      <c r="K529" s="316"/>
      <c r="L529" s="316"/>
      <c r="M529" s="319" t="s">
        <v>5652</v>
      </c>
      <c r="N529" s="318" t="s">
        <v>2406</v>
      </c>
      <c r="Q529" s="314" t="s">
        <v>3306</v>
      </c>
      <c r="S529" s="1869">
        <f>ROUND(IF(NL!U45=22,S528/SQRT(3),IF(NL!U45=12.7,S528,0)),1)</f>
        <v>12.4</v>
      </c>
      <c r="T529" s="1869"/>
      <c r="U529" s="1869"/>
      <c r="V529" s="1869"/>
      <c r="W529" s="314" t="s">
        <v>3319</v>
      </c>
      <c r="X529" s="318"/>
      <c r="Y529" s="318"/>
      <c r="Z529" s="318"/>
      <c r="AA529" s="318"/>
      <c r="AB529" s="318"/>
      <c r="AC529" s="318"/>
      <c r="AD529" s="318"/>
      <c r="AE529" s="318"/>
      <c r="AF529" s="318"/>
      <c r="AG529" s="318"/>
      <c r="AH529" s="318"/>
      <c r="AI529" s="318"/>
      <c r="AJ529" s="318"/>
      <c r="AK529" s="318"/>
      <c r="AL529" s="318"/>
    </row>
    <row r="530" spans="1:38" ht="20.100000000000001" customHeight="1">
      <c r="A530" s="767"/>
      <c r="D530" s="350" t="s">
        <v>3384</v>
      </c>
      <c r="E530" s="316"/>
      <c r="F530" s="503"/>
      <c r="G530" s="315"/>
      <c r="H530" s="316"/>
      <c r="I530" s="316"/>
      <c r="J530" s="316"/>
      <c r="K530" s="316"/>
      <c r="L530" s="316"/>
      <c r="M530" s="319"/>
      <c r="S530" s="506"/>
      <c r="T530" s="506"/>
      <c r="U530" s="506"/>
      <c r="V530" s="506"/>
      <c r="X530" s="318"/>
      <c r="Y530" s="318"/>
      <c r="Z530" s="318"/>
      <c r="AA530" s="318"/>
      <c r="AB530" s="318"/>
      <c r="AC530" s="318"/>
      <c r="AD530" s="318"/>
      <c r="AE530" s="318"/>
      <c r="AF530" s="318"/>
      <c r="AG530" s="318"/>
      <c r="AH530" s="318"/>
      <c r="AI530" s="318"/>
      <c r="AJ530" s="318"/>
      <c r="AK530" s="318"/>
      <c r="AL530" s="318"/>
    </row>
    <row r="531" spans="1:38" ht="20.100000000000001" customHeight="1">
      <c r="A531" s="767"/>
      <c r="D531" s="350"/>
      <c r="E531" s="316"/>
      <c r="F531" s="503"/>
      <c r="G531" s="315"/>
      <c r="H531" s="316"/>
      <c r="I531" s="316"/>
      <c r="J531" s="316"/>
      <c r="K531" s="316"/>
      <c r="L531" s="316"/>
      <c r="M531" s="319"/>
      <c r="N531" s="1862" t="s">
        <v>1381</v>
      </c>
      <c r="O531" s="1862"/>
      <c r="P531" s="1862"/>
      <c r="Q531" s="1859" t="s">
        <v>3306</v>
      </c>
      <c r="R531" s="1863" t="s">
        <v>1919</v>
      </c>
      <c r="S531" s="1863"/>
      <c r="T531" s="1863"/>
      <c r="U531" s="1863"/>
      <c r="V531" s="1863"/>
      <c r="W531" s="1863"/>
      <c r="X531" s="1863"/>
      <c r="Y531" s="1861">
        <v>1</v>
      </c>
      <c r="Z531" s="1861"/>
      <c r="AA531" s="1861"/>
      <c r="AB531" s="318"/>
      <c r="AF531" s="318"/>
      <c r="AG531" s="318"/>
      <c r="AH531" s="318"/>
      <c r="AI531" s="318"/>
      <c r="AJ531" s="318"/>
      <c r="AK531" s="318"/>
      <c r="AL531" s="318"/>
    </row>
    <row r="532" spans="1:38" ht="20.100000000000001" customHeight="1">
      <c r="A532" s="767"/>
      <c r="D532" s="350"/>
      <c r="E532" s="316"/>
      <c r="F532" s="503"/>
      <c r="G532" s="315"/>
      <c r="H532" s="316"/>
      <c r="I532" s="316"/>
      <c r="J532" s="316"/>
      <c r="K532" s="316"/>
      <c r="L532" s="316"/>
      <c r="M532" s="319"/>
      <c r="N532" s="1862"/>
      <c r="O532" s="1862"/>
      <c r="P532" s="1862"/>
      <c r="Q532" s="1859"/>
      <c r="R532" s="1857" t="s">
        <v>5623</v>
      </c>
      <c r="S532" s="1857"/>
      <c r="T532" s="1857"/>
      <c r="U532" s="1857"/>
      <c r="V532" s="1857"/>
      <c r="W532" s="1857"/>
      <c r="X532" s="1857"/>
      <c r="Y532" s="1861"/>
      <c r="Z532" s="1861"/>
      <c r="AA532" s="1861"/>
      <c r="AB532" s="318"/>
      <c r="AF532" s="318"/>
      <c r="AG532" s="318"/>
      <c r="AH532" s="318"/>
      <c r="AI532" s="318"/>
      <c r="AJ532" s="318"/>
      <c r="AK532" s="318"/>
      <c r="AL532" s="318"/>
    </row>
    <row r="533" spans="1:38" ht="20.100000000000001" customHeight="1">
      <c r="A533" s="767"/>
      <c r="D533" s="350"/>
      <c r="E533" s="316"/>
      <c r="F533" s="503"/>
      <c r="G533" s="315"/>
      <c r="H533" s="316"/>
      <c r="I533" s="316"/>
      <c r="J533" s="316"/>
      <c r="K533" s="316"/>
      <c r="L533" s="316"/>
      <c r="M533" s="319"/>
      <c r="O533" s="318"/>
      <c r="P533" s="318"/>
      <c r="Q533" s="1859" t="s">
        <v>3306</v>
      </c>
      <c r="R533" s="1863" t="str">
        <f>"12,7 - "&amp;S529</f>
        <v>12,7 - 12,4</v>
      </c>
      <c r="S533" s="1863"/>
      <c r="T533" s="1863"/>
      <c r="U533" s="1863"/>
      <c r="V533" s="1863"/>
      <c r="W533" s="1861">
        <v>1</v>
      </c>
      <c r="X533" s="1861"/>
      <c r="Y533" s="1861"/>
      <c r="Z533" s="1859" t="s">
        <v>3306</v>
      </c>
      <c r="AA533" s="1858">
        <f>ROUND(((12.7-S529)/12.7)*100,3)</f>
        <v>2.3620000000000001</v>
      </c>
      <c r="AB533" s="1858"/>
      <c r="AC533" s="1858"/>
      <c r="AD533" s="1858"/>
      <c r="AE533" s="1858"/>
      <c r="AF533" s="1861" t="s">
        <v>3385</v>
      </c>
      <c r="AG533" s="1861"/>
      <c r="AH533" s="318"/>
      <c r="AI533" s="318"/>
      <c r="AJ533" s="318"/>
      <c r="AK533" s="318"/>
      <c r="AL533" s="318"/>
    </row>
    <row r="534" spans="1:38" ht="20.100000000000001" customHeight="1">
      <c r="A534" s="767"/>
      <c r="D534" s="350"/>
      <c r="E534" s="316"/>
      <c r="F534" s="503"/>
      <c r="G534" s="315"/>
      <c r="H534" s="316"/>
      <c r="I534" s="316"/>
      <c r="J534" s="316"/>
      <c r="K534" s="316"/>
      <c r="L534" s="316"/>
      <c r="M534" s="319"/>
      <c r="O534" s="318"/>
      <c r="P534" s="318"/>
      <c r="Q534" s="1859"/>
      <c r="R534" s="1857">
        <v>12.7</v>
      </c>
      <c r="S534" s="1857"/>
      <c r="T534" s="1857"/>
      <c r="U534" s="1857"/>
      <c r="V534" s="1857"/>
      <c r="W534" s="1861"/>
      <c r="X534" s="1861"/>
      <c r="Y534" s="1861"/>
      <c r="Z534" s="1859"/>
      <c r="AA534" s="1858"/>
      <c r="AB534" s="1858"/>
      <c r="AC534" s="1858"/>
      <c r="AD534" s="1858"/>
      <c r="AE534" s="1858"/>
      <c r="AF534" s="1861"/>
      <c r="AG534" s="1861"/>
      <c r="AH534" s="318"/>
      <c r="AI534" s="318"/>
      <c r="AJ534" s="318"/>
      <c r="AK534" s="318"/>
      <c r="AL534" s="318"/>
    </row>
    <row r="535" spans="1:38" ht="20.100000000000001" customHeight="1">
      <c r="A535" s="767"/>
      <c r="D535" s="350" t="s">
        <v>3324</v>
      </c>
      <c r="E535" s="316"/>
      <c r="F535" s="318"/>
      <c r="G535" s="315"/>
      <c r="H535" s="316"/>
      <c r="I535" s="316"/>
      <c r="J535" s="316"/>
      <c r="K535" s="316"/>
      <c r="L535" s="316"/>
      <c r="M535" s="316"/>
      <c r="N535" s="318" t="s">
        <v>3325</v>
      </c>
      <c r="Q535" s="342" t="s">
        <v>3939</v>
      </c>
      <c r="S535" s="1869">
        <f>VLOOKUP(NL!AU27,NL!AU28:BU38,24,FALSE)</f>
        <v>0.8</v>
      </c>
      <c r="T535" s="1869"/>
      <c r="U535" s="1869"/>
      <c r="V535" s="1869"/>
      <c r="W535" s="503" t="s">
        <v>3326</v>
      </c>
      <c r="X535" s="318"/>
      <c r="Y535" s="318" t="s">
        <v>3327</v>
      </c>
      <c r="Z535" s="318"/>
      <c r="AA535" s="318" t="s">
        <v>3306</v>
      </c>
      <c r="AB535" s="318"/>
      <c r="AC535" s="1872">
        <f>SIN(ACOS(S535))</f>
        <v>0.59999999999999987</v>
      </c>
      <c r="AD535" s="1872"/>
      <c r="AE535" s="1872"/>
      <c r="AF535" s="1872"/>
      <c r="AG535" s="318"/>
      <c r="AH535" s="318"/>
      <c r="AI535" s="318"/>
      <c r="AJ535" s="318"/>
      <c r="AK535" s="318"/>
      <c r="AL535" s="318"/>
    </row>
    <row r="536" spans="1:38" ht="20.100000000000001" customHeight="1">
      <c r="A536" s="767"/>
      <c r="D536" s="350" t="s">
        <v>3884</v>
      </c>
      <c r="E536" s="316"/>
      <c r="F536" s="318"/>
      <c r="G536" s="315"/>
      <c r="H536" s="316"/>
      <c r="I536" s="316"/>
      <c r="J536" s="316"/>
      <c r="K536" s="316"/>
      <c r="L536" s="316"/>
      <c r="M536" s="316"/>
      <c r="N536" s="316"/>
      <c r="Q536" s="318" t="s">
        <v>3320</v>
      </c>
      <c r="T536" s="342" t="s">
        <v>3939</v>
      </c>
      <c r="V536" s="1869">
        <f>S522*S535</f>
        <v>128</v>
      </c>
      <c r="W536" s="1869"/>
      <c r="X536" s="1869"/>
      <c r="Y536" s="1869"/>
      <c r="Z536" s="314" t="s">
        <v>3321</v>
      </c>
    </row>
    <row r="537" spans="1:38" ht="20.100000000000001" customHeight="1">
      <c r="A537" s="767"/>
      <c r="D537" s="350"/>
      <c r="E537" s="316"/>
      <c r="F537" s="318"/>
      <c r="G537" s="315"/>
      <c r="H537" s="316"/>
      <c r="I537" s="316"/>
      <c r="J537" s="316"/>
      <c r="K537" s="316"/>
      <c r="L537" s="316"/>
      <c r="M537" s="316"/>
      <c r="N537" s="316"/>
      <c r="Q537" s="318" t="s">
        <v>3195</v>
      </c>
      <c r="T537" s="342" t="s">
        <v>3939</v>
      </c>
      <c r="V537" s="1869">
        <f>ROUND(IF(NL!U45=22,V536/3,IF(NL!U45=12.7,V536,0)),1)</f>
        <v>42.7</v>
      </c>
      <c r="W537" s="1869"/>
      <c r="X537" s="1869"/>
      <c r="Y537" s="1869"/>
      <c r="Z537" s="314" t="s">
        <v>3321</v>
      </c>
    </row>
    <row r="538" spans="1:38" ht="20.100000000000001" customHeight="1">
      <c r="A538" s="767"/>
      <c r="D538" s="350" t="s">
        <v>3885</v>
      </c>
      <c r="E538" s="316"/>
      <c r="F538" s="318"/>
      <c r="G538" s="315"/>
      <c r="H538" s="316"/>
      <c r="I538" s="316"/>
      <c r="J538" s="316"/>
      <c r="K538" s="316"/>
      <c r="L538" s="316"/>
      <c r="M538" s="316"/>
      <c r="N538" s="316"/>
      <c r="Q538" s="318" t="s">
        <v>3322</v>
      </c>
      <c r="T538" s="342" t="s">
        <v>3939</v>
      </c>
      <c r="V538" s="1869">
        <f>S522*AC535</f>
        <v>95.999999999999972</v>
      </c>
      <c r="W538" s="1869"/>
      <c r="X538" s="1869"/>
      <c r="Y538" s="1869"/>
      <c r="Z538" s="314" t="s">
        <v>3323</v>
      </c>
      <c r="AA538" s="318"/>
      <c r="AB538" s="318"/>
    </row>
    <row r="539" spans="1:38" ht="20.100000000000001" customHeight="1">
      <c r="A539" s="767"/>
      <c r="D539" s="350"/>
      <c r="E539" s="316"/>
      <c r="F539" s="318"/>
      <c r="G539" s="315"/>
      <c r="H539" s="316"/>
      <c r="I539" s="316"/>
      <c r="J539" s="316"/>
      <c r="K539" s="316"/>
      <c r="L539" s="316"/>
      <c r="M539" s="316"/>
      <c r="N539" s="316"/>
      <c r="Q539" s="318" t="s">
        <v>3196</v>
      </c>
      <c r="T539" s="342" t="s">
        <v>3939</v>
      </c>
      <c r="V539" s="1869">
        <f>ROUND(IF(NL!U45=22,V538/3,IF(NL!U45=12.7,V538,0)),1)</f>
        <v>32</v>
      </c>
      <c r="W539" s="1869"/>
      <c r="X539" s="1869"/>
      <c r="Y539" s="1869"/>
      <c r="Z539" s="314" t="s">
        <v>3323</v>
      </c>
      <c r="AA539" s="318"/>
      <c r="AB539" s="318"/>
    </row>
    <row r="540" spans="1:38" ht="20.100000000000001" customHeight="1">
      <c r="A540" s="767"/>
      <c r="D540" s="350" t="s">
        <v>3328</v>
      </c>
      <c r="E540" s="316"/>
      <c r="F540" s="318"/>
      <c r="G540" s="315"/>
      <c r="H540" s="316"/>
      <c r="I540" s="316"/>
      <c r="J540" s="316"/>
      <c r="K540" s="316"/>
      <c r="L540" s="316"/>
      <c r="M540" s="316"/>
      <c r="N540" s="316"/>
      <c r="Q540" s="318" t="s">
        <v>3329</v>
      </c>
      <c r="T540" s="314" t="s">
        <v>3306</v>
      </c>
      <c r="V540" s="1871">
        <v>5</v>
      </c>
      <c r="W540" s="1871"/>
      <c r="X540" s="1871"/>
      <c r="Y540" s="1871"/>
      <c r="Z540" s="318" t="s">
        <v>3385</v>
      </c>
      <c r="AA540" s="318"/>
      <c r="AB540" s="318"/>
      <c r="AC540" s="318"/>
      <c r="AD540" s="318"/>
      <c r="AE540" s="318"/>
      <c r="AF540" s="318"/>
      <c r="AG540" s="318"/>
      <c r="AH540" s="318"/>
      <c r="AI540" s="318"/>
      <c r="AJ540" s="318"/>
      <c r="AK540" s="318"/>
      <c r="AL540" s="318"/>
    </row>
    <row r="541" spans="1:38" ht="20.100000000000001" customHeight="1">
      <c r="A541" s="767"/>
      <c r="D541" s="351" t="s">
        <v>3330</v>
      </c>
      <c r="E541" s="316"/>
      <c r="F541" s="318"/>
      <c r="G541" s="315"/>
      <c r="H541" s="316"/>
      <c r="I541" s="316"/>
      <c r="J541" s="316"/>
      <c r="K541" s="316"/>
      <c r="L541" s="316"/>
      <c r="M541" s="316"/>
      <c r="N541" s="316"/>
      <c r="S541" s="318"/>
      <c r="T541" s="318"/>
      <c r="U541" s="318"/>
      <c r="V541" s="318"/>
      <c r="W541" s="318"/>
      <c r="X541" s="318"/>
      <c r="Y541" s="318"/>
      <c r="Z541" s="318"/>
      <c r="AA541" s="318"/>
      <c r="AB541" s="318"/>
      <c r="AC541" s="318"/>
      <c r="AD541" s="318"/>
      <c r="AE541" s="318"/>
      <c r="AF541" s="318"/>
      <c r="AG541" s="318"/>
      <c r="AH541" s="318"/>
      <c r="AI541" s="318"/>
      <c r="AJ541" s="318"/>
      <c r="AK541" s="318"/>
      <c r="AL541" s="318"/>
    </row>
    <row r="542" spans="1:38" ht="20.100000000000001" customHeight="1">
      <c r="A542" s="767"/>
      <c r="D542" s="350" t="s">
        <v>4865</v>
      </c>
      <c r="E542" s="316"/>
      <c r="F542" s="318"/>
      <c r="G542" s="315"/>
      <c r="H542" s="316"/>
      <c r="I542" s="316"/>
      <c r="J542" s="316"/>
      <c r="K542" s="316"/>
      <c r="L542" s="316"/>
      <c r="M542" s="316"/>
      <c r="N542" s="318" t="str">
        <f>NL!U46</f>
        <v>CXV 24kV 25mm2</v>
      </c>
      <c r="S542" s="318"/>
      <c r="T542" s="318"/>
      <c r="U542" s="318"/>
      <c r="V542" s="318"/>
      <c r="W542" s="318"/>
      <c r="X542" s="318"/>
      <c r="Y542" s="318"/>
      <c r="Z542" s="318"/>
      <c r="AA542" s="318"/>
      <c r="AB542" s="318"/>
      <c r="AC542" s="318"/>
      <c r="AD542" s="318"/>
      <c r="AE542" s="318"/>
      <c r="AF542" s="318"/>
      <c r="AG542" s="318"/>
      <c r="AH542" s="318"/>
      <c r="AI542" s="318"/>
      <c r="AJ542" s="318"/>
      <c r="AK542" s="318"/>
      <c r="AL542" s="318"/>
    </row>
    <row r="543" spans="1:38" ht="20.100000000000001" customHeight="1">
      <c r="A543" s="767"/>
      <c r="D543" s="350"/>
      <c r="E543" s="503" t="s">
        <v>809</v>
      </c>
      <c r="F543" s="318"/>
      <c r="G543" s="315"/>
      <c r="H543" s="316"/>
      <c r="I543" s="316"/>
      <c r="J543" s="316"/>
      <c r="K543" s="316"/>
      <c r="L543" s="316"/>
      <c r="M543" s="316"/>
      <c r="N543" s="318" t="s">
        <v>1252</v>
      </c>
      <c r="Q543" s="314" t="s">
        <v>3306</v>
      </c>
      <c r="S543" s="1869" t="e">
        <f>VLOOKUP(N542,NL!BY80:CK116,NL!CB76,FALSE)</f>
        <v>#N/A</v>
      </c>
      <c r="T543" s="1869"/>
      <c r="U543" s="1869"/>
      <c r="V543" s="1869"/>
      <c r="W543" s="318" t="s">
        <v>810</v>
      </c>
      <c r="X543" s="318"/>
      <c r="Y543" s="318"/>
      <c r="Z543" s="318"/>
      <c r="AA543" s="318"/>
      <c r="AB543" s="318"/>
      <c r="AC543" s="318"/>
      <c r="AD543" s="318"/>
      <c r="AE543" s="318"/>
      <c r="AF543" s="318"/>
      <c r="AG543" s="318"/>
      <c r="AH543" s="318"/>
    </row>
    <row r="544" spans="1:38" ht="20.100000000000001" customHeight="1">
      <c r="A544" s="767"/>
      <c r="D544" s="350"/>
      <c r="E544" s="316"/>
      <c r="F544" s="503" t="s">
        <v>4049</v>
      </c>
      <c r="G544" s="315"/>
      <c r="H544" s="316"/>
      <c r="I544" s="316"/>
      <c r="J544" s="316"/>
      <c r="K544" s="316"/>
      <c r="L544" s="316"/>
      <c r="M544" s="316"/>
      <c r="N544" s="318" t="s">
        <v>4050</v>
      </c>
      <c r="Q544" s="314" t="s">
        <v>3306</v>
      </c>
      <c r="S544" s="1869" t="e">
        <f>S543/2</f>
        <v>#N/A</v>
      </c>
      <c r="T544" s="1869"/>
      <c r="U544" s="1869"/>
      <c r="V544" s="1869"/>
      <c r="W544" s="318" t="s">
        <v>810</v>
      </c>
      <c r="X544" s="318"/>
      <c r="Y544" s="318"/>
      <c r="Z544" s="318" t="s">
        <v>3306</v>
      </c>
      <c r="AA544" s="1870" t="e">
        <f>S544/1000</f>
        <v>#N/A</v>
      </c>
      <c r="AB544" s="1870"/>
      <c r="AC544" s="1870"/>
      <c r="AD544" s="1870"/>
      <c r="AE544" s="318" t="s">
        <v>2550</v>
      </c>
      <c r="AF544" s="318"/>
      <c r="AG544" s="318"/>
      <c r="AH544" s="318"/>
      <c r="AI544" s="318"/>
      <c r="AJ544" s="318"/>
      <c r="AK544" s="318"/>
      <c r="AL544" s="318"/>
    </row>
    <row r="545" spans="1:38" ht="20.100000000000001" customHeight="1">
      <c r="A545" s="767"/>
      <c r="D545" s="350"/>
      <c r="E545" s="503" t="s">
        <v>811</v>
      </c>
      <c r="F545" s="318"/>
      <c r="G545" s="315"/>
      <c r="H545" s="316"/>
      <c r="I545" s="316"/>
      <c r="J545" s="316"/>
      <c r="K545" s="316"/>
      <c r="L545" s="316"/>
      <c r="M545" s="316"/>
      <c r="N545" s="318" t="s">
        <v>812</v>
      </c>
      <c r="Q545" s="314" t="s">
        <v>3306</v>
      </c>
      <c r="S545" s="1870" t="e">
        <f>VLOOKUP(N542,NL!BY80:CK116,NL!CK76,FALSE)</f>
        <v>#N/A</v>
      </c>
      <c r="T545" s="1870"/>
      <c r="U545" s="1870"/>
      <c r="V545" s="1870"/>
      <c r="W545" s="318" t="s">
        <v>5655</v>
      </c>
      <c r="X545" s="318"/>
      <c r="Y545" s="318"/>
      <c r="Z545" s="318"/>
      <c r="AA545" s="318"/>
      <c r="AB545" s="318"/>
      <c r="AC545" s="318"/>
      <c r="AD545" s="318"/>
      <c r="AE545" s="318"/>
      <c r="AF545" s="318"/>
      <c r="AG545" s="318"/>
      <c r="AH545" s="318"/>
      <c r="AI545" s="318"/>
      <c r="AJ545" s="318"/>
      <c r="AK545" s="318"/>
      <c r="AL545" s="318"/>
    </row>
    <row r="546" spans="1:38" ht="20.100000000000001" customHeight="1">
      <c r="A546" s="767"/>
      <c r="D546" s="350"/>
      <c r="E546" s="503"/>
      <c r="F546" s="318"/>
      <c r="G546" s="315"/>
      <c r="H546" s="316"/>
      <c r="I546" s="316"/>
      <c r="J546" s="316"/>
      <c r="K546" s="316"/>
      <c r="L546" s="316"/>
      <c r="M546" s="319" t="s">
        <v>5652</v>
      </c>
      <c r="N546" s="318" t="s">
        <v>755</v>
      </c>
      <c r="Q546" s="314" t="s">
        <v>3306</v>
      </c>
      <c r="S546" s="507" t="s">
        <v>756</v>
      </c>
      <c r="T546" s="505"/>
      <c r="U546" s="314" t="s">
        <v>3306</v>
      </c>
      <c r="V546" s="507" t="e">
        <f>Z524&amp;" . "&amp;S545</f>
        <v>#N/A</v>
      </c>
      <c r="W546" s="318"/>
      <c r="X546" s="318"/>
      <c r="Y546" s="318"/>
      <c r="Z546" s="318"/>
      <c r="AB546" s="318" t="s">
        <v>3306</v>
      </c>
      <c r="AC546" s="1864" t="e">
        <f>ROUND(Z524*S545,3)</f>
        <v>#N/A</v>
      </c>
      <c r="AD546" s="1864"/>
      <c r="AE546" s="1864"/>
      <c r="AF546" s="1864"/>
      <c r="AG546" s="318" t="s">
        <v>757</v>
      </c>
      <c r="AH546" s="318"/>
      <c r="AI546" s="318"/>
      <c r="AJ546" s="318"/>
      <c r="AK546" s="318"/>
      <c r="AL546" s="318"/>
    </row>
    <row r="547" spans="1:38" ht="20.100000000000001" customHeight="1">
      <c r="A547" s="767"/>
      <c r="D547" s="350"/>
      <c r="E547" s="503" t="s">
        <v>814</v>
      </c>
      <c r="F547" s="318"/>
      <c r="G547" s="315"/>
      <c r="H547" s="316"/>
      <c r="I547" s="316"/>
      <c r="J547" s="316"/>
      <c r="K547" s="316"/>
      <c r="L547" s="316"/>
      <c r="M547" s="316"/>
      <c r="N547" s="318" t="s">
        <v>815</v>
      </c>
      <c r="Q547" s="314" t="s">
        <v>3306</v>
      </c>
      <c r="S547" s="1871" t="e">
        <f>VLOOKUP(N542,NL!BY80:CL116,NL!CL76,FALSE)</f>
        <v>#N/A</v>
      </c>
      <c r="T547" s="1871"/>
      <c r="U547" s="1871"/>
      <c r="V547" s="1871"/>
      <c r="W547" s="318" t="s">
        <v>4219</v>
      </c>
      <c r="X547" s="318"/>
      <c r="Y547" s="318"/>
      <c r="Z547" s="318"/>
      <c r="AA547" s="318"/>
      <c r="AB547" s="318"/>
      <c r="AC547" s="318"/>
      <c r="AD547" s="318"/>
      <c r="AE547" s="318"/>
      <c r="AF547" s="318"/>
      <c r="AG547" s="318"/>
      <c r="AH547" s="318"/>
      <c r="AI547" s="318"/>
      <c r="AJ547" s="318"/>
      <c r="AK547" s="318"/>
      <c r="AL547" s="318"/>
    </row>
    <row r="548" spans="1:38" ht="20.100000000000001" customHeight="1">
      <c r="A548" s="767"/>
      <c r="D548" s="350" t="s">
        <v>4051</v>
      </c>
      <c r="E548" s="503"/>
      <c r="F548" s="318"/>
      <c r="G548" s="315"/>
      <c r="H548" s="316"/>
      <c r="I548" s="316"/>
      <c r="J548" s="316"/>
      <c r="K548" s="316"/>
      <c r="L548" s="316"/>
      <c r="M548" s="316"/>
      <c r="N548" s="316"/>
      <c r="S548" s="505"/>
      <c r="T548" s="505"/>
      <c r="U548" s="505"/>
      <c r="V548" s="505"/>
      <c r="W548" s="318"/>
      <c r="X548" s="318"/>
      <c r="Y548" s="318"/>
      <c r="Z548" s="318"/>
      <c r="AA548" s="318"/>
      <c r="AB548" s="318"/>
      <c r="AC548" s="318"/>
      <c r="AD548" s="318"/>
      <c r="AE548" s="318"/>
      <c r="AF548" s="318"/>
      <c r="AG548" s="318"/>
      <c r="AH548" s="318"/>
      <c r="AI548" s="318"/>
      <c r="AJ548" s="318"/>
      <c r="AK548" s="318"/>
      <c r="AL548" s="318"/>
    </row>
    <row r="549" spans="1:38" ht="20.100000000000001" customHeight="1">
      <c r="A549" s="767"/>
      <c r="D549" s="350"/>
      <c r="E549" s="503"/>
      <c r="F549" s="318"/>
      <c r="G549" s="315"/>
      <c r="H549" s="316"/>
      <c r="I549" s="316"/>
      <c r="J549" s="316"/>
      <c r="K549" s="316"/>
      <c r="L549" s="316"/>
      <c r="M549" s="316"/>
      <c r="N549" s="1862" t="s">
        <v>2407</v>
      </c>
      <c r="O549" s="1862"/>
      <c r="P549" s="1862"/>
      <c r="Q549" s="1859" t="s">
        <v>3306</v>
      </c>
      <c r="R549" s="1863" t="s">
        <v>3285</v>
      </c>
      <c r="S549" s="1863"/>
      <c r="T549" s="1863"/>
      <c r="U549" s="1863"/>
      <c r="V549" s="1859" t="s">
        <v>3306</v>
      </c>
      <c r="W549" s="1865">
        <f>S523</f>
        <v>53.333333333333336</v>
      </c>
      <c r="X549" s="1865"/>
      <c r="Y549" s="1865"/>
      <c r="Z549" s="1865"/>
      <c r="AA549" s="1859" t="s">
        <v>3306</v>
      </c>
      <c r="AB549" s="1858">
        <f>W549/W550</f>
        <v>4.301075268817204</v>
      </c>
      <c r="AC549" s="1858"/>
      <c r="AD549" s="1858"/>
      <c r="AE549" s="1862" t="s">
        <v>4219</v>
      </c>
      <c r="AF549" s="1862"/>
      <c r="AG549" s="318"/>
      <c r="AH549" s="318"/>
      <c r="AI549" s="318"/>
      <c r="AJ549" s="318"/>
      <c r="AK549" s="318"/>
      <c r="AL549" s="318"/>
    </row>
    <row r="550" spans="1:38" ht="20.100000000000001" customHeight="1">
      <c r="A550" s="767"/>
      <c r="D550" s="350"/>
      <c r="E550" s="503"/>
      <c r="F550" s="318"/>
      <c r="G550" s="315"/>
      <c r="H550" s="316"/>
      <c r="I550" s="316"/>
      <c r="J550" s="316"/>
      <c r="K550" s="316"/>
      <c r="L550" s="316"/>
      <c r="M550" s="316"/>
      <c r="N550" s="1862"/>
      <c r="O550" s="1862"/>
      <c r="P550" s="1862"/>
      <c r="Q550" s="1859"/>
      <c r="R550" s="1857" t="s">
        <v>2406</v>
      </c>
      <c r="S550" s="1857"/>
      <c r="T550" s="1857"/>
      <c r="U550" s="1857"/>
      <c r="V550" s="1859"/>
      <c r="W550" s="1868">
        <f>S529</f>
        <v>12.4</v>
      </c>
      <c r="X550" s="1857"/>
      <c r="Y550" s="1857"/>
      <c r="Z550" s="1857"/>
      <c r="AA550" s="1859"/>
      <c r="AB550" s="1858"/>
      <c r="AC550" s="1858"/>
      <c r="AD550" s="1858"/>
      <c r="AE550" s="1862"/>
      <c r="AF550" s="1862"/>
      <c r="AG550" s="318"/>
      <c r="AH550" s="318"/>
      <c r="AI550" s="318"/>
      <c r="AJ550" s="318"/>
      <c r="AK550" s="318"/>
      <c r="AL550" s="318"/>
    </row>
    <row r="551" spans="1:38" ht="20.100000000000001" customHeight="1">
      <c r="A551" s="767"/>
      <c r="D551" s="350" t="s">
        <v>2408</v>
      </c>
      <c r="E551" s="503"/>
      <c r="F551" s="318"/>
      <c r="G551" s="315"/>
      <c r="H551" s="316"/>
      <c r="I551" s="316"/>
      <c r="J551" s="316"/>
      <c r="K551" s="316"/>
      <c r="L551" s="316"/>
      <c r="M551" s="316"/>
      <c r="O551" s="318"/>
      <c r="P551" s="318"/>
      <c r="Q551" s="316"/>
      <c r="R551" s="316"/>
      <c r="S551" s="316"/>
      <c r="T551" s="316"/>
      <c r="U551" s="316"/>
      <c r="W551" s="318"/>
      <c r="X551" s="318"/>
      <c r="Y551" s="318" t="s">
        <v>2409</v>
      </c>
      <c r="AB551" s="314" t="s">
        <v>3306</v>
      </c>
      <c r="AC551" s="1869">
        <v>1.3</v>
      </c>
      <c r="AD551" s="1869"/>
      <c r="AE551" s="1869"/>
      <c r="AF551" s="1869"/>
      <c r="AG551" s="318" t="s">
        <v>2550</v>
      </c>
      <c r="AH551" s="318"/>
      <c r="AI551" s="318"/>
      <c r="AJ551" s="318"/>
      <c r="AK551" s="318"/>
      <c r="AL551" s="318"/>
    </row>
    <row r="552" spans="1:38" ht="20.100000000000001" customHeight="1">
      <c r="A552" s="767"/>
      <c r="D552" s="350"/>
      <c r="E552" s="503" t="s">
        <v>1920</v>
      </c>
      <c r="F552" s="318"/>
      <c r="G552" s="315"/>
      <c r="H552" s="316"/>
      <c r="I552" s="316"/>
      <c r="J552" s="316"/>
      <c r="K552" s="316"/>
      <c r="L552" s="316"/>
      <c r="M552" s="316"/>
      <c r="N552" s="1862" t="s">
        <v>3943</v>
      </c>
      <c r="O552" s="1862"/>
      <c r="P552" s="1862"/>
      <c r="Q552" s="1859" t="s">
        <v>3306</v>
      </c>
      <c r="R552" s="1859" t="s">
        <v>2410</v>
      </c>
      <c r="S552" s="1859"/>
      <c r="T552" s="1859"/>
      <c r="U552" s="1859"/>
      <c r="V552" s="1859"/>
      <c r="W552" s="1863" t="s">
        <v>2409</v>
      </c>
      <c r="X552" s="1863"/>
      <c r="Y552" s="1858" t="s">
        <v>5644</v>
      </c>
      <c r="Z552" s="1867">
        <v>1.6E-2</v>
      </c>
      <c r="AA552" s="1867"/>
      <c r="AB552" s="1867"/>
      <c r="AC552" s="318"/>
      <c r="AD552" s="318"/>
      <c r="AE552" s="318"/>
      <c r="AF552" s="318"/>
      <c r="AG552" s="318"/>
      <c r="AH552" s="318"/>
      <c r="AI552" s="318"/>
      <c r="AJ552" s="318"/>
      <c r="AK552" s="318"/>
      <c r="AL552" s="318"/>
    </row>
    <row r="553" spans="1:38" ht="20.100000000000001" customHeight="1">
      <c r="A553" s="767"/>
      <c r="D553" s="350"/>
      <c r="E553" s="316"/>
      <c r="F553" s="318"/>
      <c r="G553" s="315"/>
      <c r="H553" s="316"/>
      <c r="I553" s="316"/>
      <c r="J553" s="316"/>
      <c r="K553" s="316"/>
      <c r="L553" s="316"/>
      <c r="M553" s="316"/>
      <c r="N553" s="1862"/>
      <c r="O553" s="1862"/>
      <c r="P553" s="1862"/>
      <c r="Q553" s="1859"/>
      <c r="R553" s="1859"/>
      <c r="S553" s="1859"/>
      <c r="T553" s="1859"/>
      <c r="U553" s="1859"/>
      <c r="V553" s="1859"/>
      <c r="W553" s="1859" t="s">
        <v>4050</v>
      </c>
      <c r="X553" s="1859"/>
      <c r="Y553" s="1858"/>
      <c r="Z553" s="1867"/>
      <c r="AA553" s="1867"/>
      <c r="AB553" s="1867"/>
      <c r="AC553" s="318"/>
      <c r="AD553" s="318"/>
      <c r="AE553" s="318"/>
      <c r="AF553" s="318"/>
      <c r="AG553" s="318"/>
      <c r="AH553" s="318"/>
      <c r="AI553" s="318"/>
      <c r="AJ553" s="318"/>
      <c r="AK553" s="318"/>
      <c r="AL553" s="318"/>
    </row>
    <row r="554" spans="1:38" ht="20.100000000000001" customHeight="1">
      <c r="A554" s="767"/>
      <c r="D554" s="350"/>
      <c r="E554" s="316"/>
      <c r="F554" s="318"/>
      <c r="G554" s="315"/>
      <c r="H554" s="316"/>
      <c r="I554" s="316"/>
      <c r="J554" s="316"/>
      <c r="K554" s="316"/>
      <c r="L554" s="316"/>
      <c r="M554" s="316"/>
      <c r="N554" s="314"/>
      <c r="Q554" s="1859" t="s">
        <v>3306</v>
      </c>
      <c r="R554" s="1859" t="s">
        <v>2410</v>
      </c>
      <c r="S554" s="1859"/>
      <c r="T554" s="1859"/>
      <c r="U554" s="1859"/>
      <c r="V554" s="1859"/>
      <c r="W554" s="1865">
        <f>AC551</f>
        <v>1.3</v>
      </c>
      <c r="X554" s="1865"/>
      <c r="Y554" s="1865"/>
      <c r="Z554" s="1865"/>
      <c r="AA554" s="1858" t="s">
        <v>5644</v>
      </c>
      <c r="AB554" s="1867">
        <v>1.6E-2</v>
      </c>
      <c r="AC554" s="1867"/>
      <c r="AD554" s="1867"/>
      <c r="AE554" s="1859" t="s">
        <v>3306</v>
      </c>
      <c r="AF554" s="1858" t="e">
        <f>ROUND(0.114*LOG(W554/W555)+0.016,2)</f>
        <v>#N/A</v>
      </c>
      <c r="AG554" s="1858"/>
      <c r="AH554" s="1858"/>
      <c r="AI554" s="1862" t="s">
        <v>5655</v>
      </c>
      <c r="AJ554" s="1862"/>
      <c r="AK554" s="1862"/>
      <c r="AL554" s="1862"/>
    </row>
    <row r="555" spans="1:38" ht="20.100000000000001" customHeight="1">
      <c r="A555" s="767"/>
      <c r="D555" s="350"/>
      <c r="E555" s="316"/>
      <c r="F555" s="318"/>
      <c r="G555" s="315"/>
      <c r="H555" s="316"/>
      <c r="I555" s="316"/>
      <c r="J555" s="316"/>
      <c r="K555" s="316"/>
      <c r="L555" s="316"/>
      <c r="M555" s="316"/>
      <c r="N555" s="314"/>
      <c r="Q555" s="1859"/>
      <c r="R555" s="1859"/>
      <c r="S555" s="1859"/>
      <c r="T555" s="1859"/>
      <c r="U555" s="1859"/>
      <c r="V555" s="1859"/>
      <c r="W555" s="1866" t="e">
        <f>AA544</f>
        <v>#N/A</v>
      </c>
      <c r="X555" s="1866"/>
      <c r="Y555" s="1866"/>
      <c r="Z555" s="1866"/>
      <c r="AA555" s="1858"/>
      <c r="AB555" s="1867"/>
      <c r="AC555" s="1867"/>
      <c r="AD555" s="1867"/>
      <c r="AE555" s="1859"/>
      <c r="AF555" s="1858"/>
      <c r="AG555" s="1858"/>
      <c r="AH555" s="1858"/>
      <c r="AI555" s="1862"/>
      <c r="AJ555" s="1862"/>
      <c r="AK555" s="1862"/>
      <c r="AL555" s="1862"/>
    </row>
    <row r="556" spans="1:38" ht="20.100000000000001" customHeight="1">
      <c r="A556" s="767"/>
      <c r="D556" s="350"/>
      <c r="E556" s="503"/>
      <c r="F556" s="318"/>
      <c r="G556" s="315"/>
      <c r="H556" s="316"/>
      <c r="I556" s="316"/>
      <c r="J556" s="316"/>
      <c r="K556" s="316"/>
      <c r="L556" s="316"/>
      <c r="M556" s="319" t="s">
        <v>5652</v>
      </c>
      <c r="N556" s="318" t="s">
        <v>758</v>
      </c>
      <c r="Q556" s="314" t="s">
        <v>3306</v>
      </c>
      <c r="S556" s="507" t="s">
        <v>759</v>
      </c>
      <c r="T556" s="505"/>
      <c r="U556" s="505"/>
      <c r="V556" s="314" t="s">
        <v>3306</v>
      </c>
      <c r="X556" s="507" t="e">
        <f>Z524&amp;" . "&amp;AF554</f>
        <v>#N/A</v>
      </c>
      <c r="Y556" s="505"/>
      <c r="Z556" s="505"/>
      <c r="AA556" s="505"/>
      <c r="AB556" s="318"/>
      <c r="AC556" s="318" t="s">
        <v>3306</v>
      </c>
      <c r="AE556" s="1864" t="e">
        <f>ROUND(Z524*AF554,3)</f>
        <v>#N/A</v>
      </c>
      <c r="AF556" s="1864"/>
      <c r="AG556" s="1864"/>
      <c r="AH556" s="1864"/>
      <c r="AI556" s="318" t="s">
        <v>757</v>
      </c>
      <c r="AJ556" s="318"/>
      <c r="AK556" s="318"/>
      <c r="AL556" s="318"/>
    </row>
    <row r="557" spans="1:38" ht="20.100000000000001" customHeight="1">
      <c r="A557" s="767"/>
      <c r="D557" s="350"/>
      <c r="E557" s="503"/>
      <c r="F557" s="318"/>
      <c r="G557" s="315"/>
      <c r="H557" s="316"/>
      <c r="I557" s="316"/>
      <c r="J557" s="316"/>
      <c r="K557" s="316"/>
      <c r="L557" s="316"/>
      <c r="M557" s="319"/>
      <c r="S557" s="507"/>
      <c r="T557" s="505"/>
      <c r="U557" s="505"/>
      <c r="X557" s="507"/>
      <c r="Y557" s="505"/>
      <c r="Z557" s="505"/>
      <c r="AA557" s="505"/>
      <c r="AB557" s="318"/>
      <c r="AC557" s="318"/>
      <c r="AE557" s="504"/>
      <c r="AF557" s="504"/>
      <c r="AG557" s="504"/>
      <c r="AH557" s="504"/>
      <c r="AI557" s="318"/>
      <c r="AJ557" s="318"/>
      <c r="AK557" s="318"/>
      <c r="AL557" s="318"/>
    </row>
    <row r="558" spans="1:38" ht="20.100000000000001" customHeight="1">
      <c r="A558" s="767"/>
      <c r="D558" s="350" t="s">
        <v>5938</v>
      </c>
      <c r="E558" s="316"/>
      <c r="F558" s="318"/>
      <c r="G558" s="315"/>
      <c r="H558" s="316"/>
      <c r="I558" s="316"/>
      <c r="J558" s="316"/>
      <c r="K558" s="316"/>
      <c r="L558" s="316"/>
      <c r="M558" s="316"/>
      <c r="N558" s="316"/>
      <c r="S558" s="318"/>
      <c r="T558" s="318"/>
      <c r="U558" s="318"/>
      <c r="V558" s="318"/>
      <c r="W558" s="318"/>
      <c r="X558" s="318"/>
      <c r="Y558" s="318"/>
      <c r="Z558" s="318"/>
      <c r="AA558" s="318"/>
      <c r="AB558" s="318"/>
      <c r="AC558" s="318"/>
      <c r="AD558" s="318"/>
      <c r="AE558" s="318"/>
      <c r="AF558" s="318"/>
      <c r="AG558" s="318"/>
      <c r="AH558" s="318"/>
      <c r="AI558" s="318"/>
      <c r="AJ558" s="318"/>
      <c r="AK558" s="318"/>
      <c r="AL558" s="318"/>
    </row>
    <row r="559" spans="1:38" ht="20.100000000000001" customHeight="1">
      <c r="A559" s="767"/>
      <c r="D559" s="350"/>
      <c r="E559" s="316"/>
      <c r="F559" s="318"/>
      <c r="G559" s="315"/>
      <c r="H559" s="316"/>
      <c r="I559" s="316"/>
      <c r="J559" s="316"/>
      <c r="K559" s="316"/>
      <c r="L559" s="316"/>
      <c r="M559" s="316"/>
      <c r="N559" s="1862" t="s">
        <v>1382</v>
      </c>
      <c r="O559" s="1862"/>
      <c r="P559" s="1862"/>
      <c r="Q559" s="1859" t="s">
        <v>3306</v>
      </c>
      <c r="R559" s="1863" t="s">
        <v>2785</v>
      </c>
      <c r="S559" s="1863"/>
      <c r="T559" s="1863"/>
      <c r="U559" s="1863"/>
      <c r="V559" s="1863"/>
      <c r="W559" s="1863"/>
      <c r="X559" s="1863"/>
      <c r="Y559" s="318"/>
      <c r="Z559" s="318"/>
      <c r="AA559" s="318"/>
      <c r="AB559" s="318"/>
      <c r="AC559" s="318"/>
      <c r="AD559" s="318"/>
      <c r="AE559" s="318"/>
      <c r="AF559" s="318"/>
      <c r="AG559" s="318"/>
      <c r="AH559" s="318"/>
      <c r="AI559" s="318"/>
      <c r="AJ559" s="318"/>
      <c r="AK559" s="318"/>
      <c r="AL559" s="318"/>
    </row>
    <row r="560" spans="1:38" ht="20.100000000000001" customHeight="1">
      <c r="A560" s="767"/>
      <c r="D560" s="350"/>
      <c r="E560" s="316"/>
      <c r="F560" s="318"/>
      <c r="G560" s="315"/>
      <c r="H560" s="316"/>
      <c r="I560" s="316"/>
      <c r="J560" s="316"/>
      <c r="K560" s="316"/>
      <c r="L560" s="316"/>
      <c r="M560" s="316"/>
      <c r="N560" s="1862"/>
      <c r="O560" s="1862"/>
      <c r="P560" s="1862"/>
      <c r="Q560" s="1859"/>
      <c r="R560" s="1859" t="s">
        <v>5623</v>
      </c>
      <c r="S560" s="1859"/>
      <c r="T560" s="1859"/>
      <c r="U560" s="1859"/>
      <c r="V560" s="1859"/>
      <c r="W560" s="1859"/>
      <c r="X560" s="1859"/>
      <c r="Y560" s="318"/>
      <c r="Z560" s="318"/>
      <c r="AA560" s="318"/>
      <c r="AB560" s="318"/>
      <c r="AC560" s="318"/>
      <c r="AD560" s="318"/>
      <c r="AE560" s="318"/>
      <c r="AF560" s="318"/>
      <c r="AG560" s="318"/>
      <c r="AH560" s="318"/>
      <c r="AI560" s="318"/>
      <c r="AJ560" s="318"/>
      <c r="AK560" s="318"/>
      <c r="AL560" s="318"/>
    </row>
    <row r="561" spans="1:38" ht="20.100000000000001" customHeight="1">
      <c r="A561" s="767"/>
      <c r="D561" s="350"/>
      <c r="E561" s="316"/>
      <c r="F561" s="318"/>
      <c r="G561" s="315"/>
      <c r="H561" s="316"/>
      <c r="I561" s="316"/>
      <c r="J561" s="316"/>
      <c r="K561" s="316"/>
      <c r="L561" s="316"/>
      <c r="M561" s="316"/>
      <c r="N561" s="316"/>
      <c r="Q561" s="1859" t="s">
        <v>3306</v>
      </c>
      <c r="R561" s="1863" t="e">
        <f>V537&amp;" . "&amp;AC546&amp;" + "&amp;V539&amp;" . "&amp;AE556</f>
        <v>#N/A</v>
      </c>
      <c r="S561" s="1863"/>
      <c r="T561" s="1863"/>
      <c r="U561" s="1863"/>
      <c r="V561" s="1863"/>
      <c r="W561" s="1863"/>
      <c r="X561" s="1863"/>
      <c r="Y561" s="1863"/>
      <c r="Z561" s="1863"/>
      <c r="AA561" s="1863"/>
      <c r="AB561" s="1859" t="s">
        <v>3306</v>
      </c>
      <c r="AC561" s="1864" t="e">
        <f>ROUND(((V536*AC546)+(V538+AE556))/R562,3)</f>
        <v>#N/A</v>
      </c>
      <c r="AD561" s="1864"/>
      <c r="AE561" s="1864"/>
      <c r="AF561" s="1864"/>
      <c r="AG561" s="1862" t="s">
        <v>5937</v>
      </c>
      <c r="AH561" s="1862"/>
      <c r="AI561" s="492"/>
      <c r="AJ561" s="318"/>
      <c r="AK561" s="318"/>
      <c r="AL561" s="318"/>
    </row>
    <row r="562" spans="1:38" ht="20.100000000000001" customHeight="1">
      <c r="A562" s="767"/>
      <c r="D562" s="350"/>
      <c r="E562" s="316"/>
      <c r="F562" s="318"/>
      <c r="G562" s="315"/>
      <c r="H562" s="316"/>
      <c r="I562" s="316"/>
      <c r="J562" s="316"/>
      <c r="K562" s="316"/>
      <c r="L562" s="316"/>
      <c r="M562" s="316"/>
      <c r="N562" s="316"/>
      <c r="Q562" s="1859"/>
      <c r="R562" s="1857">
        <v>12.7</v>
      </c>
      <c r="S562" s="1857"/>
      <c r="T562" s="1857"/>
      <c r="U562" s="1857"/>
      <c r="V562" s="1857"/>
      <c r="W562" s="1857"/>
      <c r="X562" s="1857"/>
      <c r="Y562" s="1857"/>
      <c r="Z562" s="1857"/>
      <c r="AA562" s="1857"/>
      <c r="AB562" s="1859"/>
      <c r="AC562" s="1864"/>
      <c r="AD562" s="1864"/>
      <c r="AE562" s="1864"/>
      <c r="AF562" s="1864"/>
      <c r="AG562" s="1862"/>
      <c r="AH562" s="1862"/>
      <c r="AI562" s="318"/>
      <c r="AJ562" s="318"/>
      <c r="AK562" s="318"/>
      <c r="AL562" s="318"/>
    </row>
    <row r="563" spans="1:38" ht="20.100000000000001" customHeight="1">
      <c r="A563" s="767"/>
      <c r="D563" s="350" t="s">
        <v>1380</v>
      </c>
      <c r="E563" s="316"/>
      <c r="F563" s="503"/>
      <c r="G563" s="315"/>
      <c r="H563" s="316"/>
      <c r="I563" s="316"/>
      <c r="J563" s="316"/>
      <c r="K563" s="316"/>
      <c r="L563" s="316"/>
      <c r="M563" s="319"/>
      <c r="S563" s="506"/>
      <c r="T563" s="506"/>
      <c r="U563" s="506"/>
      <c r="V563" s="506"/>
      <c r="X563" s="318"/>
      <c r="Y563" s="318"/>
      <c r="Z563" s="318"/>
      <c r="AA563" s="318"/>
      <c r="AB563" s="318"/>
      <c r="AC563" s="318"/>
      <c r="AD563" s="318"/>
      <c r="AE563" s="318"/>
      <c r="AF563" s="318"/>
      <c r="AG563" s="318"/>
      <c r="AH563" s="318"/>
      <c r="AI563" s="318"/>
      <c r="AJ563" s="318"/>
      <c r="AK563" s="318"/>
      <c r="AL563" s="318"/>
    </row>
    <row r="564" spans="1:38" ht="20.100000000000001" customHeight="1">
      <c r="A564" s="767"/>
      <c r="D564" s="350"/>
      <c r="E564" s="316"/>
      <c r="F564" s="503"/>
      <c r="G564" s="315"/>
      <c r="H564" s="316"/>
      <c r="I564" s="316"/>
      <c r="J564" s="316"/>
      <c r="K564" s="316"/>
      <c r="L564" s="316"/>
      <c r="M564" s="319"/>
      <c r="N564" s="1862" t="s">
        <v>1383</v>
      </c>
      <c r="O564" s="1862"/>
      <c r="P564" s="1862"/>
      <c r="Q564" s="1859" t="s">
        <v>3306</v>
      </c>
      <c r="R564" s="1863" t="s">
        <v>1383</v>
      </c>
      <c r="S564" s="1863"/>
      <c r="T564" s="1863"/>
      <c r="U564" s="1863"/>
      <c r="V564" s="1863"/>
      <c r="W564" s="1861">
        <v>1</v>
      </c>
      <c r="X564" s="1861"/>
      <c r="Y564" s="1861"/>
      <c r="Z564" s="318"/>
      <c r="AA564" s="318"/>
      <c r="AB564" s="318"/>
      <c r="AC564" s="318"/>
      <c r="AD564" s="318"/>
      <c r="AE564" s="318"/>
      <c r="AF564" s="318"/>
      <c r="AG564" s="318"/>
      <c r="AH564" s="318"/>
      <c r="AI564" s="318"/>
      <c r="AJ564" s="318"/>
      <c r="AK564" s="318"/>
      <c r="AL564" s="318"/>
    </row>
    <row r="565" spans="1:38" ht="20.100000000000001" customHeight="1">
      <c r="A565" s="767"/>
      <c r="D565" s="350"/>
      <c r="E565" s="316"/>
      <c r="F565" s="503"/>
      <c r="G565" s="315"/>
      <c r="H565" s="316"/>
      <c r="I565" s="316"/>
      <c r="J565" s="316"/>
      <c r="K565" s="316"/>
      <c r="L565" s="316"/>
      <c r="M565" s="319"/>
      <c r="N565" s="1862"/>
      <c r="O565" s="1862"/>
      <c r="P565" s="1862"/>
      <c r="Q565" s="1859"/>
      <c r="R565" s="1857" t="s">
        <v>1077</v>
      </c>
      <c r="S565" s="1857"/>
      <c r="T565" s="1857"/>
      <c r="U565" s="1857"/>
      <c r="V565" s="1857"/>
      <c r="W565" s="1861"/>
      <c r="X565" s="1861"/>
      <c r="Y565" s="1861"/>
      <c r="Z565" s="318"/>
      <c r="AA565" s="318"/>
      <c r="AB565" s="318"/>
      <c r="AC565" s="318"/>
      <c r="AD565" s="318"/>
      <c r="AE565" s="318"/>
      <c r="AF565" s="318"/>
      <c r="AG565" s="318"/>
      <c r="AH565" s="318"/>
      <c r="AI565" s="318"/>
      <c r="AJ565" s="318"/>
      <c r="AK565" s="318"/>
      <c r="AL565" s="318"/>
    </row>
    <row r="566" spans="1:38" ht="20.100000000000001" customHeight="1">
      <c r="A566" s="767"/>
      <c r="D566" s="350"/>
      <c r="E566" s="316"/>
      <c r="F566" s="503"/>
      <c r="G566" s="315"/>
      <c r="H566" s="316"/>
      <c r="I566" s="316"/>
      <c r="J566" s="316"/>
      <c r="K566" s="316"/>
      <c r="L566" s="316"/>
      <c r="M566" s="319"/>
      <c r="O566" s="318"/>
      <c r="P566" s="318"/>
      <c r="Q566" s="1859" t="s">
        <v>3306</v>
      </c>
      <c r="R566" s="1860" t="e">
        <f>AC561</f>
        <v>#N/A</v>
      </c>
      <c r="S566" s="1860"/>
      <c r="T566" s="1860"/>
      <c r="U566" s="370" t="s">
        <v>6110</v>
      </c>
      <c r="V566" s="370"/>
      <c r="W566" s="1861">
        <v>1</v>
      </c>
      <c r="X566" s="1861"/>
      <c r="Y566" s="1861"/>
      <c r="Z566" s="1859" t="s">
        <v>3306</v>
      </c>
      <c r="AA566" s="1858" t="e">
        <f>ROUND(((R566*10^-3)/22)*100,3)</f>
        <v>#N/A</v>
      </c>
      <c r="AB566" s="1858"/>
      <c r="AC566" s="1858"/>
      <c r="AD566" s="1858"/>
      <c r="AE566" s="1858"/>
      <c r="AF566" s="1856" t="s">
        <v>3385</v>
      </c>
      <c r="AG566" s="1856"/>
      <c r="AH566" s="509"/>
      <c r="AI566" s="318"/>
      <c r="AJ566" s="318"/>
      <c r="AK566" s="318"/>
      <c r="AL566" s="318"/>
    </row>
    <row r="567" spans="1:38" ht="20.100000000000001" customHeight="1">
      <c r="A567" s="767"/>
      <c r="D567" s="350"/>
      <c r="E567" s="316"/>
      <c r="F567" s="503"/>
      <c r="G567" s="315"/>
      <c r="H567" s="316"/>
      <c r="I567" s="316"/>
      <c r="J567" s="316"/>
      <c r="K567" s="316"/>
      <c r="L567" s="316"/>
      <c r="M567" s="319"/>
      <c r="O567" s="318"/>
      <c r="P567" s="318"/>
      <c r="Q567" s="1859"/>
      <c r="R567" s="1857">
        <v>22</v>
      </c>
      <c r="S567" s="1857"/>
      <c r="T567" s="1857"/>
      <c r="U567" s="1857"/>
      <c r="V567" s="1857"/>
      <c r="W567" s="1861"/>
      <c r="X567" s="1861"/>
      <c r="Y567" s="1861"/>
      <c r="Z567" s="1859"/>
      <c r="AA567" s="1858"/>
      <c r="AB567" s="1858"/>
      <c r="AC567" s="1858"/>
      <c r="AD567" s="1858"/>
      <c r="AE567" s="1858"/>
      <c r="AF567" s="1856"/>
      <c r="AG567" s="1856"/>
      <c r="AH567" s="318"/>
      <c r="AI567" s="318"/>
      <c r="AJ567" s="318"/>
      <c r="AK567" s="318"/>
      <c r="AL567" s="318"/>
    </row>
    <row r="568" spans="1:38" ht="20.100000000000001" customHeight="1">
      <c r="A568" s="767"/>
      <c r="D568" s="350" t="s">
        <v>1915</v>
      </c>
      <c r="E568" s="316"/>
      <c r="F568" s="318"/>
      <c r="G568" s="315"/>
      <c r="H568" s="316"/>
      <c r="I568" s="316"/>
      <c r="J568" s="316"/>
      <c r="K568" s="316"/>
      <c r="L568" s="316"/>
      <c r="M568" s="316"/>
      <c r="N568" s="316"/>
      <c r="S568" s="318"/>
      <c r="T568" s="318"/>
      <c r="U568" s="318"/>
      <c r="V568" s="318"/>
      <c r="W568" s="318"/>
      <c r="X568" s="318"/>
      <c r="Y568" s="318"/>
      <c r="Z568" s="318"/>
      <c r="AA568" s="318"/>
      <c r="AB568" s="318"/>
      <c r="AC568" s="318"/>
      <c r="AD568" s="318"/>
      <c r="AE568" s="318"/>
      <c r="AF568" s="318"/>
      <c r="AG568" s="318"/>
      <c r="AH568" s="318"/>
      <c r="AI568" s="318"/>
      <c r="AJ568" s="318"/>
      <c r="AK568" s="318"/>
      <c r="AL568" s="318"/>
    </row>
    <row r="569" spans="1:38" ht="20.100000000000001" customHeight="1">
      <c r="A569" s="767"/>
      <c r="D569" s="350"/>
      <c r="E569" s="316"/>
      <c r="F569" s="318"/>
      <c r="G569" s="315"/>
      <c r="H569" s="316"/>
      <c r="I569" s="316"/>
      <c r="J569" s="316"/>
      <c r="K569" s="316"/>
      <c r="L569" s="316"/>
      <c r="M569" s="316"/>
      <c r="N569" s="314" t="s">
        <v>5097</v>
      </c>
      <c r="Q569" s="314" t="s">
        <v>3306</v>
      </c>
      <c r="R569" s="314" t="s">
        <v>1916</v>
      </c>
      <c r="U569" s="318"/>
      <c r="V569" s="318"/>
      <c r="W569" s="318"/>
      <c r="X569" s="318"/>
      <c r="Y569" s="318"/>
      <c r="Z569" s="318"/>
      <c r="AA569" s="318"/>
      <c r="AB569" s="318"/>
      <c r="AC569" s="318"/>
      <c r="AD569" s="318"/>
      <c r="AE569" s="318"/>
      <c r="AF569" s="318"/>
      <c r="AG569" s="318"/>
      <c r="AH569" s="318"/>
      <c r="AI569" s="318"/>
      <c r="AJ569" s="318"/>
      <c r="AK569" s="318"/>
      <c r="AL569" s="318"/>
    </row>
    <row r="570" spans="1:38" ht="20.100000000000001" customHeight="1">
      <c r="A570" s="767"/>
      <c r="D570" s="350"/>
      <c r="E570" s="316"/>
      <c r="F570" s="318"/>
      <c r="G570" s="315"/>
      <c r="H570" s="316"/>
      <c r="I570" s="316"/>
      <c r="J570" s="316"/>
      <c r="K570" s="316"/>
      <c r="L570" s="316"/>
      <c r="M570" s="316"/>
      <c r="N570" s="314"/>
      <c r="Q570" s="314" t="s">
        <v>3306</v>
      </c>
      <c r="R570" s="314" t="e">
        <f>AA533&amp;" + "&amp;AA566</f>
        <v>#N/A</v>
      </c>
      <c r="W570" s="318"/>
      <c r="X570" s="314" t="s">
        <v>3306</v>
      </c>
      <c r="Y570" s="1858" t="e">
        <f>AA533+AA566</f>
        <v>#N/A</v>
      </c>
      <c r="Z570" s="1858"/>
      <c r="AA570" s="1858"/>
      <c r="AB570" s="1858"/>
      <c r="AC570" s="1858"/>
      <c r="AD570" s="510" t="s">
        <v>3385</v>
      </c>
      <c r="AE570" s="318"/>
      <c r="AF570" s="318"/>
      <c r="AG570" s="318"/>
      <c r="AH570" s="318"/>
      <c r="AI570" s="318"/>
      <c r="AJ570" s="318"/>
      <c r="AK570" s="318"/>
      <c r="AL570" s="318"/>
    </row>
    <row r="571" spans="1:38" ht="20.100000000000001" customHeight="1">
      <c r="A571" s="767"/>
      <c r="D571" s="350"/>
      <c r="E571" s="316"/>
      <c r="F571" s="318"/>
      <c r="G571" s="315"/>
      <c r="H571" s="316"/>
      <c r="I571" s="316"/>
      <c r="J571" s="1858">
        <v>5</v>
      </c>
      <c r="K571" s="1858"/>
      <c r="L571" s="1858"/>
      <c r="M571" s="1858"/>
      <c r="N571" s="1858"/>
      <c r="O571" s="510" t="s">
        <v>3385</v>
      </c>
      <c r="Q571" s="314" t="s">
        <v>313</v>
      </c>
      <c r="R571" s="1858" t="e">
        <f>Y570</f>
        <v>#N/A</v>
      </c>
      <c r="S571" s="1858"/>
      <c r="T571" s="1858"/>
      <c r="U571" s="1858"/>
      <c r="V571" s="1858"/>
      <c r="W571" s="510" t="s">
        <v>3385</v>
      </c>
      <c r="X571" s="318"/>
      <c r="Y571" s="318"/>
      <c r="Z571" s="318"/>
      <c r="AA571" s="318"/>
      <c r="AB571" s="318"/>
      <c r="AC571" s="318"/>
      <c r="AD571" s="318"/>
      <c r="AE571" s="318"/>
      <c r="AF571" s="318"/>
      <c r="AG571" s="318"/>
      <c r="AH571" s="318"/>
      <c r="AI571" s="318"/>
      <c r="AJ571" s="318"/>
      <c r="AK571" s="318"/>
      <c r="AL571" s="318"/>
    </row>
    <row r="572" spans="1:38" ht="20.100000000000001" customHeight="1">
      <c r="A572" s="767"/>
      <c r="D572" s="350"/>
      <c r="E572" s="316"/>
      <c r="F572" s="318"/>
      <c r="G572" s="315"/>
      <c r="H572" s="316"/>
      <c r="I572" s="316"/>
      <c r="J572" s="316"/>
      <c r="M572" s="318" t="s">
        <v>3329</v>
      </c>
      <c r="N572" s="316"/>
      <c r="Q572" s="314" t="s">
        <v>313</v>
      </c>
      <c r="S572" s="318" t="s">
        <v>1917</v>
      </c>
      <c r="T572" s="318"/>
      <c r="U572" s="318"/>
      <c r="V572" s="318"/>
      <c r="W572" s="318"/>
      <c r="X572" s="318"/>
      <c r="Y572" s="318"/>
      <c r="Z572" s="318"/>
      <c r="AA572" s="318"/>
      <c r="AB572" s="318"/>
      <c r="AC572" s="318"/>
      <c r="AD572" s="318"/>
      <c r="AE572" s="318"/>
      <c r="AF572" s="318"/>
      <c r="AG572" s="318"/>
      <c r="AH572" s="318"/>
      <c r="AI572" s="318"/>
      <c r="AJ572" s="318"/>
      <c r="AK572" s="318"/>
      <c r="AL572" s="318"/>
    </row>
    <row r="573" spans="1:38" ht="20.100000000000001" customHeight="1">
      <c r="A573" s="767"/>
      <c r="D573" s="350"/>
      <c r="E573" s="316"/>
      <c r="F573" s="322" t="s">
        <v>1918</v>
      </c>
      <c r="G573" s="315"/>
      <c r="H573" s="316"/>
      <c r="I573" s="316"/>
      <c r="J573" s="316"/>
      <c r="K573" s="316"/>
      <c r="L573" s="316"/>
      <c r="M573" s="316"/>
      <c r="N573" s="316"/>
      <c r="S573" s="318"/>
      <c r="T573" s="318"/>
      <c r="U573" s="318"/>
      <c r="V573" s="318"/>
      <c r="W573" s="318"/>
      <c r="X573" s="318"/>
      <c r="Y573" s="318"/>
      <c r="Z573" s="318"/>
      <c r="AA573" s="318"/>
      <c r="AB573" s="318"/>
      <c r="AC573" s="318"/>
      <c r="AD573" s="318"/>
      <c r="AE573" s="318"/>
      <c r="AF573" s="318"/>
      <c r="AG573" s="318"/>
      <c r="AH573" s="318"/>
      <c r="AI573" s="318"/>
      <c r="AJ573" s="318"/>
      <c r="AK573" s="318"/>
      <c r="AL573" s="318"/>
    </row>
    <row r="574" spans="1:38" ht="20.100000000000001" hidden="1" customHeight="1">
      <c r="D574" s="350"/>
      <c r="E574" s="316"/>
      <c r="F574" s="318"/>
      <c r="G574" s="315"/>
      <c r="H574" s="316"/>
      <c r="I574" s="316"/>
      <c r="J574" s="316"/>
      <c r="K574" s="316"/>
      <c r="L574" s="316"/>
      <c r="M574" s="316"/>
      <c r="N574" s="316"/>
      <c r="S574" s="318"/>
      <c r="T574" s="318"/>
      <c r="U574" s="318"/>
      <c r="V574" s="318"/>
      <c r="W574" s="318"/>
      <c r="X574" s="318"/>
      <c r="Y574" s="318"/>
      <c r="Z574" s="318"/>
      <c r="AA574" s="318"/>
      <c r="AB574" s="318"/>
      <c r="AC574" s="318"/>
      <c r="AD574" s="318"/>
      <c r="AE574" s="318"/>
      <c r="AF574" s="318"/>
      <c r="AG574" s="318"/>
      <c r="AH574" s="318"/>
      <c r="AI574" s="318"/>
      <c r="AJ574" s="318"/>
      <c r="AK574" s="318"/>
      <c r="AL574" s="318"/>
    </row>
    <row r="575" spans="1:38" ht="20.100000000000001" hidden="1" customHeight="1">
      <c r="D575" s="350"/>
      <c r="E575" s="316"/>
      <c r="F575" s="318"/>
      <c r="G575" s="315"/>
      <c r="H575" s="316"/>
      <c r="I575" s="316"/>
      <c r="J575" s="316"/>
      <c r="K575" s="316"/>
      <c r="L575" s="316"/>
      <c r="M575" s="316"/>
      <c r="N575" s="316"/>
      <c r="S575" s="318"/>
      <c r="T575" s="318"/>
      <c r="U575" s="318"/>
      <c r="V575" s="318"/>
      <c r="W575" s="318"/>
      <c r="X575" s="318"/>
      <c r="Y575" s="318"/>
      <c r="Z575" s="318"/>
      <c r="AA575" s="318"/>
      <c r="AB575" s="318"/>
      <c r="AC575" s="318"/>
      <c r="AD575" s="318"/>
      <c r="AE575" s="318"/>
      <c r="AF575" s="318"/>
      <c r="AG575" s="318"/>
      <c r="AH575" s="318"/>
      <c r="AI575" s="318"/>
      <c r="AJ575" s="318"/>
      <c r="AK575" s="318"/>
      <c r="AL575" s="318"/>
    </row>
    <row r="576" spans="1:38" ht="20.100000000000001" hidden="1" customHeight="1">
      <c r="D576" s="350"/>
      <c r="E576" s="316"/>
      <c r="F576" s="318"/>
      <c r="G576" s="315"/>
      <c r="H576" s="316"/>
      <c r="I576" s="316"/>
      <c r="J576" s="316"/>
      <c r="K576" s="316"/>
      <c r="L576" s="316"/>
      <c r="M576" s="316"/>
      <c r="N576" s="316"/>
      <c r="S576" s="318"/>
      <c r="T576" s="318"/>
      <c r="U576" s="318"/>
      <c r="V576" s="318"/>
      <c r="W576" s="318"/>
      <c r="X576" s="318"/>
      <c r="Y576" s="318"/>
      <c r="Z576" s="318"/>
      <c r="AA576" s="318"/>
      <c r="AB576" s="318"/>
      <c r="AC576" s="318"/>
      <c r="AD576" s="318"/>
      <c r="AE576" s="318"/>
      <c r="AF576" s="318"/>
      <c r="AG576" s="318"/>
      <c r="AH576" s="318"/>
      <c r="AI576" s="318"/>
      <c r="AJ576" s="318"/>
      <c r="AK576" s="318"/>
      <c r="AL576" s="318"/>
    </row>
    <row r="577" spans="4:38" ht="20.100000000000001" hidden="1" customHeight="1">
      <c r="D577" s="350"/>
      <c r="E577" s="316"/>
      <c r="F577" s="318"/>
      <c r="G577" s="315"/>
      <c r="H577" s="316"/>
      <c r="I577" s="316"/>
      <c r="J577" s="316"/>
      <c r="K577" s="316"/>
      <c r="L577" s="316"/>
      <c r="M577" s="316"/>
      <c r="N577" s="316"/>
      <c r="S577" s="318"/>
      <c r="T577" s="318"/>
      <c r="U577" s="318"/>
      <c r="V577" s="318"/>
      <c r="W577" s="318"/>
      <c r="X577" s="318"/>
      <c r="Y577" s="318"/>
      <c r="Z577" s="318"/>
      <c r="AA577" s="318"/>
      <c r="AB577" s="318"/>
      <c r="AC577" s="318"/>
      <c r="AD577" s="318"/>
      <c r="AE577" s="318"/>
      <c r="AF577" s="318"/>
      <c r="AG577" s="318"/>
      <c r="AH577" s="318"/>
      <c r="AI577" s="318"/>
      <c r="AJ577" s="318"/>
      <c r="AK577" s="318"/>
      <c r="AL577" s="318"/>
    </row>
    <row r="578" spans="4:38" ht="20.100000000000001" hidden="1" customHeight="1">
      <c r="D578" s="350"/>
      <c r="E578" s="316"/>
      <c r="F578" s="318"/>
      <c r="G578" s="315"/>
      <c r="H578" s="316"/>
      <c r="I578" s="316"/>
      <c r="J578" s="316"/>
      <c r="K578" s="316"/>
      <c r="L578" s="316"/>
      <c r="M578" s="316"/>
      <c r="N578" s="316"/>
      <c r="S578" s="318"/>
      <c r="T578" s="318"/>
      <c r="U578" s="318"/>
      <c r="V578" s="318"/>
      <c r="W578" s="318"/>
      <c r="X578" s="318"/>
      <c r="Y578" s="318"/>
      <c r="Z578" s="318"/>
      <c r="AA578" s="318"/>
      <c r="AB578" s="318"/>
      <c r="AC578" s="318"/>
      <c r="AD578" s="318"/>
      <c r="AE578" s="318"/>
      <c r="AF578" s="318"/>
      <c r="AG578" s="318"/>
      <c r="AH578" s="318"/>
      <c r="AI578" s="318"/>
      <c r="AJ578" s="318"/>
      <c r="AK578" s="318"/>
      <c r="AL578" s="318"/>
    </row>
    <row r="579" spans="4:38" ht="20.100000000000001" hidden="1" customHeight="1">
      <c r="D579" s="350"/>
      <c r="E579" s="316"/>
      <c r="F579" s="318"/>
      <c r="G579" s="315"/>
      <c r="H579" s="316"/>
      <c r="I579" s="316"/>
      <c r="J579" s="316"/>
      <c r="K579" s="316"/>
      <c r="L579" s="316"/>
      <c r="M579" s="316"/>
      <c r="N579" s="316"/>
      <c r="S579" s="318"/>
      <c r="T579" s="318"/>
      <c r="U579" s="318"/>
      <c r="V579" s="318"/>
      <c r="W579" s="318"/>
      <c r="X579" s="318"/>
      <c r="Y579" s="318"/>
      <c r="Z579" s="318"/>
      <c r="AA579" s="318"/>
      <c r="AB579" s="318"/>
      <c r="AC579" s="318"/>
      <c r="AD579" s="318"/>
      <c r="AE579" s="318"/>
      <c r="AF579" s="318"/>
      <c r="AG579" s="318"/>
      <c r="AH579" s="318"/>
      <c r="AI579" s="318"/>
      <c r="AJ579" s="318"/>
      <c r="AK579" s="318"/>
      <c r="AL579" s="318"/>
    </row>
  </sheetData>
  <protectedRanges>
    <protectedRange sqref="E183:I183 I184:K184 I105:J105 G185:K186 E187:F187 E104:I104 K105:K107 M188:O188" name="Range2"/>
    <protectedRange sqref="G125:I125 G13:I13" name="nhap_1"/>
  </protectedRanges>
  <mergeCells count="654">
    <mergeCell ref="AC546:AF546"/>
    <mergeCell ref="AE549:AF550"/>
    <mergeCell ref="W550:Z550"/>
    <mergeCell ref="R571:V571"/>
    <mergeCell ref="J571:N571"/>
    <mergeCell ref="Y570:AC570"/>
    <mergeCell ref="R560:X560"/>
    <mergeCell ref="Q561:Q562"/>
    <mergeCell ref="R561:AA561"/>
    <mergeCell ref="R566:T566"/>
    <mergeCell ref="N564:P565"/>
    <mergeCell ref="Q564:Q565"/>
    <mergeCell ref="Z566:Z567"/>
    <mergeCell ref="R565:V565"/>
    <mergeCell ref="W566:Y567"/>
    <mergeCell ref="AA566:AE567"/>
    <mergeCell ref="Q566:Q567"/>
    <mergeCell ref="N559:P560"/>
    <mergeCell ref="Q559:Q560"/>
    <mergeCell ref="R559:X559"/>
    <mergeCell ref="R567:V567"/>
    <mergeCell ref="R564:V564"/>
    <mergeCell ref="W564:Y565"/>
    <mergeCell ref="AF566:AG567"/>
    <mergeCell ref="AI554:AL555"/>
    <mergeCell ref="AG561:AH562"/>
    <mergeCell ref="R562:AA562"/>
    <mergeCell ref="Q554:Q555"/>
    <mergeCell ref="AB561:AB562"/>
    <mergeCell ref="AE556:AH556"/>
    <mergeCell ref="AF554:AH555"/>
    <mergeCell ref="AE554:AE555"/>
    <mergeCell ref="R554:V555"/>
    <mergeCell ref="AC561:AF562"/>
    <mergeCell ref="W554:Z554"/>
    <mergeCell ref="AA554:AA555"/>
    <mergeCell ref="W555:Z555"/>
    <mergeCell ref="AB554:AD555"/>
    <mergeCell ref="Z396:AA396"/>
    <mergeCell ref="AA544:AD544"/>
    <mergeCell ref="AC535:AF535"/>
    <mergeCell ref="S543:V543"/>
    <mergeCell ref="V536:Y536"/>
    <mergeCell ref="V538:Y538"/>
    <mergeCell ref="S528:V528"/>
    <mergeCell ref="Y531:AA532"/>
    <mergeCell ref="Z524:AC524"/>
    <mergeCell ref="S529:V529"/>
    <mergeCell ref="Z533:Z534"/>
    <mergeCell ref="V540:Y540"/>
    <mergeCell ref="R534:V534"/>
    <mergeCell ref="R531:X531"/>
    <mergeCell ref="AA533:AE534"/>
    <mergeCell ref="V537:Y537"/>
    <mergeCell ref="V539:Y539"/>
    <mergeCell ref="AF533:AG534"/>
    <mergeCell ref="W533:Y534"/>
    <mergeCell ref="S544:V544"/>
    <mergeCell ref="AD398:AF399"/>
    <mergeCell ref="P461:T461"/>
    <mergeCell ref="U459:X459"/>
    <mergeCell ref="W472:AC473"/>
    <mergeCell ref="R325:U326"/>
    <mergeCell ref="C328:F331"/>
    <mergeCell ref="T491:V491"/>
    <mergeCell ref="W491:W492"/>
    <mergeCell ref="X491:AA492"/>
    <mergeCell ref="J338:M338"/>
    <mergeCell ref="P338:R338"/>
    <mergeCell ref="O355:T355"/>
    <mergeCell ref="S375:Y375"/>
    <mergeCell ref="E361:AL361"/>
    <mergeCell ref="R489:U490"/>
    <mergeCell ref="T492:V492"/>
    <mergeCell ref="L489:M490"/>
    <mergeCell ref="N470:N471"/>
    <mergeCell ref="R387:W388"/>
    <mergeCell ref="O388:Q388"/>
    <mergeCell ref="P489:Q489"/>
    <mergeCell ref="L481:M482"/>
    <mergeCell ref="N489:N490"/>
    <mergeCell ref="M485:O485"/>
    <mergeCell ref="V472:V473"/>
    <mergeCell ref="AF394:AG394"/>
    <mergeCell ref="Z395:AA395"/>
    <mergeCell ref="AC398:AC399"/>
    <mergeCell ref="M316:M318"/>
    <mergeCell ref="L310:L312"/>
    <mergeCell ref="O311:Q312"/>
    <mergeCell ref="S311:U312"/>
    <mergeCell ref="AE325:AI326"/>
    <mergeCell ref="AH328:AI329"/>
    <mergeCell ref="F474:L474"/>
    <mergeCell ref="P474:U474"/>
    <mergeCell ref="N472:N473"/>
    <mergeCell ref="Q398:Q399"/>
    <mergeCell ref="O417:P417"/>
    <mergeCell ref="S313:U314"/>
    <mergeCell ref="L316:L318"/>
    <mergeCell ref="S318:S319"/>
    <mergeCell ref="T319:W320"/>
    <mergeCell ref="T317:W318"/>
    <mergeCell ref="O317:R318"/>
    <mergeCell ref="R333:V336"/>
    <mergeCell ref="Y330:Z331"/>
    <mergeCell ref="K326:P326"/>
    <mergeCell ref="K325:P325"/>
    <mergeCell ref="V325:AA325"/>
    <mergeCell ref="V326:AA326"/>
    <mergeCell ref="Q325:Q326"/>
    <mergeCell ref="N279:AL279"/>
    <mergeCell ref="U294:X294"/>
    <mergeCell ref="M299:M300"/>
    <mergeCell ref="N298:O298"/>
    <mergeCell ref="N299:Z299"/>
    <mergeCell ref="K297:L298"/>
    <mergeCell ref="M297:M298"/>
    <mergeCell ref="AJ328:AL331"/>
    <mergeCell ref="Z301:AB301"/>
    <mergeCell ref="P297:P298"/>
    <mergeCell ref="O316:Q316"/>
    <mergeCell ref="O319:R320"/>
    <mergeCell ref="AH330:AI331"/>
    <mergeCell ref="U330:X331"/>
    <mergeCell ref="X306:Y306"/>
    <mergeCell ref="L328:O329"/>
    <mergeCell ref="AE328:AG329"/>
    <mergeCell ref="AC301:AF301"/>
    <mergeCell ref="AC306:AF306"/>
    <mergeCell ref="O313:Q314"/>
    <mergeCell ref="O321:R321"/>
    <mergeCell ref="S301:T301"/>
    <mergeCell ref="U301:W301"/>
    <mergeCell ref="X297:AA298"/>
    <mergeCell ref="T259:X259"/>
    <mergeCell ref="O247:AA247"/>
    <mergeCell ref="L255:Q255"/>
    <mergeCell ref="K257:K259"/>
    <mergeCell ref="V269:Y270"/>
    <mergeCell ref="O248:AA248"/>
    <mergeCell ref="N266:N267"/>
    <mergeCell ref="L245:N246"/>
    <mergeCell ref="R266:R267"/>
    <mergeCell ref="L266:L267"/>
    <mergeCell ref="N269:N270"/>
    <mergeCell ref="U269:U270"/>
    <mergeCell ref="P269:S270"/>
    <mergeCell ref="S266:S267"/>
    <mergeCell ref="P266:P267"/>
    <mergeCell ref="L269:L270"/>
    <mergeCell ref="S225:AC225"/>
    <mergeCell ref="O241:Q241"/>
    <mergeCell ref="K247:K248"/>
    <mergeCell ref="K245:K246"/>
    <mergeCell ref="O245:T245"/>
    <mergeCell ref="O246:T246"/>
    <mergeCell ref="O243:Q243"/>
    <mergeCell ref="L218:P219"/>
    <mergeCell ref="L240:N241"/>
    <mergeCell ref="C4:AL4"/>
    <mergeCell ref="S9:AL9"/>
    <mergeCell ref="S11:AL11"/>
    <mergeCell ref="S12:AL12"/>
    <mergeCell ref="S6:AL6"/>
    <mergeCell ref="S7:AL7"/>
    <mergeCell ref="S54:AL54"/>
    <mergeCell ref="M167:S167"/>
    <mergeCell ref="AC168:AD171"/>
    <mergeCell ref="W167:AB167"/>
    <mergeCell ref="J150:O150"/>
    <mergeCell ref="W166:AB166"/>
    <mergeCell ref="W79:X80"/>
    <mergeCell ref="M83:T83"/>
    <mergeCell ref="X107:AH108"/>
    <mergeCell ref="M104:AD104"/>
    <mergeCell ref="Y79:AA80"/>
    <mergeCell ref="S145:W145"/>
    <mergeCell ref="Y168:AA169"/>
    <mergeCell ref="W168:X169"/>
    <mergeCell ref="AC166:AD167"/>
    <mergeCell ref="V150:W150"/>
    <mergeCell ref="AD33:AF33"/>
    <mergeCell ref="S121:AL121"/>
    <mergeCell ref="W33:Y33"/>
    <mergeCell ref="M109:AL109"/>
    <mergeCell ref="Q50:Q51"/>
    <mergeCell ref="R50:U50"/>
    <mergeCell ref="AC79:AD82"/>
    <mergeCell ref="W81:Z82"/>
    <mergeCell ref="M81:Q82"/>
    <mergeCell ref="J111:O111"/>
    <mergeCell ref="M79:O80"/>
    <mergeCell ref="P79:R80"/>
    <mergeCell ref="O90:R91"/>
    <mergeCell ref="R51:U51"/>
    <mergeCell ref="R52:AI52"/>
    <mergeCell ref="J60:O60"/>
    <mergeCell ref="W76:AB76"/>
    <mergeCell ref="J89:K89"/>
    <mergeCell ref="J55:O55"/>
    <mergeCell ref="T79:V82"/>
    <mergeCell ref="L79:L82"/>
    <mergeCell ref="J79:K82"/>
    <mergeCell ref="T76:V77"/>
    <mergeCell ref="L76:L77"/>
    <mergeCell ref="S71:AL71"/>
    <mergeCell ref="R57:T57"/>
    <mergeCell ref="L90:L91"/>
    <mergeCell ref="M90:M91"/>
    <mergeCell ref="J104:K105"/>
    <mergeCell ref="L104:L105"/>
    <mergeCell ref="M107:V108"/>
    <mergeCell ref="M170:Q171"/>
    <mergeCell ref="J190:O190"/>
    <mergeCell ref="W170:Z171"/>
    <mergeCell ref="T168:V171"/>
    <mergeCell ref="J146:O146"/>
    <mergeCell ref="S122:AL122"/>
    <mergeCell ref="J94:K94"/>
    <mergeCell ref="J110:O110"/>
    <mergeCell ref="S110:AL110"/>
    <mergeCell ref="S111:AL111"/>
    <mergeCell ref="M106:AI106"/>
    <mergeCell ref="S129:AL129"/>
    <mergeCell ref="J136:L136"/>
    <mergeCell ref="J137:L137"/>
    <mergeCell ref="L140:O141"/>
    <mergeCell ref="Q140:Q141"/>
    <mergeCell ref="S164:AL164"/>
    <mergeCell ref="J178:K178"/>
    <mergeCell ref="J135:O135"/>
    <mergeCell ref="C119:AL119"/>
    <mergeCell ref="L106:L107"/>
    <mergeCell ref="T207:U207"/>
    <mergeCell ref="O242:Q242"/>
    <mergeCell ref="T208:U208"/>
    <mergeCell ref="W208:X208"/>
    <mergeCell ref="X209:Y209"/>
    <mergeCell ref="C235:AL235"/>
    <mergeCell ref="M210:Q210"/>
    <mergeCell ref="M208:O208"/>
    <mergeCell ref="K242:K243"/>
    <mergeCell ref="L242:N243"/>
    <mergeCell ref="I242:J243"/>
    <mergeCell ref="R219:T219"/>
    <mergeCell ref="I240:J241"/>
    <mergeCell ref="K240:K241"/>
    <mergeCell ref="H207:J208"/>
    <mergeCell ref="S161:AL161"/>
    <mergeCell ref="S146:W146"/>
    <mergeCell ref="O240:Q240"/>
    <mergeCell ref="Y203:AB203"/>
    <mergeCell ref="C237:AL237"/>
    <mergeCell ref="AB210:AF210"/>
    <mergeCell ref="R222:AI222"/>
    <mergeCell ref="Y202:AB202"/>
    <mergeCell ref="Q220:Q221"/>
    <mergeCell ref="Q218:Q219"/>
    <mergeCell ref="L168:L171"/>
    <mergeCell ref="R201:T201"/>
    <mergeCell ref="K209:K210"/>
    <mergeCell ref="M211:O211"/>
    <mergeCell ref="S214:AL214"/>
    <mergeCell ref="Z209:AA210"/>
    <mergeCell ref="M209:Q209"/>
    <mergeCell ref="S179:U180"/>
    <mergeCell ref="M185:AD185"/>
    <mergeCell ref="V186:AC187"/>
    <mergeCell ref="S73:AL73"/>
    <mergeCell ref="S55:AL55"/>
    <mergeCell ref="S75:AL75"/>
    <mergeCell ref="AC76:AD77"/>
    <mergeCell ref="S72:AL72"/>
    <mergeCell ref="M76:S76"/>
    <mergeCell ref="S74:AL74"/>
    <mergeCell ref="M77:S77"/>
    <mergeCell ref="J76:K77"/>
    <mergeCell ref="N276:O278"/>
    <mergeCell ref="N274:O275"/>
    <mergeCell ref="Q274:W274"/>
    <mergeCell ref="V277:V278"/>
    <mergeCell ref="M168:O169"/>
    <mergeCell ref="P168:R169"/>
    <mergeCell ref="J144:O145"/>
    <mergeCell ref="Q144:Q145"/>
    <mergeCell ref="L142:O143"/>
    <mergeCell ref="J183:K184"/>
    <mergeCell ref="L183:L184"/>
    <mergeCell ref="L166:L167"/>
    <mergeCell ref="M166:S166"/>
    <mergeCell ref="J166:K167"/>
    <mergeCell ref="S162:AL162"/>
    <mergeCell ref="S144:W144"/>
    <mergeCell ref="T166:V167"/>
    <mergeCell ref="M172:T172"/>
    <mergeCell ref="R200:T200"/>
    <mergeCell ref="S191:X191"/>
    <mergeCell ref="K207:K208"/>
    <mergeCell ref="J191:O191"/>
    <mergeCell ref="C197:AL197"/>
    <mergeCell ref="Y207:Z208"/>
    <mergeCell ref="K285:L286"/>
    <mergeCell ref="V287:W287"/>
    <mergeCell ref="X288:AD288"/>
    <mergeCell ref="I245:J246"/>
    <mergeCell ref="L247:N248"/>
    <mergeCell ref="I255:J256"/>
    <mergeCell ref="K255:K256"/>
    <mergeCell ref="Q275:W275"/>
    <mergeCell ref="O271:S271"/>
    <mergeCell ref="P282:P283"/>
    <mergeCell ref="Q283:S283"/>
    <mergeCell ref="M285:M286"/>
    <mergeCell ref="N282:O282"/>
    <mergeCell ref="N285:T285"/>
    <mergeCell ref="N286:T286"/>
    <mergeCell ref="T282:T283"/>
    <mergeCell ref="Q282:S282"/>
    <mergeCell ref="N288:U288"/>
    <mergeCell ref="N287:U287"/>
    <mergeCell ref="U282:V283"/>
    <mergeCell ref="X246:AD246"/>
    <mergeCell ref="L276:L278"/>
    <mergeCell ref="M276:M278"/>
    <mergeCell ref="L274:L275"/>
    <mergeCell ref="M301:M302"/>
    <mergeCell ref="M304:M305"/>
    <mergeCell ref="V257:W258"/>
    <mergeCell ref="W307:Y307"/>
    <mergeCell ref="N306:R306"/>
    <mergeCell ref="V288:W288"/>
    <mergeCell ref="W302:Y302"/>
    <mergeCell ref="N301:R301"/>
    <mergeCell ref="W277:Z278"/>
    <mergeCell ref="X301:Y301"/>
    <mergeCell ref="N307:V307"/>
    <mergeCell ref="Z306:AB306"/>
    <mergeCell ref="N304:Z304"/>
    <mergeCell ref="M291:M292"/>
    <mergeCell ref="U306:W306"/>
    <mergeCell ref="S306:T306"/>
    <mergeCell ref="M282:M283"/>
    <mergeCell ref="U297:W298"/>
    <mergeCell ref="N300:Z300"/>
    <mergeCell ref="M287:M288"/>
    <mergeCell ref="N283:O283"/>
    <mergeCell ref="M274:M275"/>
    <mergeCell ref="Q276:U276"/>
    <mergeCell ref="Q277:T278"/>
    <mergeCell ref="Q127:Q128"/>
    <mergeCell ref="Q142:Q143"/>
    <mergeCell ref="S127:X127"/>
    <mergeCell ref="S128:X128"/>
    <mergeCell ref="S143:V143"/>
    <mergeCell ref="L249:Q249"/>
    <mergeCell ref="L260:Q260"/>
    <mergeCell ref="L259:S259"/>
    <mergeCell ref="L257:U258"/>
    <mergeCell ref="L256:Q256"/>
    <mergeCell ref="S213:AL213"/>
    <mergeCell ref="S163:AL163"/>
    <mergeCell ref="S174:U174"/>
    <mergeCell ref="S165:AL165"/>
    <mergeCell ref="W190:X190"/>
    <mergeCell ref="J189:O189"/>
    <mergeCell ref="R221:U221"/>
    <mergeCell ref="R220:U220"/>
    <mergeCell ref="Q131:S131"/>
    <mergeCell ref="W209:W210"/>
    <mergeCell ref="R218:T218"/>
    <mergeCell ref="L244:Q244"/>
    <mergeCell ref="L225:O225"/>
    <mergeCell ref="V207:V208"/>
    <mergeCell ref="N125:P126"/>
    <mergeCell ref="S124:AL124"/>
    <mergeCell ref="T210:V210"/>
    <mergeCell ref="S202:T202"/>
    <mergeCell ref="X210:Y210"/>
    <mergeCell ref="S203:T203"/>
    <mergeCell ref="W207:X207"/>
    <mergeCell ref="S142:V142"/>
    <mergeCell ref="AB209:AF209"/>
    <mergeCell ref="S205:T205"/>
    <mergeCell ref="M183:Y183"/>
    <mergeCell ref="Y200:AB200"/>
    <mergeCell ref="T209:V209"/>
    <mergeCell ref="R209:S210"/>
    <mergeCell ref="P207:Q208"/>
    <mergeCell ref="R207:S208"/>
    <mergeCell ref="M207:O207"/>
    <mergeCell ref="Q125:Q126"/>
    <mergeCell ref="S125:X125"/>
    <mergeCell ref="S126:X126"/>
    <mergeCell ref="V189:W189"/>
    <mergeCell ref="M186:T187"/>
    <mergeCell ref="S140:U140"/>
    <mergeCell ref="S141:U141"/>
    <mergeCell ref="S123:AL123"/>
    <mergeCell ref="S134:AL134"/>
    <mergeCell ref="S135:AL135"/>
    <mergeCell ref="S88:U88"/>
    <mergeCell ref="W77:AB77"/>
    <mergeCell ref="M188:AL188"/>
    <mergeCell ref="C63:E63"/>
    <mergeCell ref="S60:AL60"/>
    <mergeCell ref="S13:V13"/>
    <mergeCell ref="S14:V14"/>
    <mergeCell ref="S15:V15"/>
    <mergeCell ref="S16:V16"/>
    <mergeCell ref="N13:P14"/>
    <mergeCell ref="J54:O54"/>
    <mergeCell ref="R58:T58"/>
    <mergeCell ref="C153:E153"/>
    <mergeCell ref="S176:U176"/>
    <mergeCell ref="S175:U175"/>
    <mergeCell ref="S177:U177"/>
    <mergeCell ref="L179:L180"/>
    <mergeCell ref="M179:M180"/>
    <mergeCell ref="O179:R180"/>
    <mergeCell ref="M181:T181"/>
    <mergeCell ref="L185:L186"/>
    <mergeCell ref="C2:AL2"/>
    <mergeCell ref="S85:U85"/>
    <mergeCell ref="S86:U86"/>
    <mergeCell ref="S87:U87"/>
    <mergeCell ref="Z37:AI37"/>
    <mergeCell ref="C37:Y37"/>
    <mergeCell ref="S42:AL42"/>
    <mergeCell ref="S43:AL43"/>
    <mergeCell ref="S45:AL45"/>
    <mergeCell ref="S46:AL46"/>
    <mergeCell ref="M48:P49"/>
    <mergeCell ref="R49:U49"/>
    <mergeCell ref="Q48:Q49"/>
    <mergeCell ref="R48:U48"/>
    <mergeCell ref="S25:V25"/>
    <mergeCell ref="Y31:AA31"/>
    <mergeCell ref="S17:AL17"/>
    <mergeCell ref="C23:AL23"/>
    <mergeCell ref="S18:AL18"/>
    <mergeCell ref="S29:AL29"/>
    <mergeCell ref="S31:T31"/>
    <mergeCell ref="Q13:Q14"/>
    <mergeCell ref="Q15:Q16"/>
    <mergeCell ref="C40:AL40"/>
    <mergeCell ref="J304:L305"/>
    <mergeCell ref="M310:M312"/>
    <mergeCell ref="N294:R294"/>
    <mergeCell ref="R312:R313"/>
    <mergeCell ref="N308:Q308"/>
    <mergeCell ref="Q298:S298"/>
    <mergeCell ref="N295:Q295"/>
    <mergeCell ref="M293:M294"/>
    <mergeCell ref="K282:L283"/>
    <mergeCell ref="N291:R291"/>
    <mergeCell ref="N293:X293"/>
    <mergeCell ref="N289:Q289"/>
    <mergeCell ref="S294:T294"/>
    <mergeCell ref="N292:R292"/>
    <mergeCell ref="J299:L300"/>
    <mergeCell ref="K291:L292"/>
    <mergeCell ref="Q297:S297"/>
    <mergeCell ref="X287:AD287"/>
    <mergeCell ref="N297:O297"/>
    <mergeCell ref="T297:T298"/>
    <mergeCell ref="M306:M307"/>
    <mergeCell ref="N302:V302"/>
    <mergeCell ref="N305:Z305"/>
    <mergeCell ref="N303:Q303"/>
    <mergeCell ref="H337:K337"/>
    <mergeCell ref="K335:P336"/>
    <mergeCell ref="N362:N363"/>
    <mergeCell ref="N364:N366"/>
    <mergeCell ref="M330:P331"/>
    <mergeCell ref="G330:J331"/>
    <mergeCell ref="P368:S368"/>
    <mergeCell ref="K333:P334"/>
    <mergeCell ref="Q328:Q331"/>
    <mergeCell ref="R328:T331"/>
    <mergeCell ref="Q333:Q336"/>
    <mergeCell ref="K330:L331"/>
    <mergeCell ref="G325:J326"/>
    <mergeCell ref="U337:W337"/>
    <mergeCell ref="O366:V366"/>
    <mergeCell ref="W364:W366"/>
    <mergeCell ref="S357:Y357"/>
    <mergeCell ref="S358:Y358"/>
    <mergeCell ref="O362:R362"/>
    <mergeCell ref="X364:AC366"/>
    <mergeCell ref="O364:U365"/>
    <mergeCell ref="P337:S337"/>
    <mergeCell ref="S348:AL348"/>
    <mergeCell ref="S359:Y359"/>
    <mergeCell ref="M337:O337"/>
    <mergeCell ref="S360:Y360"/>
    <mergeCell ref="S349:AL349"/>
    <mergeCell ref="AA330:AC331"/>
    <mergeCell ref="U328:X329"/>
    <mergeCell ref="Z328:AC329"/>
    <mergeCell ref="AB325:AB326"/>
    <mergeCell ref="AC325:AD325"/>
    <mergeCell ref="AC326:AD326"/>
    <mergeCell ref="AE330:AG331"/>
    <mergeCell ref="G328:J329"/>
    <mergeCell ref="G333:J336"/>
    <mergeCell ref="L417:M418"/>
    <mergeCell ref="R418:V418"/>
    <mergeCell ref="R417:V417"/>
    <mergeCell ref="Q417:Q418"/>
    <mergeCell ref="O418:P418"/>
    <mergeCell ref="N417:N418"/>
    <mergeCell ref="R398:X398"/>
    <mergeCell ref="X405:AK405"/>
    <mergeCell ref="AG398:AL399"/>
    <mergeCell ref="Y398:Y399"/>
    <mergeCell ref="L387:M388"/>
    <mergeCell ref="N387:N388"/>
    <mergeCell ref="H381:L381"/>
    <mergeCell ref="L362:M363"/>
    <mergeCell ref="AF393:AH393"/>
    <mergeCell ref="AA389:AA392"/>
    <mergeCell ref="R389:U392"/>
    <mergeCell ref="Y389:Z392"/>
    <mergeCell ref="S377:Y377"/>
    <mergeCell ref="O387:Q387"/>
    <mergeCell ref="G368:L368"/>
    <mergeCell ref="S373:Y373"/>
    <mergeCell ref="S374:Y374"/>
    <mergeCell ref="P381:V381"/>
    <mergeCell ref="O363:R363"/>
    <mergeCell ref="Y372:AD372"/>
    <mergeCell ref="AB389:AH392"/>
    <mergeCell ref="V389:W392"/>
    <mergeCell ref="H380:L380"/>
    <mergeCell ref="H398:I399"/>
    <mergeCell ref="J398:J399"/>
    <mergeCell ref="K398:N398"/>
    <mergeCell ref="K399:N399"/>
    <mergeCell ref="G422:L422"/>
    <mergeCell ref="P422:U422"/>
    <mergeCell ref="P434:S434"/>
    <mergeCell ref="O398:O399"/>
    <mergeCell ref="N389:N392"/>
    <mergeCell ref="O389:Q390"/>
    <mergeCell ref="O391:Q392"/>
    <mergeCell ref="R399:X399"/>
    <mergeCell ref="X402:AK402"/>
    <mergeCell ref="X403:AK403"/>
    <mergeCell ref="Z399:AB399"/>
    <mergeCell ref="P415:AL415"/>
    <mergeCell ref="W419:AC420"/>
    <mergeCell ref="V419:V420"/>
    <mergeCell ref="AD413:AL413"/>
    <mergeCell ref="Z398:AB398"/>
    <mergeCell ref="U409:W409"/>
    <mergeCell ref="W406:AA406"/>
    <mergeCell ref="W407:AA407"/>
    <mergeCell ref="S408:AD408"/>
    <mergeCell ref="L435:M436"/>
    <mergeCell ref="N433:N434"/>
    <mergeCell ref="O433:O434"/>
    <mergeCell ref="T435:T436"/>
    <mergeCell ref="P433:S433"/>
    <mergeCell ref="U436:X436"/>
    <mergeCell ref="L433:M434"/>
    <mergeCell ref="T433:T434"/>
    <mergeCell ref="N419:N420"/>
    <mergeCell ref="O419:U420"/>
    <mergeCell ref="U433:X433"/>
    <mergeCell ref="U434:X434"/>
    <mergeCell ref="U435:X435"/>
    <mergeCell ref="N435:N436"/>
    <mergeCell ref="O435:O436"/>
    <mergeCell ref="P436:S436"/>
    <mergeCell ref="P435:S435"/>
    <mergeCell ref="L437:M438"/>
    <mergeCell ref="N437:N438"/>
    <mergeCell ref="O437:O438"/>
    <mergeCell ref="R447:W447"/>
    <mergeCell ref="Q447:Q448"/>
    <mergeCell ref="R448:W448"/>
    <mergeCell ref="P445:AL445"/>
    <mergeCell ref="U440:W440"/>
    <mergeCell ref="O448:P448"/>
    <mergeCell ref="V437:Z437"/>
    <mergeCell ref="V438:Z438"/>
    <mergeCell ref="U437:U438"/>
    <mergeCell ref="P437:T437"/>
    <mergeCell ref="P438:T438"/>
    <mergeCell ref="Q470:Q471"/>
    <mergeCell ref="O471:P471"/>
    <mergeCell ref="V461:Z461"/>
    <mergeCell ref="P460:S460"/>
    <mergeCell ref="Q492:R492"/>
    <mergeCell ref="O491:P492"/>
    <mergeCell ref="Q491:R491"/>
    <mergeCell ref="L470:M471"/>
    <mergeCell ref="O439:T439"/>
    <mergeCell ref="L447:M448"/>
    <mergeCell ref="N447:N448"/>
    <mergeCell ref="O447:P447"/>
    <mergeCell ref="N449:N450"/>
    <mergeCell ref="O449:U450"/>
    <mergeCell ref="O462:T462"/>
    <mergeCell ref="P459:S459"/>
    <mergeCell ref="U460:X460"/>
    <mergeCell ref="S524:V524"/>
    <mergeCell ref="M484:O484"/>
    <mergeCell ref="S523:V523"/>
    <mergeCell ref="S491:S492"/>
    <mergeCell ref="W449:AC450"/>
    <mergeCell ref="V449:V450"/>
    <mergeCell ref="W481:W482"/>
    <mergeCell ref="V481:V482"/>
    <mergeCell ref="O472:U473"/>
    <mergeCell ref="P451:U451"/>
    <mergeCell ref="O470:P470"/>
    <mergeCell ref="P490:Q490"/>
    <mergeCell ref="P482:U482"/>
    <mergeCell ref="P481:U481"/>
    <mergeCell ref="N481:N482"/>
    <mergeCell ref="C519:AL519"/>
    <mergeCell ref="P495:R495"/>
    <mergeCell ref="S522:V522"/>
    <mergeCell ref="F491:N492"/>
    <mergeCell ref="F451:L451"/>
    <mergeCell ref="P468:AL468"/>
    <mergeCell ref="U463:W463"/>
    <mergeCell ref="R470:W470"/>
    <mergeCell ref="R471:W471"/>
    <mergeCell ref="N552:P553"/>
    <mergeCell ref="R552:V553"/>
    <mergeCell ref="R532:X532"/>
    <mergeCell ref="S545:V545"/>
    <mergeCell ref="S547:V547"/>
    <mergeCell ref="N531:P532"/>
    <mergeCell ref="Q531:Q532"/>
    <mergeCell ref="Q533:Q534"/>
    <mergeCell ref="R533:V533"/>
    <mergeCell ref="N549:P550"/>
    <mergeCell ref="V549:V550"/>
    <mergeCell ref="R549:U549"/>
    <mergeCell ref="Q549:Q550"/>
    <mergeCell ref="R550:U550"/>
    <mergeCell ref="S535:V535"/>
    <mergeCell ref="Y552:Y553"/>
    <mergeCell ref="Z552:AB553"/>
    <mergeCell ref="AB549:AD550"/>
    <mergeCell ref="W552:X552"/>
    <mergeCell ref="W553:X553"/>
    <mergeCell ref="AA549:AA550"/>
    <mergeCell ref="AC551:AF551"/>
    <mergeCell ref="W549:Z549"/>
    <mergeCell ref="Q552:Q553"/>
  </mergeCells>
  <phoneticPr fontId="75" type="noConversion"/>
  <dataValidations disablePrompts="1" xWindow="440" yWindow="476" count="2">
    <dataValidation allowBlank="1" showInputMessage="1" showErrorMessage="1" prompt="chiều dài 2 nữa khoảng trụ = khoảng trụ xa nhất" sqref="S408:AD408" xr:uid="{00000000-0002-0000-0300-000000000000}"/>
    <dataValidation allowBlank="1" showInputMessage="1" showErrorMessage="1" prompt="sách THIẾT KẾ CẤP ĐIỆN - NXB KHOA HỌC VÀ KỸ THUẬT" sqref="C40:AL40" xr:uid="{00000000-0002-0000-0300-000001000000}"/>
  </dataValidations>
  <printOptions horizontalCentered="1"/>
  <pageMargins left="0.4" right="0.1" top="0.5" bottom="0.5" header="0.5" footer="0.5"/>
  <pageSetup paperSize="9" orientation="portrait" blackAndWhite="1" r:id="rId1"/>
  <headerFooter alignWithMargins="0"/>
  <drawing r:id="rId2"/>
  <legacyDrawing r:id="rId3"/>
  <oleObjects>
    <mc:AlternateContent xmlns:mc="http://schemas.openxmlformats.org/markup-compatibility/2006">
      <mc:Choice Requires="x14">
        <oleObject progId="Equation.3" shapeId="33046" r:id="rId4">
          <objectPr defaultSize="0" autoPict="0" r:id="rId5">
            <anchor moveWithCells="1">
              <from>
                <xdr:col>11</xdr:col>
                <xdr:colOff>142875</xdr:colOff>
                <xdr:row>184</xdr:row>
                <xdr:rowOff>209550</xdr:rowOff>
              </from>
              <to>
                <xdr:col>30</xdr:col>
                <xdr:colOff>19050</xdr:colOff>
                <xdr:row>186</xdr:row>
                <xdr:rowOff>190500</xdr:rowOff>
              </to>
            </anchor>
          </objectPr>
        </oleObject>
      </mc:Choice>
      <mc:Fallback>
        <oleObject progId="Equation.3" shapeId="33046" r:id="rId4"/>
      </mc:Fallback>
    </mc:AlternateContent>
    <mc:AlternateContent xmlns:mc="http://schemas.openxmlformats.org/markup-compatibility/2006">
      <mc:Choice Requires="x14">
        <oleObject progId="Visio.Drawing.11" shapeId="32916" r:id="rId6">
          <objectPr defaultSize="0" autoPict="0" r:id="rId7">
            <anchor moveWithCells="1">
              <from>
                <xdr:col>1</xdr:col>
                <xdr:colOff>819150</xdr:colOff>
                <xdr:row>66</xdr:row>
                <xdr:rowOff>47625</xdr:rowOff>
              </from>
              <to>
                <xdr:col>35</xdr:col>
                <xdr:colOff>123825</xdr:colOff>
                <xdr:row>68</xdr:row>
                <xdr:rowOff>95250</xdr:rowOff>
              </to>
            </anchor>
          </objectPr>
        </oleObject>
      </mc:Choice>
      <mc:Fallback>
        <oleObject progId="Visio.Drawing.11" shapeId="32916" r:id="rId6"/>
      </mc:Fallback>
    </mc:AlternateContent>
    <mc:AlternateContent xmlns:mc="http://schemas.openxmlformats.org/markup-compatibility/2006">
      <mc:Choice Requires="x14">
        <oleObject progId="Visio.Drawing.11" shapeId="33012" r:id="rId8">
          <objectPr defaultSize="0" autoPict="0" r:id="rId9">
            <anchor moveWithCells="1">
              <from>
                <xdr:col>5</xdr:col>
                <xdr:colOff>76200</xdr:colOff>
                <xdr:row>338</xdr:row>
                <xdr:rowOff>142875</xdr:rowOff>
              </from>
              <to>
                <xdr:col>30</xdr:col>
                <xdr:colOff>57150</xdr:colOff>
                <xdr:row>347</xdr:row>
                <xdr:rowOff>38100</xdr:rowOff>
              </to>
            </anchor>
          </objectPr>
        </oleObject>
      </mc:Choice>
      <mc:Fallback>
        <oleObject progId="Visio.Drawing.11" shapeId="33012" r:id="rId8"/>
      </mc:Fallback>
    </mc:AlternateContent>
    <mc:AlternateContent xmlns:mc="http://schemas.openxmlformats.org/markup-compatibility/2006">
      <mc:Choice Requires="x14">
        <oleObject progId="Equation.3" shapeId="33022" r:id="rId10">
          <objectPr defaultSize="0" autoPict="0" r:id="rId11">
            <anchor moveWithCells="1" sizeWithCells="1">
              <from>
                <xdr:col>12</xdr:col>
                <xdr:colOff>0</xdr:colOff>
                <xdr:row>103</xdr:row>
                <xdr:rowOff>238125</xdr:rowOff>
              </from>
              <to>
                <xdr:col>30</xdr:col>
                <xdr:colOff>38100</xdr:colOff>
                <xdr:row>105</xdr:row>
                <xdr:rowOff>47625</xdr:rowOff>
              </to>
            </anchor>
          </objectPr>
        </oleObject>
      </mc:Choice>
      <mc:Fallback>
        <oleObject progId="Equation.3" shapeId="33022" r:id="rId10"/>
      </mc:Fallback>
    </mc:AlternateContent>
    <mc:AlternateContent xmlns:mc="http://schemas.openxmlformats.org/markup-compatibility/2006">
      <mc:Choice Requires="x14">
        <oleObject progId="Equation.3" shapeId="33023" r:id="rId12">
          <objectPr defaultSize="0" autoPict="0" r:id="rId13">
            <anchor moveWithCells="1" sizeWithCells="1">
              <from>
                <xdr:col>11</xdr:col>
                <xdr:colOff>133350</xdr:colOff>
                <xdr:row>106</xdr:row>
                <xdr:rowOff>0</xdr:rowOff>
              </from>
              <to>
                <xdr:col>35</xdr:col>
                <xdr:colOff>19050</xdr:colOff>
                <xdr:row>107</xdr:row>
                <xdr:rowOff>180975</xdr:rowOff>
              </to>
            </anchor>
          </objectPr>
        </oleObject>
      </mc:Choice>
      <mc:Fallback>
        <oleObject progId="Equation.3" shapeId="33023" r:id="rId12"/>
      </mc:Fallback>
    </mc:AlternateContent>
    <mc:AlternateContent xmlns:mc="http://schemas.openxmlformats.org/markup-compatibility/2006">
      <mc:Choice Requires="x14">
        <oleObject progId="Visio.Drawing.11" shapeId="33043" r:id="rId14">
          <objectPr defaultSize="0" autoPict="0" r:id="rId15">
            <anchor moveWithCells="1">
              <from>
                <xdr:col>2</xdr:col>
                <xdr:colOff>0</xdr:colOff>
                <xdr:row>157</xdr:row>
                <xdr:rowOff>38100</xdr:rowOff>
              </from>
              <to>
                <xdr:col>35</xdr:col>
                <xdr:colOff>123825</xdr:colOff>
                <xdr:row>159</xdr:row>
                <xdr:rowOff>85725</xdr:rowOff>
              </to>
            </anchor>
          </objectPr>
        </oleObject>
      </mc:Choice>
      <mc:Fallback>
        <oleObject progId="Visio.Drawing.11" shapeId="33043" r:id="rId14"/>
      </mc:Fallback>
    </mc:AlternateContent>
    <mc:AlternateContent xmlns:mc="http://schemas.openxmlformats.org/markup-compatibility/2006">
      <mc:Choice Requires="x14">
        <oleObject progId="Equation.3" shapeId="33045" r:id="rId16">
          <objectPr defaultSize="0" autoPict="0" r:id="rId17">
            <anchor moveWithCells="1" sizeWithCells="1">
              <from>
                <xdr:col>12</xdr:col>
                <xdr:colOff>9525</xdr:colOff>
                <xdr:row>182</xdr:row>
                <xdr:rowOff>228600</xdr:rowOff>
              </from>
              <to>
                <xdr:col>25</xdr:col>
                <xdr:colOff>28575</xdr:colOff>
                <xdr:row>184</xdr:row>
                <xdr:rowOff>38100</xdr:rowOff>
              </to>
            </anchor>
          </objectPr>
        </oleObject>
      </mc:Choice>
      <mc:Fallback>
        <oleObject progId="Equation.3" shapeId="33045" r:id="rId16"/>
      </mc:Fallback>
    </mc:AlternateContent>
    <mc:AlternateContent xmlns:mc="http://schemas.openxmlformats.org/markup-compatibility/2006">
      <mc:Choice Requires="x14">
        <oleObject progId="Equation.3" shapeId="33059" r:id="rId18">
          <objectPr defaultSize="0" autoPict="0" r:id="rId19">
            <anchor moveWithCells="1">
              <from>
                <xdr:col>20</xdr:col>
                <xdr:colOff>152400</xdr:colOff>
                <xdr:row>148</xdr:row>
                <xdr:rowOff>219075</xdr:rowOff>
              </from>
              <to>
                <xdr:col>23</xdr:col>
                <xdr:colOff>19050</xdr:colOff>
                <xdr:row>150</xdr:row>
                <xdr:rowOff>19050</xdr:rowOff>
              </to>
            </anchor>
          </objectPr>
        </oleObject>
      </mc:Choice>
      <mc:Fallback>
        <oleObject progId="Equation.3" shapeId="33059" r:id="rId18"/>
      </mc:Fallback>
    </mc:AlternateContent>
    <mc:AlternateContent xmlns:mc="http://schemas.openxmlformats.org/markup-compatibility/2006">
      <mc:Choice Requires="x14">
        <oleObject progId="Equation.3" shapeId="33060" r:id="rId20">
          <objectPr defaultSize="0" autoPict="0" r:id="rId21">
            <anchor moveWithCells="1">
              <from>
                <xdr:col>20</xdr:col>
                <xdr:colOff>152400</xdr:colOff>
                <xdr:row>188</xdr:row>
                <xdr:rowOff>0</xdr:rowOff>
              </from>
              <to>
                <xdr:col>23</xdr:col>
                <xdr:colOff>19050</xdr:colOff>
                <xdr:row>189</xdr:row>
                <xdr:rowOff>47625</xdr:rowOff>
              </to>
            </anchor>
          </objectPr>
        </oleObject>
      </mc:Choice>
      <mc:Fallback>
        <oleObject progId="Equation.3" shapeId="33060" r:id="rId20"/>
      </mc:Fallback>
    </mc:AlternateContent>
    <mc:AlternateContent xmlns:mc="http://schemas.openxmlformats.org/markup-compatibility/2006">
      <mc:Choice Requires="x14">
        <oleObject progId="Equation.3" shapeId="33062" r:id="rId22">
          <objectPr defaultSize="0" autoPict="0" r:id="rId21">
            <anchor moveWithCells="1">
              <from>
                <xdr:col>21</xdr:col>
                <xdr:colOff>152400</xdr:colOff>
                <xdr:row>189</xdr:row>
                <xdr:rowOff>0</xdr:rowOff>
              </from>
              <to>
                <xdr:col>24</xdr:col>
                <xdr:colOff>19050</xdr:colOff>
                <xdr:row>190</xdr:row>
                <xdr:rowOff>47625</xdr:rowOff>
              </to>
            </anchor>
          </objectPr>
        </oleObject>
      </mc:Choice>
      <mc:Fallback>
        <oleObject progId="Equation.3" shapeId="33062" r:id="rId22"/>
      </mc:Fallback>
    </mc:AlternateContent>
    <mc:AlternateContent xmlns:mc="http://schemas.openxmlformats.org/markup-compatibility/2006">
      <mc:Choice Requires="x14">
        <oleObject progId="Equation.3" shapeId="33064" r:id="rId23">
          <objectPr defaultSize="0" autoPict="0" r:id="rId24">
            <anchor moveWithCells="1">
              <from>
                <xdr:col>16</xdr:col>
                <xdr:colOff>152400</xdr:colOff>
                <xdr:row>208</xdr:row>
                <xdr:rowOff>0</xdr:rowOff>
              </from>
              <to>
                <xdr:col>32</xdr:col>
                <xdr:colOff>152400</xdr:colOff>
                <xdr:row>210</xdr:row>
                <xdr:rowOff>76200</xdr:rowOff>
              </to>
            </anchor>
          </objectPr>
        </oleObject>
      </mc:Choice>
      <mc:Fallback>
        <oleObject progId="Equation.3" shapeId="33064" r:id="rId23"/>
      </mc:Fallback>
    </mc:AlternateContent>
    <mc:AlternateContent xmlns:mc="http://schemas.openxmlformats.org/markup-compatibility/2006">
      <mc:Choice Requires="x14">
        <oleObject progId="Visio.Drawing.11" shapeId="33192" r:id="rId25">
          <objectPr defaultSize="0" r:id="rId26">
            <anchor moveWithCells="1">
              <from>
                <xdr:col>8</xdr:col>
                <xdr:colOff>0</xdr:colOff>
                <xdr:row>426</xdr:row>
                <xdr:rowOff>0</xdr:rowOff>
              </from>
              <to>
                <xdr:col>28</xdr:col>
                <xdr:colOff>142875</xdr:colOff>
                <xdr:row>430</xdr:row>
                <xdr:rowOff>161925</xdr:rowOff>
              </to>
            </anchor>
          </objectPr>
        </oleObject>
      </mc:Choice>
      <mc:Fallback>
        <oleObject progId="Visio.Drawing.11" shapeId="33192" r:id="rId25"/>
      </mc:Fallback>
    </mc:AlternateContent>
    <mc:AlternateContent xmlns:mc="http://schemas.openxmlformats.org/markup-compatibility/2006">
      <mc:Choice Requires="x14">
        <oleObject progId="Visio.Drawing.11" shapeId="33212" r:id="rId27">
          <objectPr defaultSize="0" r:id="rId28">
            <anchor moveWithCells="1">
              <from>
                <xdr:col>21</xdr:col>
                <xdr:colOff>123825</xdr:colOff>
                <xdr:row>551</xdr:row>
                <xdr:rowOff>9525</xdr:rowOff>
              </from>
              <to>
                <xdr:col>24</xdr:col>
                <xdr:colOff>57150</xdr:colOff>
                <xdr:row>553</xdr:row>
                <xdr:rowOff>9525</xdr:rowOff>
              </to>
            </anchor>
          </objectPr>
        </oleObject>
      </mc:Choice>
      <mc:Fallback>
        <oleObject progId="Visio.Drawing.11" shapeId="33212" r:id="rId27"/>
      </mc:Fallback>
    </mc:AlternateContent>
    <mc:AlternateContent xmlns:mc="http://schemas.openxmlformats.org/markup-compatibility/2006">
      <mc:Choice Requires="x14">
        <oleObject progId="Visio.Drawing.11" shapeId="33215" r:id="rId29">
          <objectPr defaultSize="0" r:id="rId30">
            <anchor moveWithCells="1">
              <from>
                <xdr:col>21</xdr:col>
                <xdr:colOff>123825</xdr:colOff>
                <xdr:row>553</xdr:row>
                <xdr:rowOff>9525</xdr:rowOff>
              </from>
              <to>
                <xdr:col>26</xdr:col>
                <xdr:colOff>47625</xdr:colOff>
                <xdr:row>555</xdr:row>
                <xdr:rowOff>9525</xdr:rowOff>
              </to>
            </anchor>
          </objectPr>
        </oleObject>
      </mc:Choice>
      <mc:Fallback>
        <oleObject progId="Visio.Drawing.11" shapeId="33215" r:id="rId29"/>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8">
    <tabColor indexed="55"/>
  </sheetPr>
  <dimension ref="A1:R61"/>
  <sheetViews>
    <sheetView showGridLines="0" view="pageLayout" topLeftCell="A34" zoomScaleNormal="100" workbookViewId="0">
      <selection activeCell="C10" sqref="C10:D10"/>
    </sheetView>
  </sheetViews>
  <sheetFormatPr defaultColWidth="8.83203125" defaultRowHeight="15" zeroHeight="1"/>
  <cols>
    <col min="1" max="1" width="27.33203125" style="85" customWidth="1"/>
    <col min="2" max="2" width="4.33203125" style="85" customWidth="1"/>
    <col min="3" max="3" width="5.1640625" style="85" customWidth="1"/>
    <col min="4" max="4" width="6.1640625" style="85" customWidth="1"/>
    <col min="5" max="5" width="5.1640625" style="85" customWidth="1"/>
    <col min="6" max="6" width="6" style="85" customWidth="1"/>
    <col min="7" max="7" width="9.1640625" style="85" customWidth="1"/>
    <col min="8" max="11" width="9.33203125" style="85" customWidth="1"/>
    <col min="12" max="12" width="2.1640625" style="85" customWidth="1"/>
    <col min="13" max="13" width="16" style="554" customWidth="1"/>
    <col min="14" max="14" width="5.83203125" style="137" customWidth="1"/>
    <col min="15" max="15" width="5" style="85" customWidth="1"/>
    <col min="16" max="16" width="12.83203125" style="85" customWidth="1"/>
    <col min="17" max="17" width="14.1640625" style="85" customWidth="1"/>
    <col min="18" max="16384" width="8.83203125" style="85"/>
  </cols>
  <sheetData>
    <row r="1" spans="1:18">
      <c r="A1" s="2161"/>
      <c r="B1" s="2161"/>
      <c r="C1" s="2161"/>
      <c r="D1" s="2161"/>
      <c r="E1" s="2161"/>
      <c r="F1" s="2161"/>
      <c r="G1" s="2161"/>
      <c r="H1" s="2161"/>
      <c r="I1" s="2161"/>
      <c r="J1" s="2161"/>
      <c r="K1" s="2161"/>
      <c r="L1" s="2161"/>
      <c r="M1" s="2161"/>
      <c r="N1" s="2161"/>
      <c r="O1" s="141">
        <v>1</v>
      </c>
    </row>
    <row r="2" spans="1:18" ht="33" customHeight="1">
      <c r="A2" s="2161"/>
      <c r="B2" s="2159" t="s">
        <v>4338</v>
      </c>
      <c r="C2" s="2159"/>
      <c r="D2" s="2159"/>
      <c r="E2" s="2159"/>
      <c r="F2" s="2159"/>
      <c r="G2" s="2159"/>
      <c r="H2" s="2159"/>
      <c r="I2" s="2159"/>
      <c r="J2" s="2159"/>
      <c r="K2" s="2159"/>
      <c r="L2" s="2159"/>
      <c r="M2" s="2159"/>
      <c r="N2" s="2159"/>
      <c r="O2" s="765">
        <v>1</v>
      </c>
    </row>
    <row r="3" spans="1:18" ht="16.5">
      <c r="A3" s="2161"/>
      <c r="B3" s="310"/>
      <c r="C3" s="310"/>
      <c r="D3" s="310"/>
      <c r="E3" s="310"/>
      <c r="F3" s="310"/>
      <c r="G3" s="310"/>
      <c r="H3" s="310"/>
      <c r="I3" s="310"/>
      <c r="J3" s="310"/>
      <c r="K3" s="310"/>
      <c r="L3" s="310"/>
      <c r="M3" s="310"/>
      <c r="N3" s="310"/>
      <c r="O3" s="765">
        <v>1</v>
      </c>
    </row>
    <row r="4" spans="1:18" ht="15.75">
      <c r="A4" s="2161"/>
      <c r="B4" s="106"/>
      <c r="C4" s="106"/>
      <c r="D4" s="106"/>
      <c r="E4" s="105"/>
      <c r="F4" s="105"/>
      <c r="G4" s="105"/>
      <c r="H4" s="106"/>
      <c r="I4" s="106"/>
      <c r="J4" s="106"/>
      <c r="O4" s="765">
        <v>1</v>
      </c>
    </row>
    <row r="5" spans="1:18" ht="15.75">
      <c r="A5" s="2161"/>
      <c r="B5" s="105"/>
      <c r="C5" s="106" t="s">
        <v>4339</v>
      </c>
      <c r="D5" s="107"/>
      <c r="E5" s="105"/>
      <c r="F5" s="105"/>
      <c r="G5" s="105"/>
      <c r="H5" s="106"/>
      <c r="I5" s="106"/>
      <c r="J5" s="106"/>
      <c r="M5" s="555">
        <f>M6+M23</f>
        <v>84632394.677600011</v>
      </c>
      <c r="N5" s="137" t="s">
        <v>3300</v>
      </c>
      <c r="O5" s="765">
        <f>IF($M$5=0,0,1)</f>
        <v>1</v>
      </c>
    </row>
    <row r="6" spans="1:18" ht="15.75">
      <c r="A6" s="2161"/>
      <c r="B6" s="105"/>
      <c r="C6" s="106" t="s">
        <v>3276</v>
      </c>
      <c r="D6" s="107"/>
      <c r="E6" s="105"/>
      <c r="F6" s="105"/>
      <c r="G6" s="105"/>
      <c r="H6" s="106"/>
      <c r="I6" s="106"/>
      <c r="J6" s="106"/>
      <c r="L6" s="146" t="s">
        <v>3306</v>
      </c>
      <c r="M6" s="556">
        <f>M7+M15</f>
        <v>44068475</v>
      </c>
      <c r="N6" s="137" t="s">
        <v>3300</v>
      </c>
      <c r="O6" s="765">
        <f>IF($M$6=0,0,1)</f>
        <v>1</v>
      </c>
      <c r="Q6" s="821" t="s">
        <v>2234</v>
      </c>
      <c r="R6" s="85" t="s">
        <v>2236</v>
      </c>
    </row>
    <row r="7" spans="1:18" ht="15.75">
      <c r="A7" s="2161"/>
      <c r="B7" s="105"/>
      <c r="C7" s="107" t="s">
        <v>3277</v>
      </c>
      <c r="D7" s="107"/>
      <c r="E7" s="105"/>
      <c r="F7" s="105"/>
      <c r="G7" s="105"/>
      <c r="H7" s="106"/>
      <c r="I7" s="106"/>
      <c r="J7" s="106"/>
      <c r="L7" s="146" t="s">
        <v>3306</v>
      </c>
      <c r="M7" s="556">
        <f>SUM(M9:M13)</f>
        <v>44068475</v>
      </c>
      <c r="N7" s="137" t="s">
        <v>3300</v>
      </c>
      <c r="O7" s="765">
        <f>IF($M$7=0,0,1)</f>
        <v>1</v>
      </c>
      <c r="Q7" s="89">
        <v>0.8</v>
      </c>
      <c r="R7" s="85" t="s">
        <v>487</v>
      </c>
    </row>
    <row r="8" spans="1:18" ht="15.75">
      <c r="A8" s="2161"/>
      <c r="B8" s="105"/>
      <c r="C8" s="105"/>
      <c r="D8" s="1156" t="s">
        <v>4340</v>
      </c>
      <c r="E8" s="1119"/>
      <c r="F8" s="1119"/>
      <c r="G8" s="1157"/>
      <c r="H8" s="1157"/>
      <c r="I8" s="1157"/>
      <c r="J8" s="260"/>
      <c r="K8" s="260"/>
      <c r="L8" s="260"/>
      <c r="M8" s="1158"/>
      <c r="N8" s="1159"/>
      <c r="O8" s="765">
        <f>IF($M$9=0,0,1)</f>
        <v>1</v>
      </c>
      <c r="Q8" s="89" t="s">
        <v>2235</v>
      </c>
      <c r="R8" s="85" t="s">
        <v>3691</v>
      </c>
    </row>
    <row r="9" spans="1:18" ht="15.75">
      <c r="A9" s="2161"/>
      <c r="B9" s="105"/>
      <c r="C9" s="105"/>
      <c r="D9" s="1159"/>
      <c r="E9" s="1380" t="str">
        <f>(tkeTA!C135+tkeTA2!C93)&amp;"m x "&amp;Q9&amp;"đ/m x 0.8 x 1.1"</f>
        <v>5055m x 9906,59đ/m x 0.8 x 1.1</v>
      </c>
      <c r="F9" s="1160"/>
      <c r="G9" s="1156"/>
      <c r="H9" s="1156"/>
      <c r="I9" s="1156"/>
      <c r="J9" s="260"/>
      <c r="K9" s="1161"/>
      <c r="L9" s="1161" t="s">
        <v>3306</v>
      </c>
      <c r="M9" s="1158">
        <f>ROUND((tkeTA!C135+tkeTA2!C93)*Q9*0.8*1.1,0)</f>
        <v>44068475</v>
      </c>
      <c r="N9" s="1159" t="s">
        <v>3300</v>
      </c>
      <c r="O9" s="765">
        <f>IF($M$9=0,0,1)</f>
        <v>1</v>
      </c>
      <c r="Q9" s="878">
        <f>IF(NL!AJ2="","",IF(NL!AS2=3,NL!J89,IF(NL!AS2=4,NL!Q89)))</f>
        <v>9906.59</v>
      </c>
      <c r="R9" s="557" t="s">
        <v>5412</v>
      </c>
    </row>
    <row r="10" spans="1:18" ht="15.75">
      <c r="A10" s="2161"/>
      <c r="B10" s="105"/>
      <c r="C10" s="105"/>
      <c r="D10" s="1156" t="s">
        <v>4033</v>
      </c>
      <c r="E10" s="1159"/>
      <c r="F10" s="1119"/>
      <c r="G10" s="1119"/>
      <c r="H10" s="1157"/>
      <c r="I10" s="1157"/>
      <c r="J10" s="1157"/>
      <c r="K10" s="260"/>
      <c r="L10" s="260"/>
      <c r="M10" s="1158"/>
      <c r="N10" s="1159"/>
      <c r="O10" s="765">
        <f>IF($M$11=0,0,1)</f>
        <v>0</v>
      </c>
    </row>
    <row r="11" spans="1:18" ht="15.75">
      <c r="A11" s="2161"/>
      <c r="B11" s="105"/>
      <c r="C11" s="105"/>
      <c r="D11" s="1119"/>
      <c r="E11" s="1159" t="str">
        <f>ROUND((tkeTA!C69*40)/10000,2)&amp;"ha x "&amp;Q11&amp;"đ/ha x 1.1"</f>
        <v>0,07ha x 0đ/ha x 1.1</v>
      </c>
      <c r="F11" s="1160"/>
      <c r="G11" s="1156"/>
      <c r="H11" s="1156"/>
      <c r="I11" s="1156"/>
      <c r="J11" s="260"/>
      <c r="K11" s="1161"/>
      <c r="L11" s="1161" t="s">
        <v>3306</v>
      </c>
      <c r="M11" s="1158">
        <f>ROUND(ROUND((tkeTA!C69*40)/10000,2)*Q11*1.1,0)*0</f>
        <v>0</v>
      </c>
      <c r="N11" s="1159" t="s">
        <v>3300</v>
      </c>
      <c r="O11" s="765">
        <f>IF($M$11=0,0,1)</f>
        <v>0</v>
      </c>
      <c r="Q11" s="879">
        <v>0</v>
      </c>
      <c r="R11" s="557" t="s">
        <v>1473</v>
      </c>
    </row>
    <row r="12" spans="1:18" ht="15.75">
      <c r="A12" s="2161"/>
      <c r="B12" s="105"/>
      <c r="C12" s="105"/>
      <c r="D12" s="1156" t="s">
        <v>4034</v>
      </c>
      <c r="E12" s="1159"/>
      <c r="F12" s="1119"/>
      <c r="G12" s="1119"/>
      <c r="H12" s="1157"/>
      <c r="I12" s="1157"/>
      <c r="J12" s="1157"/>
      <c r="K12" s="260"/>
      <c r="L12" s="260"/>
      <c r="M12" s="1158"/>
      <c r="N12" s="1159"/>
      <c r="O12" s="765">
        <f>IF($M$13=0,0,1)</f>
        <v>0</v>
      </c>
    </row>
    <row r="13" spans="1:18" ht="15.75">
      <c r="A13" s="2161"/>
      <c r="B13" s="105"/>
      <c r="C13" s="105"/>
      <c r="D13" s="1159"/>
      <c r="E13" s="1156" t="s">
        <v>5413</v>
      </c>
      <c r="F13" s="1119"/>
      <c r="G13" s="1119"/>
      <c r="H13" s="1157"/>
      <c r="I13" s="1157"/>
      <c r="J13" s="1157"/>
      <c r="K13" s="260"/>
      <c r="L13" s="1161" t="s">
        <v>3306</v>
      </c>
      <c r="M13" s="1158">
        <f>ROUND(5%*M11*1.1,0)*0</f>
        <v>0</v>
      </c>
      <c r="N13" s="1159" t="s">
        <v>3300</v>
      </c>
      <c r="O13" s="765">
        <f>IF($M$13=0,0,1)</f>
        <v>0</v>
      </c>
      <c r="Q13" s="85" t="s">
        <v>172</v>
      </c>
    </row>
    <row r="14" spans="1:18" ht="15.75">
      <c r="A14" s="2161"/>
      <c r="B14" s="105"/>
      <c r="C14" s="105"/>
      <c r="D14" s="1119"/>
      <c r="E14" s="1119"/>
      <c r="F14" s="1119"/>
      <c r="G14" s="1119"/>
      <c r="H14" s="1157"/>
      <c r="I14" s="1157"/>
      <c r="J14" s="1157"/>
      <c r="K14" s="260"/>
      <c r="L14" s="260"/>
      <c r="M14" s="1158"/>
      <c r="N14" s="1159"/>
      <c r="O14" s="765">
        <f>IF($M$7=0,0,1)</f>
        <v>1</v>
      </c>
    </row>
    <row r="15" spans="1:18" ht="15.75">
      <c r="A15" s="2161"/>
      <c r="B15" s="105"/>
      <c r="C15" s="107" t="s">
        <v>3281</v>
      </c>
      <c r="D15" s="1156"/>
      <c r="E15" s="1119"/>
      <c r="F15" s="1119"/>
      <c r="G15" s="1119"/>
      <c r="H15" s="1157"/>
      <c r="I15" s="1157"/>
      <c r="J15" s="1157"/>
      <c r="K15" s="260"/>
      <c r="L15" s="260"/>
      <c r="M15" s="1162">
        <f>SUM(M17:M21)</f>
        <v>0</v>
      </c>
      <c r="N15" s="1159" t="s">
        <v>3300</v>
      </c>
      <c r="O15" s="765">
        <v>0</v>
      </c>
    </row>
    <row r="16" spans="1:18" ht="15.75">
      <c r="A16" s="2161"/>
      <c r="B16" s="105"/>
      <c r="C16" s="105"/>
      <c r="D16" s="1156" t="s">
        <v>3611</v>
      </c>
      <c r="E16" s="1119"/>
      <c r="F16" s="1119"/>
      <c r="G16" s="1157"/>
      <c r="H16" s="1157"/>
      <c r="I16" s="1157"/>
      <c r="J16" s="260"/>
      <c r="K16" s="260"/>
      <c r="L16" s="260"/>
      <c r="M16" s="1158"/>
      <c r="N16" s="1159"/>
      <c r="O16" s="765">
        <v>0</v>
      </c>
    </row>
    <row r="17" spans="1:17" ht="15.75">
      <c r="A17" s="2161"/>
      <c r="B17" s="105"/>
      <c r="C17" s="105"/>
      <c r="D17" s="1159"/>
      <c r="E17" s="1156"/>
      <c r="F17" s="1160"/>
      <c r="G17" s="1156"/>
      <c r="H17" s="1156"/>
      <c r="I17" s="1156"/>
      <c r="J17" s="260"/>
      <c r="K17" s="1161"/>
      <c r="L17" s="1161" t="s">
        <v>3306</v>
      </c>
      <c r="M17" s="1158"/>
      <c r="N17" s="1159" t="s">
        <v>3300</v>
      </c>
      <c r="O17" s="765">
        <v>0</v>
      </c>
    </row>
    <row r="18" spans="1:17" ht="15.75">
      <c r="A18" s="2161"/>
      <c r="C18" s="105"/>
      <c r="D18" s="1156" t="s">
        <v>4033</v>
      </c>
      <c r="E18" s="1159"/>
      <c r="F18" s="1119"/>
      <c r="G18" s="1119"/>
      <c r="H18" s="1157"/>
      <c r="I18" s="1157"/>
      <c r="J18" s="1157"/>
      <c r="K18" s="260"/>
      <c r="L18" s="260"/>
      <c r="M18" s="1158"/>
      <c r="N18" s="1159"/>
      <c r="O18" s="765">
        <v>0</v>
      </c>
    </row>
    <row r="19" spans="1:17" ht="15.75">
      <c r="A19" s="2161"/>
      <c r="C19" s="105"/>
      <c r="D19" s="1156"/>
      <c r="E19" s="1159"/>
      <c r="F19" s="717"/>
      <c r="G19" s="717"/>
      <c r="H19" s="1157"/>
      <c r="I19" s="1157"/>
      <c r="J19" s="1157"/>
      <c r="K19" s="260"/>
      <c r="L19" s="1161" t="s">
        <v>3306</v>
      </c>
      <c r="M19" s="1158"/>
      <c r="N19" s="1159" t="s">
        <v>3300</v>
      </c>
      <c r="O19" s="765">
        <v>0</v>
      </c>
    </row>
    <row r="20" spans="1:17" ht="15.75">
      <c r="A20" s="2161"/>
      <c r="C20" s="105"/>
      <c r="D20" s="1156" t="s">
        <v>4034</v>
      </c>
      <c r="E20" s="1159"/>
      <c r="F20" s="1119"/>
      <c r="G20" s="1119"/>
      <c r="H20" s="1157"/>
      <c r="I20" s="1157"/>
      <c r="J20" s="1157"/>
      <c r="K20" s="260"/>
      <c r="L20" s="260"/>
      <c r="M20" s="1158"/>
      <c r="N20" s="1159"/>
      <c r="O20" s="765">
        <v>0</v>
      </c>
    </row>
    <row r="21" spans="1:17" ht="15.75">
      <c r="A21" s="2161"/>
      <c r="C21" s="105"/>
      <c r="D21" s="1163"/>
      <c r="E21" s="1159"/>
      <c r="F21" s="717"/>
      <c r="G21" s="717"/>
      <c r="H21" s="1157"/>
      <c r="I21" s="1157"/>
      <c r="J21" s="1157"/>
      <c r="K21" s="260"/>
      <c r="L21" s="1161" t="s">
        <v>3306</v>
      </c>
      <c r="M21" s="1158"/>
      <c r="N21" s="1159" t="s">
        <v>3300</v>
      </c>
      <c r="O21" s="765">
        <v>0</v>
      </c>
    </row>
    <row r="22" spans="1:17" ht="15.75">
      <c r="A22" s="2161"/>
      <c r="C22" s="105"/>
      <c r="D22" s="1119"/>
      <c r="E22" s="1159"/>
      <c r="F22" s="1119"/>
      <c r="G22" s="1119"/>
      <c r="H22" s="1157"/>
      <c r="I22" s="1157"/>
      <c r="J22" s="1157"/>
      <c r="K22" s="260"/>
      <c r="L22" s="260"/>
      <c r="M22" s="1158"/>
      <c r="N22" s="1159"/>
      <c r="O22" s="765">
        <v>0</v>
      </c>
    </row>
    <row r="23" spans="1:17" ht="15.75">
      <c r="A23" s="2161"/>
      <c r="C23" s="106" t="s">
        <v>3282</v>
      </c>
      <c r="D23" s="1119"/>
      <c r="E23" s="1159"/>
      <c r="F23" s="1119"/>
      <c r="G23" s="1119"/>
      <c r="H23" s="1157"/>
      <c r="I23" s="1157"/>
      <c r="J23" s="1157"/>
      <c r="K23" s="260"/>
      <c r="L23" s="260"/>
      <c r="M23" s="1162">
        <f>M24+M32</f>
        <v>40563919.677600011</v>
      </c>
      <c r="N23" s="1159" t="s">
        <v>3300</v>
      </c>
      <c r="O23" s="765">
        <f>IF($M$23=0,0,1)</f>
        <v>1</v>
      </c>
    </row>
    <row r="24" spans="1:17" ht="15.75">
      <c r="A24" s="2161"/>
      <c r="C24" s="107" t="s">
        <v>696</v>
      </c>
      <c r="D24" s="1156"/>
      <c r="E24" s="1119"/>
      <c r="F24" s="1119"/>
      <c r="G24" s="1119"/>
      <c r="H24" s="1157"/>
      <c r="I24" s="1157"/>
      <c r="J24" s="1157"/>
      <c r="K24" s="260"/>
      <c r="L24" s="260"/>
      <c r="M24" s="1162">
        <f>SUM(M26:M30)</f>
        <v>40563919.677600011</v>
      </c>
      <c r="N24" s="1159" t="s">
        <v>3300</v>
      </c>
      <c r="O24" s="765">
        <f>IF($M$24=0,0,1)</f>
        <v>1</v>
      </c>
    </row>
    <row r="25" spans="1:17" ht="15.75">
      <c r="A25" s="2161"/>
      <c r="C25" s="105"/>
      <c r="D25" s="1156" t="s">
        <v>4340</v>
      </c>
      <c r="E25" s="1119"/>
      <c r="F25" s="1119"/>
      <c r="G25" s="1157"/>
      <c r="H25" s="1157"/>
      <c r="I25" s="1157"/>
      <c r="J25" s="260"/>
      <c r="K25" s="260"/>
      <c r="L25" s="260"/>
      <c r="M25" s="1158"/>
      <c r="N25" s="1159"/>
      <c r="O25" s="765">
        <f>IF($M$26=0,0,1)</f>
        <v>1</v>
      </c>
    </row>
    <row r="26" spans="1:17" ht="15.75">
      <c r="A26" s="2161"/>
      <c r="C26" s="105"/>
      <c r="D26" s="1159"/>
      <c r="E26" s="1380" t="str">
        <f>tkeHA!C245&amp;"m x "&amp;Q9&amp;"đ/m x 0.8 x 1.1"</f>
        <v>4653m x 9906,59đ/m x 0.8 x 1.1</v>
      </c>
      <c r="F26" s="1160"/>
      <c r="G26" s="1156"/>
      <c r="H26" s="1156"/>
      <c r="I26" s="1156"/>
      <c r="J26" s="260"/>
      <c r="K26" s="1161"/>
      <c r="L26" s="1161" t="s">
        <v>3306</v>
      </c>
      <c r="M26" s="1158">
        <f>tkeHA!C245*Q9*0.8*1.1</f>
        <v>40563919.677600011</v>
      </c>
      <c r="N26" s="1159" t="s">
        <v>3300</v>
      </c>
      <c r="O26" s="765">
        <f>IF($M$26=0,0,1)</f>
        <v>1</v>
      </c>
      <c r="Q26" s="557"/>
    </row>
    <row r="27" spans="1:17" ht="15.75">
      <c r="A27" s="2161"/>
      <c r="C27" s="105"/>
      <c r="D27" s="1156" t="s">
        <v>6072</v>
      </c>
      <c r="E27" s="1159"/>
      <c r="F27" s="1119"/>
      <c r="G27" s="1119"/>
      <c r="H27" s="1157"/>
      <c r="I27" s="1157"/>
      <c r="J27" s="1157"/>
      <c r="K27" s="260"/>
      <c r="L27" s="260"/>
      <c r="M27" s="1158"/>
      <c r="N27" s="1159"/>
      <c r="O27" s="765">
        <f>IF($M$28=0,0,1)</f>
        <v>0</v>
      </c>
    </row>
    <row r="28" spans="1:17" ht="15.75">
      <c r="A28" s="2161"/>
      <c r="C28" s="105"/>
      <c r="D28" s="1119"/>
      <c r="E28" s="1156" t="str">
        <f>ROUND((tkeHA!C245*20)/10000,2)&amp;"ha x "&amp;Q11&amp;"đ/ha x 1.1"</f>
        <v>9,31ha x 0đ/ha x 1.1</v>
      </c>
      <c r="F28" s="1160"/>
      <c r="G28" s="1156"/>
      <c r="H28" s="1156"/>
      <c r="I28" s="1156"/>
      <c r="J28" s="260"/>
      <c r="K28" s="1161"/>
      <c r="L28" s="1161" t="s">
        <v>3306</v>
      </c>
      <c r="M28" s="1158">
        <f>ROUND(ROUND((tkeHA!C245*20)/10000,2)*Q11*1.1,0)*0</f>
        <v>0</v>
      </c>
      <c r="N28" s="1159" t="s">
        <v>3300</v>
      </c>
      <c r="O28" s="765">
        <f>IF($M$28=0,0,1)</f>
        <v>0</v>
      </c>
      <c r="Q28" s="557"/>
    </row>
    <row r="29" spans="1:17" ht="15.75">
      <c r="A29" s="2161"/>
      <c r="C29" s="105"/>
      <c r="D29" s="1159" t="s">
        <v>2368</v>
      </c>
      <c r="E29" s="1159"/>
      <c r="F29" s="1119"/>
      <c r="G29" s="1119"/>
      <c r="H29" s="1157"/>
      <c r="I29" s="1157"/>
      <c r="J29" s="1157"/>
      <c r="K29" s="260"/>
      <c r="L29" s="260"/>
      <c r="M29" s="1158"/>
      <c r="N29" s="1159"/>
      <c r="O29" s="765">
        <f>IF($M$30=0,0,1)</f>
        <v>0</v>
      </c>
    </row>
    <row r="30" spans="1:17" ht="15.75">
      <c r="A30" s="2161"/>
      <c r="C30" s="105"/>
      <c r="D30" s="1156"/>
      <c r="E30" s="1156" t="s">
        <v>5413</v>
      </c>
      <c r="F30" s="717"/>
      <c r="G30" s="717"/>
      <c r="H30" s="1157"/>
      <c r="I30" s="1157"/>
      <c r="J30" s="1157"/>
      <c r="K30" s="260"/>
      <c r="L30" s="1161" t="s">
        <v>3306</v>
      </c>
      <c r="M30" s="1158">
        <f>ROUND(5%*M28*1.1,0)*0</f>
        <v>0</v>
      </c>
      <c r="N30" s="1159" t="s">
        <v>3300</v>
      </c>
      <c r="O30" s="765">
        <f>IF($M$30=0,0,1)</f>
        <v>0</v>
      </c>
    </row>
    <row r="31" spans="1:17" ht="15.75">
      <c r="A31" s="2161"/>
      <c r="C31" s="105"/>
      <c r="D31" s="1119"/>
      <c r="E31" s="1119"/>
      <c r="F31" s="1119"/>
      <c r="G31" s="1119"/>
      <c r="H31" s="1157"/>
      <c r="I31" s="1157"/>
      <c r="J31" s="1157"/>
      <c r="K31" s="260"/>
      <c r="L31" s="260"/>
      <c r="M31" s="1158"/>
      <c r="N31" s="1159"/>
      <c r="O31" s="765">
        <f>IF($M$24=0,0,1)</f>
        <v>1</v>
      </c>
    </row>
    <row r="32" spans="1:17" ht="15.75">
      <c r="A32" s="2161"/>
      <c r="C32" s="107" t="s">
        <v>2825</v>
      </c>
      <c r="D32" s="1156"/>
      <c r="E32" s="1119"/>
      <c r="F32" s="1119"/>
      <c r="G32" s="1119"/>
      <c r="H32" s="1157"/>
      <c r="I32" s="1157"/>
      <c r="J32" s="1157"/>
      <c r="K32" s="260"/>
      <c r="L32" s="260"/>
      <c r="M32" s="1164">
        <f>SUM(M34:M39)</f>
        <v>0</v>
      </c>
      <c r="N32" s="1159" t="s">
        <v>3300</v>
      </c>
      <c r="O32" s="765">
        <v>0</v>
      </c>
    </row>
    <row r="33" spans="1:17" ht="15.75">
      <c r="A33" s="2161"/>
      <c r="C33" s="105"/>
      <c r="D33" s="1156" t="s">
        <v>3611</v>
      </c>
      <c r="E33" s="1119"/>
      <c r="F33" s="1119"/>
      <c r="G33" s="1157"/>
      <c r="H33" s="1157"/>
      <c r="I33" s="1157"/>
      <c r="J33" s="260"/>
      <c r="K33" s="260"/>
      <c r="L33" s="260"/>
      <c r="M33" s="1158"/>
      <c r="N33" s="1159"/>
      <c r="O33" s="765">
        <v>0</v>
      </c>
    </row>
    <row r="34" spans="1:17" ht="15.75">
      <c r="A34" s="2161"/>
      <c r="C34" s="105"/>
      <c r="D34" s="1159"/>
      <c r="E34" s="1156" t="s">
        <v>232</v>
      </c>
      <c r="F34" s="1160"/>
      <c r="G34" s="1156"/>
      <c r="H34" s="1156"/>
      <c r="I34" s="1156"/>
      <c r="J34" s="260"/>
      <c r="K34" s="1161"/>
      <c r="L34" s="1161" t="s">
        <v>3306</v>
      </c>
      <c r="M34" s="1158"/>
      <c r="N34" s="1159" t="s">
        <v>3300</v>
      </c>
      <c r="O34" s="765">
        <v>0</v>
      </c>
    </row>
    <row r="35" spans="1:17" ht="15.75">
      <c r="A35" s="2161"/>
      <c r="C35" s="105"/>
      <c r="D35" s="1159" t="s">
        <v>2368</v>
      </c>
      <c r="E35" s="1159"/>
      <c r="F35" s="1119"/>
      <c r="G35" s="1119"/>
      <c r="H35" s="1157"/>
      <c r="I35" s="1157"/>
      <c r="J35" s="1157"/>
      <c r="K35" s="260"/>
      <c r="L35" s="260"/>
      <c r="M35" s="1158"/>
      <c r="N35" s="1159"/>
      <c r="O35" s="765">
        <v>0</v>
      </c>
    </row>
    <row r="36" spans="1:17" ht="15.75">
      <c r="A36" s="2161"/>
      <c r="C36" s="105"/>
      <c r="D36" s="1156"/>
      <c r="E36" s="1159" t="s">
        <v>3051</v>
      </c>
      <c r="F36" s="717"/>
      <c r="G36" s="717"/>
      <c r="H36" s="1157"/>
      <c r="I36" s="1157"/>
      <c r="J36" s="1157"/>
      <c r="K36" s="260"/>
      <c r="L36" s="1161" t="s">
        <v>3306</v>
      </c>
      <c r="M36" s="1158"/>
      <c r="N36" s="1159" t="s">
        <v>3300</v>
      </c>
      <c r="O36" s="765">
        <v>0</v>
      </c>
    </row>
    <row r="37" spans="1:17" ht="15.75">
      <c r="A37" s="2161"/>
      <c r="C37" s="105"/>
      <c r="D37" s="1159" t="s">
        <v>3050</v>
      </c>
      <c r="E37" s="1159"/>
      <c r="F37" s="1119"/>
      <c r="G37" s="1119"/>
      <c r="H37" s="1157"/>
      <c r="I37" s="1157"/>
      <c r="J37" s="1157"/>
      <c r="K37" s="260"/>
      <c r="L37" s="260"/>
      <c r="M37" s="1158"/>
      <c r="N37" s="1159"/>
      <c r="O37" s="765">
        <v>0</v>
      </c>
    </row>
    <row r="38" spans="1:17" ht="15.75">
      <c r="A38" s="2161"/>
      <c r="C38" s="105"/>
      <c r="D38" s="1163" t="s">
        <v>1251</v>
      </c>
      <c r="E38" s="1159" t="s">
        <v>6343</v>
      </c>
      <c r="F38" s="717"/>
      <c r="G38" s="717"/>
      <c r="H38" s="1157"/>
      <c r="I38" s="1157"/>
      <c r="J38" s="1157"/>
      <c r="K38" s="260"/>
      <c r="L38" s="1161" t="s">
        <v>3306</v>
      </c>
      <c r="M38" s="1158"/>
      <c r="N38" s="1159" t="s">
        <v>3300</v>
      </c>
      <c r="O38" s="765">
        <v>0</v>
      </c>
    </row>
    <row r="39" spans="1:17" ht="15.75">
      <c r="A39" s="2161"/>
      <c r="C39" s="105"/>
      <c r="D39" s="1163" t="s">
        <v>1251</v>
      </c>
      <c r="E39" s="1159" t="s">
        <v>233</v>
      </c>
      <c r="F39" s="1119"/>
      <c r="G39" s="1119"/>
      <c r="H39" s="1157"/>
      <c r="I39" s="1157"/>
      <c r="J39" s="1157"/>
      <c r="K39" s="260"/>
      <c r="L39" s="260"/>
      <c r="M39" s="1158"/>
      <c r="N39" s="1159"/>
      <c r="O39" s="765">
        <v>0</v>
      </c>
    </row>
    <row r="40" spans="1:17" ht="15.75">
      <c r="A40" s="2161"/>
      <c r="C40" s="107" t="s">
        <v>4758</v>
      </c>
      <c r="D40" s="1163"/>
      <c r="E40" s="1159"/>
      <c r="F40" s="1119"/>
      <c r="G40" s="1119"/>
      <c r="H40" s="1157"/>
      <c r="I40" s="1157"/>
      <c r="J40" s="1157"/>
      <c r="K40" s="260"/>
      <c r="L40" s="260"/>
      <c r="M40" s="1158"/>
      <c r="N40" s="1159"/>
      <c r="O40" s="765"/>
    </row>
    <row r="41" spans="1:17" ht="15.75">
      <c r="A41" s="2161"/>
      <c r="C41" s="105"/>
      <c r="D41" s="1119"/>
      <c r="E41" s="1119"/>
      <c r="F41" s="1119"/>
      <c r="G41" s="1119"/>
      <c r="H41" s="1157"/>
      <c r="I41" s="1157"/>
      <c r="J41" s="1157"/>
      <c r="K41" s="260"/>
      <c r="L41" s="260"/>
      <c r="M41" s="1158"/>
      <c r="N41" s="1159"/>
      <c r="O41" s="765">
        <v>0</v>
      </c>
    </row>
    <row r="42" spans="1:17" ht="15.75">
      <c r="A42" s="2161"/>
      <c r="B42" s="105"/>
      <c r="C42" s="106" t="s">
        <v>6073</v>
      </c>
      <c r="D42" s="1156"/>
      <c r="E42" s="1119"/>
      <c r="F42" s="1119"/>
      <c r="G42" s="1119"/>
      <c r="H42" s="1157"/>
      <c r="I42" s="1157"/>
      <c r="J42" s="1157"/>
      <c r="K42" s="260"/>
      <c r="L42" s="260"/>
      <c r="M42" s="1164">
        <f>IF((M47+M53+M59)&gt;=5000000,M47+M53+M59,5000000)</f>
        <v>236755715</v>
      </c>
      <c r="N42" s="1159" t="s">
        <v>3300</v>
      </c>
      <c r="O42" s="765">
        <f>IF($M$42=0,0,1)</f>
        <v>1</v>
      </c>
      <c r="P42" s="1235" t="s">
        <v>3244</v>
      </c>
      <c r="Q42" s="260" t="s">
        <v>5094</v>
      </c>
    </row>
    <row r="43" spans="1:17" ht="15.75">
      <c r="A43" s="2161"/>
      <c r="B43" s="105"/>
      <c r="C43" s="106" t="s">
        <v>2826</v>
      </c>
      <c r="D43" s="1156"/>
      <c r="E43" s="1119"/>
      <c r="F43" s="1119"/>
      <c r="G43" s="1119"/>
      <c r="H43" s="1157"/>
      <c r="I43" s="1157"/>
      <c r="J43" s="1157"/>
      <c r="K43" s="260"/>
      <c r="L43" s="260"/>
      <c r="M43" s="1158"/>
      <c r="N43" s="1159"/>
      <c r="O43" s="765">
        <f t="shared" ref="O43:O48" si="0">IF($M$47=0,0,1)</f>
        <v>1</v>
      </c>
    </row>
    <row r="44" spans="1:17" ht="18.75">
      <c r="A44" s="2161"/>
      <c r="B44" s="105"/>
      <c r="C44" s="107"/>
      <c r="D44" s="1156" t="s">
        <v>3076</v>
      </c>
      <c r="E44" s="1119"/>
      <c r="F44" s="1119"/>
      <c r="G44" s="1119"/>
      <c r="H44" s="1157"/>
      <c r="I44" s="1157"/>
      <c r="J44" s="1157"/>
      <c r="K44" s="260"/>
      <c r="L44" s="260" t="s">
        <v>3306</v>
      </c>
      <c r="M44" s="1158">
        <f>'II.1.ThopTA'!E5</f>
        <v>3381334818</v>
      </c>
      <c r="N44" s="1159" t="s">
        <v>3300</v>
      </c>
      <c r="O44" s="765">
        <f t="shared" si="0"/>
        <v>1</v>
      </c>
    </row>
    <row r="45" spans="1:17" ht="18.75">
      <c r="A45" s="2161"/>
      <c r="B45" s="105"/>
      <c r="C45" s="107"/>
      <c r="D45" s="1156" t="s">
        <v>6074</v>
      </c>
      <c r="E45" s="1119"/>
      <c r="F45" s="1119"/>
      <c r="G45" s="1119"/>
      <c r="H45" s="1157"/>
      <c r="I45" s="1157"/>
      <c r="J45" s="1157"/>
      <c r="K45" s="260"/>
      <c r="L45" s="260" t="s">
        <v>3306</v>
      </c>
      <c r="M45" s="1158">
        <f>'II.1.ThopTA'!E10</f>
        <v>200205172</v>
      </c>
      <c r="N45" s="1159" t="s">
        <v>3300</v>
      </c>
      <c r="O45" s="765">
        <f t="shared" si="0"/>
        <v>1</v>
      </c>
    </row>
    <row r="46" spans="1:17" ht="15.75">
      <c r="A46" s="2161"/>
      <c r="B46" s="105"/>
      <c r="C46" s="107"/>
      <c r="D46" s="1156" t="s">
        <v>6398</v>
      </c>
      <c r="E46" s="1119"/>
      <c r="F46" s="1119"/>
      <c r="G46" s="1119"/>
      <c r="H46" s="1157"/>
      <c r="I46" s="1157"/>
      <c r="J46" s="1157"/>
      <c r="K46" s="260"/>
      <c r="L46" s="260"/>
      <c r="M46" s="1158"/>
      <c r="N46" s="1159"/>
      <c r="O46" s="765">
        <f t="shared" si="0"/>
        <v>1</v>
      </c>
    </row>
    <row r="47" spans="1:17" ht="15.75">
      <c r="A47" s="2161"/>
      <c r="B47" s="105"/>
      <c r="C47" s="107"/>
      <c r="D47" s="260"/>
      <c r="E47" s="1156" t="str">
        <f>P47&amp;"% x (GXD + GTB) x 1.1"</f>
        <v>4,48% x (GXD + GTB) x 1.1</v>
      </c>
      <c r="F47" s="1156"/>
      <c r="G47" s="1119"/>
      <c r="H47" s="1157"/>
      <c r="I47" s="1157"/>
      <c r="J47" s="1157"/>
      <c r="K47" s="260"/>
      <c r="L47" s="260" t="s">
        <v>3306</v>
      </c>
      <c r="M47" s="1162">
        <f>ROUND((M44+M45)*P47%*1.1,0)</f>
        <v>176498291</v>
      </c>
      <c r="N47" s="1159" t="s">
        <v>3300</v>
      </c>
      <c r="O47" s="765">
        <f t="shared" si="0"/>
        <v>1</v>
      </c>
      <c r="P47" s="922">
        <f>'Noi suy'!G58</f>
        <v>4.4800000000000004</v>
      </c>
      <c r="Q47" s="260" t="s">
        <v>1516</v>
      </c>
    </row>
    <row r="48" spans="1:17" ht="5.25" customHeight="1">
      <c r="A48" s="2161"/>
      <c r="B48" s="105"/>
      <c r="C48" s="107"/>
      <c r="D48" s="1156"/>
      <c r="E48" s="1119"/>
      <c r="F48" s="1119"/>
      <c r="G48" s="1119"/>
      <c r="H48" s="1157"/>
      <c r="I48" s="1157"/>
      <c r="J48" s="1157"/>
      <c r="K48" s="260"/>
      <c r="L48" s="260"/>
      <c r="M48" s="1158"/>
      <c r="N48" s="1159"/>
      <c r="O48" s="765">
        <f t="shared" si="0"/>
        <v>1</v>
      </c>
    </row>
    <row r="49" spans="1:17" ht="15.75">
      <c r="A49" s="2161"/>
      <c r="B49" s="105"/>
      <c r="C49" s="106" t="s">
        <v>2827</v>
      </c>
      <c r="D49" s="1156"/>
      <c r="E49" s="1119"/>
      <c r="F49" s="1119"/>
      <c r="G49" s="1119"/>
      <c r="H49" s="1157"/>
      <c r="I49" s="1157"/>
      <c r="J49" s="1157"/>
      <c r="K49" s="260"/>
      <c r="L49" s="260"/>
      <c r="M49" s="1158"/>
      <c r="N49" s="1159"/>
      <c r="O49" s="765">
        <f t="shared" ref="O49:O54" si="1">IF($M$53=0,0,1)</f>
        <v>1</v>
      </c>
    </row>
    <row r="50" spans="1:17" ht="18.75">
      <c r="A50" s="2161"/>
      <c r="B50" s="105"/>
      <c r="C50" s="107"/>
      <c r="D50" s="1156" t="s">
        <v>5117</v>
      </c>
      <c r="E50" s="1119"/>
      <c r="F50" s="1119"/>
      <c r="G50" s="1119"/>
      <c r="H50" s="1157"/>
      <c r="I50" s="1157"/>
      <c r="J50" s="1157"/>
      <c r="K50" s="260"/>
      <c r="L50" s="260" t="s">
        <v>3306</v>
      </c>
      <c r="M50" s="1158">
        <f>'II.2.ThopHA'!E5</f>
        <v>974281905</v>
      </c>
      <c r="N50" s="1159" t="s">
        <v>3300</v>
      </c>
      <c r="O50" s="765">
        <f t="shared" si="1"/>
        <v>1</v>
      </c>
    </row>
    <row r="51" spans="1:17" ht="18.75">
      <c r="A51" s="2161"/>
      <c r="B51" s="105"/>
      <c r="C51" s="107"/>
      <c r="D51" s="1156" t="s">
        <v>3116</v>
      </c>
      <c r="E51" s="1119"/>
      <c r="F51" s="1119"/>
      <c r="G51" s="1119"/>
      <c r="H51" s="1157"/>
      <c r="I51" s="1157"/>
      <c r="J51" s="1157"/>
      <c r="K51" s="260"/>
      <c r="L51" s="260" t="s">
        <v>3306</v>
      </c>
      <c r="M51" s="1158"/>
      <c r="N51" s="1159" t="s">
        <v>3300</v>
      </c>
      <c r="O51" s="765">
        <f t="shared" si="1"/>
        <v>1</v>
      </c>
    </row>
    <row r="52" spans="1:17" ht="15.75">
      <c r="A52" s="2161"/>
      <c r="B52" s="105"/>
      <c r="C52" s="107"/>
      <c r="D52" s="1156" t="s">
        <v>6398</v>
      </c>
      <c r="E52" s="1119"/>
      <c r="F52" s="1119"/>
      <c r="G52" s="1119"/>
      <c r="H52" s="1157"/>
      <c r="I52" s="1157"/>
      <c r="J52" s="1157"/>
      <c r="K52" s="260"/>
      <c r="L52" s="260"/>
      <c r="M52" s="1158"/>
      <c r="N52" s="1159"/>
      <c r="O52" s="765">
        <f t="shared" si="1"/>
        <v>1</v>
      </c>
    </row>
    <row r="53" spans="1:17" ht="15.75">
      <c r="A53" s="2161"/>
      <c r="B53" s="105"/>
      <c r="C53" s="107"/>
      <c r="D53" s="260"/>
      <c r="E53" s="1156" t="str">
        <f>P53&amp;"% x (GXD + GTB) x 1.1"</f>
        <v>4,48% x (GXD + GTB) x 1.1</v>
      </c>
      <c r="F53" s="1156"/>
      <c r="G53" s="1119"/>
      <c r="H53" s="1157"/>
      <c r="I53" s="1157"/>
      <c r="J53" s="1157"/>
      <c r="K53" s="260"/>
      <c r="L53" s="260" t="s">
        <v>3306</v>
      </c>
      <c r="M53" s="1162">
        <f>ROUND((M50+M51)*P53%*1.1,0)</f>
        <v>48012612</v>
      </c>
      <c r="N53" s="1159" t="s">
        <v>3300</v>
      </c>
      <c r="O53" s="765">
        <f t="shared" si="1"/>
        <v>1</v>
      </c>
      <c r="P53" s="922">
        <f>P47</f>
        <v>4.4800000000000004</v>
      </c>
      <c r="Q53" s="260" t="s">
        <v>1516</v>
      </c>
    </row>
    <row r="54" spans="1:17" ht="4.5" customHeight="1">
      <c r="A54" s="2161"/>
      <c r="C54" s="107"/>
      <c r="D54" s="1156"/>
      <c r="E54" s="1119"/>
      <c r="F54" s="1119"/>
      <c r="G54" s="1119"/>
      <c r="H54" s="1157"/>
      <c r="I54" s="1157"/>
      <c r="J54" s="1157"/>
      <c r="K54" s="260"/>
      <c r="L54" s="260"/>
      <c r="M54" s="1165"/>
      <c r="N54" s="1159"/>
      <c r="O54" s="765">
        <f t="shared" si="1"/>
        <v>1</v>
      </c>
    </row>
    <row r="55" spans="1:17" ht="15.75">
      <c r="A55" s="2161"/>
      <c r="C55" s="106" t="s">
        <v>2883</v>
      </c>
      <c r="D55" s="260"/>
      <c r="E55" s="260"/>
      <c r="F55" s="260"/>
      <c r="G55" s="260"/>
      <c r="H55" s="260"/>
      <c r="I55" s="260"/>
      <c r="J55" s="260"/>
      <c r="K55" s="260"/>
      <c r="L55" s="260"/>
      <c r="M55" s="1158"/>
      <c r="N55" s="1159"/>
      <c r="O55" s="765">
        <f>IF($M$59=0,0,1)</f>
        <v>1</v>
      </c>
    </row>
    <row r="56" spans="1:17" ht="18.75">
      <c r="A56" s="2161"/>
      <c r="B56" s="105"/>
      <c r="C56" s="107"/>
      <c r="D56" s="1156" t="s">
        <v>3318</v>
      </c>
      <c r="E56" s="1119"/>
      <c r="F56" s="1119"/>
      <c r="G56" s="1119"/>
      <c r="H56" s="1157"/>
      <c r="I56" s="1157"/>
      <c r="J56" s="1157"/>
      <c r="K56" s="260"/>
      <c r="L56" s="260" t="s">
        <v>3306</v>
      </c>
      <c r="M56" s="1158">
        <f>'II.3.ThopTRAM'!E5</f>
        <v>50565660</v>
      </c>
      <c r="N56" s="1159" t="s">
        <v>3300</v>
      </c>
      <c r="O56" s="765">
        <f>IF($M$59=0,0,1)</f>
        <v>1</v>
      </c>
    </row>
    <row r="57" spans="1:17" ht="18.75">
      <c r="A57" s="2161"/>
      <c r="B57" s="105"/>
      <c r="C57" s="107"/>
      <c r="D57" s="1156" t="s">
        <v>4218</v>
      </c>
      <c r="E57" s="1119"/>
      <c r="F57" s="1119"/>
      <c r="G57" s="1119"/>
      <c r="H57" s="1157"/>
      <c r="I57" s="1157"/>
      <c r="J57" s="1157"/>
      <c r="K57" s="260"/>
      <c r="L57" s="260" t="s">
        <v>3306</v>
      </c>
      <c r="M57" s="1158">
        <f>'II.3.ThopTRAM'!E10</f>
        <v>197908603</v>
      </c>
      <c r="N57" s="1159" t="s">
        <v>3300</v>
      </c>
      <c r="O57" s="765">
        <f>IF($M$59=0,0,1)</f>
        <v>1</v>
      </c>
    </row>
    <row r="58" spans="1:17" ht="15.75">
      <c r="A58" s="2161"/>
      <c r="B58" s="105"/>
      <c r="C58" s="107"/>
      <c r="D58" s="1156" t="s">
        <v>6398</v>
      </c>
      <c r="E58" s="1119"/>
      <c r="F58" s="1119"/>
      <c r="G58" s="1119"/>
      <c r="H58" s="1157"/>
      <c r="I58" s="1157"/>
      <c r="J58" s="1157"/>
      <c r="K58" s="260"/>
      <c r="L58" s="260"/>
      <c r="M58" s="1158"/>
      <c r="N58" s="1159"/>
      <c r="O58" s="765">
        <f>IF($M$59=0,0,1)</f>
        <v>1</v>
      </c>
    </row>
    <row r="59" spans="1:17" ht="15.75">
      <c r="A59" s="2161"/>
      <c r="B59" s="105"/>
      <c r="C59" s="107"/>
      <c r="D59" s="260"/>
      <c r="E59" s="1156" t="str">
        <f>P59&amp;"% x (GXD + GTB) x 1.1"</f>
        <v>4,48% x (GXD + GTB) x 1.1</v>
      </c>
      <c r="F59" s="1156"/>
      <c r="G59" s="1119"/>
      <c r="H59" s="1157"/>
      <c r="I59" s="1157"/>
      <c r="J59" s="1157"/>
      <c r="K59" s="260"/>
      <c r="L59" s="260" t="s">
        <v>3306</v>
      </c>
      <c r="M59" s="1162">
        <f>ROUND((M56+M57)*P59%*1.1,0)</f>
        <v>12244812</v>
      </c>
      <c r="N59" s="1159" t="s">
        <v>3300</v>
      </c>
      <c r="O59" s="765">
        <f>IF($M$59=0,0,1)</f>
        <v>1</v>
      </c>
      <c r="P59" s="922">
        <f>P47</f>
        <v>4.4800000000000004</v>
      </c>
      <c r="Q59" s="260" t="s">
        <v>1516</v>
      </c>
    </row>
    <row r="60" spans="1:17" ht="15.75">
      <c r="A60" s="2161"/>
      <c r="C60" s="106"/>
      <c r="O60" s="765">
        <f>IF($M$61=0,0,1)</f>
        <v>1</v>
      </c>
    </row>
    <row r="61" spans="1:17">
      <c r="A61" s="2161"/>
      <c r="C61" s="2160" t="s">
        <v>2784</v>
      </c>
      <c r="D61" s="2160"/>
      <c r="E61" s="2160"/>
      <c r="F61" s="2160"/>
      <c r="G61" s="2160"/>
      <c r="H61" s="2160"/>
      <c r="I61" s="2160"/>
      <c r="J61" s="2160"/>
      <c r="K61" s="2160"/>
      <c r="M61" s="555">
        <f>M5+M42</f>
        <v>321388109.67760003</v>
      </c>
      <c r="N61" s="121" t="s">
        <v>3300</v>
      </c>
      <c r="O61" s="765">
        <f>IF($M$61=0,0,1)</f>
        <v>1</v>
      </c>
    </row>
  </sheetData>
  <sheetProtection autoFilter="0"/>
  <protectedRanges>
    <protectedRange sqref="O1:O65536" name="Range1"/>
  </protectedRanges>
  <autoFilter ref="B1:R61" xr:uid="{00000000-0009-0000-0000-000027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4">
    <mergeCell ref="B2:N2"/>
    <mergeCell ref="C61:K61"/>
    <mergeCell ref="A1:A61"/>
    <mergeCell ref="B1:N1"/>
  </mergeCells>
  <phoneticPr fontId="0" type="noConversion"/>
  <printOptions horizontalCentered="1"/>
  <pageMargins left="0.51181102362204722" right="0.19685039370078741" top="0.59055118110236227" bottom="0.39370078740157483" header="0.19685039370078741" footer="0.19685039370078741"/>
  <pageSetup paperSize="9" scale="98" firstPageNumber="32" orientation="portrait" blackAndWhite="1" useFirstPageNumber="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9" filterMode="1">
    <tabColor indexed="32"/>
  </sheetPr>
  <dimension ref="A1:IV1997"/>
  <sheetViews>
    <sheetView showGridLines="0" view="pageLayout" topLeftCell="A505" zoomScaleNormal="100" zoomScaleSheetLayoutView="100" workbookViewId="0">
      <selection activeCell="BC493" sqref="BC493"/>
    </sheetView>
  </sheetViews>
  <sheetFormatPr defaultColWidth="0" defaultRowHeight="18" customHeight="1" zeroHeight="1"/>
  <cols>
    <col min="1" max="1" width="20.5" style="721" customWidth="1"/>
    <col min="2" max="53" width="1.83203125" style="102" customWidth="1"/>
    <col min="54" max="54" width="1.6640625" style="102" customWidth="1"/>
    <col min="55" max="55" width="8.83203125" style="100" customWidth="1"/>
    <col min="56" max="56" width="0" style="102" hidden="1" customWidth="1"/>
    <col min="57" max="57" width="15" style="102" hidden="1" customWidth="1"/>
    <col min="58" max="58" width="15.83203125" style="102" hidden="1" customWidth="1"/>
    <col min="59" max="60" width="14.6640625" style="102" hidden="1" customWidth="1"/>
    <col min="61" max="61" width="2.5" style="102" hidden="1" customWidth="1"/>
    <col min="62" max="62" width="18.83203125" style="102" hidden="1" customWidth="1"/>
    <col min="63" max="108" width="0" style="102" hidden="1"/>
    <col min="109" max="109" width="15.83203125" style="102" hidden="1" customWidth="1"/>
    <col min="110" max="110" width="4.5" style="102" hidden="1" customWidth="1"/>
    <col min="111" max="112" width="15.83203125" style="102" hidden="1" customWidth="1"/>
    <col min="113" max="114" width="18.83203125" style="102" hidden="1" customWidth="1"/>
    <col min="115" max="16384" width="0" style="102" hidden="1"/>
  </cols>
  <sheetData>
    <row r="1" spans="2:55" ht="18" customHeight="1">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4"/>
    </row>
    <row r="2" spans="2:55" ht="18" hidden="1" customHeight="1">
      <c r="B2" s="2030" t="s">
        <v>205</v>
      </c>
      <c r="C2" s="2030"/>
      <c r="D2" s="2030"/>
      <c r="E2" s="2030"/>
      <c r="F2" s="2030"/>
      <c r="G2" s="2030"/>
      <c r="H2" s="2030"/>
      <c r="I2" s="2030"/>
      <c r="J2" s="2030"/>
      <c r="K2" s="2030"/>
      <c r="L2" s="2030"/>
      <c r="M2" s="2030"/>
      <c r="N2" s="2030"/>
      <c r="O2" s="2030"/>
      <c r="P2" s="2030"/>
      <c r="Q2" s="2030"/>
      <c r="R2" s="2030"/>
      <c r="S2" s="2030"/>
      <c r="T2" s="2030"/>
      <c r="U2" s="2030"/>
      <c r="V2" s="2030"/>
      <c r="W2" s="2030"/>
      <c r="X2" s="2030"/>
      <c r="Y2" s="2030"/>
      <c r="Z2" s="2030"/>
      <c r="AA2" s="2030"/>
      <c r="AB2" s="2030"/>
      <c r="AC2" s="2030"/>
      <c r="AD2" s="2030"/>
      <c r="AE2" s="2030"/>
      <c r="AF2" s="2030"/>
      <c r="AG2" s="2030"/>
      <c r="AH2" s="2030"/>
      <c r="AI2" s="2030"/>
      <c r="AJ2" s="2030"/>
      <c r="AK2" s="2030"/>
      <c r="AL2" s="2030"/>
      <c r="AM2" s="2030"/>
      <c r="AN2" s="2030"/>
      <c r="AO2" s="2030"/>
      <c r="AP2" s="2030"/>
      <c r="AQ2" s="2030"/>
      <c r="AR2" s="2030"/>
      <c r="AS2" s="2030"/>
      <c r="AT2" s="2030"/>
      <c r="AU2" s="2030"/>
      <c r="AV2" s="2030"/>
      <c r="AW2" s="2030"/>
      <c r="AX2" s="2030"/>
      <c r="AY2" s="2030"/>
      <c r="AZ2" s="2030"/>
      <c r="BA2" s="2030"/>
      <c r="BB2" s="2030"/>
      <c r="BC2" s="724" t="s">
        <v>637</v>
      </c>
    </row>
    <row r="3" spans="2:55" ht="18" hidden="1" customHeight="1">
      <c r="B3" s="2030" t="s">
        <v>206</v>
      </c>
      <c r="C3" s="2030"/>
      <c r="D3" s="2030"/>
      <c r="E3" s="2030"/>
      <c r="F3" s="2030"/>
      <c r="G3" s="2030"/>
      <c r="H3" s="2030"/>
      <c r="I3" s="2030"/>
      <c r="J3" s="2030"/>
      <c r="K3" s="2030"/>
      <c r="L3" s="2030"/>
      <c r="M3" s="2030"/>
      <c r="N3" s="2030"/>
      <c r="O3" s="2030"/>
      <c r="P3" s="2030"/>
      <c r="Q3" s="2030"/>
      <c r="R3" s="2030"/>
      <c r="S3" s="2030"/>
      <c r="T3" s="2030"/>
      <c r="U3" s="2030"/>
      <c r="V3" s="2030"/>
      <c r="W3" s="2030"/>
      <c r="X3" s="2030"/>
      <c r="Y3" s="2030"/>
      <c r="Z3" s="2030"/>
      <c r="AA3" s="2030"/>
      <c r="AB3" s="2030"/>
      <c r="AC3" s="2030"/>
      <c r="AD3" s="2030"/>
      <c r="AE3" s="2030"/>
      <c r="AF3" s="2030"/>
      <c r="AG3" s="2030"/>
      <c r="AH3" s="2030"/>
      <c r="AI3" s="2030"/>
      <c r="AJ3" s="2030"/>
      <c r="AK3" s="2030"/>
      <c r="AL3" s="2030"/>
      <c r="AM3" s="2030"/>
      <c r="AN3" s="2030"/>
      <c r="AO3" s="2030"/>
      <c r="AP3" s="2030"/>
      <c r="AQ3" s="2030"/>
      <c r="AR3" s="2030"/>
      <c r="AS3" s="2030"/>
      <c r="AT3" s="2030"/>
      <c r="AU3" s="2030"/>
      <c r="AV3" s="2030"/>
      <c r="AW3" s="2030"/>
      <c r="AX3" s="2030"/>
      <c r="AY3" s="2030"/>
      <c r="AZ3" s="2030"/>
      <c r="BA3" s="2030"/>
      <c r="BB3" s="2030"/>
      <c r="BC3" s="724" t="s">
        <v>637</v>
      </c>
    </row>
    <row r="4" spans="2:55" ht="18" hidden="1" customHeight="1">
      <c r="B4" s="2002" t="s">
        <v>638</v>
      </c>
      <c r="C4" s="2176"/>
      <c r="D4" s="2176"/>
      <c r="E4" s="2176"/>
      <c r="F4" s="2176"/>
      <c r="G4" s="2176"/>
      <c r="H4" s="2176"/>
      <c r="I4" s="2176"/>
      <c r="J4" s="2176"/>
      <c r="K4" s="2176"/>
      <c r="L4" s="2176"/>
      <c r="M4" s="2176"/>
      <c r="N4" s="2176"/>
      <c r="O4" s="2176"/>
      <c r="P4" s="2176"/>
      <c r="Q4" s="2176"/>
      <c r="R4" s="2176"/>
      <c r="S4" s="2176"/>
      <c r="T4" s="2176"/>
      <c r="U4" s="2176"/>
      <c r="V4" s="2176"/>
      <c r="W4" s="2176"/>
      <c r="X4" s="2176"/>
      <c r="Y4" s="2176"/>
      <c r="Z4" s="2176"/>
      <c r="AA4" s="2176"/>
      <c r="AB4" s="2176"/>
      <c r="AC4" s="2176"/>
      <c r="AD4" s="2176"/>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6"/>
      <c r="BC4" s="724" t="s">
        <v>637</v>
      </c>
    </row>
    <row r="5" spans="2:55" ht="18" hidden="1" customHeight="1">
      <c r="B5" s="2005" t="str">
        <f>IF(NL!U8="","Chưa nhập ngày","Hậu Giang, ngày "&amp;TEXT(NL!U8,"dd")&amp;" tháng "&amp;TEXT(NL!U8,"mm")&amp;" năm "&amp;TEXT(NL!U8,"yyyy"))</f>
        <v>Hậu Giang, ngày 11 tháng 01 năm 2017</v>
      </c>
      <c r="C5" s="2005"/>
      <c r="D5" s="2005"/>
      <c r="E5" s="2005"/>
      <c r="F5" s="2005"/>
      <c r="G5" s="2005"/>
      <c r="H5" s="2005"/>
      <c r="I5" s="2005"/>
      <c r="J5" s="2005"/>
      <c r="K5" s="2005"/>
      <c r="L5" s="2005"/>
      <c r="M5" s="2005"/>
      <c r="N5" s="2005"/>
      <c r="O5" s="2005"/>
      <c r="P5" s="2005"/>
      <c r="Q5" s="2005"/>
      <c r="R5" s="2005"/>
      <c r="S5" s="2005"/>
      <c r="T5" s="2005"/>
      <c r="U5" s="2005"/>
      <c r="V5" s="2005"/>
      <c r="W5" s="2005"/>
      <c r="X5" s="2005"/>
      <c r="Y5" s="2005"/>
      <c r="Z5" s="2005"/>
      <c r="AA5" s="2005"/>
      <c r="AB5" s="2005"/>
      <c r="AC5" s="2005"/>
      <c r="AD5" s="2005"/>
      <c r="AE5" s="2005"/>
      <c r="AF5" s="2005"/>
      <c r="AG5" s="2005"/>
      <c r="AH5" s="2005"/>
      <c r="AI5" s="2005"/>
      <c r="AJ5" s="2005"/>
      <c r="AK5" s="2005"/>
      <c r="AL5" s="2005"/>
      <c r="AM5" s="2005"/>
      <c r="AN5" s="2005"/>
      <c r="AO5" s="2005"/>
      <c r="AP5" s="2005"/>
      <c r="AQ5" s="2005"/>
      <c r="AR5" s="2005"/>
      <c r="AS5" s="2005"/>
      <c r="AT5" s="2005"/>
      <c r="AU5" s="2005"/>
      <c r="AV5" s="2005"/>
      <c r="AW5" s="2005"/>
      <c r="AX5" s="2005"/>
      <c r="AY5" s="2005"/>
      <c r="AZ5" s="2005"/>
      <c r="BA5" s="2005"/>
      <c r="BB5" s="2005"/>
      <c r="BC5" s="724" t="s">
        <v>637</v>
      </c>
    </row>
    <row r="6" spans="2:55" ht="15.75" hidden="1">
      <c r="B6" s="2002"/>
      <c r="C6" s="2002"/>
      <c r="D6" s="2002"/>
      <c r="E6" s="2002"/>
      <c r="F6" s="2002"/>
      <c r="G6" s="2002"/>
      <c r="H6" s="2002"/>
      <c r="I6" s="2002"/>
      <c r="J6" s="2002"/>
      <c r="K6" s="2002"/>
      <c r="L6" s="2002"/>
      <c r="M6" s="2002"/>
      <c r="N6" s="2002"/>
      <c r="O6" s="2002"/>
      <c r="P6" s="2002"/>
      <c r="Q6" s="2002"/>
      <c r="R6" s="2002"/>
      <c r="S6" s="2002"/>
      <c r="T6" s="2002"/>
      <c r="U6" s="2002"/>
      <c r="V6" s="2002"/>
      <c r="W6" s="2002"/>
      <c r="X6" s="2002"/>
      <c r="Y6" s="2002"/>
      <c r="Z6" s="2002"/>
      <c r="AA6" s="2002"/>
      <c r="AB6" s="2002"/>
      <c r="AC6" s="2002"/>
      <c r="AD6" s="2002"/>
      <c r="AE6" s="2002"/>
      <c r="AF6" s="2002"/>
      <c r="AG6" s="2002"/>
      <c r="AH6" s="2002"/>
      <c r="AI6" s="2002"/>
      <c r="AJ6" s="2002"/>
      <c r="AK6" s="2002"/>
      <c r="AL6" s="2002"/>
      <c r="AM6" s="2002"/>
      <c r="AN6" s="2002"/>
      <c r="AO6" s="2002"/>
      <c r="AP6" s="2002"/>
      <c r="AQ6" s="2002"/>
      <c r="AR6" s="2002"/>
      <c r="AS6" s="2002"/>
      <c r="AT6" s="2002"/>
      <c r="AU6" s="2002"/>
      <c r="AV6" s="2002"/>
      <c r="AW6" s="2002"/>
      <c r="AX6" s="2002"/>
      <c r="AY6" s="2002"/>
      <c r="AZ6" s="2002"/>
      <c r="BA6" s="2002"/>
      <c r="BB6" s="2002"/>
      <c r="BC6" s="724" t="s">
        <v>637</v>
      </c>
    </row>
    <row r="7" spans="2:55" ht="22.5" hidden="1">
      <c r="B7" s="2198" t="s">
        <v>3188</v>
      </c>
      <c r="C7" s="2198"/>
      <c r="D7" s="2198"/>
      <c r="E7" s="2198"/>
      <c r="F7" s="2198"/>
      <c r="G7" s="2198"/>
      <c r="H7" s="2198"/>
      <c r="I7" s="2198"/>
      <c r="J7" s="2198"/>
      <c r="K7" s="2198"/>
      <c r="L7" s="2198"/>
      <c r="M7" s="2198"/>
      <c r="N7" s="2198"/>
      <c r="O7" s="2198"/>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724" t="s">
        <v>637</v>
      </c>
    </row>
    <row r="8" spans="2:55" ht="15.75" hidden="1">
      <c r="B8" s="2002" t="str">
        <f>"Số: "&amp;NL!U2&amp;"/HĐKSTK-PCHG"</f>
        <v>Số: 01/HĐKSTK-PCHG</v>
      </c>
      <c r="C8" s="2002"/>
      <c r="D8" s="2002"/>
      <c r="E8" s="2002"/>
      <c r="F8" s="2002"/>
      <c r="G8" s="2002"/>
      <c r="H8" s="2002"/>
      <c r="I8" s="2002"/>
      <c r="J8" s="2002"/>
      <c r="K8" s="2002"/>
      <c r="L8" s="2002"/>
      <c r="M8" s="2002"/>
      <c r="N8" s="2002"/>
      <c r="O8" s="2002"/>
      <c r="P8" s="2002"/>
      <c r="Q8" s="2002"/>
      <c r="R8" s="2002"/>
      <c r="S8" s="2002"/>
      <c r="T8" s="2002"/>
      <c r="U8" s="2002"/>
      <c r="V8" s="2002"/>
      <c r="W8" s="2002"/>
      <c r="X8" s="2002"/>
      <c r="Y8" s="2002"/>
      <c r="Z8" s="2002"/>
      <c r="AA8" s="2002"/>
      <c r="AB8" s="2002"/>
      <c r="AC8" s="2002"/>
      <c r="AD8" s="2002"/>
      <c r="AE8" s="2002"/>
      <c r="AF8" s="2002"/>
      <c r="AG8" s="2002"/>
      <c r="AH8" s="2002"/>
      <c r="AI8" s="2002"/>
      <c r="AJ8" s="2002"/>
      <c r="AK8" s="2002"/>
      <c r="AL8" s="2002"/>
      <c r="AM8" s="2002"/>
      <c r="AN8" s="2002"/>
      <c r="AO8" s="2002"/>
      <c r="AP8" s="2002"/>
      <c r="AQ8" s="2002"/>
      <c r="AR8" s="2002"/>
      <c r="AS8" s="2002"/>
      <c r="AT8" s="2002"/>
      <c r="AU8" s="2002"/>
      <c r="AV8" s="2002"/>
      <c r="AW8" s="2002"/>
      <c r="AX8" s="2002"/>
      <c r="AY8" s="2002"/>
      <c r="AZ8" s="2002"/>
      <c r="BA8" s="2002"/>
      <c r="BB8" s="2002"/>
      <c r="BC8" s="724" t="s">
        <v>637</v>
      </c>
    </row>
    <row r="9" spans="2:55" ht="15.75" hidden="1">
      <c r="B9" s="91"/>
      <c r="C9" s="2186" t="s">
        <v>3097</v>
      </c>
      <c r="D9" s="2186"/>
      <c r="E9" s="2186"/>
      <c r="F9" s="2186"/>
      <c r="G9" s="2186"/>
      <c r="H9" s="2186"/>
      <c r="I9" s="2186"/>
      <c r="J9" s="2186"/>
      <c r="K9" s="2186"/>
      <c r="L9" s="2186"/>
      <c r="M9" s="2186"/>
      <c r="N9" s="2186"/>
      <c r="O9" s="2186"/>
      <c r="P9" s="2186"/>
      <c r="Q9" s="2186"/>
      <c r="R9" s="2186"/>
      <c r="S9" s="2186"/>
      <c r="T9" s="2186"/>
      <c r="U9" s="2186"/>
      <c r="V9" s="2186"/>
      <c r="W9" s="2186"/>
      <c r="X9" s="2186"/>
      <c r="Y9" s="2186"/>
      <c r="Z9" s="2186"/>
      <c r="AA9" s="2186"/>
      <c r="AB9" s="2186"/>
      <c r="AC9" s="2186"/>
      <c r="AD9" s="2186"/>
      <c r="AE9" s="2186"/>
      <c r="AF9" s="2186"/>
      <c r="AG9" s="2186"/>
      <c r="AH9" s="2186"/>
      <c r="AI9" s="2186"/>
      <c r="AJ9" s="2186"/>
      <c r="AK9" s="2186"/>
      <c r="AL9" s="2186"/>
      <c r="AM9" s="2186"/>
      <c r="AN9" s="2186"/>
      <c r="AO9" s="2186"/>
      <c r="AP9" s="2186"/>
      <c r="AQ9" s="2186"/>
      <c r="AR9" s="2186"/>
      <c r="AS9" s="2186"/>
      <c r="AT9" s="2186"/>
      <c r="AU9" s="2186"/>
      <c r="AV9" s="2186"/>
      <c r="AW9" s="2186"/>
      <c r="AX9" s="2186"/>
      <c r="AY9" s="2186"/>
      <c r="AZ9" s="2186"/>
      <c r="BA9" s="2186"/>
      <c r="BB9" s="2186"/>
      <c r="BC9" s="724" t="s">
        <v>637</v>
      </c>
    </row>
    <row r="10" spans="2:55" ht="9.9499999999999993" hidden="1" customHeight="1">
      <c r="B10" s="2002"/>
      <c r="C10" s="2002"/>
      <c r="D10" s="2002"/>
      <c r="E10" s="2002"/>
      <c r="F10" s="2002"/>
      <c r="G10" s="2002"/>
      <c r="H10" s="2002"/>
      <c r="I10" s="2002"/>
      <c r="J10" s="2002"/>
      <c r="K10" s="2002"/>
      <c r="L10" s="2002"/>
      <c r="M10" s="2002"/>
      <c r="N10" s="2002"/>
      <c r="O10" s="2002"/>
      <c r="P10" s="2002"/>
      <c r="Q10" s="2002"/>
      <c r="R10" s="2002"/>
      <c r="S10" s="2002"/>
      <c r="T10" s="2002"/>
      <c r="U10" s="2002"/>
      <c r="V10" s="2002"/>
      <c r="W10" s="2002"/>
      <c r="X10" s="2002"/>
      <c r="Y10" s="2002"/>
      <c r="Z10" s="2002"/>
      <c r="AA10" s="2002"/>
      <c r="AB10" s="2002"/>
      <c r="AC10" s="2002"/>
      <c r="AD10" s="2002"/>
      <c r="AE10" s="2002"/>
      <c r="AF10" s="2002"/>
      <c r="AG10" s="2002"/>
      <c r="AH10" s="2002"/>
      <c r="AI10" s="2002"/>
      <c r="AJ10" s="2002"/>
      <c r="AK10" s="2002"/>
      <c r="AL10" s="2002"/>
      <c r="AM10" s="2002"/>
      <c r="AN10" s="2002"/>
      <c r="AO10" s="2002"/>
      <c r="AP10" s="2002"/>
      <c r="AQ10" s="2002"/>
      <c r="AR10" s="2002"/>
      <c r="AS10" s="2002"/>
      <c r="AT10" s="2002"/>
      <c r="AU10" s="2002"/>
      <c r="AV10" s="2002"/>
      <c r="AW10" s="2002"/>
      <c r="AX10" s="2002"/>
      <c r="AY10" s="2002"/>
      <c r="AZ10" s="2002"/>
      <c r="BA10" s="2002"/>
      <c r="BB10" s="2002"/>
      <c r="BC10" s="724" t="s">
        <v>637</v>
      </c>
    </row>
    <row r="11" spans="2:55" ht="15.95" hidden="1" customHeight="1">
      <c r="C11" s="2190" t="s">
        <v>3189</v>
      </c>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2190"/>
      <c r="Z11" s="2190"/>
      <c r="AA11" s="2190"/>
      <c r="AB11" s="2190"/>
      <c r="AC11" s="2190"/>
      <c r="AD11" s="2190"/>
      <c r="AE11" s="2190"/>
      <c r="AF11" s="2190"/>
      <c r="AG11" s="2190"/>
      <c r="AH11" s="2190"/>
      <c r="AI11" s="2190"/>
      <c r="AJ11" s="2190"/>
      <c r="AK11" s="2190"/>
      <c r="AL11" s="2190"/>
      <c r="AM11" s="2190"/>
      <c r="AN11" s="2190"/>
      <c r="AO11" s="2190"/>
      <c r="AP11" s="2190"/>
      <c r="AQ11" s="2190"/>
      <c r="AR11" s="2190"/>
      <c r="AS11" s="2190"/>
      <c r="AT11" s="2190"/>
      <c r="AU11" s="2190"/>
      <c r="AV11" s="2190"/>
      <c r="AW11" s="2190"/>
      <c r="AX11" s="2190"/>
      <c r="AY11" s="2190"/>
      <c r="AZ11" s="2190"/>
      <c r="BA11" s="2190"/>
      <c r="BB11" s="2190"/>
      <c r="BC11" s="724" t="s">
        <v>637</v>
      </c>
    </row>
    <row r="12" spans="2:55" ht="15.95" hidden="1" customHeight="1">
      <c r="C12" s="1714" t="s">
        <v>2151</v>
      </c>
      <c r="D12" s="1714"/>
      <c r="E12" s="1714"/>
      <c r="F12" s="1714"/>
      <c r="G12" s="1714"/>
      <c r="H12" s="1714"/>
      <c r="I12" s="1714"/>
      <c r="J12" s="1714"/>
      <c r="K12" s="1714"/>
      <c r="L12" s="1714"/>
      <c r="M12" s="1714"/>
      <c r="N12" s="1714"/>
      <c r="O12" s="1714"/>
      <c r="P12" s="1714"/>
      <c r="Q12" s="1714"/>
      <c r="R12" s="1714"/>
      <c r="S12" s="1714"/>
      <c r="T12" s="1714"/>
      <c r="U12" s="1714"/>
      <c r="V12" s="1714"/>
      <c r="W12" s="1714"/>
      <c r="X12" s="1714"/>
      <c r="Y12" s="1714"/>
      <c r="Z12" s="1714"/>
      <c r="AA12" s="1714"/>
      <c r="AB12" s="1714"/>
      <c r="AC12" s="1714"/>
      <c r="AD12" s="1714"/>
      <c r="AE12" s="1714"/>
      <c r="AF12" s="1714"/>
      <c r="AG12" s="1714"/>
      <c r="AH12" s="1714"/>
      <c r="AI12" s="1714"/>
      <c r="AJ12" s="1714"/>
      <c r="AK12" s="1714"/>
      <c r="AL12" s="1714"/>
      <c r="AM12" s="1714"/>
      <c r="AN12" s="1714"/>
      <c r="AO12" s="1714"/>
      <c r="AP12" s="1714"/>
      <c r="AQ12" s="1714"/>
      <c r="AR12" s="1714"/>
      <c r="AS12" s="1714"/>
      <c r="AT12" s="1714"/>
      <c r="AU12" s="1714"/>
      <c r="AV12" s="1714"/>
      <c r="AW12" s="1714"/>
      <c r="AX12" s="1714"/>
      <c r="AY12" s="1714"/>
      <c r="AZ12" s="1714"/>
      <c r="BA12" s="1714"/>
      <c r="BB12" s="1714"/>
      <c r="BC12" s="724" t="s">
        <v>637</v>
      </c>
    </row>
    <row r="13" spans="2:55" ht="15.95" hidden="1" customHeight="1">
      <c r="C13" s="1714" t="s">
        <v>2152</v>
      </c>
      <c r="D13" s="1714"/>
      <c r="E13" s="1714"/>
      <c r="F13" s="1714"/>
      <c r="G13" s="1714"/>
      <c r="H13" s="1714"/>
      <c r="I13" s="1714"/>
      <c r="J13" s="1714"/>
      <c r="K13" s="1714"/>
      <c r="L13" s="1714"/>
      <c r="M13" s="1714"/>
      <c r="N13" s="1714"/>
      <c r="O13" s="1714"/>
      <c r="P13" s="1714"/>
      <c r="Q13" s="1714"/>
      <c r="R13" s="1714"/>
      <c r="S13" s="1714"/>
      <c r="T13" s="1714"/>
      <c r="U13" s="1714"/>
      <c r="V13" s="1714"/>
      <c r="W13" s="1714"/>
      <c r="X13" s="1714"/>
      <c r="Y13" s="1714"/>
      <c r="Z13" s="1714"/>
      <c r="AA13" s="1714"/>
      <c r="AB13" s="1714"/>
      <c r="AC13" s="1714"/>
      <c r="AD13" s="1714"/>
      <c r="AE13" s="1714"/>
      <c r="AF13" s="1714"/>
      <c r="AG13" s="1714"/>
      <c r="AH13" s="1714"/>
      <c r="AI13" s="1714"/>
      <c r="AJ13" s="1714"/>
      <c r="AK13" s="1714"/>
      <c r="AL13" s="1714"/>
      <c r="AM13" s="1714"/>
      <c r="AN13" s="1714"/>
      <c r="AO13" s="1714"/>
      <c r="AP13" s="1714"/>
      <c r="AQ13" s="1714"/>
      <c r="AR13" s="1714"/>
      <c r="AS13" s="1714"/>
      <c r="AT13" s="1714"/>
      <c r="AU13" s="1714"/>
      <c r="AV13" s="1714"/>
      <c r="AW13" s="1714"/>
      <c r="AX13" s="1714"/>
      <c r="AY13" s="1714"/>
      <c r="AZ13" s="1714"/>
      <c r="BA13" s="1714"/>
      <c r="BB13" s="1714"/>
      <c r="BC13" s="724" t="s">
        <v>637</v>
      </c>
    </row>
    <row r="14" spans="2:55" ht="15.95" hidden="1" customHeight="1">
      <c r="C14" s="1714" t="s">
        <v>4897</v>
      </c>
      <c r="D14" s="1714"/>
      <c r="E14" s="1714"/>
      <c r="F14" s="1714"/>
      <c r="G14" s="1714"/>
      <c r="H14" s="1714"/>
      <c r="I14" s="1714"/>
      <c r="J14" s="1714"/>
      <c r="K14" s="1714"/>
      <c r="L14" s="1714"/>
      <c r="M14" s="1714"/>
      <c r="N14" s="1714"/>
      <c r="O14" s="1714"/>
      <c r="P14" s="1714"/>
      <c r="Q14" s="1714"/>
      <c r="R14" s="1714"/>
      <c r="S14" s="1714"/>
      <c r="T14" s="1714"/>
      <c r="U14" s="1714"/>
      <c r="V14" s="1714"/>
      <c r="W14" s="1714"/>
      <c r="X14" s="1714"/>
      <c r="Y14" s="1714"/>
      <c r="Z14" s="1714"/>
      <c r="AA14" s="1714"/>
      <c r="AB14" s="1714"/>
      <c r="AC14" s="1714"/>
      <c r="AD14" s="1714"/>
      <c r="AE14" s="1714"/>
      <c r="AF14" s="1714"/>
      <c r="AG14" s="1714"/>
      <c r="AH14" s="1714"/>
      <c r="AI14" s="1714"/>
      <c r="AJ14" s="1714"/>
      <c r="AK14" s="1714"/>
      <c r="AL14" s="1714"/>
      <c r="AM14" s="1714"/>
      <c r="AN14" s="1714"/>
      <c r="AO14" s="1714"/>
      <c r="AP14" s="1714"/>
      <c r="AQ14" s="1714"/>
      <c r="AR14" s="1714"/>
      <c r="AS14" s="1714"/>
      <c r="AT14" s="1714"/>
      <c r="AU14" s="1714"/>
      <c r="AV14" s="1714"/>
      <c r="AW14" s="1714"/>
      <c r="AX14" s="1714"/>
      <c r="AY14" s="1714"/>
      <c r="AZ14" s="1714"/>
      <c r="BA14" s="1714"/>
      <c r="BB14" s="1714"/>
      <c r="BC14" s="724" t="s">
        <v>637</v>
      </c>
    </row>
    <row r="15" spans="2:55" ht="15.95" hidden="1" customHeight="1">
      <c r="C15" s="1714" t="s">
        <v>4729</v>
      </c>
      <c r="D15" s="1714"/>
      <c r="E15" s="1714"/>
      <c r="F15" s="1714"/>
      <c r="G15" s="1714"/>
      <c r="H15" s="1714"/>
      <c r="I15" s="1714"/>
      <c r="J15" s="1714"/>
      <c r="K15" s="1714"/>
      <c r="L15" s="1714"/>
      <c r="M15" s="1714"/>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c r="AL15" s="1714"/>
      <c r="AM15" s="1714"/>
      <c r="AN15" s="1714"/>
      <c r="AO15" s="1714"/>
      <c r="AP15" s="1714"/>
      <c r="AQ15" s="1714"/>
      <c r="AR15" s="1714"/>
      <c r="AS15" s="1714"/>
      <c r="AT15" s="1714"/>
      <c r="AU15" s="1714"/>
      <c r="AV15" s="1714"/>
      <c r="AW15" s="1714"/>
      <c r="AX15" s="1714"/>
      <c r="AY15" s="1714"/>
      <c r="AZ15" s="1714"/>
      <c r="BA15" s="1714"/>
      <c r="BB15" s="1714"/>
      <c r="BC15" s="724" t="s">
        <v>637</v>
      </c>
    </row>
    <row r="16" spans="2:55" ht="15.95" hidden="1" customHeight="1">
      <c r="C16" s="1714" t="s">
        <v>1004</v>
      </c>
      <c r="D16" s="1714"/>
      <c r="E16" s="1714"/>
      <c r="F16" s="1714"/>
      <c r="G16" s="1714"/>
      <c r="H16" s="1714"/>
      <c r="I16" s="1714"/>
      <c r="J16" s="1714"/>
      <c r="K16" s="1714"/>
      <c r="L16" s="1714"/>
      <c r="M16" s="1714"/>
      <c r="N16" s="1714"/>
      <c r="O16" s="1714"/>
      <c r="P16" s="1714"/>
      <c r="Q16" s="1714"/>
      <c r="R16" s="1714"/>
      <c r="S16" s="1714"/>
      <c r="T16" s="1714"/>
      <c r="U16" s="1714"/>
      <c r="V16" s="1714"/>
      <c r="W16" s="1714"/>
      <c r="X16" s="1714"/>
      <c r="Y16" s="1714"/>
      <c r="Z16" s="1714"/>
      <c r="AA16" s="1714"/>
      <c r="AB16" s="1714"/>
      <c r="AC16" s="1714"/>
      <c r="AD16" s="1714"/>
      <c r="AE16" s="1714"/>
      <c r="AF16" s="1714"/>
      <c r="AG16" s="1714"/>
      <c r="AH16" s="1714"/>
      <c r="AI16" s="1714"/>
      <c r="AJ16" s="1714"/>
      <c r="AK16" s="1714"/>
      <c r="AL16" s="1714"/>
      <c r="AM16" s="1714"/>
      <c r="AN16" s="1714"/>
      <c r="AO16" s="1714"/>
      <c r="AP16" s="1714"/>
      <c r="AQ16" s="1714"/>
      <c r="AR16" s="1714"/>
      <c r="AS16" s="1714"/>
      <c r="AT16" s="1714"/>
      <c r="AU16" s="1714"/>
      <c r="AV16" s="1714"/>
      <c r="AW16" s="1714"/>
      <c r="AX16" s="1714"/>
      <c r="AY16" s="1714"/>
      <c r="AZ16" s="1714"/>
      <c r="BA16" s="1714"/>
      <c r="BB16" s="1714"/>
      <c r="BC16" s="724" t="s">
        <v>637</v>
      </c>
    </row>
    <row r="17" spans="3:55" ht="15.95" hidden="1" customHeight="1">
      <c r="C17" s="1714" t="s">
        <v>1007</v>
      </c>
      <c r="D17" s="1714"/>
      <c r="E17" s="1714"/>
      <c r="F17" s="1714"/>
      <c r="G17" s="1714"/>
      <c r="H17" s="1714"/>
      <c r="I17" s="1714"/>
      <c r="J17" s="1714"/>
      <c r="K17" s="1714"/>
      <c r="L17" s="1714"/>
      <c r="M17" s="1714"/>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c r="AL17" s="1714"/>
      <c r="AM17" s="1714"/>
      <c r="AN17" s="1714"/>
      <c r="AO17" s="1714"/>
      <c r="AP17" s="1714"/>
      <c r="AQ17" s="1714"/>
      <c r="AR17" s="1714"/>
      <c r="AS17" s="1714"/>
      <c r="AT17" s="1714"/>
      <c r="AU17" s="1714"/>
      <c r="AV17" s="1714"/>
      <c r="AW17" s="1714"/>
      <c r="AX17" s="1714"/>
      <c r="AY17" s="1714"/>
      <c r="AZ17" s="1714"/>
      <c r="BA17" s="1714"/>
      <c r="BB17" s="1714"/>
      <c r="BC17" s="724" t="s">
        <v>637</v>
      </c>
    </row>
    <row r="18" spans="3:55" ht="15.95" hidden="1" customHeight="1">
      <c r="C18" s="1714" t="s">
        <v>3113</v>
      </c>
      <c r="D18" s="1714"/>
      <c r="E18" s="1714"/>
      <c r="F18" s="1714"/>
      <c r="G18" s="1714"/>
      <c r="H18" s="1714"/>
      <c r="I18" s="1714"/>
      <c r="J18" s="1714"/>
      <c r="K18" s="1714"/>
      <c r="L18" s="1714"/>
      <c r="M18" s="1714"/>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c r="AL18" s="1714"/>
      <c r="AM18" s="1714"/>
      <c r="AN18" s="1714"/>
      <c r="AO18" s="1714"/>
      <c r="AP18" s="1714"/>
      <c r="AQ18" s="1714"/>
      <c r="AR18" s="1714"/>
      <c r="AS18" s="1714"/>
      <c r="AT18" s="1714"/>
      <c r="AU18" s="1714"/>
      <c r="AV18" s="1714"/>
      <c r="AW18" s="1714"/>
      <c r="AX18" s="1714"/>
      <c r="AY18" s="1714"/>
      <c r="AZ18" s="1714"/>
      <c r="BA18" s="1714"/>
      <c r="BB18" s="1714"/>
      <c r="BC18" s="724" t="s">
        <v>637</v>
      </c>
    </row>
    <row r="19" spans="3:55" ht="15.95" hidden="1" customHeight="1">
      <c r="C19" s="1714" t="s">
        <v>3208</v>
      </c>
      <c r="D19" s="1714"/>
      <c r="E19" s="1714"/>
      <c r="F19" s="1714"/>
      <c r="G19" s="1714"/>
      <c r="H19" s="1714"/>
      <c r="I19" s="1714"/>
      <c r="J19" s="1714"/>
      <c r="K19" s="1714"/>
      <c r="L19" s="1714"/>
      <c r="M19" s="1714"/>
      <c r="N19" s="1714"/>
      <c r="O19" s="1714"/>
      <c r="P19" s="1714"/>
      <c r="Q19" s="1714"/>
      <c r="R19" s="1714"/>
      <c r="S19" s="1714"/>
      <c r="T19" s="1714"/>
      <c r="U19" s="1714"/>
      <c r="V19" s="1714"/>
      <c r="W19" s="1714"/>
      <c r="X19" s="1714"/>
      <c r="Y19" s="1714"/>
      <c r="Z19" s="1714"/>
      <c r="AA19" s="1714"/>
      <c r="AB19" s="1714"/>
      <c r="AC19" s="1714"/>
      <c r="AD19" s="1714"/>
      <c r="AE19" s="1714"/>
      <c r="AF19" s="1714"/>
      <c r="AG19" s="1714"/>
      <c r="AH19" s="1714"/>
      <c r="AI19" s="1714"/>
      <c r="AJ19" s="1714"/>
      <c r="AK19" s="1714"/>
      <c r="AL19" s="1714"/>
      <c r="AM19" s="1714"/>
      <c r="AN19" s="1714"/>
      <c r="AO19" s="1714"/>
      <c r="AP19" s="1714"/>
      <c r="AQ19" s="1714"/>
      <c r="AR19" s="1714"/>
      <c r="AS19" s="1714"/>
      <c r="AT19" s="1714"/>
      <c r="AU19" s="1714"/>
      <c r="AV19" s="1714"/>
      <c r="AW19" s="1714"/>
      <c r="AX19" s="1714"/>
      <c r="AY19" s="1714"/>
      <c r="AZ19" s="1714"/>
      <c r="BA19" s="1714"/>
      <c r="BB19" s="1714"/>
      <c r="BC19" s="724" t="s">
        <v>637</v>
      </c>
    </row>
    <row r="20" spans="3:55" ht="15.95" hidden="1" customHeight="1">
      <c r="C20" s="1714" t="s">
        <v>1005</v>
      </c>
      <c r="D20" s="1714"/>
      <c r="E20" s="1714"/>
      <c r="F20" s="1714"/>
      <c r="G20" s="1714"/>
      <c r="H20" s="1714"/>
      <c r="I20" s="1714"/>
      <c r="J20" s="1714"/>
      <c r="K20" s="1714"/>
      <c r="L20" s="1714"/>
      <c r="M20" s="1714"/>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c r="AL20" s="1714"/>
      <c r="AM20" s="1714"/>
      <c r="AN20" s="1714"/>
      <c r="AO20" s="1714"/>
      <c r="AP20" s="1714"/>
      <c r="AQ20" s="1714"/>
      <c r="AR20" s="1714"/>
      <c r="AS20" s="1714"/>
      <c r="AT20" s="1714"/>
      <c r="AU20" s="1714"/>
      <c r="AV20" s="1714"/>
      <c r="AW20" s="1714"/>
      <c r="AX20" s="1714"/>
      <c r="AY20" s="1714"/>
      <c r="AZ20" s="1714"/>
      <c r="BA20" s="1714"/>
      <c r="BB20" s="1714"/>
      <c r="BC20" s="724" t="s">
        <v>637</v>
      </c>
    </row>
    <row r="21" spans="3:55" ht="15.95" hidden="1" customHeight="1">
      <c r="C21" s="1714" t="s">
        <v>1006</v>
      </c>
      <c r="D21" s="1714"/>
      <c r="E21" s="1714"/>
      <c r="F21" s="1714"/>
      <c r="G21" s="1714"/>
      <c r="H21" s="1714"/>
      <c r="I21" s="1714"/>
      <c r="J21" s="1714"/>
      <c r="K21" s="1714"/>
      <c r="L21" s="1714"/>
      <c r="M21" s="1714"/>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c r="AL21" s="1714"/>
      <c r="AM21" s="1714"/>
      <c r="AN21" s="1714"/>
      <c r="AO21" s="1714"/>
      <c r="AP21" s="1714"/>
      <c r="AQ21" s="1714"/>
      <c r="AR21" s="1714"/>
      <c r="AS21" s="1714"/>
      <c r="AT21" s="1714"/>
      <c r="AU21" s="1714"/>
      <c r="AV21" s="1714"/>
      <c r="AW21" s="1714"/>
      <c r="AX21" s="1714"/>
      <c r="AY21" s="1714"/>
      <c r="AZ21" s="1714"/>
      <c r="BA21" s="1714"/>
      <c r="BB21" s="1714"/>
      <c r="BC21" s="724" t="s">
        <v>637</v>
      </c>
    </row>
    <row r="22" spans="3:55" ht="15.95" hidden="1" customHeight="1">
      <c r="C22" s="1714" t="s">
        <v>3685</v>
      </c>
      <c r="D22" s="1714"/>
      <c r="E22" s="1714"/>
      <c r="F22" s="1714"/>
      <c r="G22" s="1714"/>
      <c r="H22" s="1714"/>
      <c r="I22" s="1714"/>
      <c r="J22" s="1714"/>
      <c r="K22" s="1714"/>
      <c r="L22" s="1714"/>
      <c r="M22" s="1714"/>
      <c r="N22" s="1714"/>
      <c r="O22" s="1714"/>
      <c r="P22" s="1714"/>
      <c r="Q22" s="1714"/>
      <c r="R22" s="1714"/>
      <c r="S22" s="1714"/>
      <c r="T22" s="1714"/>
      <c r="U22" s="1714"/>
      <c r="V22" s="1714"/>
      <c r="W22" s="1714"/>
      <c r="X22" s="1714"/>
      <c r="Y22" s="1714"/>
      <c r="Z22" s="1714"/>
      <c r="AA22" s="1714"/>
      <c r="AB22" s="1714"/>
      <c r="AC22" s="1714"/>
      <c r="AD22" s="1714"/>
      <c r="AE22" s="1714"/>
      <c r="AF22" s="1714"/>
      <c r="AG22" s="1714"/>
      <c r="AH22" s="1714"/>
      <c r="AI22" s="1714"/>
      <c r="AJ22" s="1714"/>
      <c r="AK22" s="1714"/>
      <c r="AL22" s="1714"/>
      <c r="AM22" s="1714"/>
      <c r="AN22" s="1714"/>
      <c r="AO22" s="1714"/>
      <c r="AP22" s="1714"/>
      <c r="AQ22" s="1714"/>
      <c r="AR22" s="1714"/>
      <c r="AS22" s="1714"/>
      <c r="AT22" s="1714"/>
      <c r="AU22" s="1714"/>
      <c r="AV22" s="1714"/>
      <c r="AW22" s="1714"/>
      <c r="AX22" s="1714"/>
      <c r="AY22" s="1714"/>
      <c r="AZ22" s="1714"/>
      <c r="BA22" s="1714"/>
      <c r="BB22" s="1714"/>
      <c r="BC22" s="724" t="s">
        <v>637</v>
      </c>
    </row>
    <row r="23" spans="3:55" ht="15.95" hidden="1" customHeight="1">
      <c r="C23" s="1714" t="s">
        <v>3686</v>
      </c>
      <c r="D23" s="1714"/>
      <c r="E23" s="1714"/>
      <c r="F23" s="1714"/>
      <c r="G23" s="1714"/>
      <c r="H23" s="1714"/>
      <c r="I23" s="1714"/>
      <c r="J23" s="1714"/>
      <c r="K23" s="1714"/>
      <c r="L23" s="1714"/>
      <c r="M23" s="1714"/>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c r="AL23" s="1714"/>
      <c r="AM23" s="1714"/>
      <c r="AN23" s="1714"/>
      <c r="AO23" s="1714"/>
      <c r="AP23" s="1714"/>
      <c r="AQ23" s="1714"/>
      <c r="AR23" s="1714"/>
      <c r="AS23" s="1714"/>
      <c r="AT23" s="1714"/>
      <c r="AU23" s="1714"/>
      <c r="AV23" s="1714"/>
      <c r="AW23" s="1714"/>
      <c r="AX23" s="1714"/>
      <c r="AY23" s="1714"/>
      <c r="AZ23" s="1714"/>
      <c r="BA23" s="1714"/>
      <c r="BB23" s="1714"/>
      <c r="BC23" s="724" t="s">
        <v>637</v>
      </c>
    </row>
    <row r="24" spans="3:55" ht="15.95" hidden="1" customHeight="1">
      <c r="C24" s="2184" t="str">
        <f>"    Theo đơn đề nghị của "&amp;NL!U19&amp;"."</f>
        <v xml:space="preserve">    Theo đơn đề nghị của Nhà máy xay xát Nguyễn Văn A.</v>
      </c>
      <c r="D24" s="1714"/>
      <c r="E24" s="1714"/>
      <c r="F24" s="1714"/>
      <c r="G24" s="1714"/>
      <c r="H24" s="1714"/>
      <c r="I24" s="1714"/>
      <c r="J24" s="1714"/>
      <c r="K24" s="1714"/>
      <c r="L24" s="1714"/>
      <c r="M24" s="1714"/>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714"/>
      <c r="AM24" s="1714"/>
      <c r="AN24" s="1714"/>
      <c r="AO24" s="1714"/>
      <c r="AP24" s="1714"/>
      <c r="AQ24" s="1714"/>
      <c r="AR24" s="1714"/>
      <c r="AS24" s="1714"/>
      <c r="AT24" s="1714"/>
      <c r="AU24" s="1714"/>
      <c r="AV24" s="1714"/>
      <c r="AW24" s="1714"/>
      <c r="AX24" s="1714"/>
      <c r="AY24" s="1714"/>
      <c r="AZ24" s="1714"/>
      <c r="BA24" s="1714"/>
      <c r="BB24" s="1714"/>
      <c r="BC24" s="724" t="s">
        <v>637</v>
      </c>
    </row>
    <row r="25" spans="3:55" ht="15.95" hidden="1" customHeight="1">
      <c r="C25" s="2184" t="str">
        <f>"    Hôm nay,"&amp;IF(NL!U8="","Chưa nhập ngày"," ngày "&amp;TEXT(NL!U8,"dd")&amp;" tháng "&amp;TEXT(NL!U8,"mm")&amp;" năm "&amp;TEXT(NL!U8,"yyyy"))&amp;" tại Công ty Điện lực Hậu Giang chúng tôi gồm:"</f>
        <v xml:space="preserve">    Hôm nay, ngày 11 tháng 01 năm 2017 tại Công ty Điện lực Hậu Giang chúng tôi gồm:</v>
      </c>
      <c r="D25" s="1714"/>
      <c r="E25" s="1714"/>
      <c r="F25" s="1714"/>
      <c r="G25" s="1714"/>
      <c r="H25" s="1714"/>
      <c r="I25" s="1714"/>
      <c r="J25" s="1714"/>
      <c r="K25" s="1714"/>
      <c r="L25" s="1714"/>
      <c r="M25" s="1714"/>
      <c r="N25" s="1714"/>
      <c r="O25" s="1714"/>
      <c r="P25" s="1714"/>
      <c r="Q25" s="1714"/>
      <c r="R25" s="1714"/>
      <c r="S25" s="1714"/>
      <c r="T25" s="1714"/>
      <c r="U25" s="1714"/>
      <c r="V25" s="1714"/>
      <c r="W25" s="1714"/>
      <c r="X25" s="1714"/>
      <c r="Y25" s="1714"/>
      <c r="Z25" s="1714"/>
      <c r="AA25" s="1714"/>
      <c r="AB25" s="1714"/>
      <c r="AC25" s="1714"/>
      <c r="AD25" s="1714"/>
      <c r="AE25" s="1714"/>
      <c r="AF25" s="1714"/>
      <c r="AG25" s="1714"/>
      <c r="AH25" s="1714"/>
      <c r="AI25" s="1714"/>
      <c r="AJ25" s="1714"/>
      <c r="AK25" s="1714"/>
      <c r="AL25" s="1714"/>
      <c r="AM25" s="1714"/>
      <c r="AN25" s="1714"/>
      <c r="AO25" s="1714"/>
      <c r="AP25" s="1714"/>
      <c r="AQ25" s="1714"/>
      <c r="AR25" s="1714"/>
      <c r="AS25" s="1714"/>
      <c r="AT25" s="1714"/>
      <c r="AU25" s="1714"/>
      <c r="AV25" s="1714"/>
      <c r="AW25" s="1714"/>
      <c r="AX25" s="1714"/>
      <c r="AY25" s="1714"/>
      <c r="AZ25" s="1714"/>
      <c r="BA25" s="1714"/>
      <c r="BB25" s="1714"/>
      <c r="BC25" s="724" t="s">
        <v>637</v>
      </c>
    </row>
    <row r="26" spans="3:55" ht="18" hidden="1" customHeight="1">
      <c r="C26" s="2190" t="s">
        <v>5854</v>
      </c>
      <c r="D26" s="2190"/>
      <c r="E26" s="2190"/>
      <c r="F26" s="2190"/>
      <c r="G26" s="2190"/>
      <c r="H26" s="2190"/>
      <c r="I26" s="2190"/>
      <c r="J26" s="2190"/>
      <c r="K26" s="2190"/>
      <c r="L26" s="2190"/>
      <c r="M26" s="2190"/>
      <c r="N26" s="2190"/>
      <c r="O26" s="2190"/>
      <c r="P26" s="2190"/>
      <c r="Q26" s="2190"/>
      <c r="R26" s="2190"/>
      <c r="S26" s="2190"/>
      <c r="T26" s="2190"/>
      <c r="U26" s="2190"/>
      <c r="V26" s="2190"/>
      <c r="W26" s="2190"/>
      <c r="X26" s="2190"/>
      <c r="Y26" s="2190"/>
      <c r="Z26" s="2190"/>
      <c r="AA26" s="2190"/>
      <c r="AB26" s="2190"/>
      <c r="AC26" s="2190"/>
      <c r="AD26" s="2190"/>
      <c r="AE26" s="2190"/>
      <c r="AF26" s="2190"/>
      <c r="AG26" s="2190"/>
      <c r="AH26" s="2190"/>
      <c r="AI26" s="2190"/>
      <c r="AJ26" s="2190"/>
      <c r="AK26" s="2190"/>
      <c r="AL26" s="2190"/>
      <c r="AM26" s="2190"/>
      <c r="AN26" s="2190"/>
      <c r="AO26" s="2190"/>
      <c r="AP26" s="2190"/>
      <c r="AQ26" s="2190"/>
      <c r="AR26" s="2190"/>
      <c r="AS26" s="2190"/>
      <c r="AT26" s="2190"/>
      <c r="AU26" s="2190"/>
      <c r="AV26" s="2190"/>
      <c r="AW26" s="2190"/>
      <c r="AX26" s="2190"/>
      <c r="AY26" s="2190"/>
      <c r="AZ26" s="2190"/>
      <c r="BA26" s="2190"/>
      <c r="BB26" s="2190"/>
      <c r="BC26" s="724" t="s">
        <v>637</v>
      </c>
    </row>
    <row r="27" spans="3:55" ht="18" hidden="1" customHeight="1">
      <c r="D27" s="2173" t="s">
        <v>3483</v>
      </c>
      <c r="E27" s="2173"/>
      <c r="F27" s="2173"/>
      <c r="G27" s="2173"/>
      <c r="H27" s="2173"/>
      <c r="I27" s="2173"/>
      <c r="J27" s="2173"/>
      <c r="K27" s="2173"/>
      <c r="L27" s="2173"/>
      <c r="M27" s="2173"/>
      <c r="N27" s="2173"/>
      <c r="O27" s="2173"/>
      <c r="P27" s="2173"/>
      <c r="Q27" s="2173"/>
      <c r="R27" s="2173"/>
      <c r="S27" s="2173"/>
      <c r="T27" s="2173"/>
      <c r="U27" s="2173"/>
      <c r="V27" s="2173"/>
      <c r="W27" s="2173"/>
      <c r="X27" s="2173"/>
      <c r="Y27" s="2173"/>
      <c r="Z27" s="2173"/>
      <c r="AA27" s="2173"/>
      <c r="AB27" s="2173"/>
      <c r="AC27" s="2173"/>
      <c r="AD27" s="2173"/>
      <c r="AE27" s="2173"/>
      <c r="AF27" s="2173"/>
      <c r="AG27" s="2173"/>
      <c r="AH27" s="2173"/>
      <c r="AI27" s="2173"/>
      <c r="AJ27" s="2173"/>
      <c r="AK27" s="2173"/>
      <c r="AL27" s="2173"/>
      <c r="AM27" s="2173"/>
      <c r="AN27" s="2173"/>
      <c r="AO27" s="2173"/>
      <c r="AP27" s="2173"/>
      <c r="AQ27" s="2173"/>
      <c r="AR27" s="2173"/>
      <c r="AS27" s="2173"/>
      <c r="AT27" s="2173"/>
      <c r="AU27" s="2173"/>
      <c r="AV27" s="2173"/>
      <c r="AW27" s="2173"/>
      <c r="AX27" s="2173"/>
      <c r="AY27" s="2173"/>
      <c r="AZ27" s="2173"/>
      <c r="BA27" s="2173"/>
      <c r="BB27" s="2173"/>
      <c r="BC27" s="724" t="s">
        <v>637</v>
      </c>
    </row>
    <row r="28" spans="3:55" ht="18" hidden="1" customHeight="1">
      <c r="F28" s="102" t="s">
        <v>6344</v>
      </c>
      <c r="G28" s="2171" t="s">
        <v>2068</v>
      </c>
      <c r="H28" s="2171"/>
      <c r="I28" s="2171"/>
      <c r="J28" s="2171"/>
      <c r="K28" s="2171"/>
      <c r="L28" s="2171"/>
      <c r="M28" s="2171"/>
      <c r="N28" s="2171"/>
      <c r="O28" s="2171"/>
      <c r="P28" s="2171"/>
      <c r="Q28" s="91" t="s">
        <v>944</v>
      </c>
      <c r="R28" s="2173" t="str">
        <f>NL!$U$13</f>
        <v>TỔNG CÔNG TY ĐIỆN LỰC MIỀN NAM</v>
      </c>
      <c r="S28" s="2173"/>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2173"/>
      <c r="BB28" s="2173"/>
      <c r="BC28" s="724" t="s">
        <v>637</v>
      </c>
    </row>
    <row r="29" spans="3:55" ht="18" hidden="1" customHeight="1">
      <c r="F29" s="102" t="s">
        <v>6344</v>
      </c>
      <c r="G29" s="2171" t="s">
        <v>2069</v>
      </c>
      <c r="H29" s="2171"/>
      <c r="I29" s="2171"/>
      <c r="J29" s="2171"/>
      <c r="K29" s="2171"/>
      <c r="L29" s="2171"/>
      <c r="M29" s="2171"/>
      <c r="N29" s="2171"/>
      <c r="O29" s="2171"/>
      <c r="P29" s="2171"/>
      <c r="Q29" s="91" t="s">
        <v>944</v>
      </c>
      <c r="R29" s="2171" t="str">
        <f>NL!$U$14</f>
        <v>TP.Vị Thanh, tỉnh Hậu Giang</v>
      </c>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71"/>
      <c r="AO29" s="2171"/>
      <c r="AP29" s="2171"/>
      <c r="AQ29" s="2171"/>
      <c r="AR29" s="2171"/>
      <c r="AS29" s="2171"/>
      <c r="AT29" s="2171"/>
      <c r="AU29" s="2171"/>
      <c r="AV29" s="2171"/>
      <c r="AW29" s="2171"/>
      <c r="AX29" s="2171"/>
      <c r="AY29" s="2171"/>
      <c r="AZ29" s="2171"/>
      <c r="BA29" s="2171"/>
      <c r="BB29" s="2171"/>
      <c r="BC29" s="724" t="s">
        <v>637</v>
      </c>
    </row>
    <row r="30" spans="3:55" ht="18" hidden="1" customHeight="1">
      <c r="F30" s="102" t="s">
        <v>6344</v>
      </c>
      <c r="G30" s="2171" t="s">
        <v>2070</v>
      </c>
      <c r="H30" s="2171"/>
      <c r="I30" s="2171"/>
      <c r="J30" s="2171"/>
      <c r="K30" s="2171"/>
      <c r="L30" s="2171"/>
      <c r="M30" s="2171"/>
      <c r="N30" s="2171"/>
      <c r="O30" s="2171"/>
      <c r="P30" s="2171"/>
      <c r="Q30" s="91" t="s">
        <v>944</v>
      </c>
      <c r="R30" s="2178" t="str">
        <f>NL!$U$15</f>
        <v xml:space="preserve">. . . . . . . . . . . . . . . . . . . . . . . . . . . . . . . . . . . . . . . . . . . . . . . . . . . </v>
      </c>
      <c r="S30" s="2178"/>
      <c r="T30" s="2178"/>
      <c r="U30" s="2178"/>
      <c r="V30" s="2178"/>
      <c r="W30" s="2178"/>
      <c r="X30" s="2178"/>
      <c r="Y30" s="2178"/>
      <c r="Z30" s="2178"/>
      <c r="AA30" s="2178"/>
      <c r="AB30" s="2171" t="s">
        <v>2885</v>
      </c>
      <c r="AC30" s="2171"/>
      <c r="AD30" s="2171"/>
      <c r="AE30" s="2171"/>
      <c r="AF30" s="2171"/>
      <c r="AG30" s="2172" t="str">
        <f>NL!$AJ$15</f>
        <v xml:space="preserve">. . . . . . . . . . . . . . . . . . . . . . . . . . . . . . . . . . . . . . . . . . . . . . . . . . . </v>
      </c>
      <c r="AH30" s="2172"/>
      <c r="AI30" s="2172"/>
      <c r="AJ30" s="2172"/>
      <c r="AK30" s="2172"/>
      <c r="AL30" s="2172"/>
      <c r="AM30" s="2172"/>
      <c r="AN30" s="2172"/>
      <c r="AO30" s="2172"/>
      <c r="AP30" s="2172"/>
      <c r="AQ30" s="2172"/>
      <c r="AR30" s="2172"/>
      <c r="AS30" s="2172"/>
      <c r="AT30" s="2172"/>
      <c r="AU30" s="2172"/>
      <c r="AV30" s="2172"/>
      <c r="AW30" s="2172"/>
      <c r="AX30" s="2172"/>
      <c r="AY30" s="2172"/>
      <c r="AZ30" s="2172"/>
      <c r="BA30" s="2172"/>
      <c r="BB30" s="2172"/>
      <c r="BC30" s="724" t="s">
        <v>637</v>
      </c>
    </row>
    <row r="31" spans="3:55" ht="18" hidden="1" customHeight="1">
      <c r="F31" s="102" t="s">
        <v>6344</v>
      </c>
      <c r="G31" s="2171" t="s">
        <v>2071</v>
      </c>
      <c r="H31" s="2171"/>
      <c r="I31" s="2171"/>
      <c r="J31" s="2171"/>
      <c r="K31" s="2171"/>
      <c r="L31" s="2171"/>
      <c r="M31" s="2171"/>
      <c r="N31" s="2171"/>
      <c r="O31" s="2171"/>
      <c r="P31" s="2171"/>
      <c r="Q31" s="91" t="s">
        <v>944</v>
      </c>
      <c r="R31" s="2172" t="str">
        <f>NL!$U$16</f>
        <v xml:space="preserve">. . . . . . . . . . . . . . . . . . . . . . . . . . . . . . . . . . . . . . . . . . . . . . . . . . . </v>
      </c>
      <c r="S31" s="2172"/>
      <c r="T31" s="2172"/>
      <c r="U31" s="2172"/>
      <c r="V31" s="2172"/>
      <c r="W31" s="2172"/>
      <c r="X31" s="2172"/>
      <c r="Y31" s="2172"/>
      <c r="Z31" s="2172"/>
      <c r="AA31" s="2172"/>
      <c r="AB31" s="2171" t="s">
        <v>2072</v>
      </c>
      <c r="AC31" s="2171"/>
      <c r="AD31" s="2171"/>
      <c r="AE31" s="2171"/>
      <c r="AF31" s="2171"/>
      <c r="AG31" s="2171" t="str">
        <f>NL!$AJ$16</f>
        <v xml:space="preserve">. . . . . . . . . . . . . . . . . . . . . . . . . . . . . . . . . . . . . . . . . . . . . . . . . . . </v>
      </c>
      <c r="AH31" s="2171"/>
      <c r="AI31" s="2171"/>
      <c r="AJ31" s="2171"/>
      <c r="AK31" s="2171"/>
      <c r="AL31" s="2171"/>
      <c r="AM31" s="2171"/>
      <c r="AN31" s="2171"/>
      <c r="AO31" s="2171"/>
      <c r="AP31" s="2171"/>
      <c r="AQ31" s="2171"/>
      <c r="AR31" s="2171"/>
      <c r="AS31" s="2171"/>
      <c r="AT31" s="2171"/>
      <c r="AU31" s="2171"/>
      <c r="AV31" s="2171"/>
      <c r="AW31" s="2171"/>
      <c r="AX31" s="2171"/>
      <c r="AY31" s="2171"/>
      <c r="AZ31" s="2171"/>
      <c r="BA31" s="2171"/>
      <c r="BB31" s="2171"/>
      <c r="BC31" s="724" t="s">
        <v>637</v>
      </c>
    </row>
    <row r="32" spans="3:55" ht="18" hidden="1" customHeight="1">
      <c r="F32" s="102" t="s">
        <v>6344</v>
      </c>
      <c r="G32" s="2171" t="s">
        <v>2073</v>
      </c>
      <c r="H32" s="2171"/>
      <c r="I32" s="2171"/>
      <c r="J32" s="2171"/>
      <c r="K32" s="2171"/>
      <c r="L32" s="2171"/>
      <c r="M32" s="2171"/>
      <c r="N32" s="2171"/>
      <c r="O32" s="2171"/>
      <c r="P32" s="2171"/>
      <c r="Q32" s="91" t="s">
        <v>944</v>
      </c>
      <c r="R32" s="2172" t="str">
        <f>NL!$U$17</f>
        <v xml:space="preserve">. . . . . . . . . . . . . . . . . . . . . . . . . . . . . . . . . . . . . . . . . . . . . . . . . . . </v>
      </c>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1"/>
      <c r="AO32" s="2171"/>
      <c r="AP32" s="2171"/>
      <c r="AQ32" s="2171"/>
      <c r="AR32" s="2171"/>
      <c r="AS32" s="2171"/>
      <c r="AT32" s="2171"/>
      <c r="AU32" s="2171"/>
      <c r="AV32" s="2171"/>
      <c r="AW32" s="2171"/>
      <c r="AX32" s="2171"/>
      <c r="AY32" s="2171"/>
      <c r="AZ32" s="2171"/>
      <c r="BA32" s="2171"/>
      <c r="BB32" s="2171"/>
      <c r="BC32" s="724" t="s">
        <v>637</v>
      </c>
    </row>
    <row r="33" spans="2:256" ht="18" hidden="1" customHeight="1">
      <c r="F33" s="102" t="s">
        <v>6344</v>
      </c>
      <c r="G33" s="2171" t="s">
        <v>3484</v>
      </c>
      <c r="H33" s="2171"/>
      <c r="I33" s="2171"/>
      <c r="J33" s="2171"/>
      <c r="K33" s="2171"/>
      <c r="L33" s="2171"/>
      <c r="M33" s="2171"/>
      <c r="N33" s="2171"/>
      <c r="O33" s="2171"/>
      <c r="P33" s="2171"/>
      <c r="Q33" s="91" t="s">
        <v>944</v>
      </c>
      <c r="R33" s="2002" t="str">
        <f>NL!$U$18</f>
        <v>ông</v>
      </c>
      <c r="S33" s="2002"/>
      <c r="T33" s="2030" t="str">
        <f>NL!$W$18</f>
        <v>NGUYỄN VĂN A</v>
      </c>
      <c r="U33" s="2030"/>
      <c r="V33" s="2030"/>
      <c r="W33" s="2030"/>
      <c r="X33" s="2030"/>
      <c r="Y33" s="2030"/>
      <c r="Z33" s="2030"/>
      <c r="AA33" s="2030"/>
      <c r="AB33" s="2030"/>
      <c r="AC33" s="2030"/>
      <c r="AD33" s="2030"/>
      <c r="AE33" s="2030"/>
      <c r="AF33" s="2030"/>
      <c r="AG33" s="2030"/>
      <c r="AH33" s="2030"/>
      <c r="AI33" s="2030"/>
      <c r="AJ33" s="2030"/>
      <c r="AK33" s="2030"/>
      <c r="AL33" s="102" t="s">
        <v>3485</v>
      </c>
      <c r="AO33" s="119"/>
      <c r="AP33" s="119"/>
      <c r="AQ33" s="119"/>
      <c r="AR33" s="119" t="str">
        <f>NL!$AR$18</f>
        <v>CHỦ CƠ SỞ</v>
      </c>
      <c r="AS33" s="119"/>
      <c r="AT33" s="119"/>
      <c r="AU33" s="119"/>
      <c r="AV33" s="119"/>
      <c r="AW33" s="119"/>
      <c r="AX33" s="119"/>
      <c r="AY33" s="119"/>
      <c r="AZ33" s="119"/>
      <c r="BA33" s="119"/>
      <c r="BB33" s="119"/>
      <c r="BC33" s="724" t="s">
        <v>637</v>
      </c>
    </row>
    <row r="34" spans="2:256" ht="18" hidden="1" customHeight="1">
      <c r="D34" s="2173" t="s">
        <v>3486</v>
      </c>
      <c r="E34" s="2173"/>
      <c r="F34" s="2173"/>
      <c r="G34" s="2173"/>
      <c r="H34" s="2173"/>
      <c r="I34" s="2173"/>
      <c r="J34" s="2173"/>
      <c r="K34" s="2173"/>
      <c r="L34" s="2173"/>
      <c r="M34" s="2173"/>
      <c r="N34" s="2173"/>
      <c r="O34" s="2173"/>
      <c r="P34" s="2173"/>
      <c r="Q34" s="2173"/>
      <c r="R34" s="2173"/>
      <c r="S34" s="2173"/>
      <c r="T34" s="2173"/>
      <c r="U34" s="2173"/>
      <c r="V34" s="2173"/>
      <c r="W34" s="2173"/>
      <c r="X34" s="2173"/>
      <c r="Y34" s="2173"/>
      <c r="Z34" s="2173"/>
      <c r="AA34" s="2173"/>
      <c r="AB34" s="2173"/>
      <c r="AC34" s="2173"/>
      <c r="AD34" s="2173"/>
      <c r="AE34" s="2173"/>
      <c r="AF34" s="2173"/>
      <c r="AG34" s="2173"/>
      <c r="AH34" s="2173"/>
      <c r="AI34" s="2173"/>
      <c r="AJ34" s="2173"/>
      <c r="AK34" s="2173"/>
      <c r="AL34" s="2173"/>
      <c r="AM34" s="2173"/>
      <c r="AN34" s="2173"/>
      <c r="AO34" s="2173"/>
      <c r="AP34" s="2173"/>
      <c r="AQ34" s="2173"/>
      <c r="AR34" s="2173"/>
      <c r="AS34" s="2173"/>
      <c r="AT34" s="2173"/>
      <c r="AU34" s="2173"/>
      <c r="AV34" s="2173"/>
      <c r="AW34" s="2173"/>
      <c r="AX34" s="2173"/>
      <c r="AY34" s="2173"/>
      <c r="AZ34" s="2173"/>
      <c r="BA34" s="2173"/>
      <c r="BB34" s="2173"/>
      <c r="BC34" s="724" t="s">
        <v>637</v>
      </c>
    </row>
    <row r="35" spans="2:256" ht="18" hidden="1" customHeight="1">
      <c r="F35" s="102" t="s">
        <v>6344</v>
      </c>
      <c r="G35" s="2171" t="s">
        <v>2068</v>
      </c>
      <c r="H35" s="2171"/>
      <c r="I35" s="2171"/>
      <c r="J35" s="2171"/>
      <c r="K35" s="2171"/>
      <c r="L35" s="2171"/>
      <c r="M35" s="2171"/>
      <c r="N35" s="2171"/>
      <c r="O35" s="2171"/>
      <c r="P35" s="2171"/>
      <c r="Q35" s="91" t="s">
        <v>944</v>
      </c>
      <c r="R35" s="2173" t="s">
        <v>318</v>
      </c>
      <c r="S35" s="2173"/>
      <c r="T35" s="2173"/>
      <c r="U35" s="2173"/>
      <c r="V35" s="2173"/>
      <c r="W35" s="2173"/>
      <c r="X35" s="2173"/>
      <c r="Y35" s="2173"/>
      <c r="Z35" s="2173"/>
      <c r="AA35" s="2173"/>
      <c r="AB35" s="2173"/>
      <c r="AC35" s="2173"/>
      <c r="AD35" s="2173"/>
      <c r="AE35" s="2173"/>
      <c r="AF35" s="2173"/>
      <c r="AG35" s="2173"/>
      <c r="AH35" s="2173"/>
      <c r="AI35" s="2173"/>
      <c r="AJ35" s="2173"/>
      <c r="AK35" s="2173"/>
      <c r="AL35" s="2173"/>
      <c r="AM35" s="2173"/>
      <c r="AN35" s="2173"/>
      <c r="AO35" s="2173"/>
      <c r="AP35" s="2173"/>
      <c r="AQ35" s="2173"/>
      <c r="AR35" s="2173"/>
      <c r="AS35" s="2173"/>
      <c r="AT35" s="2173"/>
      <c r="AU35" s="2173"/>
      <c r="AV35" s="2173"/>
      <c r="AW35" s="2173"/>
      <c r="AX35" s="2173"/>
      <c r="AY35" s="2173"/>
      <c r="AZ35" s="2173"/>
      <c r="BA35" s="2173"/>
      <c r="BB35" s="2173"/>
      <c r="BC35" s="724" t="s">
        <v>637</v>
      </c>
    </row>
    <row r="36" spans="2:256" ht="18" hidden="1" customHeight="1">
      <c r="F36" s="102" t="s">
        <v>6344</v>
      </c>
      <c r="G36" s="2171" t="s">
        <v>2069</v>
      </c>
      <c r="H36" s="2171"/>
      <c r="I36" s="2171"/>
      <c r="J36" s="2171"/>
      <c r="K36" s="2171"/>
      <c r="L36" s="2171"/>
      <c r="M36" s="2171"/>
      <c r="N36" s="2171"/>
      <c r="O36" s="2171"/>
      <c r="P36" s="2171"/>
      <c r="Q36" s="91" t="s">
        <v>944</v>
      </c>
      <c r="R36" s="2171" t="s">
        <v>6032</v>
      </c>
      <c r="S36" s="2171"/>
      <c r="T36" s="2171"/>
      <c r="U36" s="2171"/>
      <c r="V36" s="2171"/>
      <c r="W36" s="2171"/>
      <c r="X36" s="2171"/>
      <c r="Y36" s="2171"/>
      <c r="Z36" s="2171"/>
      <c r="AA36" s="2171"/>
      <c r="AB36" s="2171"/>
      <c r="AC36" s="2171"/>
      <c r="AD36" s="2171"/>
      <c r="AE36" s="2171"/>
      <c r="AF36" s="2171"/>
      <c r="AG36" s="2171"/>
      <c r="AH36" s="2171"/>
      <c r="AI36" s="2171"/>
      <c r="AJ36" s="2171"/>
      <c r="AK36" s="2171"/>
      <c r="AL36" s="2171"/>
      <c r="AM36" s="2171"/>
      <c r="AN36" s="2171"/>
      <c r="AO36" s="2171"/>
      <c r="AP36" s="2171"/>
      <c r="AQ36" s="2171"/>
      <c r="AR36" s="2171"/>
      <c r="AS36" s="2171"/>
      <c r="AT36" s="2171"/>
      <c r="AU36" s="2171"/>
      <c r="AV36" s="2171"/>
      <c r="AW36" s="2171"/>
      <c r="AX36" s="2171"/>
      <c r="AY36" s="2171"/>
      <c r="AZ36" s="2171"/>
      <c r="BA36" s="2171"/>
      <c r="BB36" s="2171"/>
      <c r="BC36" s="724" t="s">
        <v>637</v>
      </c>
    </row>
    <row r="37" spans="2:256" ht="18" hidden="1" customHeight="1">
      <c r="F37" s="102" t="s">
        <v>6344</v>
      </c>
      <c r="G37" s="2171" t="s">
        <v>2070</v>
      </c>
      <c r="H37" s="2171"/>
      <c r="I37" s="2171"/>
      <c r="J37" s="2171"/>
      <c r="K37" s="2171"/>
      <c r="L37" s="2171"/>
      <c r="M37" s="2171"/>
      <c r="N37" s="2171"/>
      <c r="O37" s="2171"/>
      <c r="P37" s="2171"/>
      <c r="Q37" s="91" t="s">
        <v>944</v>
      </c>
      <c r="R37" s="2176" t="s">
        <v>355</v>
      </c>
      <c r="S37" s="2176"/>
      <c r="T37" s="2176"/>
      <c r="U37" s="2176"/>
      <c r="V37" s="2176"/>
      <c r="W37" s="2176"/>
      <c r="X37" s="2176"/>
      <c r="Y37" s="2176"/>
      <c r="Z37" s="2176"/>
      <c r="AA37" s="2176"/>
      <c r="AB37" s="2171" t="s">
        <v>2885</v>
      </c>
      <c r="AC37" s="2171"/>
      <c r="AD37" s="2171"/>
      <c r="AE37" s="2171"/>
      <c r="AF37" s="2171"/>
      <c r="AG37" s="2172" t="s">
        <v>356</v>
      </c>
      <c r="AH37" s="2172"/>
      <c r="AI37" s="2172"/>
      <c r="AJ37" s="2172"/>
      <c r="AK37" s="2172"/>
      <c r="AL37" s="2172"/>
      <c r="AM37" s="2172"/>
      <c r="AN37" s="2172"/>
      <c r="AO37" s="2172"/>
      <c r="AP37" s="2172"/>
      <c r="AQ37" s="2172"/>
      <c r="AR37" s="2172"/>
      <c r="AS37" s="2172"/>
      <c r="AT37" s="2172"/>
      <c r="AU37" s="2172"/>
      <c r="AV37" s="2172"/>
      <c r="AW37" s="2172"/>
      <c r="AX37" s="2172"/>
      <c r="AY37" s="2172"/>
      <c r="AZ37" s="2172"/>
      <c r="BA37" s="2172"/>
      <c r="BB37" s="2172"/>
      <c r="BC37" s="724" t="s">
        <v>637</v>
      </c>
    </row>
    <row r="38" spans="2:256" ht="18" hidden="1" customHeight="1">
      <c r="F38" s="102" t="s">
        <v>6344</v>
      </c>
      <c r="G38" s="2171" t="s">
        <v>2071</v>
      </c>
      <c r="H38" s="2171"/>
      <c r="I38" s="2171"/>
      <c r="J38" s="2171"/>
      <c r="K38" s="2171"/>
      <c r="L38" s="2171"/>
      <c r="M38" s="2171"/>
      <c r="N38" s="2171"/>
      <c r="O38" s="2171"/>
      <c r="P38" s="2171"/>
      <c r="Q38" s="91" t="s">
        <v>944</v>
      </c>
      <c r="R38" s="2176" t="s">
        <v>4630</v>
      </c>
      <c r="S38" s="2176"/>
      <c r="T38" s="2176"/>
      <c r="U38" s="2176"/>
      <c r="V38" s="2176"/>
      <c r="W38" s="2176"/>
      <c r="X38" s="2176"/>
      <c r="Y38" s="2176"/>
      <c r="Z38" s="2176"/>
      <c r="AA38" s="2176"/>
      <c r="AB38" s="2171" t="s">
        <v>2072</v>
      </c>
      <c r="AC38" s="2171"/>
      <c r="AD38" s="2171"/>
      <c r="AE38" s="2171"/>
      <c r="AF38" s="2171"/>
      <c r="AG38" s="2171" t="s">
        <v>1746</v>
      </c>
      <c r="AH38" s="2171"/>
      <c r="AI38" s="2171"/>
      <c r="AJ38" s="2171"/>
      <c r="AK38" s="2171"/>
      <c r="AL38" s="2171"/>
      <c r="AM38" s="2171"/>
      <c r="AN38" s="2171"/>
      <c r="AO38" s="2171"/>
      <c r="AP38" s="2171"/>
      <c r="AQ38" s="2171"/>
      <c r="AR38" s="2171"/>
      <c r="AS38" s="2171"/>
      <c r="AT38" s="2171"/>
      <c r="AU38" s="2171"/>
      <c r="AV38" s="2171"/>
      <c r="AW38" s="2171"/>
      <c r="AX38" s="2171"/>
      <c r="AY38" s="2171"/>
      <c r="AZ38" s="2171"/>
      <c r="BA38" s="2171"/>
      <c r="BB38" s="2171"/>
      <c r="BC38" s="724" t="s">
        <v>637</v>
      </c>
    </row>
    <row r="39" spans="2:256" ht="18" hidden="1" customHeight="1">
      <c r="F39" s="102" t="s">
        <v>6344</v>
      </c>
      <c r="G39" s="2171" t="s">
        <v>2073</v>
      </c>
      <c r="H39" s="2171"/>
      <c r="I39" s="2171"/>
      <c r="J39" s="2171"/>
      <c r="K39" s="2171"/>
      <c r="L39" s="2171"/>
      <c r="M39" s="2171"/>
      <c r="N39" s="2171"/>
      <c r="O39" s="2171"/>
      <c r="P39" s="2171"/>
      <c r="Q39" s="91" t="s">
        <v>944</v>
      </c>
      <c r="R39" s="2171" t="s">
        <v>4863</v>
      </c>
      <c r="S39" s="2171"/>
      <c r="T39" s="2171"/>
      <c r="U39" s="2171"/>
      <c r="V39" s="2171"/>
      <c r="W39" s="2171"/>
      <c r="X39" s="2171"/>
      <c r="Y39" s="2171"/>
      <c r="Z39" s="2171"/>
      <c r="AA39" s="2171"/>
      <c r="AB39" s="2171"/>
      <c r="AC39" s="2171"/>
      <c r="AD39" s="2171"/>
      <c r="AE39" s="2171"/>
      <c r="AF39" s="2171"/>
      <c r="AG39" s="2171"/>
      <c r="AH39" s="2171"/>
      <c r="AI39" s="2171"/>
      <c r="AJ39" s="2171"/>
      <c r="AK39" s="2171"/>
      <c r="AL39" s="2171"/>
      <c r="AM39" s="2171"/>
      <c r="AN39" s="2171"/>
      <c r="AO39" s="2171"/>
      <c r="AP39" s="2171"/>
      <c r="AQ39" s="2171"/>
      <c r="AR39" s="2171"/>
      <c r="AS39" s="2171"/>
      <c r="AT39" s="2171"/>
      <c r="AU39" s="2171"/>
      <c r="AV39" s="2171"/>
      <c r="AW39" s="2171"/>
      <c r="AX39" s="2171"/>
      <c r="AY39" s="2171"/>
      <c r="AZ39" s="2171"/>
      <c r="BA39" s="2171"/>
      <c r="BB39" s="2171"/>
      <c r="BC39" s="724" t="s">
        <v>637</v>
      </c>
    </row>
    <row r="40" spans="2:256" ht="18" hidden="1" customHeight="1">
      <c r="F40" s="102" t="s">
        <v>6344</v>
      </c>
      <c r="G40" s="2171" t="s">
        <v>3484</v>
      </c>
      <c r="H40" s="2171"/>
      <c r="I40" s="2171"/>
      <c r="J40" s="2171"/>
      <c r="K40" s="2171"/>
      <c r="L40" s="2171"/>
      <c r="M40" s="2171"/>
      <c r="N40" s="2171"/>
      <c r="O40" s="2171"/>
      <c r="P40" s="2171"/>
      <c r="Q40" s="91" t="s">
        <v>944</v>
      </c>
      <c r="R40" s="2002" t="s">
        <v>5940</v>
      </c>
      <c r="S40" s="2002"/>
      <c r="T40" s="2030" t="s">
        <v>3488</v>
      </c>
      <c r="U40" s="2030"/>
      <c r="V40" s="2030"/>
      <c r="W40" s="2030"/>
      <c r="X40" s="2030"/>
      <c r="Y40" s="2030"/>
      <c r="Z40" s="2030"/>
      <c r="AA40" s="2030"/>
      <c r="AB40" s="2030"/>
      <c r="AC40" s="2030"/>
      <c r="AD40" s="2030"/>
      <c r="AE40" s="2030"/>
      <c r="AF40" s="2030"/>
      <c r="AG40" s="2030"/>
      <c r="AH40" s="2030"/>
      <c r="AI40" s="2030"/>
      <c r="AJ40" s="2030"/>
      <c r="AK40" s="2030"/>
      <c r="AL40" s="102" t="s">
        <v>3485</v>
      </c>
      <c r="AO40" s="119"/>
      <c r="AP40" s="119"/>
      <c r="AQ40" s="119"/>
      <c r="AR40" s="119" t="s">
        <v>5941</v>
      </c>
      <c r="AS40" s="119"/>
      <c r="AT40" s="119"/>
      <c r="AU40" s="119"/>
      <c r="AV40" s="119"/>
      <c r="AW40" s="119"/>
      <c r="AX40" s="119"/>
      <c r="AY40" s="119"/>
      <c r="AZ40" s="119"/>
      <c r="BA40" s="119"/>
      <c r="BB40" s="119"/>
      <c r="BC40" s="724" t="s">
        <v>637</v>
      </c>
    </row>
    <row r="41" spans="2:256" ht="18" hidden="1" customHeight="1">
      <c r="G41" s="107"/>
      <c r="H41" s="107"/>
      <c r="I41" s="107"/>
      <c r="J41" s="107"/>
      <c r="K41" s="107"/>
      <c r="L41" s="107"/>
      <c r="M41" s="107"/>
      <c r="N41" s="107"/>
      <c r="O41" s="107"/>
      <c r="P41" s="107"/>
      <c r="Q41" s="91"/>
      <c r="R41" s="91"/>
      <c r="S41" s="91"/>
      <c r="T41" s="105"/>
      <c r="U41" s="105"/>
      <c r="V41" s="105"/>
      <c r="W41" s="105"/>
      <c r="X41" s="105"/>
      <c r="Y41" s="105"/>
      <c r="Z41" s="105"/>
      <c r="AA41" s="105"/>
      <c r="AB41" s="105"/>
      <c r="AC41" s="105"/>
      <c r="AD41" s="105"/>
      <c r="AE41" s="105"/>
      <c r="AF41" s="105"/>
      <c r="AG41" s="105"/>
      <c r="AH41" s="105"/>
      <c r="AI41" s="105"/>
      <c r="AJ41" s="105"/>
      <c r="AK41" s="105"/>
      <c r="AO41" s="119"/>
      <c r="AP41" s="119"/>
      <c r="AQ41" s="119"/>
      <c r="AR41" s="119"/>
      <c r="AS41" s="119"/>
      <c r="AT41" s="119"/>
      <c r="AU41" s="119"/>
      <c r="AV41" s="119"/>
      <c r="AW41" s="119"/>
      <c r="AX41" s="119"/>
      <c r="AY41" s="119"/>
      <c r="AZ41" s="119"/>
      <c r="BA41" s="119"/>
      <c r="BB41" s="119"/>
      <c r="BC41" s="724" t="s">
        <v>637</v>
      </c>
    </row>
    <row r="42" spans="2:256" ht="18" hidden="1" customHeight="1">
      <c r="G42" s="107"/>
      <c r="H42" s="107"/>
      <c r="I42" s="107"/>
      <c r="J42" s="107"/>
      <c r="K42" s="107"/>
      <c r="L42" s="107"/>
      <c r="M42" s="107"/>
      <c r="N42" s="107"/>
      <c r="O42" s="107"/>
      <c r="P42" s="107"/>
      <c r="Q42" s="91"/>
      <c r="R42" s="91"/>
      <c r="S42" s="91"/>
      <c r="T42" s="105"/>
      <c r="U42" s="105"/>
      <c r="V42" s="105"/>
      <c r="W42" s="105"/>
      <c r="X42" s="105"/>
      <c r="Y42" s="105"/>
      <c r="Z42" s="105"/>
      <c r="AA42" s="105"/>
      <c r="AB42" s="105"/>
      <c r="AC42" s="105"/>
      <c r="AD42" s="105"/>
      <c r="AE42" s="105"/>
      <c r="AF42" s="105"/>
      <c r="AG42" s="105"/>
      <c r="AH42" s="105"/>
      <c r="AI42" s="105"/>
      <c r="AJ42" s="105"/>
      <c r="AK42" s="105"/>
      <c r="AO42" s="119"/>
      <c r="AP42" s="119"/>
      <c r="AQ42" s="119"/>
      <c r="AR42" s="119"/>
      <c r="AS42" s="119"/>
      <c r="AT42" s="119"/>
      <c r="AU42" s="119"/>
      <c r="AV42" s="119"/>
      <c r="AW42" s="119"/>
      <c r="AX42" s="119"/>
      <c r="AY42" s="119"/>
      <c r="AZ42" s="119"/>
      <c r="BA42" s="119"/>
      <c r="BB42" s="119"/>
      <c r="BC42" s="724" t="s">
        <v>637</v>
      </c>
    </row>
    <row r="43" spans="2:256" ht="18" hidden="1" customHeight="1">
      <c r="G43" s="107"/>
      <c r="H43" s="107"/>
      <c r="I43" s="107"/>
      <c r="J43" s="107"/>
      <c r="K43" s="107"/>
      <c r="L43" s="107"/>
      <c r="M43" s="107"/>
      <c r="N43" s="107"/>
      <c r="O43" s="107"/>
      <c r="P43" s="107"/>
      <c r="Q43" s="91"/>
      <c r="R43" s="91"/>
      <c r="S43" s="91"/>
      <c r="T43" s="105"/>
      <c r="U43" s="105"/>
      <c r="V43" s="105"/>
      <c r="W43" s="105"/>
      <c r="X43" s="105"/>
      <c r="Y43" s="105"/>
      <c r="Z43" s="105"/>
      <c r="AA43" s="105"/>
      <c r="AB43" s="105"/>
      <c r="AC43" s="105"/>
      <c r="AD43" s="105"/>
      <c r="AE43" s="105"/>
      <c r="AF43" s="105"/>
      <c r="AG43" s="105"/>
      <c r="AH43" s="105"/>
      <c r="AI43" s="105"/>
      <c r="AJ43" s="105"/>
      <c r="AK43" s="105"/>
      <c r="AO43" s="119"/>
      <c r="AP43" s="119"/>
      <c r="AQ43" s="119"/>
      <c r="AR43" s="119"/>
      <c r="AS43" s="119"/>
      <c r="AT43" s="119"/>
      <c r="AU43" s="119"/>
      <c r="AV43" s="119"/>
      <c r="AW43" s="119"/>
      <c r="AX43" s="119"/>
      <c r="AY43" s="119"/>
      <c r="AZ43" s="119"/>
      <c r="BA43" s="119"/>
      <c r="BB43" s="119"/>
      <c r="BC43" s="724" t="s">
        <v>637</v>
      </c>
    </row>
    <row r="44" spans="2:256" ht="18" hidden="1" customHeight="1">
      <c r="G44" s="107"/>
      <c r="H44" s="107"/>
      <c r="I44" s="107"/>
      <c r="J44" s="107"/>
      <c r="K44" s="107"/>
      <c r="L44" s="107"/>
      <c r="M44" s="107"/>
      <c r="N44" s="107"/>
      <c r="O44" s="107"/>
      <c r="P44" s="107"/>
      <c r="Q44" s="91"/>
      <c r="R44" s="91"/>
      <c r="S44" s="91"/>
      <c r="T44" s="105"/>
      <c r="U44" s="105"/>
      <c r="V44" s="105"/>
      <c r="W44" s="105"/>
      <c r="X44" s="105"/>
      <c r="Y44" s="105"/>
      <c r="Z44" s="105"/>
      <c r="AA44" s="105"/>
      <c r="AB44" s="105"/>
      <c r="AC44" s="105"/>
      <c r="AD44" s="105"/>
      <c r="AE44" s="105"/>
      <c r="AF44" s="105"/>
      <c r="AG44" s="105"/>
      <c r="AH44" s="105"/>
      <c r="AI44" s="105"/>
      <c r="AJ44" s="105"/>
      <c r="AK44" s="105"/>
      <c r="AO44" s="119"/>
      <c r="AP44" s="119"/>
      <c r="AQ44" s="119"/>
      <c r="AR44" s="119"/>
      <c r="AS44" s="119"/>
      <c r="AT44" s="119"/>
      <c r="AU44" s="119"/>
      <c r="AV44" s="119"/>
      <c r="AW44" s="119"/>
      <c r="AX44" s="119"/>
      <c r="AY44" s="119"/>
      <c r="AZ44" s="119"/>
      <c r="BA44" s="119"/>
      <c r="BB44" s="119"/>
      <c r="BC44" s="724" t="s">
        <v>637</v>
      </c>
    </row>
    <row r="45" spans="2:256" ht="15.75" hidden="1" customHeight="1">
      <c r="B45" s="2030"/>
      <c r="C45" s="2030"/>
      <c r="D45" s="2030"/>
      <c r="E45" s="2030"/>
      <c r="F45" s="2030"/>
      <c r="G45" s="2030"/>
      <c r="H45" s="2030"/>
      <c r="I45" s="2030"/>
      <c r="J45" s="2030"/>
      <c r="K45" s="2030"/>
      <c r="L45" s="2030"/>
      <c r="M45" s="2030"/>
      <c r="N45" s="2030"/>
      <c r="O45" s="2030"/>
      <c r="P45" s="2030"/>
      <c r="Q45" s="2030"/>
      <c r="R45" s="2030"/>
      <c r="S45" s="2030"/>
      <c r="T45" s="2030"/>
      <c r="U45" s="2030"/>
      <c r="V45" s="2030"/>
      <c r="W45" s="2030"/>
      <c r="X45" s="2030"/>
      <c r="Y45" s="2030"/>
      <c r="Z45" s="2030"/>
      <c r="AA45" s="2030"/>
      <c r="AB45" s="2030"/>
      <c r="AC45" s="2030"/>
      <c r="AD45" s="2030"/>
      <c r="AE45" s="2030"/>
      <c r="AF45" s="2030"/>
      <c r="AG45" s="2030"/>
      <c r="AH45" s="2030"/>
      <c r="AI45" s="2030"/>
      <c r="AJ45" s="2030"/>
      <c r="AK45" s="2030"/>
      <c r="AL45" s="2030"/>
      <c r="AM45" s="2030"/>
      <c r="AN45" s="2030"/>
      <c r="AO45" s="2030"/>
      <c r="AP45" s="2030"/>
      <c r="AQ45" s="2030"/>
      <c r="AR45" s="2030"/>
      <c r="AS45" s="2030"/>
      <c r="AT45" s="2030"/>
      <c r="AU45" s="2030"/>
      <c r="AV45" s="2030"/>
      <c r="AW45" s="2030"/>
      <c r="AX45" s="2030"/>
      <c r="AY45" s="2030"/>
      <c r="AZ45" s="2030"/>
      <c r="BA45" s="2030"/>
      <c r="BB45" s="2030"/>
      <c r="BC45" s="724" t="s">
        <v>637</v>
      </c>
      <c r="BD45" s="721"/>
      <c r="BE45" s="2030"/>
      <c r="BF45" s="2030"/>
      <c r="BG45" s="2030"/>
      <c r="BH45" s="2030"/>
      <c r="BI45" s="2030"/>
      <c r="BJ45" s="2030"/>
      <c r="BK45" s="2030"/>
      <c r="BL45" s="2030"/>
      <c r="BM45" s="2030"/>
      <c r="BN45" s="2030"/>
      <c r="BO45" s="2030"/>
      <c r="BP45" s="2030"/>
      <c r="BQ45" s="2030"/>
      <c r="BR45" s="2030"/>
      <c r="BS45" s="2030"/>
      <c r="BT45" s="2030"/>
      <c r="BU45" s="2030"/>
      <c r="BV45" s="2030"/>
      <c r="BW45" s="2030"/>
      <c r="BX45" s="2030"/>
      <c r="BY45" s="2030"/>
      <c r="BZ45" s="2030"/>
      <c r="CA45" s="2030"/>
      <c r="CB45" s="2030"/>
      <c r="CC45" s="2030"/>
      <c r="CD45" s="2030"/>
      <c r="CE45" s="2030"/>
      <c r="CF45" s="2030"/>
      <c r="CG45" s="2030"/>
      <c r="CH45" s="2030"/>
      <c r="CI45" s="2030"/>
      <c r="CJ45" s="2030"/>
      <c r="CK45" s="2030"/>
      <c r="CL45" s="2030"/>
      <c r="CM45" s="2030"/>
      <c r="CN45" s="2030"/>
      <c r="CO45" s="2030"/>
      <c r="CP45" s="2030"/>
      <c r="CQ45" s="2030"/>
      <c r="CR45" s="2030"/>
      <c r="CS45" s="2030"/>
      <c r="CT45" s="2030"/>
      <c r="CU45" s="2030"/>
      <c r="CV45" s="2030"/>
      <c r="CW45" s="2030"/>
      <c r="CX45" s="2030"/>
      <c r="CY45" s="2030"/>
      <c r="CZ45" s="2030"/>
      <c r="DA45" s="2030"/>
      <c r="DB45" s="2030"/>
      <c r="DC45" s="2030"/>
      <c r="DD45" s="2030"/>
      <c r="DE45" s="2030"/>
      <c r="DF45" s="724"/>
      <c r="DG45" s="721"/>
      <c r="DH45" s="2030"/>
      <c r="DI45" s="2030"/>
      <c r="DJ45" s="2030"/>
      <c r="DK45" s="2030"/>
      <c r="DL45" s="2030"/>
      <c r="DM45" s="2030"/>
      <c r="DN45" s="2030"/>
      <c r="DO45" s="2030"/>
      <c r="DP45" s="2030"/>
      <c r="DQ45" s="2030"/>
      <c r="DR45" s="2030"/>
      <c r="DS45" s="2030"/>
      <c r="DT45" s="2030"/>
      <c r="DU45" s="2030"/>
      <c r="DV45" s="2030"/>
      <c r="DW45" s="2030"/>
      <c r="DX45" s="2030"/>
      <c r="DY45" s="2030"/>
      <c r="DZ45" s="2030"/>
      <c r="EA45" s="2030"/>
      <c r="EB45" s="2030"/>
      <c r="EC45" s="2030"/>
      <c r="ED45" s="2030"/>
      <c r="EE45" s="2030"/>
      <c r="EF45" s="2030"/>
      <c r="EG45" s="2030"/>
      <c r="EH45" s="2030"/>
      <c r="EI45" s="2030"/>
      <c r="EJ45" s="2030"/>
      <c r="EK45" s="2030"/>
      <c r="EL45" s="2030"/>
      <c r="EM45" s="2030"/>
      <c r="EN45" s="2030"/>
      <c r="EO45" s="2030"/>
      <c r="EP45" s="2030"/>
      <c r="EQ45" s="2030"/>
      <c r="ER45" s="2030"/>
      <c r="ES45" s="2030"/>
      <c r="ET45" s="2030"/>
      <c r="EU45" s="2030"/>
      <c r="EV45" s="2030"/>
      <c r="EW45" s="2030"/>
      <c r="EX45" s="2030"/>
      <c r="EY45" s="2030"/>
      <c r="EZ45" s="2030"/>
      <c r="FA45" s="2030"/>
      <c r="FB45" s="2030"/>
      <c r="FC45" s="2030"/>
      <c r="FD45" s="2030"/>
      <c r="FE45" s="2030"/>
      <c r="FF45" s="2030"/>
      <c r="FG45" s="2030"/>
      <c r="FH45" s="2030"/>
      <c r="FI45" s="724"/>
      <c r="FJ45" s="721"/>
      <c r="FK45" s="2030"/>
      <c r="FL45" s="2030"/>
      <c r="FM45" s="2030"/>
      <c r="FN45" s="2030"/>
      <c r="FO45" s="2030"/>
      <c r="FP45" s="2030"/>
      <c r="FQ45" s="2030"/>
      <c r="FR45" s="2030"/>
      <c r="FS45" s="2030"/>
      <c r="FT45" s="2030"/>
      <c r="FU45" s="2030"/>
      <c r="FV45" s="2030"/>
      <c r="FW45" s="2030"/>
      <c r="FX45" s="2030"/>
      <c r="FY45" s="2030"/>
      <c r="FZ45" s="2030"/>
      <c r="GA45" s="2030"/>
      <c r="GB45" s="2030"/>
      <c r="GC45" s="2030"/>
      <c r="GD45" s="2030"/>
      <c r="GE45" s="2030"/>
      <c r="GF45" s="2030"/>
      <c r="GG45" s="2030"/>
      <c r="GH45" s="2030"/>
      <c r="GI45" s="2030"/>
      <c r="GJ45" s="2030"/>
      <c r="GK45" s="2030"/>
      <c r="GL45" s="2030"/>
      <c r="GM45" s="2030"/>
      <c r="GN45" s="2030"/>
      <c r="GO45" s="2030"/>
      <c r="GP45" s="2030"/>
      <c r="GQ45" s="2030"/>
      <c r="GR45" s="2030"/>
      <c r="GS45" s="2030"/>
      <c r="GT45" s="2030"/>
      <c r="GU45" s="2030"/>
      <c r="GV45" s="2030"/>
      <c r="GW45" s="2030"/>
      <c r="GX45" s="2030"/>
      <c r="GY45" s="2030"/>
      <c r="GZ45" s="2030"/>
      <c r="HA45" s="2030"/>
      <c r="HB45" s="2030"/>
      <c r="HC45" s="2030"/>
      <c r="HD45" s="2030"/>
      <c r="HE45" s="2030"/>
      <c r="HF45" s="2030"/>
      <c r="HG45" s="2030"/>
      <c r="HH45" s="2030"/>
      <c r="HI45" s="2030"/>
      <c r="HJ45" s="2030"/>
      <c r="HK45" s="2030"/>
      <c r="HL45" s="724"/>
      <c r="HM45" s="721"/>
      <c r="HN45" s="2030"/>
      <c r="HO45" s="2030"/>
      <c r="HP45" s="2030"/>
      <c r="HQ45" s="2030"/>
      <c r="HR45" s="2030"/>
      <c r="HS45" s="2030"/>
      <c r="HT45" s="2030"/>
      <c r="HU45" s="2030"/>
      <c r="HV45" s="2030"/>
      <c r="HW45" s="2030"/>
      <c r="HX45" s="2030"/>
      <c r="HY45" s="2030"/>
      <c r="HZ45" s="2030"/>
      <c r="IA45" s="2030"/>
      <c r="IB45" s="2030"/>
      <c r="IC45" s="2030"/>
      <c r="ID45" s="2030"/>
      <c r="IE45" s="2030"/>
      <c r="IF45" s="2030"/>
      <c r="IG45" s="2030"/>
      <c r="IH45" s="2030"/>
      <c r="II45" s="2030"/>
      <c r="IJ45" s="2030"/>
      <c r="IK45" s="2030"/>
      <c r="IL45" s="2030"/>
      <c r="IM45" s="2030"/>
      <c r="IN45" s="2030"/>
      <c r="IO45" s="2030"/>
      <c r="IP45" s="2030"/>
      <c r="IQ45" s="2030"/>
      <c r="IR45" s="2030"/>
      <c r="IS45" s="2030"/>
      <c r="IT45" s="2030"/>
      <c r="IU45" s="2030"/>
      <c r="IV45" s="2030"/>
    </row>
    <row r="46" spans="2:256" ht="15.75" hidden="1">
      <c r="B46" s="2030" t="s">
        <v>3489</v>
      </c>
      <c r="C46" s="2030"/>
      <c r="D46" s="2030"/>
      <c r="E46" s="2030"/>
      <c r="F46" s="2030"/>
      <c r="G46" s="2030"/>
      <c r="H46" s="2030"/>
      <c r="I46" s="2030"/>
      <c r="J46" s="2030"/>
      <c r="K46" s="2030"/>
      <c r="L46" s="2030"/>
      <c r="M46" s="2030"/>
      <c r="N46" s="2030"/>
      <c r="O46" s="2030"/>
      <c r="P46" s="2030"/>
      <c r="Q46" s="2030"/>
      <c r="R46" s="2030"/>
      <c r="S46" s="2030"/>
      <c r="T46" s="2030"/>
      <c r="U46" s="2030"/>
      <c r="V46" s="2030"/>
      <c r="W46" s="2030"/>
      <c r="X46" s="2030"/>
      <c r="Y46" s="2030"/>
      <c r="Z46" s="2030"/>
      <c r="AA46" s="2030"/>
      <c r="AB46" s="2030"/>
      <c r="AC46" s="2030"/>
      <c r="AD46" s="2030"/>
      <c r="AE46" s="2030"/>
      <c r="AF46" s="2030"/>
      <c r="AG46" s="2030"/>
      <c r="AH46" s="2030"/>
      <c r="AI46" s="2030"/>
      <c r="AJ46" s="2030"/>
      <c r="AK46" s="2030"/>
      <c r="AL46" s="2030"/>
      <c r="AM46" s="2030"/>
      <c r="AN46" s="2030"/>
      <c r="AO46" s="2030"/>
      <c r="AP46" s="2030"/>
      <c r="AQ46" s="2030"/>
      <c r="AR46" s="2030"/>
      <c r="AS46" s="2030"/>
      <c r="AT46" s="2030"/>
      <c r="AU46" s="2030"/>
      <c r="AV46" s="2030"/>
      <c r="AW46" s="2030"/>
      <c r="AX46" s="2030"/>
      <c r="AY46" s="2030"/>
      <c r="AZ46" s="2030"/>
      <c r="BA46" s="2030"/>
      <c r="BB46" s="2030"/>
      <c r="BC46" s="724" t="s">
        <v>637</v>
      </c>
    </row>
    <row r="47" spans="2:256" ht="20.100000000000001" hidden="1" customHeight="1">
      <c r="B47" s="2030" t="s">
        <v>4631</v>
      </c>
      <c r="C47" s="2030"/>
      <c r="D47" s="2030"/>
      <c r="E47" s="2030"/>
      <c r="F47" s="2030"/>
      <c r="G47" s="2030"/>
      <c r="H47" s="2030"/>
      <c r="I47" s="2030"/>
      <c r="J47" s="2030"/>
      <c r="K47" s="2030"/>
      <c r="L47" s="2030"/>
      <c r="M47" s="2030"/>
      <c r="N47" s="2030"/>
      <c r="O47" s="2030"/>
      <c r="P47" s="2030"/>
      <c r="Q47" s="2030"/>
      <c r="R47" s="2030"/>
      <c r="S47" s="2030"/>
      <c r="T47" s="2030"/>
      <c r="U47" s="2030"/>
      <c r="V47" s="2030"/>
      <c r="W47" s="2030"/>
      <c r="X47" s="2030"/>
      <c r="Y47" s="2030"/>
      <c r="Z47" s="2030"/>
      <c r="AA47" s="2030"/>
      <c r="AB47" s="2030"/>
      <c r="AC47" s="2030"/>
      <c r="AD47" s="2030"/>
      <c r="AE47" s="2030"/>
      <c r="AF47" s="2030"/>
      <c r="AG47" s="2030"/>
      <c r="AH47" s="2030"/>
      <c r="AI47" s="2030"/>
      <c r="AJ47" s="2030"/>
      <c r="AK47" s="2030"/>
      <c r="AL47" s="2030"/>
      <c r="AM47" s="2030"/>
      <c r="AN47" s="2030"/>
      <c r="AO47" s="2030"/>
      <c r="AP47" s="2030"/>
      <c r="AQ47" s="2030"/>
      <c r="AR47" s="2030"/>
      <c r="AS47" s="2030"/>
      <c r="AT47" s="2030"/>
      <c r="AU47" s="2030"/>
      <c r="AV47" s="2030"/>
      <c r="AW47" s="2030"/>
      <c r="AX47" s="2030"/>
      <c r="AY47" s="2030"/>
      <c r="AZ47" s="2030"/>
      <c r="BA47" s="2030"/>
      <c r="BB47" s="2030"/>
      <c r="BC47" s="724" t="s">
        <v>637</v>
      </c>
    </row>
    <row r="48" spans="2:256" ht="18" hidden="1" customHeight="1">
      <c r="D48" s="2173" t="s">
        <v>5270</v>
      </c>
      <c r="E48" s="2180"/>
      <c r="F48" s="2180"/>
      <c r="G48" s="2180"/>
      <c r="H48" s="2180"/>
      <c r="I48" s="2180"/>
      <c r="J48" s="2180"/>
      <c r="K48" s="2180"/>
      <c r="L48" s="2180"/>
      <c r="M48" s="2180"/>
      <c r="N48" s="2180"/>
      <c r="O48" s="2180"/>
      <c r="P48" s="2180"/>
      <c r="Q48" s="2180"/>
      <c r="R48" s="2180"/>
      <c r="S48" s="2180"/>
      <c r="T48" s="2180"/>
      <c r="U48" s="2180"/>
      <c r="V48" s="2180"/>
      <c r="W48" s="2180"/>
      <c r="X48" s="2180"/>
      <c r="Y48" s="2180"/>
      <c r="Z48" s="2180"/>
      <c r="AA48" s="2180"/>
      <c r="AB48" s="2180"/>
      <c r="AC48" s="2180"/>
      <c r="AD48" s="2180"/>
      <c r="AE48" s="2180"/>
      <c r="AF48" s="2180"/>
      <c r="AG48" s="2180"/>
      <c r="AH48" s="2180"/>
      <c r="AI48" s="2180"/>
      <c r="AJ48" s="2180"/>
      <c r="AK48" s="2180"/>
      <c r="AL48" s="2180"/>
      <c r="AM48" s="2180"/>
      <c r="AN48" s="2180"/>
      <c r="AO48" s="2180"/>
      <c r="AP48" s="2180"/>
      <c r="AQ48" s="2180"/>
      <c r="AR48" s="2180"/>
      <c r="AS48" s="2180"/>
      <c r="AT48" s="2180"/>
      <c r="AU48" s="2180"/>
      <c r="AV48" s="2180"/>
      <c r="AW48" s="2180"/>
      <c r="AX48" s="2180"/>
      <c r="AY48" s="2180"/>
      <c r="AZ48" s="2180"/>
      <c r="BA48" s="2180"/>
      <c r="BB48" s="2180"/>
      <c r="BC48" s="724" t="s">
        <v>637</v>
      </c>
    </row>
    <row r="49" spans="2:55" ht="18" hidden="1" customHeight="1">
      <c r="B49" s="2030" t="str">
        <f>+"Công trình: "&amp;NL!$U$3</f>
        <v>Công trình: XÂY DỰNG ĐƯỜNG DÂY TRUNG HẠ ÁP &amp; TRẠM BIẾN ÁP</v>
      </c>
      <c r="C49" s="2030"/>
      <c r="D49" s="2030"/>
      <c r="E49" s="2030"/>
      <c r="F49" s="2030"/>
      <c r="G49" s="2030"/>
      <c r="H49" s="2030"/>
      <c r="I49" s="2030"/>
      <c r="J49" s="2030"/>
      <c r="K49" s="2030"/>
      <c r="L49" s="2030"/>
      <c r="M49" s="2030"/>
      <c r="N49" s="2030"/>
      <c r="O49" s="2030"/>
      <c r="P49" s="2030"/>
      <c r="Q49" s="2030"/>
      <c r="R49" s="2030"/>
      <c r="S49" s="2030"/>
      <c r="T49" s="2030"/>
      <c r="U49" s="2030"/>
      <c r="V49" s="2030"/>
      <c r="W49" s="2030"/>
      <c r="X49" s="2030"/>
      <c r="Y49" s="2030"/>
      <c r="Z49" s="2030"/>
      <c r="AA49" s="2030"/>
      <c r="AB49" s="2030"/>
      <c r="AC49" s="2030"/>
      <c r="AD49" s="2030"/>
      <c r="AE49" s="2030"/>
      <c r="AF49" s="2030"/>
      <c r="AG49" s="2030"/>
      <c r="AH49" s="2030"/>
      <c r="AI49" s="2030"/>
      <c r="AJ49" s="2030"/>
      <c r="AK49" s="2030"/>
      <c r="AL49" s="2030"/>
      <c r="AM49" s="2030"/>
      <c r="AN49" s="2030"/>
      <c r="AO49" s="2030"/>
      <c r="AP49" s="2030"/>
      <c r="AQ49" s="2030"/>
      <c r="AR49" s="2030"/>
      <c r="AS49" s="2030"/>
      <c r="AT49" s="2030"/>
      <c r="AU49" s="2030"/>
      <c r="AV49" s="2030"/>
      <c r="AW49" s="2030"/>
      <c r="AX49" s="2030"/>
      <c r="AY49" s="2030"/>
      <c r="AZ49" s="2030"/>
      <c r="BA49" s="2030"/>
      <c r="BB49" s="2030"/>
      <c r="BC49" s="724" t="s">
        <v>637</v>
      </c>
    </row>
    <row r="50" spans="2:55" ht="18" hidden="1" customHeight="1">
      <c r="B50" s="2030" t="str">
        <f>NL!$U$4</f>
        <v>HUYỆN CHÂU THÀNH, TX NGÃ BẢY</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0"/>
      <c r="AP50" s="2030"/>
      <c r="AQ50" s="2030"/>
      <c r="AR50" s="2030"/>
      <c r="AS50" s="2030"/>
      <c r="AT50" s="2030"/>
      <c r="AU50" s="2030"/>
      <c r="AV50" s="2030"/>
      <c r="AW50" s="2030"/>
      <c r="AX50" s="2030"/>
      <c r="AY50" s="2030"/>
      <c r="AZ50" s="2030"/>
      <c r="BA50" s="2030"/>
      <c r="BB50" s="2030"/>
      <c r="BC50" s="724" t="s">
        <v>637</v>
      </c>
    </row>
    <row r="51" spans="2:55" ht="18" hidden="1" customHeight="1">
      <c r="B51" s="2030" t="str">
        <f>+"Địa điểm: "&amp;NL!$U$5</f>
        <v>Địa điểm: Huyện Châu Thành &amp; Tx.Ngã Bảy, tỉnh Hậu Giang</v>
      </c>
      <c r="C51" s="2030"/>
      <c r="D51" s="2030"/>
      <c r="E51" s="2030"/>
      <c r="F51" s="2030"/>
      <c r="G51" s="2030"/>
      <c r="H51" s="2030"/>
      <c r="I51" s="2030"/>
      <c r="J51" s="2030"/>
      <c r="K51" s="2030"/>
      <c r="L51" s="2030"/>
      <c r="M51" s="2030"/>
      <c r="N51" s="2030"/>
      <c r="O51" s="2030"/>
      <c r="P51" s="2030"/>
      <c r="Q51" s="2030"/>
      <c r="R51" s="2030"/>
      <c r="S51" s="2030"/>
      <c r="T51" s="2030"/>
      <c r="U51" s="2030"/>
      <c r="V51" s="2030"/>
      <c r="W51" s="2030"/>
      <c r="X51" s="2030"/>
      <c r="Y51" s="2030"/>
      <c r="Z51" s="2030"/>
      <c r="AA51" s="2030"/>
      <c r="AB51" s="2030"/>
      <c r="AC51" s="2030"/>
      <c r="AD51" s="2030"/>
      <c r="AE51" s="2030"/>
      <c r="AF51" s="2030"/>
      <c r="AG51" s="2030"/>
      <c r="AH51" s="2030"/>
      <c r="AI51" s="2030"/>
      <c r="AJ51" s="2030"/>
      <c r="AK51" s="2030"/>
      <c r="AL51" s="2030"/>
      <c r="AM51" s="2030"/>
      <c r="AN51" s="2030"/>
      <c r="AO51" s="2030"/>
      <c r="AP51" s="2030"/>
      <c r="AQ51" s="2030"/>
      <c r="AR51" s="2030"/>
      <c r="AS51" s="2030"/>
      <c r="AT51" s="2030"/>
      <c r="AU51" s="2030"/>
      <c r="AV51" s="2030"/>
      <c r="AW51" s="2030"/>
      <c r="AX51" s="2030"/>
      <c r="AY51" s="2030"/>
      <c r="AZ51" s="2030"/>
      <c r="BA51" s="2030"/>
      <c r="BB51" s="2030"/>
      <c r="BC51" s="724" t="s">
        <v>637</v>
      </c>
    </row>
    <row r="52" spans="2:55" ht="18" hidden="1" customHeight="1">
      <c r="F52" s="2171" t="s">
        <v>4943</v>
      </c>
      <c r="G52" s="2171"/>
      <c r="H52" s="2171"/>
      <c r="I52" s="2171"/>
      <c r="J52" s="2171"/>
      <c r="K52" s="2171"/>
      <c r="L52" s="2171"/>
      <c r="M52" s="2171"/>
      <c r="N52" s="2171"/>
      <c r="O52" s="2171"/>
      <c r="P52" s="2171"/>
      <c r="Q52" s="2171"/>
      <c r="R52" s="2171"/>
      <c r="S52" s="2171"/>
      <c r="T52" s="2171"/>
      <c r="U52" s="2171"/>
      <c r="V52" s="2171"/>
      <c r="W52" s="2171"/>
      <c r="X52" s="2171"/>
      <c r="Y52" s="2171"/>
      <c r="Z52" s="2171"/>
      <c r="AA52" s="2171"/>
      <c r="AB52" s="2171"/>
      <c r="AC52" s="2171"/>
      <c r="AD52" s="2171"/>
      <c r="AE52" s="2171"/>
      <c r="AF52" s="2171"/>
      <c r="AG52" s="2171"/>
      <c r="AH52" s="2171"/>
      <c r="AI52" s="2171"/>
      <c r="AJ52" s="2171"/>
      <c r="AK52" s="2171"/>
      <c r="AL52" s="2171"/>
      <c r="AM52" s="2171"/>
      <c r="AN52" s="2171"/>
      <c r="AO52" s="2171"/>
      <c r="AP52" s="2171"/>
      <c r="AQ52" s="2171"/>
      <c r="AR52" s="2171"/>
      <c r="AS52" s="2171"/>
      <c r="AT52" s="2171"/>
      <c r="AU52" s="2171"/>
      <c r="AV52" s="2171"/>
      <c r="AW52" s="2171"/>
      <c r="AX52" s="2171"/>
      <c r="AY52" s="2171"/>
      <c r="AZ52" s="2171"/>
      <c r="BA52" s="2171"/>
      <c r="BB52" s="2171"/>
      <c r="BC52" s="724" t="s">
        <v>637</v>
      </c>
    </row>
    <row r="53" spans="2:55" ht="18" hidden="1" customHeight="1">
      <c r="F53" s="102" t="s">
        <v>6344</v>
      </c>
      <c r="G53" s="2171" t="s">
        <v>51</v>
      </c>
      <c r="H53" s="2171"/>
      <c r="I53" s="2171"/>
      <c r="J53" s="2171"/>
      <c r="K53" s="2171"/>
      <c r="L53" s="2171"/>
      <c r="M53" s="2171"/>
      <c r="N53" s="2171"/>
      <c r="O53" s="2171"/>
      <c r="P53" s="2171"/>
      <c r="Q53" s="2171"/>
      <c r="R53" s="2171"/>
      <c r="S53" s="2171"/>
      <c r="T53" s="2171"/>
      <c r="U53" s="2171"/>
      <c r="V53" s="2171"/>
      <c r="W53" s="2171"/>
      <c r="X53" s="2171"/>
      <c r="Y53" s="2171"/>
      <c r="Z53" s="2171"/>
      <c r="AA53" s="2171"/>
      <c r="AB53" s="2171"/>
      <c r="AC53" s="2171"/>
      <c r="AD53" s="2171"/>
      <c r="AE53" s="2171"/>
      <c r="AF53" s="2171"/>
      <c r="AG53" s="2171"/>
      <c r="AH53" s="2171"/>
      <c r="AI53" s="2171"/>
      <c r="AJ53" s="2171"/>
      <c r="AK53" s="2171"/>
      <c r="AL53" s="2171"/>
      <c r="AM53" s="2171"/>
      <c r="AN53" s="2171"/>
      <c r="AO53" s="2171"/>
      <c r="AP53" s="2171"/>
      <c r="AQ53" s="2171"/>
      <c r="AR53" s="2171"/>
      <c r="AS53" s="2171"/>
      <c r="AT53" s="2171"/>
      <c r="AU53" s="2171"/>
      <c r="AV53" s="2171"/>
      <c r="AW53" s="2171"/>
      <c r="AX53" s="2171"/>
      <c r="AY53" s="2171"/>
      <c r="AZ53" s="2171"/>
      <c r="BA53" s="2171"/>
      <c r="BB53" s="2171"/>
      <c r="BC53" s="724" t="s">
        <v>637</v>
      </c>
    </row>
    <row r="54" spans="2:55" ht="18" hidden="1" customHeight="1">
      <c r="B54" s="2171" t="s">
        <v>4240</v>
      </c>
      <c r="C54" s="2171"/>
      <c r="D54" s="2171"/>
      <c r="E54" s="2171"/>
      <c r="F54" s="2171"/>
      <c r="G54" s="2171"/>
      <c r="H54" s="2171"/>
      <c r="I54" s="2171"/>
      <c r="J54" s="2171"/>
      <c r="K54" s="2171"/>
      <c r="L54" s="2171"/>
      <c r="M54" s="2171"/>
      <c r="N54" s="2171"/>
      <c r="O54" s="2171"/>
      <c r="P54" s="2171"/>
      <c r="Q54" s="2171"/>
      <c r="R54" s="2171"/>
      <c r="S54" s="2171"/>
      <c r="T54" s="2171"/>
      <c r="U54" s="2171"/>
      <c r="V54" s="2171"/>
      <c r="W54" s="2171"/>
      <c r="X54" s="2171"/>
      <c r="Y54" s="2171"/>
      <c r="Z54" s="2171"/>
      <c r="AA54" s="2171"/>
      <c r="AB54" s="2171"/>
      <c r="AC54" s="2171"/>
      <c r="AD54" s="2171"/>
      <c r="AE54" s="2171"/>
      <c r="AF54" s="2171"/>
      <c r="AG54" s="2171"/>
      <c r="AH54" s="2171"/>
      <c r="AI54" s="2171"/>
      <c r="AJ54" s="2171"/>
      <c r="AK54" s="2171"/>
      <c r="AL54" s="2171"/>
      <c r="AM54" s="2171"/>
      <c r="AN54" s="2171"/>
      <c r="AO54" s="2171"/>
      <c r="AP54" s="2171"/>
      <c r="AQ54" s="2171"/>
      <c r="AR54" s="2171"/>
      <c r="AS54" s="2171"/>
      <c r="AT54" s="2171"/>
      <c r="AU54" s="2171"/>
      <c r="AV54" s="2171"/>
      <c r="AW54" s="2171"/>
      <c r="AX54" s="2171"/>
      <c r="AY54" s="2171"/>
      <c r="AZ54" s="2171"/>
      <c r="BA54" s="2171"/>
      <c r="BB54" s="2171"/>
      <c r="BC54" s="724" t="s">
        <v>637</v>
      </c>
    </row>
    <row r="55" spans="2:55" ht="18" hidden="1" customHeight="1">
      <c r="B55" s="2171" t="s">
        <v>4241</v>
      </c>
      <c r="C55" s="2171"/>
      <c r="D55" s="2171"/>
      <c r="E55" s="2171"/>
      <c r="F55" s="2171"/>
      <c r="G55" s="2171"/>
      <c r="H55" s="2171"/>
      <c r="I55" s="2171"/>
      <c r="J55" s="2171"/>
      <c r="K55" s="2171"/>
      <c r="L55" s="2171"/>
      <c r="M55" s="2171"/>
      <c r="N55" s="2171"/>
      <c r="O55" s="2171"/>
      <c r="P55" s="2171"/>
      <c r="Q55" s="2171"/>
      <c r="R55" s="2171"/>
      <c r="S55" s="2171"/>
      <c r="T55" s="2171"/>
      <c r="U55" s="2171"/>
      <c r="V55" s="2171"/>
      <c r="W55" s="2171"/>
      <c r="X55" s="2171"/>
      <c r="Y55" s="2171"/>
      <c r="Z55" s="2171"/>
      <c r="AA55" s="2171"/>
      <c r="AB55" s="2171"/>
      <c r="AC55" s="2171"/>
      <c r="AD55" s="2171"/>
      <c r="AE55" s="2171"/>
      <c r="AF55" s="2171"/>
      <c r="AG55" s="2171"/>
      <c r="AH55" s="2171"/>
      <c r="AI55" s="2171"/>
      <c r="AJ55" s="2171"/>
      <c r="AK55" s="2171"/>
      <c r="AL55" s="2171"/>
      <c r="AM55" s="2171"/>
      <c r="AN55" s="2171"/>
      <c r="AO55" s="2171"/>
      <c r="AP55" s="2171"/>
      <c r="AQ55" s="2171"/>
      <c r="AR55" s="2171"/>
      <c r="AS55" s="2171"/>
      <c r="AT55" s="2171"/>
      <c r="AU55" s="2171"/>
      <c r="AV55" s="2171"/>
      <c r="AW55" s="2171"/>
      <c r="AX55" s="2171"/>
      <c r="AY55" s="2171"/>
      <c r="AZ55" s="2171"/>
      <c r="BA55" s="2171"/>
      <c r="BB55" s="2171"/>
      <c r="BC55" s="724" t="s">
        <v>637</v>
      </c>
    </row>
    <row r="56" spans="2:55" ht="18" hidden="1" customHeight="1">
      <c r="F56" s="102" t="s">
        <v>6344</v>
      </c>
      <c r="G56" s="2171" t="s">
        <v>4242</v>
      </c>
      <c r="H56" s="2171"/>
      <c r="I56" s="2171"/>
      <c r="J56" s="2171"/>
      <c r="K56" s="2171"/>
      <c r="L56" s="2171"/>
      <c r="M56" s="2171"/>
      <c r="N56" s="2171"/>
      <c r="O56" s="2171"/>
      <c r="P56" s="2171"/>
      <c r="Q56" s="2171"/>
      <c r="R56" s="2171"/>
      <c r="S56" s="2171"/>
      <c r="T56" s="2171"/>
      <c r="U56" s="2171"/>
      <c r="V56" s="2171"/>
      <c r="W56" s="2171"/>
      <c r="X56" s="2171"/>
      <c r="Y56" s="2171"/>
      <c r="Z56" s="2171"/>
      <c r="AA56" s="2171"/>
      <c r="AB56" s="2171"/>
      <c r="AC56" s="2171"/>
      <c r="AD56" s="2171"/>
      <c r="AE56" s="2171"/>
      <c r="AF56" s="2171"/>
      <c r="AG56" s="2171"/>
      <c r="AH56" s="2171"/>
      <c r="AI56" s="2171"/>
      <c r="AJ56" s="2171"/>
      <c r="AK56" s="2171"/>
      <c r="AL56" s="2171"/>
      <c r="AM56" s="2171"/>
      <c r="AN56" s="2171"/>
      <c r="AO56" s="2171"/>
      <c r="AP56" s="2171"/>
      <c r="AQ56" s="2171"/>
      <c r="AR56" s="2171"/>
      <c r="AS56" s="2171"/>
      <c r="AT56" s="2171"/>
      <c r="AU56" s="2171"/>
      <c r="AV56" s="2171"/>
      <c r="AW56" s="2171"/>
      <c r="AX56" s="2171"/>
      <c r="AY56" s="2171"/>
      <c r="AZ56" s="2171"/>
      <c r="BA56" s="2171"/>
      <c r="BB56" s="2171"/>
      <c r="BC56" s="724" t="s">
        <v>637</v>
      </c>
    </row>
    <row r="57" spans="2:55" ht="18" hidden="1" customHeight="1">
      <c r="B57" s="2171" t="s">
        <v>6167</v>
      </c>
      <c r="C57" s="2171"/>
      <c r="D57" s="2171"/>
      <c r="E57" s="2171"/>
      <c r="F57" s="2171"/>
      <c r="G57" s="2171"/>
      <c r="H57" s="2171"/>
      <c r="I57" s="2171"/>
      <c r="J57" s="2171"/>
      <c r="K57" s="2171"/>
      <c r="L57" s="2171"/>
      <c r="M57" s="2171"/>
      <c r="N57" s="2171"/>
      <c r="O57" s="2171"/>
      <c r="P57" s="2171"/>
      <c r="Q57" s="2171"/>
      <c r="R57" s="2171"/>
      <c r="S57" s="2171"/>
      <c r="T57" s="2171"/>
      <c r="U57" s="2171"/>
      <c r="V57" s="2171"/>
      <c r="W57" s="2171"/>
      <c r="X57" s="2171"/>
      <c r="Y57" s="2171"/>
      <c r="Z57" s="2171"/>
      <c r="AA57" s="2171"/>
      <c r="AB57" s="2171"/>
      <c r="AC57" s="2171"/>
      <c r="AD57" s="2171"/>
      <c r="AE57" s="2171"/>
      <c r="AF57" s="2171"/>
      <c r="AG57" s="2171"/>
      <c r="AH57" s="2171"/>
      <c r="AI57" s="2171"/>
      <c r="AJ57" s="2171"/>
      <c r="AK57" s="2171"/>
      <c r="AL57" s="2171"/>
      <c r="AM57" s="2171"/>
      <c r="AN57" s="2171"/>
      <c r="AO57" s="2171"/>
      <c r="AP57" s="2171"/>
      <c r="AQ57" s="2171"/>
      <c r="AR57" s="2171"/>
      <c r="AS57" s="2171"/>
      <c r="AT57" s="2171"/>
      <c r="AU57" s="2171"/>
      <c r="AV57" s="2171"/>
      <c r="AW57" s="2171"/>
      <c r="AX57" s="2171"/>
      <c r="AY57" s="2171"/>
      <c r="AZ57" s="2171"/>
      <c r="BA57" s="2171"/>
      <c r="BB57" s="2171"/>
      <c r="BC57" s="724" t="s">
        <v>637</v>
      </c>
    </row>
    <row r="58" spans="2:55" ht="20.100000000000001" hidden="1" customHeight="1">
      <c r="B58" s="2171" t="s">
        <v>4243</v>
      </c>
      <c r="C58" s="2171"/>
      <c r="D58" s="2171"/>
      <c r="E58" s="2171"/>
      <c r="F58" s="2171"/>
      <c r="G58" s="2171"/>
      <c r="H58" s="2171"/>
      <c r="I58" s="2171"/>
      <c r="J58" s="2171"/>
      <c r="K58" s="2171"/>
      <c r="L58" s="2171"/>
      <c r="M58" s="2171"/>
      <c r="N58" s="2171"/>
      <c r="O58" s="2171"/>
      <c r="P58" s="2171"/>
      <c r="Q58" s="2171"/>
      <c r="R58" s="2171"/>
      <c r="S58" s="2171"/>
      <c r="T58" s="2171"/>
      <c r="U58" s="2171"/>
      <c r="V58" s="2171"/>
      <c r="W58" s="2171"/>
      <c r="X58" s="2171"/>
      <c r="Y58" s="2171"/>
      <c r="Z58" s="2171"/>
      <c r="AA58" s="2171"/>
      <c r="AB58" s="2171"/>
      <c r="AC58" s="2171"/>
      <c r="AD58" s="2171"/>
      <c r="AE58" s="2171"/>
      <c r="AF58" s="2171"/>
      <c r="AG58" s="2171"/>
      <c r="AH58" s="2171"/>
      <c r="AI58" s="2171"/>
      <c r="AJ58" s="2171"/>
      <c r="AK58" s="2171"/>
      <c r="AL58" s="2171"/>
      <c r="AM58" s="2171"/>
      <c r="AN58" s="2171"/>
      <c r="AO58" s="2171"/>
      <c r="AP58" s="2171"/>
      <c r="AQ58" s="2171"/>
      <c r="AR58" s="2171"/>
      <c r="AS58" s="2171"/>
      <c r="AT58" s="2171"/>
      <c r="AU58" s="2171"/>
      <c r="AV58" s="2171"/>
      <c r="AW58" s="2171"/>
      <c r="AX58" s="2171"/>
      <c r="AY58" s="2171"/>
      <c r="AZ58" s="2171"/>
      <c r="BA58" s="2171"/>
      <c r="BB58" s="2171"/>
      <c r="BC58" s="724" t="s">
        <v>637</v>
      </c>
    </row>
    <row r="59" spans="2:55" ht="18" hidden="1" customHeight="1">
      <c r="D59" s="2173" t="s">
        <v>5271</v>
      </c>
      <c r="E59" s="2180"/>
      <c r="F59" s="2180"/>
      <c r="G59" s="2180"/>
      <c r="H59" s="2180"/>
      <c r="I59" s="2180"/>
      <c r="J59" s="2180"/>
      <c r="K59" s="2180"/>
      <c r="L59" s="2180"/>
      <c r="M59" s="2180"/>
      <c r="N59" s="2180"/>
      <c r="O59" s="2180"/>
      <c r="P59" s="2180"/>
      <c r="Q59" s="2180"/>
      <c r="R59" s="2180"/>
      <c r="S59" s="2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N59" s="2180"/>
      <c r="AO59" s="2180"/>
      <c r="AP59" s="2180"/>
      <c r="AQ59" s="2180"/>
      <c r="AR59" s="2180"/>
      <c r="AS59" s="2180"/>
      <c r="AT59" s="2180"/>
      <c r="AU59" s="2180"/>
      <c r="AV59" s="2180"/>
      <c r="AW59" s="2180"/>
      <c r="AX59" s="2180"/>
      <c r="AY59" s="2180"/>
      <c r="AZ59" s="2180"/>
      <c r="BA59" s="2180"/>
      <c r="BB59" s="2180"/>
      <c r="BC59" s="724" t="s">
        <v>637</v>
      </c>
    </row>
    <row r="60" spans="2:55" ht="18" hidden="1" customHeight="1">
      <c r="E60" s="2171" t="s">
        <v>2176</v>
      </c>
      <c r="F60" s="2171"/>
      <c r="G60" s="2171"/>
      <c r="H60" s="2171"/>
      <c r="I60" s="2171"/>
      <c r="J60" s="2171"/>
      <c r="K60" s="2171"/>
      <c r="L60" s="2171"/>
      <c r="M60" s="2171"/>
      <c r="N60" s="2171"/>
      <c r="O60" s="2171"/>
      <c r="P60" s="2171"/>
      <c r="Q60" s="2171"/>
      <c r="R60" s="2171"/>
      <c r="S60" s="2171"/>
      <c r="T60" s="2171"/>
      <c r="U60" s="2171"/>
      <c r="V60" s="2171"/>
      <c r="W60" s="2171"/>
      <c r="X60" s="2171"/>
      <c r="Y60" s="2171"/>
      <c r="Z60" s="2171"/>
      <c r="AA60" s="2171"/>
      <c r="AB60" s="2171"/>
      <c r="AC60" s="2171"/>
      <c r="AD60" s="2171"/>
      <c r="AE60" s="2171"/>
      <c r="AF60" s="2171"/>
      <c r="AG60" s="2171"/>
      <c r="AH60" s="2171"/>
      <c r="AI60" s="2171"/>
      <c r="AJ60" s="2171"/>
      <c r="AK60" s="2171"/>
      <c r="AL60" s="2171"/>
      <c r="AM60" s="2171"/>
      <c r="AN60" s="2171"/>
      <c r="AO60" s="2171"/>
      <c r="AP60" s="2171"/>
      <c r="AQ60" s="2171"/>
      <c r="AR60" s="2171"/>
      <c r="AS60" s="2171"/>
      <c r="AT60" s="2171"/>
      <c r="AU60" s="2171"/>
      <c r="AV60" s="2171"/>
      <c r="AW60" s="2171"/>
      <c r="AX60" s="2171"/>
      <c r="AY60" s="2171"/>
      <c r="AZ60" s="2171"/>
      <c r="BA60" s="2171"/>
      <c r="BB60" s="2171"/>
      <c r="BC60" s="724" t="s">
        <v>637</v>
      </c>
    </row>
    <row r="61" spans="2:55" ht="20.100000000000001" hidden="1" customHeight="1">
      <c r="B61" s="2171" t="s">
        <v>337</v>
      </c>
      <c r="C61" s="2171"/>
      <c r="D61" s="2171"/>
      <c r="E61" s="2171"/>
      <c r="F61" s="2171"/>
      <c r="G61" s="2171"/>
      <c r="H61" s="2171"/>
      <c r="I61" s="2171"/>
      <c r="J61" s="2171"/>
      <c r="K61" s="2171"/>
      <c r="L61" s="2171"/>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c r="AN61" s="2171"/>
      <c r="AO61" s="2171"/>
      <c r="AP61" s="2171"/>
      <c r="AQ61" s="2171"/>
      <c r="AR61" s="2171"/>
      <c r="AS61" s="2171"/>
      <c r="AT61" s="2171"/>
      <c r="AU61" s="2171"/>
      <c r="AV61" s="2171"/>
      <c r="AW61" s="2171"/>
      <c r="AX61" s="2171"/>
      <c r="AY61" s="2171"/>
      <c r="AZ61" s="2171"/>
      <c r="BA61" s="2171"/>
      <c r="BB61" s="2171"/>
      <c r="BC61" s="724" t="s">
        <v>637</v>
      </c>
    </row>
    <row r="62" spans="2:55" ht="18" hidden="1" customHeight="1">
      <c r="D62" s="2173" t="s">
        <v>5272</v>
      </c>
      <c r="E62" s="2171"/>
      <c r="F62" s="2171"/>
      <c r="G62" s="2171"/>
      <c r="H62" s="2171"/>
      <c r="I62" s="2171"/>
      <c r="J62" s="2171"/>
      <c r="K62" s="2171"/>
      <c r="L62" s="2171"/>
      <c r="M62" s="2171"/>
      <c r="N62" s="2171"/>
      <c r="O62" s="2171"/>
      <c r="P62" s="2171"/>
      <c r="Q62" s="2171"/>
      <c r="R62" s="2171"/>
      <c r="S62" s="2171"/>
      <c r="T62" s="2171"/>
      <c r="U62" s="2171"/>
      <c r="V62" s="2171"/>
      <c r="W62" s="2171"/>
      <c r="X62" s="2171"/>
      <c r="Y62" s="2171"/>
      <c r="Z62" s="2171"/>
      <c r="AA62" s="2171"/>
      <c r="AB62" s="2171"/>
      <c r="AC62" s="2171"/>
      <c r="AD62" s="2171"/>
      <c r="AE62" s="2171"/>
      <c r="AF62" s="2171"/>
      <c r="AG62" s="2171"/>
      <c r="AH62" s="2171"/>
      <c r="AI62" s="2171"/>
      <c r="AJ62" s="2171"/>
      <c r="AK62" s="2171"/>
      <c r="AL62" s="2171"/>
      <c r="AM62" s="2171"/>
      <c r="AN62" s="2171"/>
      <c r="AO62" s="2171"/>
      <c r="AP62" s="2171"/>
      <c r="AQ62" s="2171"/>
      <c r="AR62" s="2171"/>
      <c r="AS62" s="2171"/>
      <c r="AT62" s="2171"/>
      <c r="AU62" s="2171"/>
      <c r="AV62" s="2171"/>
      <c r="AW62" s="2171"/>
      <c r="AX62" s="2171"/>
      <c r="AY62" s="2171"/>
      <c r="AZ62" s="2171"/>
      <c r="BA62" s="2171"/>
      <c r="BB62" s="2171"/>
      <c r="BC62" s="724" t="s">
        <v>637</v>
      </c>
    </row>
    <row r="63" spans="2:55" ht="18" hidden="1" customHeight="1">
      <c r="E63" s="2171" t="s">
        <v>6255</v>
      </c>
      <c r="F63" s="2171"/>
      <c r="G63" s="2171"/>
      <c r="H63" s="2171"/>
      <c r="I63" s="2171"/>
      <c r="J63" s="2171"/>
      <c r="K63" s="2171"/>
      <c r="L63" s="2171"/>
      <c r="M63" s="2171"/>
      <c r="N63" s="2171"/>
      <c r="O63" s="2171"/>
      <c r="P63" s="2171"/>
      <c r="Q63" s="2171"/>
      <c r="R63" s="2171"/>
      <c r="S63" s="2171"/>
      <c r="T63" s="2171"/>
      <c r="U63" s="2171"/>
      <c r="V63" s="2171"/>
      <c r="W63" s="2171"/>
      <c r="X63" s="2171"/>
      <c r="Y63" s="2171"/>
      <c r="Z63" s="2171"/>
      <c r="AA63" s="2171"/>
      <c r="AB63" s="2171"/>
      <c r="AC63" s="2171"/>
      <c r="AD63" s="2171"/>
      <c r="AE63" s="2171"/>
      <c r="AF63" s="2171"/>
      <c r="AG63" s="2171"/>
      <c r="AH63" s="2171"/>
      <c r="AI63" s="2171"/>
      <c r="AJ63" s="2171"/>
      <c r="AK63" s="2171"/>
      <c r="AL63" s="2171"/>
      <c r="AM63" s="2171"/>
      <c r="AN63" s="2171"/>
      <c r="AO63" s="2171"/>
      <c r="AP63" s="2171"/>
      <c r="AQ63" s="2171"/>
      <c r="AR63" s="2171"/>
      <c r="AS63" s="2171"/>
      <c r="AT63" s="2171"/>
      <c r="AU63" s="2171"/>
      <c r="AV63" s="2171"/>
      <c r="AW63" s="2171"/>
      <c r="AX63" s="2171"/>
      <c r="AY63" s="2171"/>
      <c r="AZ63" s="2171"/>
      <c r="BA63" s="2171"/>
      <c r="BB63" s="2171"/>
      <c r="BC63" s="724" t="s">
        <v>637</v>
      </c>
    </row>
    <row r="64" spans="2:55" ht="18" hidden="1" customHeight="1">
      <c r="F64" s="2172" t="s">
        <v>6256</v>
      </c>
      <c r="G64" s="2172"/>
      <c r="H64" s="2172"/>
      <c r="I64" s="2172"/>
      <c r="J64" s="2172"/>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2"/>
      <c r="AX64" s="2172"/>
      <c r="AY64" s="2172"/>
      <c r="AZ64" s="2172"/>
      <c r="BA64" s="2172"/>
      <c r="BB64" s="2172"/>
      <c r="BC64" s="724" t="s">
        <v>637</v>
      </c>
    </row>
    <row r="65" spans="2:62" ht="18" hidden="1" customHeight="1">
      <c r="F65" s="2172" t="s">
        <v>167</v>
      </c>
      <c r="G65" s="2172"/>
      <c r="H65" s="2172"/>
      <c r="I65" s="2172"/>
      <c r="J65" s="2172"/>
      <c r="K65" s="2172"/>
      <c r="L65" s="2172"/>
      <c r="M65" s="2172"/>
      <c r="N65" s="2172"/>
      <c r="O65" s="2172"/>
      <c r="P65" s="2172"/>
      <c r="Q65" s="2172"/>
      <c r="R65" s="2172"/>
      <c r="S65" s="2172"/>
      <c r="T65" s="2172"/>
      <c r="U65" s="2172"/>
      <c r="V65" s="2172"/>
      <c r="W65" s="2172"/>
      <c r="X65" s="2172"/>
      <c r="Y65" s="2172"/>
      <c r="Z65" s="2172"/>
      <c r="AA65" s="2172"/>
      <c r="AB65" s="2172"/>
      <c r="AC65" s="2172"/>
      <c r="AD65" s="2172"/>
      <c r="AE65" s="2172"/>
      <c r="AF65" s="2172"/>
      <c r="AG65" s="2172"/>
      <c r="AH65" s="2172"/>
      <c r="AI65" s="2172"/>
      <c r="AJ65" s="2172"/>
      <c r="AK65" s="2172"/>
      <c r="AL65" s="2172"/>
      <c r="AM65" s="2172"/>
      <c r="AN65" s="2172"/>
      <c r="AO65" s="2172"/>
      <c r="AP65" s="2172"/>
      <c r="AQ65" s="2172"/>
      <c r="AR65" s="2172"/>
      <c r="AS65" s="2172"/>
      <c r="AT65" s="2172"/>
      <c r="AU65" s="2172"/>
      <c r="AV65" s="2172"/>
      <c r="AW65" s="2172"/>
      <c r="AX65" s="2172"/>
      <c r="AY65" s="2172"/>
      <c r="AZ65" s="2172"/>
      <c r="BA65" s="2172"/>
      <c r="BB65" s="2172"/>
      <c r="BC65" s="724" t="s">
        <v>637</v>
      </c>
    </row>
    <row r="66" spans="2:62" ht="18" hidden="1" customHeight="1">
      <c r="F66" s="2171" t="s">
        <v>4159</v>
      </c>
      <c r="G66" s="2171"/>
      <c r="H66" s="2171"/>
      <c r="I66" s="2171"/>
      <c r="J66" s="2171"/>
      <c r="K66" s="2171"/>
      <c r="L66" s="2171"/>
      <c r="M66" s="2171"/>
      <c r="N66" s="2171"/>
      <c r="O66" s="2171"/>
      <c r="P66" s="2171"/>
      <c r="Q66" s="2171"/>
      <c r="R66" s="2171"/>
      <c r="S66" s="2171"/>
      <c r="T66" s="2171"/>
      <c r="U66" s="2171"/>
      <c r="V66" s="2171"/>
      <c r="W66" s="2171"/>
      <c r="X66" s="2171"/>
      <c r="Y66" s="2171"/>
      <c r="Z66" s="2171"/>
      <c r="AA66" s="2171"/>
      <c r="AB66" s="2171"/>
      <c r="AC66" s="2171"/>
      <c r="AD66" s="2171"/>
      <c r="AE66" s="2171"/>
      <c r="AF66" s="2171"/>
      <c r="AG66" s="2171"/>
      <c r="AH66" s="2171"/>
      <c r="AI66" s="2171"/>
      <c r="AJ66" s="2171"/>
      <c r="AK66" s="2171"/>
      <c r="AL66" s="2171"/>
      <c r="AM66" s="2171"/>
      <c r="AN66" s="2171"/>
      <c r="AO66" s="2171"/>
      <c r="AP66" s="2171"/>
      <c r="AQ66" s="2171"/>
      <c r="AR66" s="2171"/>
      <c r="AS66" s="2171"/>
      <c r="AT66" s="2171"/>
      <c r="AU66" s="2171"/>
      <c r="AV66" s="2171"/>
      <c r="AW66" s="2171"/>
      <c r="AX66" s="2171"/>
      <c r="AY66" s="2171"/>
      <c r="AZ66" s="2171"/>
      <c r="BA66" s="2171"/>
      <c r="BB66" s="2171"/>
      <c r="BC66" s="724" t="s">
        <v>637</v>
      </c>
    </row>
    <row r="67" spans="2:62" ht="18" hidden="1" customHeight="1">
      <c r="B67" s="2171" t="s">
        <v>686</v>
      </c>
      <c r="C67" s="2171"/>
      <c r="D67" s="2171"/>
      <c r="E67" s="2171"/>
      <c r="F67" s="2171"/>
      <c r="G67" s="2171"/>
      <c r="H67" s="2171"/>
      <c r="I67" s="2171"/>
      <c r="J67" s="2171"/>
      <c r="K67" s="2171"/>
      <c r="L67" s="2171"/>
      <c r="M67" s="2171"/>
      <c r="N67" s="2171"/>
      <c r="O67" s="2171"/>
      <c r="P67" s="2171"/>
      <c r="Q67" s="2171"/>
      <c r="R67" s="2171"/>
      <c r="S67" s="2171"/>
      <c r="T67" s="2171"/>
      <c r="U67" s="2171"/>
      <c r="V67" s="2171"/>
      <c r="W67" s="2171"/>
      <c r="X67" s="2171"/>
      <c r="Y67" s="2171"/>
      <c r="Z67" s="2171"/>
      <c r="AA67" s="2171"/>
      <c r="AB67" s="2171"/>
      <c r="AC67" s="2171"/>
      <c r="AD67" s="2171"/>
      <c r="AE67" s="2171"/>
      <c r="AF67" s="2171"/>
      <c r="AG67" s="2171"/>
      <c r="AH67" s="2171"/>
      <c r="AI67" s="2171"/>
      <c r="AJ67" s="2171"/>
      <c r="AK67" s="2171"/>
      <c r="AL67" s="2171"/>
      <c r="AM67" s="2171"/>
      <c r="AN67" s="2171"/>
      <c r="AO67" s="2171"/>
      <c r="AP67" s="2171"/>
      <c r="AQ67" s="2171"/>
      <c r="AR67" s="2171"/>
      <c r="AS67" s="2171"/>
      <c r="AT67" s="2171"/>
      <c r="AU67" s="2171"/>
      <c r="AV67" s="2171"/>
      <c r="AW67" s="2171"/>
      <c r="AX67" s="2171"/>
      <c r="AY67" s="2171"/>
      <c r="AZ67" s="2171"/>
      <c r="BA67" s="2171"/>
      <c r="BB67" s="2171"/>
      <c r="BC67" s="724" t="s">
        <v>637</v>
      </c>
      <c r="BE67" s="109"/>
    </row>
    <row r="68" spans="2:62" ht="15.75" hidden="1">
      <c r="E68" s="2171" t="s">
        <v>6099</v>
      </c>
      <c r="F68" s="2171"/>
      <c r="G68" s="2171"/>
      <c r="H68" s="2171"/>
      <c r="I68" s="2171"/>
      <c r="J68" s="2171"/>
      <c r="K68" s="2171"/>
      <c r="L68" s="2171"/>
      <c r="M68" s="2171"/>
      <c r="N68" s="2171"/>
      <c r="O68" s="2171"/>
      <c r="P68" s="2171"/>
      <c r="Q68" s="2171"/>
      <c r="R68" s="2171"/>
      <c r="S68" s="2171"/>
      <c r="T68" s="2171"/>
      <c r="U68" s="2171"/>
      <c r="V68" s="2171"/>
      <c r="W68" s="2171"/>
      <c r="X68" s="2171"/>
      <c r="Y68" s="2171"/>
      <c r="Z68" s="2171"/>
      <c r="AA68" s="2171"/>
      <c r="AB68" s="2171"/>
      <c r="AC68" s="2171"/>
      <c r="AD68" s="2171"/>
      <c r="AE68" s="2171"/>
      <c r="AF68" s="2171"/>
      <c r="AG68" s="2171"/>
      <c r="AH68" s="2171"/>
      <c r="AI68" s="2171"/>
      <c r="AJ68" s="2171"/>
      <c r="AK68" s="2171"/>
      <c r="AL68" s="2171"/>
      <c r="AM68" s="2171"/>
      <c r="AN68" s="2171"/>
      <c r="AO68" s="2171"/>
      <c r="AP68" s="2171"/>
      <c r="AQ68" s="2171"/>
      <c r="AR68" s="2171"/>
      <c r="AS68" s="2171"/>
      <c r="AT68" s="2171"/>
      <c r="AU68" s="2171"/>
      <c r="AV68" s="2171"/>
      <c r="AW68" s="2171"/>
      <c r="AX68" s="2171"/>
      <c r="AY68" s="2171"/>
      <c r="AZ68" s="2171"/>
      <c r="BA68" s="2171"/>
      <c r="BB68" s="2171"/>
      <c r="BC68" s="724" t="s">
        <v>637</v>
      </c>
    </row>
    <row r="69" spans="2:62" ht="15.75" hidden="1">
      <c r="D69" s="2173" t="s">
        <v>484</v>
      </c>
      <c r="E69" s="2173"/>
      <c r="F69" s="2173"/>
      <c r="G69" s="2173"/>
      <c r="H69" s="2173"/>
      <c r="I69" s="2173"/>
      <c r="J69" s="2173"/>
      <c r="K69" s="2173"/>
      <c r="L69" s="2173"/>
      <c r="M69" s="2173"/>
      <c r="N69" s="2173"/>
      <c r="O69" s="2173"/>
      <c r="P69" s="2173"/>
      <c r="Q69" s="2173"/>
      <c r="R69" s="2173"/>
      <c r="S69" s="2173"/>
      <c r="T69" s="2173"/>
      <c r="U69" s="2173"/>
      <c r="V69" s="2173"/>
      <c r="W69" s="2173"/>
      <c r="X69" s="2173"/>
      <c r="Y69" s="2173"/>
      <c r="Z69" s="2173"/>
      <c r="AA69" s="2173"/>
      <c r="AB69" s="2173"/>
      <c r="AC69" s="2173"/>
      <c r="AD69" s="2173"/>
      <c r="AE69" s="2173"/>
      <c r="AF69" s="2173"/>
      <c r="AG69" s="2173"/>
      <c r="AH69" s="2173"/>
      <c r="AI69" s="2173"/>
      <c r="AJ69" s="2173"/>
      <c r="AK69" s="2173"/>
      <c r="AL69" s="2173"/>
      <c r="AM69" s="2173"/>
      <c r="AN69" s="2173"/>
      <c r="AO69" s="2173"/>
      <c r="AP69" s="2173"/>
      <c r="AQ69" s="2173"/>
      <c r="AR69" s="2173"/>
      <c r="AS69" s="2173"/>
      <c r="AT69" s="2173"/>
      <c r="AU69" s="2173"/>
      <c r="AV69" s="2173"/>
      <c r="AW69" s="2173"/>
      <c r="AX69" s="2173"/>
      <c r="AY69" s="2173"/>
      <c r="AZ69" s="2173"/>
      <c r="BA69" s="2173"/>
      <c r="BB69" s="2173"/>
      <c r="BC69" s="724" t="s">
        <v>637</v>
      </c>
      <c r="BE69" s="303" t="s">
        <v>4161</v>
      </c>
      <c r="BF69" s="305"/>
      <c r="BG69" s="112" t="e">
        <f>tkeTA!#REF!</f>
        <v>#REF!</v>
      </c>
      <c r="BH69" s="88" t="s">
        <v>639</v>
      </c>
    </row>
    <row r="70" spans="2:62" ht="15.75" hidden="1">
      <c r="E70" s="109" t="s">
        <v>3337</v>
      </c>
      <c r="F70" s="109"/>
      <c r="G70" s="109"/>
      <c r="H70" s="109"/>
      <c r="I70" s="109"/>
      <c r="J70" s="109"/>
      <c r="K70" s="109"/>
      <c r="L70" s="109"/>
      <c r="M70" s="109"/>
      <c r="N70" s="109"/>
      <c r="O70" s="109"/>
      <c r="P70" s="91"/>
      <c r="R70" s="110"/>
      <c r="S70" s="110"/>
      <c r="T70" s="2197" t="e">
        <f>BG69&amp;"m x "&amp;'II.9.tuvan'!Q9&amp;"đ/m x 0.8 x 1.1"</f>
        <v>#REF!</v>
      </c>
      <c r="U70" s="2197"/>
      <c r="V70" s="2197"/>
      <c r="W70" s="2197"/>
      <c r="X70" s="2197"/>
      <c r="Y70" s="2197"/>
      <c r="Z70" s="2197"/>
      <c r="AA70" s="2197"/>
      <c r="AB70" s="2197"/>
      <c r="AC70" s="2197"/>
      <c r="AD70" s="2197"/>
      <c r="AE70" s="2197"/>
      <c r="AF70" s="2197"/>
      <c r="AG70" s="2197"/>
      <c r="AH70" s="2197"/>
      <c r="AI70" s="2197"/>
      <c r="AJ70" s="2197"/>
      <c r="AK70" s="2197"/>
      <c r="AL70" s="2197"/>
      <c r="AM70" s="2197"/>
      <c r="AN70" s="2197"/>
      <c r="AO70" s="91" t="s">
        <v>3306</v>
      </c>
      <c r="AP70" s="2188" t="e">
        <f>ROUND(BG69*'II.9.tuvan'!Q9*0.8*1.1,0)</f>
        <v>#REF!</v>
      </c>
      <c r="AQ70" s="2188"/>
      <c r="AR70" s="2188"/>
      <c r="AS70" s="2188"/>
      <c r="AT70" s="2188"/>
      <c r="AU70" s="2188"/>
      <c r="AV70" s="2188"/>
      <c r="AW70" s="2188"/>
      <c r="AX70" s="2188"/>
      <c r="AY70" s="2188"/>
      <c r="AZ70" s="102" t="s">
        <v>4160</v>
      </c>
      <c r="BC70" s="724"/>
      <c r="BE70" s="137" t="s">
        <v>3336</v>
      </c>
      <c r="BF70" s="137"/>
      <c r="BG70" s="307" t="e">
        <f>ROUND((BG69*40)/10000,2)</f>
        <v>#REF!</v>
      </c>
      <c r="BH70" s="85" t="s">
        <v>762</v>
      </c>
    </row>
    <row r="71" spans="2:62" ht="15.75" hidden="1">
      <c r="E71" s="109" t="s">
        <v>4336</v>
      </c>
      <c r="F71" s="109"/>
      <c r="G71" s="109"/>
      <c r="H71" s="109"/>
      <c r="I71" s="109"/>
      <c r="J71" s="109"/>
      <c r="K71" s="109"/>
      <c r="L71" s="109"/>
      <c r="M71" s="109"/>
      <c r="N71" s="109"/>
      <c r="O71" s="109"/>
      <c r="P71" s="91"/>
      <c r="R71" s="110"/>
      <c r="S71" s="110"/>
      <c r="T71" s="2192" t="e">
        <f>BG70&amp;"ha x "&amp;'II.9.tuvan'!Q11&amp;"đ/ha x 1.1"</f>
        <v>#REF!</v>
      </c>
      <c r="U71" s="2192"/>
      <c r="V71" s="2192"/>
      <c r="W71" s="2192"/>
      <c r="X71" s="2192"/>
      <c r="Y71" s="2192"/>
      <c r="Z71" s="2192"/>
      <c r="AA71" s="2192"/>
      <c r="AB71" s="2192"/>
      <c r="AC71" s="2192"/>
      <c r="AD71" s="2192"/>
      <c r="AE71" s="2192"/>
      <c r="AF71" s="2192"/>
      <c r="AG71" s="2192"/>
      <c r="AH71" s="2192"/>
      <c r="AI71" s="2192"/>
      <c r="AJ71" s="2192"/>
      <c r="AK71" s="2192"/>
      <c r="AL71" s="2192"/>
      <c r="AM71" s="2192"/>
      <c r="AN71" s="2192"/>
      <c r="AO71" s="91"/>
      <c r="AP71" s="2188" t="e">
        <f>ROUND(BG70*'II.9.tuvan'!Q11*1.1,0)</f>
        <v>#REF!</v>
      </c>
      <c r="AQ71" s="2188"/>
      <c r="AR71" s="2188"/>
      <c r="AS71" s="2188"/>
      <c r="AT71" s="2188"/>
      <c r="AU71" s="2188"/>
      <c r="AV71" s="2188"/>
      <c r="AW71" s="2188"/>
      <c r="AX71" s="2188"/>
      <c r="AY71" s="2188"/>
      <c r="AZ71" s="102" t="s">
        <v>4160</v>
      </c>
      <c r="BC71" s="724"/>
    </row>
    <row r="72" spans="2:62" ht="15.75" hidden="1">
      <c r="E72" s="109" t="s">
        <v>3331</v>
      </c>
      <c r="F72" s="109"/>
      <c r="G72" s="109"/>
      <c r="H72" s="109"/>
      <c r="I72" s="109"/>
      <c r="J72" s="109"/>
      <c r="K72" s="109"/>
      <c r="L72" s="109"/>
      <c r="M72" s="109"/>
      <c r="N72" s="109"/>
      <c r="O72" s="109"/>
      <c r="P72" s="109"/>
      <c r="Q72" s="109"/>
      <c r="R72" s="109"/>
      <c r="S72" s="109"/>
      <c r="T72" s="2196" t="e">
        <f>AP71</f>
        <v>#REF!</v>
      </c>
      <c r="U72" s="2196"/>
      <c r="V72" s="2196"/>
      <c r="W72" s="2196"/>
      <c r="X72" s="2196"/>
      <c r="Y72" s="2196"/>
      <c r="Z72" s="2196"/>
      <c r="AA72" s="2196"/>
      <c r="AB72" s="2196"/>
      <c r="AC72" s="2196"/>
      <c r="AD72" s="2196"/>
      <c r="AE72" s="2196"/>
      <c r="AF72" s="2196"/>
      <c r="AG72" s="2196"/>
      <c r="AH72" s="2196"/>
      <c r="AI72" s="2196"/>
      <c r="AJ72" s="2196"/>
      <c r="AK72" s="2196"/>
      <c r="AL72" s="2196"/>
      <c r="AM72" s="2196"/>
      <c r="AN72" s="2196" t="e">
        <f>AP70&amp;" x 5%"</f>
        <v>#REF!</v>
      </c>
      <c r="AO72" s="91" t="s">
        <v>3306</v>
      </c>
      <c r="AP72" s="2188" t="e">
        <f>ROUND(AP71*5%*1.1,0)</f>
        <v>#REF!</v>
      </c>
      <c r="AQ72" s="2188"/>
      <c r="AR72" s="2188"/>
      <c r="AS72" s="2188"/>
      <c r="AT72" s="2188"/>
      <c r="AU72" s="2188"/>
      <c r="AV72" s="2188"/>
      <c r="AW72" s="2188"/>
      <c r="AX72" s="2188"/>
      <c r="AY72" s="2188"/>
      <c r="AZ72" s="102" t="s">
        <v>4160</v>
      </c>
      <c r="BC72" s="724"/>
      <c r="BE72" s="303" t="s">
        <v>4067</v>
      </c>
      <c r="BF72" s="131"/>
      <c r="BG72" s="112">
        <f>tkeHA!C245</f>
        <v>4653</v>
      </c>
      <c r="BH72" s="88" t="s">
        <v>639</v>
      </c>
    </row>
    <row r="73" spans="2:62" ht="15.75" hidden="1">
      <c r="E73" s="109" t="s">
        <v>3338</v>
      </c>
      <c r="F73" s="109"/>
      <c r="G73" s="109"/>
      <c r="H73" s="109"/>
      <c r="I73" s="109"/>
      <c r="J73" s="109"/>
      <c r="K73" s="109"/>
      <c r="L73" s="109"/>
      <c r="M73" s="109"/>
      <c r="N73" s="109"/>
      <c r="O73" s="109"/>
      <c r="P73" s="91"/>
      <c r="R73" s="113"/>
      <c r="T73" s="2197" t="str">
        <f>BG72&amp;"m x "&amp;'II.9.tuvan'!Q9&amp;"đ/m x 0.8 x 1.1"</f>
        <v>4653m x 9906,59đ/m x 0.8 x 1.1</v>
      </c>
      <c r="U73" s="2197"/>
      <c r="V73" s="2197"/>
      <c r="W73" s="2197"/>
      <c r="X73" s="2197"/>
      <c r="Y73" s="2197"/>
      <c r="Z73" s="2197"/>
      <c r="AA73" s="2197"/>
      <c r="AB73" s="2197"/>
      <c r="AC73" s="2197"/>
      <c r="AD73" s="2197"/>
      <c r="AE73" s="2197"/>
      <c r="AF73" s="2197"/>
      <c r="AG73" s="2197"/>
      <c r="AH73" s="2197"/>
      <c r="AI73" s="2197"/>
      <c r="AJ73" s="2197"/>
      <c r="AK73" s="2197"/>
      <c r="AL73" s="2197"/>
      <c r="AM73" s="2197"/>
      <c r="AN73" s="2197"/>
      <c r="AO73" s="91" t="s">
        <v>3306</v>
      </c>
      <c r="AP73" s="2188">
        <f>ROUND(BG72*'II.9.tuvan'!Q9*0.8*1.1,0)</f>
        <v>40563920</v>
      </c>
      <c r="AQ73" s="2188"/>
      <c r="AR73" s="2188"/>
      <c r="AS73" s="2188"/>
      <c r="AT73" s="2188"/>
      <c r="AU73" s="2188"/>
      <c r="AV73" s="2188"/>
      <c r="AW73" s="2188"/>
      <c r="AX73" s="2188"/>
      <c r="AY73" s="2188"/>
      <c r="AZ73" s="102" t="s">
        <v>4160</v>
      </c>
      <c r="BC73" s="724"/>
      <c r="BE73" s="137" t="s">
        <v>3381</v>
      </c>
      <c r="BF73" s="137"/>
      <c r="BG73" s="307">
        <f>ROUND((BG72*20)/10000,2)</f>
        <v>9.31</v>
      </c>
      <c r="BH73" s="85" t="s">
        <v>762</v>
      </c>
    </row>
    <row r="74" spans="2:62" ht="15.75" hidden="1">
      <c r="E74" s="109" t="s">
        <v>4336</v>
      </c>
      <c r="F74" s="109"/>
      <c r="G74" s="109"/>
      <c r="H74" s="109"/>
      <c r="I74" s="109"/>
      <c r="J74" s="109"/>
      <c r="K74" s="109"/>
      <c r="L74" s="109"/>
      <c r="M74" s="109"/>
      <c r="N74" s="109"/>
      <c r="O74" s="109"/>
      <c r="P74" s="91"/>
      <c r="R74" s="113"/>
      <c r="T74" s="2193" t="str">
        <f>BG73&amp;"ha x "&amp;'II.9.tuvan'!Q11&amp;"đ/ha x 1.1"</f>
        <v>9,31ha x 0đ/ha x 1.1</v>
      </c>
      <c r="U74" s="2193"/>
      <c r="V74" s="2193"/>
      <c r="W74" s="2193"/>
      <c r="X74" s="2193"/>
      <c r="Y74" s="2193"/>
      <c r="Z74" s="2193"/>
      <c r="AA74" s="2193"/>
      <c r="AB74" s="2193"/>
      <c r="AC74" s="2193"/>
      <c r="AD74" s="2193"/>
      <c r="AE74" s="2193"/>
      <c r="AF74" s="2193"/>
      <c r="AG74" s="2193"/>
      <c r="AH74" s="2193"/>
      <c r="AI74" s="2193"/>
      <c r="AJ74" s="2193"/>
      <c r="AK74" s="2193"/>
      <c r="AL74" s="2193"/>
      <c r="AM74" s="2193"/>
      <c r="AN74" s="2193"/>
      <c r="AO74" s="91"/>
      <c r="AP74" s="2188">
        <f>ROUND(BG73*'II.9.tuvan'!Q11*1.1,0)</f>
        <v>0</v>
      </c>
      <c r="AQ74" s="2188"/>
      <c r="AR74" s="2188"/>
      <c r="AS74" s="2188"/>
      <c r="AT74" s="2188"/>
      <c r="AU74" s="2188"/>
      <c r="AV74" s="2188"/>
      <c r="AW74" s="2188"/>
      <c r="AX74" s="2188"/>
      <c r="AY74" s="2188"/>
      <c r="AZ74" s="102" t="s">
        <v>4160</v>
      </c>
      <c r="BC74" s="724"/>
      <c r="BI74" s="115"/>
      <c r="BJ74" s="115"/>
    </row>
    <row r="75" spans="2:62" ht="15.75" hidden="1">
      <c r="E75" s="109" t="s">
        <v>3332</v>
      </c>
      <c r="F75" s="109"/>
      <c r="G75" s="109"/>
      <c r="H75" s="109"/>
      <c r="I75" s="109"/>
      <c r="J75" s="109"/>
      <c r="K75" s="109"/>
      <c r="L75" s="109"/>
      <c r="M75" s="109"/>
      <c r="N75" s="109"/>
      <c r="O75" s="109"/>
      <c r="P75" s="91"/>
      <c r="R75" s="114"/>
      <c r="T75" s="2196">
        <f>AP74</f>
        <v>0</v>
      </c>
      <c r="U75" s="2196"/>
      <c r="V75" s="2196"/>
      <c r="W75" s="2196"/>
      <c r="X75" s="2196"/>
      <c r="Y75" s="2196"/>
      <c r="Z75" s="2196"/>
      <c r="AA75" s="2196"/>
      <c r="AB75" s="2196"/>
      <c r="AC75" s="2196"/>
      <c r="AD75" s="2196"/>
      <c r="AE75" s="2196"/>
      <c r="AF75" s="2196"/>
      <c r="AG75" s="2196"/>
      <c r="AH75" s="2196"/>
      <c r="AI75" s="2196"/>
      <c r="AJ75" s="2196"/>
      <c r="AK75" s="2196"/>
      <c r="AL75" s="2196"/>
      <c r="AM75" s="2196"/>
      <c r="AN75" s="2196"/>
      <c r="AO75" s="91" t="s">
        <v>3306</v>
      </c>
      <c r="AP75" s="2188">
        <f>ROUND(AP74*5%*1.1,0)</f>
        <v>0</v>
      </c>
      <c r="AQ75" s="2188"/>
      <c r="AR75" s="2188"/>
      <c r="AS75" s="2188"/>
      <c r="AT75" s="2188"/>
      <c r="AU75" s="2188"/>
      <c r="AV75" s="2188"/>
      <c r="AW75" s="2188"/>
      <c r="AX75" s="2188"/>
      <c r="AY75" s="2188"/>
      <c r="AZ75" s="102" t="s">
        <v>4160</v>
      </c>
      <c r="BC75" s="724"/>
      <c r="BJ75" s="115"/>
    </row>
    <row r="76" spans="2:62" ht="18.75" hidden="1">
      <c r="D76" s="123" t="s">
        <v>1936</v>
      </c>
      <c r="E76" s="109"/>
      <c r="F76" s="109"/>
      <c r="G76" s="109"/>
      <c r="H76" s="109"/>
      <c r="I76" s="109"/>
      <c r="J76" s="109"/>
      <c r="K76" s="109"/>
      <c r="L76" s="109"/>
      <c r="M76" s="109"/>
      <c r="N76" s="109"/>
      <c r="O76" s="109"/>
      <c r="P76" s="91"/>
      <c r="R76" s="116"/>
      <c r="T76" s="116"/>
      <c r="U76" s="116"/>
      <c r="V76" s="116"/>
      <c r="W76" s="116"/>
      <c r="X76" s="116"/>
      <c r="Y76" s="116"/>
      <c r="Z76" s="116"/>
      <c r="AA76" s="116"/>
      <c r="AB76" s="116"/>
      <c r="AC76" s="116"/>
      <c r="AD76" s="116"/>
      <c r="AE76" s="116"/>
      <c r="AF76" s="116"/>
      <c r="AG76" s="116"/>
      <c r="AH76" s="116"/>
      <c r="AI76" s="116"/>
      <c r="AJ76" s="116"/>
      <c r="AK76" s="116"/>
      <c r="AL76" s="116"/>
      <c r="AM76" s="116"/>
      <c r="AN76" s="117"/>
      <c r="AO76" s="105" t="s">
        <v>3306</v>
      </c>
      <c r="AP76" s="2174" t="e">
        <f>SUM(AP70:AX75)</f>
        <v>#REF!</v>
      </c>
      <c r="AQ76" s="2174"/>
      <c r="AR76" s="2174"/>
      <c r="AS76" s="2174"/>
      <c r="AT76" s="2174"/>
      <c r="AU76" s="2174"/>
      <c r="AV76" s="2174"/>
      <c r="AW76" s="2174"/>
      <c r="AX76" s="2174"/>
      <c r="AY76" s="2174"/>
      <c r="AZ76" s="119" t="s">
        <v>4160</v>
      </c>
      <c r="BC76" s="724"/>
      <c r="BG76" s="115" t="s">
        <v>760</v>
      </c>
      <c r="BH76" s="115" t="s">
        <v>761</v>
      </c>
      <c r="BI76" s="115"/>
      <c r="BJ76" s="115"/>
    </row>
    <row r="77" spans="2:62" ht="15.75" hidden="1">
      <c r="E77" s="109" t="s">
        <v>3382</v>
      </c>
      <c r="F77" s="109"/>
      <c r="G77" s="109"/>
      <c r="H77" s="109"/>
      <c r="I77" s="109"/>
      <c r="J77" s="109"/>
      <c r="K77" s="109"/>
      <c r="L77" s="109"/>
      <c r="M77" s="109"/>
      <c r="N77" s="109"/>
      <c r="O77" s="109"/>
      <c r="P77" s="91"/>
      <c r="R77" s="116"/>
      <c r="T77" s="2194" t="str">
        <f>'II.9.tuvan'!P47&amp;"% x"&amp;ROUND(BG77+BH77,0)&amp;"đ x 1.1"</f>
        <v>4,48% x3581539990đ x 1.1</v>
      </c>
      <c r="U77" s="2194"/>
      <c r="V77" s="2194"/>
      <c r="W77" s="2194"/>
      <c r="X77" s="2194"/>
      <c r="Y77" s="2194"/>
      <c r="Z77" s="2194"/>
      <c r="AA77" s="2194"/>
      <c r="AB77" s="2194"/>
      <c r="AC77" s="2194"/>
      <c r="AD77" s="2194"/>
      <c r="AE77" s="2194"/>
      <c r="AF77" s="2194"/>
      <c r="AG77" s="2194"/>
      <c r="AH77" s="2194"/>
      <c r="AI77" s="2194"/>
      <c r="AJ77" s="2194"/>
      <c r="AK77" s="2194"/>
      <c r="AL77" s="2194"/>
      <c r="AM77" s="2194"/>
      <c r="AN77" s="2194"/>
      <c r="AO77" s="91" t="s">
        <v>3306</v>
      </c>
      <c r="AP77" s="2188">
        <f>ROUND((BG77+BH77)*'II.9.tuvan'!P47%*1.1,0)</f>
        <v>176498291</v>
      </c>
      <c r="AQ77" s="2188"/>
      <c r="AR77" s="2188"/>
      <c r="AS77" s="2188"/>
      <c r="AT77" s="2188"/>
      <c r="AU77" s="2188"/>
      <c r="AV77" s="2188"/>
      <c r="AW77" s="2188"/>
      <c r="AX77" s="2188"/>
      <c r="AY77" s="2188"/>
      <c r="AZ77" s="102" t="s">
        <v>4160</v>
      </c>
      <c r="BC77" s="724"/>
      <c r="BE77" s="303" t="s">
        <v>6396</v>
      </c>
      <c r="BF77" s="131"/>
      <c r="BG77" s="118">
        <f>'II.1.ThopTA'!E5</f>
        <v>3381334818</v>
      </c>
      <c r="BH77" s="304">
        <f>'II.1.ThopTA'!E10</f>
        <v>200205172</v>
      </c>
      <c r="BI77" s="88" t="s">
        <v>4160</v>
      </c>
      <c r="BJ77" s="115"/>
    </row>
    <row r="78" spans="2:62" ht="15.75" hidden="1">
      <c r="E78" s="109" t="s">
        <v>3383</v>
      </c>
      <c r="F78" s="109"/>
      <c r="G78" s="109"/>
      <c r="H78" s="109"/>
      <c r="I78" s="109"/>
      <c r="J78" s="109"/>
      <c r="K78" s="109"/>
      <c r="L78" s="109"/>
      <c r="M78" s="109"/>
      <c r="N78" s="109"/>
      <c r="O78" s="109"/>
      <c r="P78" s="91"/>
      <c r="R78" s="116"/>
      <c r="T78" s="2194" t="str">
        <f>'II.9.tuvan'!P53&amp;"% x"&amp;ROUND(BG78+BH78,0)&amp;"đ x 1.1"</f>
        <v>4,48% x974281905đ x 1.1</v>
      </c>
      <c r="U78" s="2194"/>
      <c r="V78" s="2194"/>
      <c r="W78" s="2194"/>
      <c r="X78" s="2194"/>
      <c r="Y78" s="2194"/>
      <c r="Z78" s="2194"/>
      <c r="AA78" s="2194"/>
      <c r="AB78" s="2194"/>
      <c r="AC78" s="2194"/>
      <c r="AD78" s="2194"/>
      <c r="AE78" s="2194"/>
      <c r="AF78" s="2194"/>
      <c r="AG78" s="2194"/>
      <c r="AH78" s="2194"/>
      <c r="AI78" s="2194"/>
      <c r="AJ78" s="2194"/>
      <c r="AK78" s="2194"/>
      <c r="AL78" s="2194"/>
      <c r="AM78" s="2194"/>
      <c r="AN78" s="2194"/>
      <c r="AO78" s="91" t="s">
        <v>3306</v>
      </c>
      <c r="AP78" s="2188">
        <f>ROUND((BG78+BH78)*'II.9.tuvan'!P53%*1.1,0)</f>
        <v>48012612</v>
      </c>
      <c r="AQ78" s="2188"/>
      <c r="AR78" s="2188"/>
      <c r="AS78" s="2188"/>
      <c r="AT78" s="2188"/>
      <c r="AU78" s="2188"/>
      <c r="AV78" s="2188"/>
      <c r="AW78" s="2188"/>
      <c r="AX78" s="2188"/>
      <c r="AY78" s="2188"/>
      <c r="AZ78" s="102" t="s">
        <v>4160</v>
      </c>
      <c r="BC78" s="724"/>
      <c r="BE78" s="303" t="s">
        <v>2038</v>
      </c>
      <c r="BF78" s="131"/>
      <c r="BG78" s="118">
        <f>'II.2.ThopHA'!E5</f>
        <v>974281905</v>
      </c>
      <c r="BH78" s="304">
        <f>'II.2.ThopHA'!E10</f>
        <v>0</v>
      </c>
      <c r="BI78" s="88" t="s">
        <v>4160</v>
      </c>
      <c r="BJ78" s="115"/>
    </row>
    <row r="79" spans="2:62" ht="15.75" hidden="1">
      <c r="E79" s="109" t="s">
        <v>767</v>
      </c>
      <c r="F79" s="109"/>
      <c r="G79" s="109"/>
      <c r="H79" s="109"/>
      <c r="I79" s="109"/>
      <c r="J79" s="109"/>
      <c r="K79" s="109"/>
      <c r="L79" s="109"/>
      <c r="M79" s="109"/>
      <c r="N79" s="109"/>
      <c r="O79" s="109"/>
      <c r="P79" s="91"/>
      <c r="R79" s="116"/>
      <c r="T79" s="2194" t="str">
        <f>'II.9.tuvan'!P59&amp;"% x"&amp;ROUND(BG79+BH79,0)&amp;"đ x 1.1"</f>
        <v>4,48% x248474263đ x 1.1</v>
      </c>
      <c r="U79" s="2194"/>
      <c r="V79" s="2194"/>
      <c r="W79" s="2194"/>
      <c r="X79" s="2194"/>
      <c r="Y79" s="2194"/>
      <c r="Z79" s="2194"/>
      <c r="AA79" s="2194"/>
      <c r="AB79" s="2194"/>
      <c r="AC79" s="2194"/>
      <c r="AD79" s="2194"/>
      <c r="AE79" s="2194"/>
      <c r="AF79" s="2194"/>
      <c r="AG79" s="2194"/>
      <c r="AH79" s="2194"/>
      <c r="AI79" s="2194"/>
      <c r="AJ79" s="2194"/>
      <c r="AK79" s="2194"/>
      <c r="AL79" s="2194"/>
      <c r="AM79" s="2194"/>
      <c r="AN79" s="2194"/>
      <c r="AO79" s="91" t="s">
        <v>3306</v>
      </c>
      <c r="AP79" s="2188">
        <f>ROUND((BG79+BH79)*'II.9.tuvan'!P59%*1.1,0)</f>
        <v>12244812</v>
      </c>
      <c r="AQ79" s="2188"/>
      <c r="AR79" s="2188"/>
      <c r="AS79" s="2188"/>
      <c r="AT79" s="2188"/>
      <c r="AU79" s="2188"/>
      <c r="AV79" s="2188"/>
      <c r="AW79" s="2188"/>
      <c r="AX79" s="2188"/>
      <c r="AY79" s="2188"/>
      <c r="AZ79" s="102" t="s">
        <v>4160</v>
      </c>
      <c r="BC79" s="724"/>
      <c r="BE79" s="303" t="s">
        <v>6397</v>
      </c>
      <c r="BF79" s="131"/>
      <c r="BG79" s="118">
        <f>'II.3.ThopTRAM'!E5</f>
        <v>50565660</v>
      </c>
      <c r="BH79" s="304">
        <f>'II.3.ThopTRAM'!E10</f>
        <v>197908603</v>
      </c>
      <c r="BI79" s="88" t="s">
        <v>4160</v>
      </c>
      <c r="BJ79" s="85"/>
    </row>
    <row r="80" spans="2:62" ht="15.75" hidden="1">
      <c r="D80" s="123" t="s">
        <v>4302</v>
      </c>
      <c r="E80" s="109"/>
      <c r="F80" s="109"/>
      <c r="G80" s="109"/>
      <c r="H80" s="109"/>
      <c r="I80" s="109"/>
      <c r="J80" s="109"/>
      <c r="K80" s="109"/>
      <c r="L80" s="109"/>
      <c r="M80" s="109"/>
      <c r="N80" s="109"/>
      <c r="O80" s="109"/>
      <c r="P80" s="91"/>
      <c r="R80" s="116"/>
      <c r="T80" s="116"/>
      <c r="U80" s="116"/>
      <c r="V80" s="116"/>
      <c r="W80" s="116"/>
      <c r="X80" s="116"/>
      <c r="Y80" s="116"/>
      <c r="Z80" s="116"/>
      <c r="AA80" s="116"/>
      <c r="AB80" s="116"/>
      <c r="AC80" s="116"/>
      <c r="AD80" s="116"/>
      <c r="AE80" s="116"/>
      <c r="AF80" s="116"/>
      <c r="AG80" s="116"/>
      <c r="AH80" s="116"/>
      <c r="AI80" s="116"/>
      <c r="AJ80" s="116"/>
      <c r="AK80" s="116"/>
      <c r="AL80" s="116"/>
      <c r="AM80" s="116"/>
      <c r="AN80" s="117"/>
      <c r="AO80" s="105" t="s">
        <v>3306</v>
      </c>
      <c r="AP80" s="2195">
        <f>IF(SUM(AP77:AY79)&gt;=5000000,SUM(AP77:AY79),5000000)</f>
        <v>236755715</v>
      </c>
      <c r="AQ80" s="2195"/>
      <c r="AR80" s="2195"/>
      <c r="AS80" s="2195"/>
      <c r="AT80" s="2195"/>
      <c r="AU80" s="2195"/>
      <c r="AV80" s="2195"/>
      <c r="AW80" s="2195"/>
      <c r="AX80" s="2195"/>
      <c r="AY80" s="2195"/>
      <c r="AZ80" s="119" t="s">
        <v>4160</v>
      </c>
      <c r="BC80" s="724"/>
      <c r="BE80" s="120"/>
      <c r="BF80" s="121"/>
      <c r="BG80" s="121"/>
      <c r="BH80" s="121"/>
      <c r="BI80" s="122"/>
      <c r="BJ80" s="85"/>
    </row>
    <row r="81" spans="2:67" ht="15.75" hidden="1">
      <c r="D81" s="123" t="s">
        <v>4303</v>
      </c>
      <c r="E81" s="109"/>
      <c r="F81" s="109"/>
      <c r="G81" s="109"/>
      <c r="H81" s="109"/>
      <c r="I81" s="109"/>
      <c r="J81" s="109"/>
      <c r="K81" s="109"/>
      <c r="L81" s="109"/>
      <c r="M81" s="109"/>
      <c r="N81" s="109"/>
      <c r="O81" s="109"/>
      <c r="P81" s="91"/>
      <c r="R81" s="116"/>
      <c r="T81" s="116"/>
      <c r="U81" s="116"/>
      <c r="V81" s="116"/>
      <c r="W81" s="116"/>
      <c r="X81" s="116"/>
      <c r="Y81" s="116"/>
      <c r="Z81" s="116"/>
      <c r="AA81" s="116"/>
      <c r="AB81" s="116"/>
      <c r="AC81" s="116"/>
      <c r="AD81" s="116"/>
      <c r="AE81" s="116"/>
      <c r="AF81" s="116"/>
      <c r="AG81" s="116"/>
      <c r="AH81" s="116"/>
      <c r="AI81" s="116"/>
      <c r="AJ81" s="116"/>
      <c r="AK81" s="116"/>
      <c r="AL81" s="116"/>
      <c r="AM81" s="116"/>
      <c r="AN81" s="117"/>
      <c r="AO81" s="105" t="s">
        <v>3306</v>
      </c>
      <c r="AP81" s="2174" t="e">
        <f>ROUND((AP76+AP80)*1.05,-3)</f>
        <v>#REF!</v>
      </c>
      <c r="AQ81" s="2174"/>
      <c r="AR81" s="2174"/>
      <c r="AS81" s="2174"/>
      <c r="AT81" s="2174"/>
      <c r="AU81" s="2174"/>
      <c r="AV81" s="2174"/>
      <c r="AW81" s="2174"/>
      <c r="AX81" s="2174"/>
      <c r="AY81" s="2174"/>
      <c r="AZ81" s="119" t="s">
        <v>4160</v>
      </c>
      <c r="BC81" s="724" t="e">
        <f>+IF(+AP81=0,"","TK")</f>
        <v>#REF!</v>
      </c>
      <c r="BK81" s="99"/>
      <c r="BL81" s="100"/>
      <c r="BM81" s="100"/>
      <c r="BN81" s="100"/>
      <c r="BO81" s="100"/>
    </row>
    <row r="82" spans="2:67" ht="15.75" hidden="1">
      <c r="F82" s="2183" t="e">
        <v>#NAME?</v>
      </c>
      <c r="G82" s="2183"/>
      <c r="H82" s="2183"/>
      <c r="I82" s="2183"/>
      <c r="J82" s="2183"/>
      <c r="K82" s="2183"/>
      <c r="L82" s="2183"/>
      <c r="M82" s="2183"/>
      <c r="N82" s="2183"/>
      <c r="O82" s="2183"/>
      <c r="P82" s="2183"/>
      <c r="Q82" s="2183"/>
      <c r="R82" s="2183"/>
      <c r="S82" s="2183"/>
      <c r="T82" s="2183"/>
      <c r="U82" s="2183"/>
      <c r="V82" s="2183"/>
      <c r="W82" s="2183"/>
      <c r="X82" s="2183"/>
      <c r="Y82" s="2183"/>
      <c r="Z82" s="2183"/>
      <c r="AA82" s="2183"/>
      <c r="AB82" s="2183"/>
      <c r="AC82" s="2183"/>
      <c r="AD82" s="2183"/>
      <c r="AE82" s="2183"/>
      <c r="AF82" s="2183"/>
      <c r="AG82" s="2183"/>
      <c r="AH82" s="2183"/>
      <c r="AI82" s="2183"/>
      <c r="AJ82" s="2183"/>
      <c r="AK82" s="2183"/>
      <c r="AL82" s="2183"/>
      <c r="AM82" s="2183"/>
      <c r="AN82" s="2183"/>
      <c r="AO82" s="2183"/>
      <c r="AP82" s="2183"/>
      <c r="AQ82" s="2183"/>
      <c r="AR82" s="2183"/>
      <c r="AS82" s="2183"/>
      <c r="AT82" s="2183"/>
      <c r="AU82" s="2183"/>
      <c r="AV82" s="2183"/>
      <c r="AW82" s="2183"/>
      <c r="AX82" s="2183"/>
      <c r="AY82" s="2183"/>
      <c r="AZ82" s="2183"/>
      <c r="BA82" s="2183"/>
      <c r="BB82" s="2183"/>
      <c r="BC82" s="724" t="s">
        <v>637</v>
      </c>
      <c r="BE82" s="124"/>
      <c r="BF82" s="99"/>
      <c r="BG82" s="99"/>
      <c r="BH82" s="99"/>
      <c r="BI82" s="99"/>
      <c r="BJ82" s="99"/>
      <c r="BK82" s="100"/>
      <c r="BL82" s="100"/>
      <c r="BM82" s="100"/>
      <c r="BN82" s="100"/>
      <c r="BO82" s="100"/>
    </row>
    <row r="83" spans="2:67" ht="18" hidden="1" customHeight="1">
      <c r="F83" s="2171" t="s">
        <v>3946</v>
      </c>
      <c r="G83" s="2171"/>
      <c r="H83" s="2171"/>
      <c r="I83" s="2171"/>
      <c r="J83" s="2171"/>
      <c r="K83" s="2171"/>
      <c r="L83" s="2171"/>
      <c r="M83" s="2171"/>
      <c r="N83" s="2171"/>
      <c r="O83" s="2171"/>
      <c r="P83" s="2171"/>
      <c r="Q83" s="2171"/>
      <c r="R83" s="2171"/>
      <c r="S83" s="2171"/>
      <c r="T83" s="2171"/>
      <c r="U83" s="2171"/>
      <c r="V83" s="2171"/>
      <c r="W83" s="2171"/>
      <c r="X83" s="2171"/>
      <c r="Y83" s="2171"/>
      <c r="Z83" s="2171"/>
      <c r="AA83" s="2171"/>
      <c r="AB83" s="2171"/>
      <c r="AC83" s="2171"/>
      <c r="AD83" s="2171"/>
      <c r="AE83" s="2171"/>
      <c r="AF83" s="2171"/>
      <c r="AG83" s="2171"/>
      <c r="AH83" s="2171"/>
      <c r="AI83" s="2171"/>
      <c r="AJ83" s="2171"/>
      <c r="AK83" s="2171"/>
      <c r="AL83" s="2171"/>
      <c r="AM83" s="2171"/>
      <c r="AN83" s="2171"/>
      <c r="AO83" s="2171"/>
      <c r="AP83" s="2171"/>
      <c r="AQ83" s="2171"/>
      <c r="AR83" s="2171"/>
      <c r="AS83" s="2171"/>
      <c r="AT83" s="2171"/>
      <c r="AU83" s="2171"/>
      <c r="AV83" s="2171"/>
      <c r="AW83" s="2171"/>
      <c r="AX83" s="2171"/>
      <c r="AY83" s="2171"/>
      <c r="AZ83" s="2171"/>
      <c r="BA83" s="2171"/>
      <c r="BB83" s="2171"/>
      <c r="BC83" s="724" t="s">
        <v>637</v>
      </c>
      <c r="BE83" s="85"/>
      <c r="BF83" s="100"/>
      <c r="BG83" s="100"/>
      <c r="BH83" s="100"/>
      <c r="BI83" s="100"/>
      <c r="BJ83" s="100"/>
      <c r="BK83" s="100"/>
      <c r="BL83" s="100"/>
      <c r="BM83" s="100"/>
      <c r="BN83" s="100"/>
      <c r="BO83" s="100"/>
    </row>
    <row r="84" spans="2:67" ht="18" hidden="1" customHeight="1">
      <c r="F84" s="2171" t="s">
        <v>1883</v>
      </c>
      <c r="G84" s="2172"/>
      <c r="H84" s="2172"/>
      <c r="I84" s="2172"/>
      <c r="J84" s="2172"/>
      <c r="K84" s="2172"/>
      <c r="L84" s="2172"/>
      <c r="M84" s="2172"/>
      <c r="N84" s="2172"/>
      <c r="O84" s="2172"/>
      <c r="P84" s="2172"/>
      <c r="Q84" s="2172"/>
      <c r="R84" s="2172"/>
      <c r="S84" s="2172"/>
      <c r="T84" s="2172"/>
      <c r="U84" s="2172"/>
      <c r="V84" s="2172"/>
      <c r="W84" s="2172"/>
      <c r="X84" s="2172"/>
      <c r="Y84" s="2172"/>
      <c r="Z84" s="2172"/>
      <c r="AA84" s="2172"/>
      <c r="AB84" s="2172"/>
      <c r="AC84" s="2172"/>
      <c r="AD84" s="2172"/>
      <c r="AE84" s="2172"/>
      <c r="AF84" s="2172"/>
      <c r="AG84" s="2172"/>
      <c r="AH84" s="2172"/>
      <c r="AI84" s="2172"/>
      <c r="AJ84" s="2172"/>
      <c r="AK84" s="2172"/>
      <c r="AL84" s="2172"/>
      <c r="AM84" s="2172"/>
      <c r="AN84" s="2172"/>
      <c r="AO84" s="2172"/>
      <c r="AP84" s="2172"/>
      <c r="AQ84" s="2172"/>
      <c r="AR84" s="2172"/>
      <c r="AS84" s="2172"/>
      <c r="AT84" s="2172"/>
      <c r="AU84" s="2172"/>
      <c r="AV84" s="2172"/>
      <c r="AW84" s="2172"/>
      <c r="AX84" s="2172"/>
      <c r="AY84" s="2172"/>
      <c r="AZ84" s="2172"/>
      <c r="BA84" s="2172"/>
      <c r="BB84" s="2172"/>
      <c r="BC84" s="724" t="s">
        <v>637</v>
      </c>
      <c r="BE84" s="85"/>
      <c r="BF84" s="100"/>
      <c r="BG84" s="100"/>
      <c r="BH84" s="100"/>
      <c r="BI84" s="100"/>
      <c r="BJ84" s="100"/>
      <c r="BK84" s="100"/>
      <c r="BL84" s="101"/>
      <c r="BM84" s="101"/>
      <c r="BN84" s="101"/>
      <c r="BO84" s="101"/>
    </row>
    <row r="85" spans="2:67" ht="18" hidden="1" customHeight="1">
      <c r="F85" s="2172" t="s">
        <v>3945</v>
      </c>
      <c r="G85" s="2172"/>
      <c r="H85" s="2172"/>
      <c r="I85" s="2172"/>
      <c r="J85" s="2172"/>
      <c r="K85" s="2172"/>
      <c r="L85" s="2172"/>
      <c r="M85" s="2172"/>
      <c r="N85" s="2172"/>
      <c r="O85" s="2172"/>
      <c r="P85" s="2172"/>
      <c r="Q85" s="2172"/>
      <c r="R85" s="2172"/>
      <c r="S85" s="2172"/>
      <c r="T85" s="2172"/>
      <c r="U85" s="2172"/>
      <c r="V85" s="2172"/>
      <c r="W85" s="2172"/>
      <c r="X85" s="2172"/>
      <c r="Y85" s="2172"/>
      <c r="Z85" s="2172"/>
      <c r="AA85" s="2172"/>
      <c r="AB85" s="2172"/>
      <c r="AC85" s="2172"/>
      <c r="AD85" s="2172"/>
      <c r="AE85" s="2172"/>
      <c r="AF85" s="2172"/>
      <c r="AG85" s="2172"/>
      <c r="AH85" s="2172"/>
      <c r="AI85" s="2172"/>
      <c r="AJ85" s="2172"/>
      <c r="AK85" s="2172"/>
      <c r="AL85" s="2172"/>
      <c r="AM85" s="2172"/>
      <c r="AN85" s="2172"/>
      <c r="AO85" s="2172"/>
      <c r="AP85" s="2172"/>
      <c r="AQ85" s="2172"/>
      <c r="AR85" s="2172"/>
      <c r="AS85" s="2172"/>
      <c r="AT85" s="2172"/>
      <c r="AU85" s="2172"/>
      <c r="AV85" s="2172"/>
      <c r="AW85" s="2172"/>
      <c r="AX85" s="2172"/>
      <c r="AY85" s="2172"/>
      <c r="AZ85" s="2172"/>
      <c r="BA85" s="2172"/>
      <c r="BB85" s="2172"/>
      <c r="BC85" s="724" t="s">
        <v>637</v>
      </c>
      <c r="BE85" s="85"/>
      <c r="BF85" s="100"/>
      <c r="BG85" s="100"/>
      <c r="BH85" s="100"/>
      <c r="BI85" s="100"/>
      <c r="BJ85" s="100"/>
      <c r="BK85" s="100"/>
    </row>
    <row r="86" spans="2:67" ht="18" hidden="1" customHeight="1">
      <c r="B86" s="2171" t="s">
        <v>2171</v>
      </c>
      <c r="C86" s="2171"/>
      <c r="D86" s="2171"/>
      <c r="E86" s="2171"/>
      <c r="F86" s="2171"/>
      <c r="G86" s="2171"/>
      <c r="H86" s="2171"/>
      <c r="I86" s="2171"/>
      <c r="J86" s="2171"/>
      <c r="K86" s="2171"/>
      <c r="L86" s="2171"/>
      <c r="M86" s="2171"/>
      <c r="N86" s="2171"/>
      <c r="O86" s="2171"/>
      <c r="P86" s="2171"/>
      <c r="Q86" s="2171"/>
      <c r="R86" s="2171"/>
      <c r="S86" s="2171"/>
      <c r="T86" s="2171"/>
      <c r="U86" s="2171"/>
      <c r="V86" s="2171"/>
      <c r="W86" s="2171"/>
      <c r="X86" s="2171"/>
      <c r="Y86" s="2171"/>
      <c r="Z86" s="2171"/>
      <c r="AA86" s="2171"/>
      <c r="AB86" s="2171"/>
      <c r="AC86" s="2171"/>
      <c r="AD86" s="2171"/>
      <c r="AE86" s="2171"/>
      <c r="AF86" s="2171"/>
      <c r="AG86" s="2171"/>
      <c r="AH86" s="2171"/>
      <c r="AI86" s="2171"/>
      <c r="AJ86" s="2171"/>
      <c r="AK86" s="2171"/>
      <c r="AL86" s="2171"/>
      <c r="AM86" s="2171"/>
      <c r="AN86" s="2171"/>
      <c r="AO86" s="2171"/>
      <c r="AP86" s="2171"/>
      <c r="AQ86" s="2171"/>
      <c r="AR86" s="2171"/>
      <c r="AS86" s="2171"/>
      <c r="AT86" s="2171"/>
      <c r="AU86" s="2171"/>
      <c r="AV86" s="2171"/>
      <c r="AW86" s="2171"/>
      <c r="AX86" s="2171"/>
      <c r="AY86" s="2171"/>
      <c r="AZ86" s="2171"/>
      <c r="BA86" s="2171"/>
      <c r="BB86" s="2171"/>
      <c r="BC86" s="724" t="s">
        <v>637</v>
      </c>
      <c r="BE86" s="85"/>
      <c r="BF86" s="100"/>
      <c r="BG86" s="100"/>
      <c r="BH86" s="100"/>
      <c r="BI86" s="100"/>
      <c r="BJ86" s="100"/>
      <c r="BK86" s="100"/>
    </row>
    <row r="87" spans="2:67" ht="18" hidden="1" customHeight="1">
      <c r="F87" s="2172" t="s">
        <v>55</v>
      </c>
      <c r="G87" s="2171"/>
      <c r="H87" s="2171"/>
      <c r="I87" s="2171"/>
      <c r="J87" s="2171"/>
      <c r="K87" s="2171"/>
      <c r="L87" s="2171"/>
      <c r="M87" s="2171"/>
      <c r="N87" s="2171"/>
      <c r="O87" s="2171"/>
      <c r="P87" s="2171"/>
      <c r="Q87" s="2171"/>
      <c r="R87" s="2171"/>
      <c r="S87" s="2171"/>
      <c r="T87" s="2171"/>
      <c r="U87" s="2171"/>
      <c r="V87" s="2171"/>
      <c r="W87" s="2171"/>
      <c r="X87" s="2171"/>
      <c r="Y87" s="2171"/>
      <c r="Z87" s="2171"/>
      <c r="AA87" s="2171"/>
      <c r="AB87" s="2171"/>
      <c r="AC87" s="2171"/>
      <c r="AD87" s="2171"/>
      <c r="AE87" s="2171"/>
      <c r="AF87" s="2171"/>
      <c r="AG87" s="2171"/>
      <c r="AH87" s="2171"/>
      <c r="AI87" s="2171"/>
      <c r="AJ87" s="2171"/>
      <c r="AK87" s="2171"/>
      <c r="AL87" s="2171"/>
      <c r="AM87" s="2171"/>
      <c r="AN87" s="2171"/>
      <c r="AO87" s="2171"/>
      <c r="AP87" s="2171"/>
      <c r="AQ87" s="2171"/>
      <c r="AR87" s="2171"/>
      <c r="AS87" s="2171"/>
      <c r="AT87" s="2171"/>
      <c r="AU87" s="2171"/>
      <c r="AV87" s="2171"/>
      <c r="AW87" s="2171"/>
      <c r="AX87" s="2171"/>
      <c r="AY87" s="2171"/>
      <c r="AZ87" s="2171"/>
      <c r="BA87" s="2171"/>
      <c r="BB87" s="2171"/>
      <c r="BC87" s="724" t="s">
        <v>637</v>
      </c>
      <c r="BE87" s="85"/>
      <c r="BF87" s="100"/>
      <c r="BG87" s="100"/>
      <c r="BH87" s="100"/>
      <c r="BI87" s="100"/>
      <c r="BJ87" s="100"/>
      <c r="BK87" s="100"/>
    </row>
    <row r="88" spans="2:67" ht="18" hidden="1" customHeight="1">
      <c r="B88" s="2171" t="s">
        <v>2172</v>
      </c>
      <c r="C88" s="2171"/>
      <c r="D88" s="2171"/>
      <c r="E88" s="2171"/>
      <c r="F88" s="2171"/>
      <c r="G88" s="2171"/>
      <c r="H88" s="2171"/>
      <c r="I88" s="2171"/>
      <c r="J88" s="2171"/>
      <c r="K88" s="2171"/>
      <c r="L88" s="2171"/>
      <c r="M88" s="2171"/>
      <c r="N88" s="2171"/>
      <c r="O88" s="2171"/>
      <c r="P88" s="2171"/>
      <c r="Q88" s="2171"/>
      <c r="R88" s="2171"/>
      <c r="S88" s="2171"/>
      <c r="T88" s="2171"/>
      <c r="U88" s="2171"/>
      <c r="V88" s="2171"/>
      <c r="W88" s="2171"/>
      <c r="X88" s="2171"/>
      <c r="Y88" s="2171"/>
      <c r="Z88" s="2171"/>
      <c r="AA88" s="2171"/>
      <c r="AB88" s="2171"/>
      <c r="AC88" s="2171"/>
      <c r="AD88" s="2171"/>
      <c r="AE88" s="2171"/>
      <c r="AF88" s="2171"/>
      <c r="AG88" s="2171"/>
      <c r="AH88" s="2171"/>
      <c r="AI88" s="2171"/>
      <c r="AJ88" s="2171"/>
      <c r="AK88" s="2171"/>
      <c r="AL88" s="2171"/>
      <c r="AM88" s="2171"/>
      <c r="AN88" s="2171"/>
      <c r="AO88" s="2171"/>
      <c r="AP88" s="2171"/>
      <c r="AQ88" s="2171"/>
      <c r="AR88" s="2171"/>
      <c r="AS88" s="2171"/>
      <c r="AT88" s="2171"/>
      <c r="AU88" s="2171"/>
      <c r="AV88" s="2171"/>
      <c r="AW88" s="2171"/>
      <c r="AX88" s="2171"/>
      <c r="AY88" s="2171"/>
      <c r="AZ88" s="2171"/>
      <c r="BA88" s="2171"/>
      <c r="BB88" s="2171"/>
      <c r="BC88" s="724" t="s">
        <v>637</v>
      </c>
    </row>
    <row r="89" spans="2:67" ht="15.75" hidden="1">
      <c r="E89" s="2173" t="s">
        <v>4899</v>
      </c>
      <c r="F89" s="2171"/>
      <c r="G89" s="2171"/>
      <c r="H89" s="2171"/>
      <c r="I89" s="2171"/>
      <c r="J89" s="2171"/>
      <c r="K89" s="2171"/>
      <c r="L89" s="2171"/>
      <c r="M89" s="2171"/>
      <c r="N89" s="2171"/>
      <c r="O89" s="2171"/>
      <c r="P89" s="2171"/>
      <c r="Q89" s="2171"/>
      <c r="R89" s="2171"/>
      <c r="S89" s="2171"/>
      <c r="T89" s="2171"/>
      <c r="U89" s="2171"/>
      <c r="V89" s="2171"/>
      <c r="W89" s="2171"/>
      <c r="X89" s="2171"/>
      <c r="Y89" s="2171"/>
      <c r="Z89" s="2171"/>
      <c r="AA89" s="2171"/>
      <c r="AB89" s="2171"/>
      <c r="AC89" s="2171"/>
      <c r="AD89" s="2171"/>
      <c r="AE89" s="2171"/>
      <c r="AF89" s="2171"/>
      <c r="AG89" s="2171"/>
      <c r="AH89" s="2171"/>
      <c r="AI89" s="2171"/>
      <c r="AJ89" s="2171"/>
      <c r="AK89" s="2171"/>
      <c r="AL89" s="2171"/>
      <c r="AM89" s="2171"/>
      <c r="AN89" s="2171"/>
      <c r="AO89" s="2171"/>
      <c r="AP89" s="2171"/>
      <c r="AQ89" s="2171"/>
      <c r="AR89" s="2171"/>
      <c r="AS89" s="2171"/>
      <c r="AT89" s="2171"/>
      <c r="AU89" s="2171"/>
      <c r="AV89" s="2171"/>
      <c r="AW89" s="2171"/>
      <c r="AX89" s="2171"/>
      <c r="AY89" s="2171"/>
      <c r="AZ89" s="2171"/>
      <c r="BA89" s="2171"/>
      <c r="BB89" s="2171"/>
      <c r="BC89" s="724" t="s">
        <v>637</v>
      </c>
    </row>
    <row r="90" spans="2:67" ht="15.75" hidden="1">
      <c r="E90" s="2171" t="s">
        <v>4944</v>
      </c>
      <c r="F90" s="2171"/>
      <c r="G90" s="2171"/>
      <c r="H90" s="2171"/>
      <c r="I90" s="2171"/>
      <c r="J90" s="2171"/>
      <c r="K90" s="2171"/>
      <c r="L90" s="2171"/>
      <c r="M90" s="2171"/>
      <c r="N90" s="2171"/>
      <c r="O90" s="2171"/>
      <c r="P90" s="2171"/>
      <c r="Q90" s="2171"/>
      <c r="R90" s="2171"/>
      <c r="S90" s="2171"/>
      <c r="T90" s="2171"/>
      <c r="U90" s="2171"/>
      <c r="V90" s="2171"/>
      <c r="W90" s="2171"/>
      <c r="X90" s="2171"/>
      <c r="Y90" s="2171"/>
      <c r="Z90" s="2171"/>
      <c r="AA90" s="2171"/>
      <c r="AB90" s="2171"/>
      <c r="AC90" s="2171"/>
      <c r="AD90" s="2171"/>
      <c r="AE90" s="2171"/>
      <c r="AF90" s="2171"/>
      <c r="AG90" s="2171"/>
      <c r="AH90" s="2171"/>
      <c r="AI90" s="2171"/>
      <c r="AJ90" s="2171"/>
      <c r="AK90" s="2171"/>
      <c r="AL90" s="2171"/>
      <c r="AM90" s="2171"/>
      <c r="AN90" s="2171"/>
      <c r="AO90" s="2171"/>
      <c r="AP90" s="2171"/>
      <c r="AQ90" s="2171"/>
      <c r="AR90" s="2171"/>
      <c r="AS90" s="2171"/>
      <c r="AT90" s="2171"/>
      <c r="AU90" s="2171"/>
      <c r="AV90" s="2171"/>
      <c r="AW90" s="2171"/>
      <c r="AX90" s="2171"/>
      <c r="AY90" s="2171"/>
      <c r="AZ90" s="2171"/>
      <c r="BA90" s="2171"/>
      <c r="BB90" s="2171"/>
      <c r="BC90" s="724" t="str">
        <f>IF(NL!$U$11=1,"","TK")</f>
        <v/>
      </c>
    </row>
    <row r="91" spans="2:67" ht="15.75" hidden="1">
      <c r="F91" s="2172" t="s">
        <v>5696</v>
      </c>
      <c r="G91" s="2172"/>
      <c r="H91" s="2172"/>
      <c r="I91" s="2172"/>
      <c r="J91" s="2172"/>
      <c r="K91" s="2172"/>
      <c r="L91" s="2172"/>
      <c r="M91" s="2172"/>
      <c r="N91" s="2172"/>
      <c r="O91" s="2172"/>
      <c r="P91" s="2172"/>
      <c r="Q91" s="2172"/>
      <c r="R91" s="2172"/>
      <c r="S91" s="2172"/>
      <c r="T91" s="2172"/>
      <c r="U91" s="2172"/>
      <c r="V91" s="2172"/>
      <c r="W91" s="2172"/>
      <c r="X91" s="2172"/>
      <c r="Y91" s="2172"/>
      <c r="Z91" s="2172"/>
      <c r="AA91" s="2172"/>
      <c r="AB91" s="2172"/>
      <c r="AC91" s="2172"/>
      <c r="AD91" s="2172"/>
      <c r="AE91" s="2172"/>
      <c r="AF91" s="2172"/>
      <c r="AG91" s="2172"/>
      <c r="AH91" s="2172"/>
      <c r="AI91" s="2172"/>
      <c r="AJ91" s="2172"/>
      <c r="AK91" s="2172"/>
      <c r="AL91" s="2172"/>
      <c r="AM91" s="2172"/>
      <c r="AN91" s="2172"/>
      <c r="AO91" s="2172"/>
      <c r="AP91" s="2172"/>
      <c r="AQ91" s="2172"/>
      <c r="AR91" s="2172"/>
      <c r="AS91" s="2172"/>
      <c r="AT91" s="2172"/>
      <c r="AU91" s="2172"/>
      <c r="AV91" s="2172"/>
      <c r="AW91" s="2172"/>
      <c r="AX91" s="2172"/>
      <c r="AY91" s="2172"/>
      <c r="AZ91" s="2172"/>
      <c r="BA91" s="2172"/>
      <c r="BB91" s="2172"/>
      <c r="BC91" s="724" t="str">
        <f>IF(NL!$U$11=1,"","TK")</f>
        <v/>
      </c>
    </row>
    <row r="92" spans="2:67" ht="15.75" hidden="1">
      <c r="F92" s="102" t="s">
        <v>2175</v>
      </c>
      <c r="AP92" s="102" t="s">
        <v>3306</v>
      </c>
      <c r="AQ92" s="2174">
        <f>IF(NL!$U$11=2,ROUND(AP81*50%,0),0)</f>
        <v>0</v>
      </c>
      <c r="AR92" s="2174"/>
      <c r="AS92" s="2174"/>
      <c r="AT92" s="2174"/>
      <c r="AU92" s="2174"/>
      <c r="AV92" s="2174"/>
      <c r="AW92" s="2174"/>
      <c r="AX92" s="2174"/>
      <c r="AY92" s="2174"/>
      <c r="AZ92" s="119" t="s">
        <v>4160</v>
      </c>
      <c r="BC92" s="724" t="str">
        <f>IF(NL!$U$11=1,"","TK")</f>
        <v/>
      </c>
    </row>
    <row r="93" spans="2:67" ht="15.75" hidden="1">
      <c r="E93" s="2171" t="str">
        <f>IF(NL!$U$11=1,"5.1.","5.2.")&amp;"  Thanh toán hợp đồng:"</f>
        <v>5.1.  Thanh toán hợp đồng:</v>
      </c>
      <c r="F93" s="2171"/>
      <c r="G93" s="2171"/>
      <c r="H93" s="2171"/>
      <c r="I93" s="2171"/>
      <c r="J93" s="2171"/>
      <c r="K93" s="2171"/>
      <c r="L93" s="2171"/>
      <c r="M93" s="2171"/>
      <c r="N93" s="2171"/>
      <c r="O93" s="2171"/>
      <c r="P93" s="2171"/>
      <c r="Q93" s="2171"/>
      <c r="R93" s="2171"/>
      <c r="S93" s="2171"/>
      <c r="T93" s="2171"/>
      <c r="U93" s="2171"/>
      <c r="V93" s="2171"/>
      <c r="W93" s="2171"/>
      <c r="X93" s="2171"/>
      <c r="Y93" s="2171"/>
      <c r="Z93" s="2171"/>
      <c r="AA93" s="2171"/>
      <c r="AB93" s="2171"/>
      <c r="AC93" s="2171"/>
      <c r="AD93" s="2171"/>
      <c r="AE93" s="2171"/>
      <c r="AF93" s="2171"/>
      <c r="AG93" s="2171"/>
      <c r="AH93" s="2171"/>
      <c r="AI93" s="2171"/>
      <c r="AJ93" s="2171"/>
      <c r="AK93" s="2171"/>
      <c r="AL93" s="2171"/>
      <c r="AM93" s="2171"/>
      <c r="AN93" s="2171"/>
      <c r="AO93" s="2171"/>
      <c r="AP93" s="2171"/>
      <c r="AQ93" s="2171"/>
      <c r="AR93" s="2171"/>
      <c r="AS93" s="2171"/>
      <c r="AT93" s="2171"/>
      <c r="AU93" s="2171"/>
      <c r="AV93" s="2171"/>
      <c r="AW93" s="2171"/>
      <c r="AX93" s="2171"/>
      <c r="AY93" s="2171"/>
      <c r="AZ93" s="2171"/>
      <c r="BA93" s="2171"/>
      <c r="BB93" s="2171"/>
      <c r="BC93" s="724" t="s">
        <v>637</v>
      </c>
    </row>
    <row r="94" spans="2:67" ht="18" hidden="1" customHeight="1">
      <c r="F94" s="2171" t="s">
        <v>2568</v>
      </c>
      <c r="G94" s="2172"/>
      <c r="H94" s="2172"/>
      <c r="I94" s="2172"/>
      <c r="J94" s="2172"/>
      <c r="K94" s="2172"/>
      <c r="L94" s="2172"/>
      <c r="M94" s="2172"/>
      <c r="N94" s="2172"/>
      <c r="O94" s="2172"/>
      <c r="P94" s="2172"/>
      <c r="Q94" s="2172"/>
      <c r="R94" s="2172"/>
      <c r="S94" s="2172"/>
      <c r="T94" s="2172"/>
      <c r="U94" s="2172"/>
      <c r="V94" s="2172"/>
      <c r="W94" s="2172"/>
      <c r="X94" s="2172"/>
      <c r="Y94" s="2172"/>
      <c r="Z94" s="2172"/>
      <c r="AA94" s="2172"/>
      <c r="AB94" s="2172"/>
      <c r="AC94" s="2172"/>
      <c r="AD94" s="2172"/>
      <c r="AE94" s="2172"/>
      <c r="AF94" s="2172"/>
      <c r="AG94" s="2172"/>
      <c r="AH94" s="2172"/>
      <c r="AI94" s="2172"/>
      <c r="AJ94" s="2172"/>
      <c r="AK94" s="2172"/>
      <c r="AL94" s="2172"/>
      <c r="AM94" s="2172"/>
      <c r="AN94" s="2172"/>
      <c r="AO94" s="2172"/>
      <c r="AP94" s="2172"/>
      <c r="AQ94" s="2172"/>
      <c r="AR94" s="2172"/>
      <c r="AS94" s="2172"/>
      <c r="AT94" s="2172"/>
      <c r="AU94" s="2172"/>
      <c r="AV94" s="2172"/>
      <c r="AW94" s="2172"/>
      <c r="AX94" s="2172"/>
      <c r="AY94" s="2172"/>
      <c r="AZ94" s="2172"/>
      <c r="BA94" s="2172"/>
      <c r="BB94" s="2172"/>
      <c r="BC94" s="724" t="s">
        <v>637</v>
      </c>
    </row>
    <row r="95" spans="2:67" ht="18" hidden="1" customHeight="1">
      <c r="B95" s="2171" t="s">
        <v>5802</v>
      </c>
      <c r="C95" s="2171"/>
      <c r="D95" s="2171"/>
      <c r="E95" s="2171"/>
      <c r="F95" s="2171"/>
      <c r="G95" s="2171"/>
      <c r="H95" s="2171"/>
      <c r="I95" s="2171"/>
      <c r="J95" s="2171"/>
      <c r="K95" s="2171"/>
      <c r="L95" s="2171"/>
      <c r="M95" s="2171"/>
      <c r="N95" s="2171"/>
      <c r="O95" s="2171"/>
      <c r="P95" s="2171"/>
      <c r="Q95" s="2171"/>
      <c r="R95" s="2171"/>
      <c r="S95" s="2171"/>
      <c r="T95" s="2171"/>
      <c r="U95" s="2171"/>
      <c r="V95" s="2171"/>
      <c r="W95" s="2171"/>
      <c r="X95" s="2171"/>
      <c r="Y95" s="2171"/>
      <c r="Z95" s="2171"/>
      <c r="AA95" s="2171"/>
      <c r="AB95" s="2171"/>
      <c r="AC95" s="2171"/>
      <c r="AD95" s="2171"/>
      <c r="AE95" s="2171"/>
      <c r="AF95" s="2171"/>
      <c r="AG95" s="2171"/>
      <c r="AH95" s="2171"/>
      <c r="AI95" s="2171"/>
      <c r="AJ95" s="2171"/>
      <c r="AK95" s="2171"/>
      <c r="AL95" s="2171"/>
      <c r="AM95" s="2171"/>
      <c r="AN95" s="2171"/>
      <c r="AO95" s="2171"/>
      <c r="AP95" s="2171"/>
      <c r="AQ95" s="2171"/>
      <c r="AR95" s="2171"/>
      <c r="AS95" s="2171"/>
      <c r="AT95" s="2171"/>
      <c r="AU95" s="2171"/>
      <c r="AV95" s="2171"/>
      <c r="AW95" s="2171"/>
      <c r="AX95" s="2171"/>
      <c r="AY95" s="2171"/>
      <c r="AZ95" s="2171"/>
      <c r="BA95" s="2171"/>
      <c r="BB95" s="2171"/>
      <c r="BC95" s="724" t="s">
        <v>637</v>
      </c>
    </row>
    <row r="96" spans="2:67" ht="15.75" hidden="1">
      <c r="F96" s="102" t="s">
        <v>3283</v>
      </c>
      <c r="AP96" s="102" t="s">
        <v>3306</v>
      </c>
      <c r="AQ96" s="2174" t="e">
        <f>IF(NL!$U$11=1,ROUND(AP81,0),AP81-AQ92)</f>
        <v>#REF!</v>
      </c>
      <c r="AR96" s="2174"/>
      <c r="AS96" s="2174"/>
      <c r="AT96" s="2174"/>
      <c r="AU96" s="2174"/>
      <c r="AV96" s="2174"/>
      <c r="AW96" s="2174"/>
      <c r="AX96" s="2174"/>
      <c r="AY96" s="2174"/>
      <c r="AZ96" s="119" t="s">
        <v>4160</v>
      </c>
      <c r="BC96" s="724" t="s">
        <v>637</v>
      </c>
    </row>
    <row r="97" spans="1:55" ht="18" hidden="1" customHeight="1">
      <c r="E97" s="102" t="str">
        <f>IF(NL!$U$11=1,"5.2.","5.3.")&amp;"  Hình thức thanh toán"</f>
        <v>5.2.  Hình thức thanh toán</v>
      </c>
      <c r="U97" s="102" t="s">
        <v>3182</v>
      </c>
      <c r="BC97" s="724" t="s">
        <v>637</v>
      </c>
    </row>
    <row r="98" spans="1:55" ht="15.75" hidden="1">
      <c r="E98" s="102" t="str">
        <f>IF(NL!$U$11=1,"5.3.","5.4.")&amp;"  Đồng tiền thanh toán"</f>
        <v>5.3.  Đồng tiền thanh toán</v>
      </c>
      <c r="U98" s="102" t="s">
        <v>3183</v>
      </c>
      <c r="BC98" s="724" t="s">
        <v>637</v>
      </c>
    </row>
    <row r="99" spans="1:55" ht="15.75" hidden="1">
      <c r="A99" s="728"/>
      <c r="B99" s="729"/>
      <c r="C99" s="729"/>
      <c r="D99" s="729"/>
      <c r="E99" s="729"/>
      <c r="F99" s="729"/>
      <c r="G99" s="729"/>
      <c r="H99" s="729"/>
      <c r="I99" s="729"/>
      <c r="J99" s="729"/>
      <c r="K99" s="729"/>
      <c r="L99" s="729"/>
      <c r="M99" s="729"/>
      <c r="N99" s="729"/>
      <c r="O99" s="729"/>
      <c r="P99" s="729"/>
      <c r="Q99" s="729"/>
      <c r="R99" s="729"/>
      <c r="S99" s="729"/>
      <c r="T99" s="729"/>
      <c r="U99" s="729"/>
      <c r="V99" s="729"/>
      <c r="W99" s="729"/>
      <c r="X99" s="729"/>
      <c r="Y99" s="729"/>
      <c r="Z99" s="729"/>
      <c r="AA99" s="729"/>
      <c r="AB99" s="729"/>
      <c r="AC99" s="729"/>
      <c r="AD99" s="729"/>
      <c r="AE99" s="729"/>
      <c r="AF99" s="729"/>
      <c r="AG99" s="729"/>
      <c r="AH99" s="729"/>
      <c r="AI99" s="729"/>
      <c r="AJ99" s="729"/>
      <c r="AK99" s="729"/>
      <c r="AL99" s="729"/>
      <c r="AM99" s="729"/>
      <c r="AN99" s="729"/>
      <c r="AO99" s="729"/>
      <c r="AP99" s="729"/>
      <c r="AQ99" s="729"/>
      <c r="AR99" s="729"/>
      <c r="AS99" s="729"/>
      <c r="AT99" s="729"/>
      <c r="AU99" s="729"/>
      <c r="AV99" s="729"/>
      <c r="AW99" s="729"/>
      <c r="AX99" s="729"/>
      <c r="AY99" s="729"/>
      <c r="AZ99" s="729"/>
      <c r="BA99" s="729"/>
      <c r="BB99" s="729"/>
      <c r="BC99" s="1261" t="s">
        <v>637</v>
      </c>
    </row>
    <row r="100" spans="1:55" ht="15.75" hidden="1">
      <c r="A100" s="728"/>
      <c r="B100" s="729"/>
      <c r="C100" s="729"/>
      <c r="D100" s="729"/>
      <c r="E100" s="729"/>
      <c r="F100" s="729"/>
      <c r="G100" s="729"/>
      <c r="H100" s="729"/>
      <c r="I100" s="729"/>
      <c r="J100" s="729"/>
      <c r="K100" s="729"/>
      <c r="L100" s="729"/>
      <c r="M100" s="729"/>
      <c r="N100" s="729"/>
      <c r="O100" s="729"/>
      <c r="P100" s="729"/>
      <c r="Q100" s="729"/>
      <c r="R100" s="729"/>
      <c r="S100" s="729"/>
      <c r="T100" s="729"/>
      <c r="U100" s="729"/>
      <c r="V100" s="729"/>
      <c r="W100" s="729"/>
      <c r="X100" s="729"/>
      <c r="Y100" s="729"/>
      <c r="Z100" s="729"/>
      <c r="AA100" s="729"/>
      <c r="AB100" s="729"/>
      <c r="AC100" s="729"/>
      <c r="AD100" s="729"/>
      <c r="AE100" s="729"/>
      <c r="AF100" s="729"/>
      <c r="AG100" s="729"/>
      <c r="AH100" s="729"/>
      <c r="AI100" s="729"/>
      <c r="AJ100" s="729"/>
      <c r="AK100" s="729"/>
      <c r="AL100" s="729"/>
      <c r="AM100" s="729"/>
      <c r="AN100" s="729"/>
      <c r="AO100" s="729"/>
      <c r="AP100" s="729"/>
      <c r="AQ100" s="729"/>
      <c r="AR100" s="729"/>
      <c r="AS100" s="729"/>
      <c r="AT100" s="729"/>
      <c r="AU100" s="729"/>
      <c r="AV100" s="729"/>
      <c r="AW100" s="729"/>
      <c r="AX100" s="729"/>
      <c r="AY100" s="729"/>
      <c r="AZ100" s="729"/>
      <c r="BA100" s="729"/>
      <c r="BB100" s="729"/>
      <c r="BC100" s="1261" t="s">
        <v>637</v>
      </c>
    </row>
    <row r="101" spans="1:55" ht="15.75" hidden="1">
      <c r="A101" s="728"/>
      <c r="B101" s="729"/>
      <c r="C101" s="729"/>
      <c r="D101" s="729"/>
      <c r="E101" s="729"/>
      <c r="F101" s="729"/>
      <c r="G101" s="729"/>
      <c r="H101" s="729"/>
      <c r="I101" s="729"/>
      <c r="J101" s="729"/>
      <c r="K101" s="729"/>
      <c r="L101" s="729"/>
      <c r="M101" s="729"/>
      <c r="N101" s="729"/>
      <c r="O101" s="729"/>
      <c r="P101" s="729"/>
      <c r="Q101" s="729"/>
      <c r="R101" s="729"/>
      <c r="S101" s="729"/>
      <c r="T101" s="729"/>
      <c r="U101" s="729"/>
      <c r="V101" s="729"/>
      <c r="W101" s="729"/>
      <c r="X101" s="729"/>
      <c r="Y101" s="729"/>
      <c r="Z101" s="729"/>
      <c r="AA101" s="729"/>
      <c r="AB101" s="729"/>
      <c r="AC101" s="729"/>
      <c r="AD101" s="729"/>
      <c r="AE101" s="729"/>
      <c r="AF101" s="729"/>
      <c r="AG101" s="729"/>
      <c r="AH101" s="729"/>
      <c r="AI101" s="729"/>
      <c r="AJ101" s="729"/>
      <c r="AK101" s="729"/>
      <c r="AL101" s="729"/>
      <c r="AM101" s="729"/>
      <c r="AN101" s="729"/>
      <c r="AO101" s="729"/>
      <c r="AP101" s="729"/>
      <c r="AQ101" s="729"/>
      <c r="AR101" s="729"/>
      <c r="AS101" s="729"/>
      <c r="AT101" s="729"/>
      <c r="AU101" s="729"/>
      <c r="AV101" s="729"/>
      <c r="AW101" s="729"/>
      <c r="AX101" s="729"/>
      <c r="AY101" s="729"/>
      <c r="AZ101" s="729"/>
      <c r="BA101" s="729"/>
      <c r="BB101" s="729"/>
      <c r="BC101" s="1261" t="s">
        <v>637</v>
      </c>
    </row>
    <row r="102" spans="1:55" ht="15.75" hidden="1">
      <c r="A102" s="728"/>
      <c r="B102" s="729"/>
      <c r="C102" s="729"/>
      <c r="D102" s="729"/>
      <c r="E102" s="729"/>
      <c r="F102" s="729"/>
      <c r="G102" s="729"/>
      <c r="H102" s="729"/>
      <c r="I102" s="729"/>
      <c r="J102" s="729"/>
      <c r="K102" s="729"/>
      <c r="L102" s="729"/>
      <c r="M102" s="729"/>
      <c r="N102" s="729"/>
      <c r="O102" s="729"/>
      <c r="P102" s="729"/>
      <c r="Q102" s="729"/>
      <c r="R102" s="729"/>
      <c r="S102" s="729"/>
      <c r="T102" s="729"/>
      <c r="U102" s="729"/>
      <c r="V102" s="729"/>
      <c r="W102" s="729"/>
      <c r="X102" s="729"/>
      <c r="Y102" s="729"/>
      <c r="Z102" s="729"/>
      <c r="AA102" s="729"/>
      <c r="AB102" s="729"/>
      <c r="AC102" s="729"/>
      <c r="AD102" s="729"/>
      <c r="AE102" s="729"/>
      <c r="AF102" s="729"/>
      <c r="AG102" s="729"/>
      <c r="AH102" s="729"/>
      <c r="AI102" s="729"/>
      <c r="AJ102" s="729"/>
      <c r="AK102" s="729"/>
      <c r="AL102" s="729"/>
      <c r="AM102" s="729"/>
      <c r="AN102" s="729"/>
      <c r="AO102" s="729"/>
      <c r="AP102" s="729"/>
      <c r="AQ102" s="729"/>
      <c r="AR102" s="729"/>
      <c r="AS102" s="729"/>
      <c r="AT102" s="729"/>
      <c r="AU102" s="729"/>
      <c r="AV102" s="729"/>
      <c r="AW102" s="729"/>
      <c r="AX102" s="729"/>
      <c r="AY102" s="729"/>
      <c r="AZ102" s="729"/>
      <c r="BA102" s="729"/>
      <c r="BB102" s="729"/>
      <c r="BC102" s="1261" t="s">
        <v>637</v>
      </c>
    </row>
    <row r="103" spans="1:55" ht="15.75" hidden="1">
      <c r="D103" s="2173" t="s">
        <v>485</v>
      </c>
      <c r="E103" s="2173"/>
      <c r="F103" s="2173"/>
      <c r="G103" s="2173"/>
      <c r="H103" s="2173"/>
      <c r="I103" s="2173"/>
      <c r="J103" s="2173"/>
      <c r="K103" s="2173"/>
      <c r="L103" s="2173"/>
      <c r="M103" s="2173"/>
      <c r="N103" s="2173"/>
      <c r="O103" s="2173"/>
      <c r="P103" s="2173"/>
      <c r="Q103" s="2173"/>
      <c r="R103" s="2173"/>
      <c r="S103" s="2173"/>
      <c r="T103" s="2173"/>
      <c r="U103" s="2173"/>
      <c r="V103" s="2173"/>
      <c r="W103" s="2173"/>
      <c r="X103" s="2173"/>
      <c r="Y103" s="2173"/>
      <c r="Z103" s="2173"/>
      <c r="AA103" s="2173"/>
      <c r="AB103" s="2173"/>
      <c r="AC103" s="2173"/>
      <c r="AD103" s="2173"/>
      <c r="AE103" s="2173"/>
      <c r="AF103" s="2173"/>
      <c r="AG103" s="2173"/>
      <c r="AH103" s="2173"/>
      <c r="AI103" s="2173"/>
      <c r="AJ103" s="2173"/>
      <c r="AK103" s="2173"/>
      <c r="AL103" s="2173"/>
      <c r="AM103" s="2173"/>
      <c r="AN103" s="2173"/>
      <c r="AO103" s="2173"/>
      <c r="AP103" s="2173"/>
      <c r="AQ103" s="2173"/>
      <c r="AR103" s="2173"/>
      <c r="AS103" s="2173"/>
      <c r="AT103" s="2173"/>
      <c r="AU103" s="2173"/>
      <c r="AV103" s="2173"/>
      <c r="AW103" s="2173"/>
      <c r="AX103" s="2173"/>
      <c r="AY103" s="2173"/>
      <c r="AZ103" s="2173"/>
      <c r="BA103" s="2173"/>
      <c r="BB103" s="2173"/>
      <c r="BC103" s="724" t="s">
        <v>637</v>
      </c>
    </row>
    <row r="104" spans="1:55" ht="15.75" hidden="1">
      <c r="F104" s="2171" t="s">
        <v>486</v>
      </c>
      <c r="G104" s="2172"/>
      <c r="H104" s="2172"/>
      <c r="I104" s="2172"/>
      <c r="J104" s="2172"/>
      <c r="K104" s="2172"/>
      <c r="L104" s="2172"/>
      <c r="M104" s="2172"/>
      <c r="N104" s="2172"/>
      <c r="O104" s="2172"/>
      <c r="P104" s="2172"/>
      <c r="Q104" s="2172"/>
      <c r="R104" s="2172"/>
      <c r="S104" s="2172"/>
      <c r="T104" s="2172"/>
      <c r="U104" s="2172"/>
      <c r="V104" s="2172"/>
      <c r="W104" s="2172"/>
      <c r="X104" s="2172"/>
      <c r="Y104" s="2172"/>
      <c r="Z104" s="2172"/>
      <c r="AA104" s="2172"/>
      <c r="AB104" s="2172"/>
      <c r="AC104" s="2172"/>
      <c r="AD104" s="2172"/>
      <c r="AE104" s="2172"/>
      <c r="AF104" s="2172"/>
      <c r="AG104" s="2172"/>
      <c r="AH104" s="2172"/>
      <c r="AI104" s="2172"/>
      <c r="AJ104" s="2172"/>
      <c r="AK104" s="2172"/>
      <c r="AL104" s="2172"/>
      <c r="AM104" s="2172"/>
      <c r="AN104" s="2172"/>
      <c r="AO104" s="2172"/>
      <c r="AP104" s="2172"/>
      <c r="AQ104" s="2172"/>
      <c r="AR104" s="2172"/>
      <c r="AS104" s="2172"/>
      <c r="AT104" s="2172"/>
      <c r="AU104" s="2172"/>
      <c r="AV104" s="2172"/>
      <c r="AW104" s="2172"/>
      <c r="AX104" s="2172"/>
      <c r="AY104" s="2172"/>
      <c r="AZ104" s="2172"/>
      <c r="BA104" s="2172"/>
      <c r="BB104" s="2172"/>
      <c r="BC104" s="724" t="s">
        <v>637</v>
      </c>
    </row>
    <row r="105" spans="1:55" ht="18" hidden="1" customHeight="1">
      <c r="F105" s="2171" t="s">
        <v>3211</v>
      </c>
      <c r="G105" s="2172"/>
      <c r="H105" s="2172"/>
      <c r="I105" s="2172"/>
      <c r="J105" s="2172"/>
      <c r="K105" s="2172"/>
      <c r="L105" s="2172"/>
      <c r="M105" s="2172"/>
      <c r="N105" s="2172"/>
      <c r="O105" s="2172"/>
      <c r="P105" s="2172"/>
      <c r="Q105" s="2172"/>
      <c r="R105" s="2172"/>
      <c r="S105" s="2172"/>
      <c r="T105" s="2172"/>
      <c r="U105" s="2172"/>
      <c r="V105" s="2172"/>
      <c r="W105" s="2172"/>
      <c r="X105" s="2172"/>
      <c r="Y105" s="2172"/>
      <c r="Z105" s="2172"/>
      <c r="AA105" s="2172"/>
      <c r="AB105" s="2172"/>
      <c r="AC105" s="2172"/>
      <c r="AD105" s="2172"/>
      <c r="AE105" s="2172"/>
      <c r="AF105" s="2172"/>
      <c r="AG105" s="2172"/>
      <c r="AH105" s="2172"/>
      <c r="AI105" s="2172"/>
      <c r="AJ105" s="2172"/>
      <c r="AK105" s="2172"/>
      <c r="AL105" s="2172"/>
      <c r="AM105" s="2172"/>
      <c r="AN105" s="2172"/>
      <c r="AO105" s="2172"/>
      <c r="AP105" s="2172"/>
      <c r="AQ105" s="2172"/>
      <c r="AR105" s="2172"/>
      <c r="AS105" s="2172"/>
      <c r="AT105" s="2172"/>
      <c r="AU105" s="2172"/>
      <c r="AV105" s="2172"/>
      <c r="AW105" s="2172"/>
      <c r="AX105" s="2172"/>
      <c r="AY105" s="2172"/>
      <c r="AZ105" s="2172"/>
      <c r="BA105" s="2172"/>
      <c r="BB105" s="2172"/>
      <c r="BC105" s="724" t="s">
        <v>637</v>
      </c>
    </row>
    <row r="106" spans="1:55" ht="18" hidden="1" customHeight="1">
      <c r="B106" s="2171" t="s">
        <v>1744</v>
      </c>
      <c r="C106" s="2171"/>
      <c r="D106" s="2171"/>
      <c r="E106" s="2171"/>
      <c r="F106" s="2171"/>
      <c r="G106" s="2171"/>
      <c r="H106" s="2171"/>
      <c r="I106" s="2171"/>
      <c r="J106" s="2171"/>
      <c r="K106" s="2171"/>
      <c r="L106" s="2171"/>
      <c r="M106" s="2171"/>
      <c r="N106" s="2171"/>
      <c r="O106" s="2171"/>
      <c r="P106" s="2171"/>
      <c r="Q106" s="2171"/>
      <c r="R106" s="2171"/>
      <c r="S106" s="2171"/>
      <c r="T106" s="2171"/>
      <c r="U106" s="2171"/>
      <c r="V106" s="2171"/>
      <c r="W106" s="2171"/>
      <c r="X106" s="2171"/>
      <c r="Y106" s="2171"/>
      <c r="Z106" s="2171"/>
      <c r="AA106" s="2171"/>
      <c r="AB106" s="2171"/>
      <c r="AC106" s="2171"/>
      <c r="AD106" s="2171"/>
      <c r="AE106" s="2171"/>
      <c r="AF106" s="2171"/>
      <c r="AG106" s="2171"/>
      <c r="AH106" s="2171"/>
      <c r="AI106" s="2171"/>
      <c r="AJ106" s="2171"/>
      <c r="AK106" s="2171"/>
      <c r="AL106" s="2171"/>
      <c r="AM106" s="2171"/>
      <c r="AN106" s="2171"/>
      <c r="AO106" s="2171"/>
      <c r="AP106" s="2171"/>
      <c r="AQ106" s="2171"/>
      <c r="AR106" s="2171"/>
      <c r="AS106" s="2171"/>
      <c r="AT106" s="2171"/>
      <c r="AU106" s="2171"/>
      <c r="AV106" s="2171"/>
      <c r="AW106" s="2171"/>
      <c r="AX106" s="2171"/>
      <c r="AY106" s="2171"/>
      <c r="AZ106" s="2171"/>
      <c r="BA106" s="2171"/>
      <c r="BB106" s="2171"/>
      <c r="BC106" s="724" t="s">
        <v>637</v>
      </c>
    </row>
    <row r="107" spans="1:55" ht="18" hidden="1" customHeight="1">
      <c r="D107" s="2173" t="s">
        <v>3093</v>
      </c>
      <c r="E107" s="2173"/>
      <c r="F107" s="2173"/>
      <c r="G107" s="2173"/>
      <c r="H107" s="2173"/>
      <c r="I107" s="2173"/>
      <c r="J107" s="2173"/>
      <c r="K107" s="2173"/>
      <c r="L107" s="2173"/>
      <c r="M107" s="2173"/>
      <c r="N107" s="2173"/>
      <c r="O107" s="2173"/>
      <c r="P107" s="2173"/>
      <c r="Q107" s="2173"/>
      <c r="R107" s="2173"/>
      <c r="S107" s="2173"/>
      <c r="T107" s="2173"/>
      <c r="U107" s="2173"/>
      <c r="V107" s="2173"/>
      <c r="W107" s="2173"/>
      <c r="X107" s="2173"/>
      <c r="Y107" s="2173"/>
      <c r="Z107" s="2173"/>
      <c r="AA107" s="2173"/>
      <c r="AB107" s="2173"/>
      <c r="AC107" s="2173"/>
      <c r="AD107" s="2173"/>
      <c r="AE107" s="2173"/>
      <c r="AF107" s="2173"/>
      <c r="AG107" s="2173"/>
      <c r="AH107" s="2173"/>
      <c r="AI107" s="2173"/>
      <c r="AJ107" s="2173"/>
      <c r="AK107" s="2173"/>
      <c r="AL107" s="2173"/>
      <c r="AM107" s="2173"/>
      <c r="AN107" s="2173"/>
      <c r="AO107" s="2173"/>
      <c r="AP107" s="2173"/>
      <c r="AQ107" s="2173"/>
      <c r="AR107" s="2173"/>
      <c r="AS107" s="2173"/>
      <c r="AT107" s="2173"/>
      <c r="AU107" s="2173"/>
      <c r="AV107" s="2173"/>
      <c r="AW107" s="2173"/>
      <c r="AX107" s="2173"/>
      <c r="AY107" s="2173"/>
      <c r="AZ107" s="2173"/>
      <c r="BA107" s="2173"/>
      <c r="BB107" s="2173"/>
      <c r="BC107" s="724" t="s">
        <v>637</v>
      </c>
    </row>
    <row r="108" spans="1:55" ht="18" hidden="1" customHeight="1">
      <c r="E108" s="2171" t="s">
        <v>5769</v>
      </c>
      <c r="F108" s="2171"/>
      <c r="G108" s="2171"/>
      <c r="H108" s="2171"/>
      <c r="I108" s="2171"/>
      <c r="J108" s="2171"/>
      <c r="K108" s="2171"/>
      <c r="L108" s="2171"/>
      <c r="M108" s="2171"/>
      <c r="N108" s="2171"/>
      <c r="O108" s="2171"/>
      <c r="P108" s="2171"/>
      <c r="Q108" s="2171"/>
      <c r="R108" s="2171"/>
      <c r="S108" s="2171"/>
      <c r="T108" s="2171"/>
      <c r="U108" s="2171"/>
      <c r="V108" s="2171"/>
      <c r="W108" s="2171"/>
      <c r="X108" s="2171"/>
      <c r="Y108" s="2171"/>
      <c r="Z108" s="2171"/>
      <c r="AA108" s="2171"/>
      <c r="AB108" s="2171"/>
      <c r="AC108" s="2171"/>
      <c r="AD108" s="2171"/>
      <c r="AE108" s="2171"/>
      <c r="AF108" s="2171"/>
      <c r="AG108" s="2171"/>
      <c r="AH108" s="2171"/>
      <c r="AI108" s="2171"/>
      <c r="AJ108" s="2171"/>
      <c r="AK108" s="2171"/>
      <c r="AL108" s="2171"/>
      <c r="AM108" s="2171"/>
      <c r="AN108" s="2171"/>
      <c r="AO108" s="2171"/>
      <c r="AP108" s="2171"/>
      <c r="AQ108" s="2171"/>
      <c r="AR108" s="2171"/>
      <c r="AS108" s="2171"/>
      <c r="AT108" s="2171"/>
      <c r="AU108" s="2171"/>
      <c r="AV108" s="2171"/>
      <c r="AW108" s="2171"/>
      <c r="AX108" s="2171"/>
      <c r="AY108" s="2171"/>
      <c r="AZ108" s="2171"/>
      <c r="BA108" s="2171"/>
      <c r="BB108" s="2171"/>
      <c r="BC108" s="724" t="s">
        <v>637</v>
      </c>
    </row>
    <row r="109" spans="1:55" ht="18" hidden="1" customHeight="1">
      <c r="F109" s="2171" t="s">
        <v>5770</v>
      </c>
      <c r="G109" s="2172"/>
      <c r="H109" s="2172"/>
      <c r="I109" s="2172"/>
      <c r="J109" s="2172"/>
      <c r="K109" s="2172"/>
      <c r="L109" s="2172"/>
      <c r="M109" s="2172"/>
      <c r="N109" s="2172"/>
      <c r="O109" s="2172"/>
      <c r="P109" s="2172"/>
      <c r="Q109" s="2172"/>
      <c r="R109" s="2172"/>
      <c r="S109" s="2172"/>
      <c r="T109" s="2172"/>
      <c r="U109" s="2172"/>
      <c r="V109" s="2172"/>
      <c r="W109" s="2172"/>
      <c r="X109" s="2172"/>
      <c r="Y109" s="2172"/>
      <c r="Z109" s="2172"/>
      <c r="AA109" s="2172"/>
      <c r="AB109" s="2172"/>
      <c r="AC109" s="2172"/>
      <c r="AD109" s="2172"/>
      <c r="AE109" s="2172"/>
      <c r="AF109" s="2172"/>
      <c r="AG109" s="2172"/>
      <c r="AH109" s="2172"/>
      <c r="AI109" s="2172"/>
      <c r="AJ109" s="2172"/>
      <c r="AK109" s="2172"/>
      <c r="AL109" s="2172"/>
      <c r="AM109" s="2172"/>
      <c r="AN109" s="2172"/>
      <c r="AO109" s="2172"/>
      <c r="AP109" s="2172"/>
      <c r="AQ109" s="2172"/>
      <c r="AR109" s="2172"/>
      <c r="AS109" s="2172"/>
      <c r="AT109" s="2172"/>
      <c r="AU109" s="2172"/>
      <c r="AV109" s="2172"/>
      <c r="AW109" s="2172"/>
      <c r="AX109" s="2172"/>
      <c r="AY109" s="2172"/>
      <c r="AZ109" s="2172"/>
      <c r="BA109" s="2172"/>
      <c r="BB109" s="2172"/>
      <c r="BC109" s="724" t="s">
        <v>637</v>
      </c>
    </row>
    <row r="110" spans="1:55" ht="18" hidden="1" customHeight="1">
      <c r="F110" s="2171" t="s">
        <v>785</v>
      </c>
      <c r="G110" s="2172"/>
      <c r="H110" s="2172"/>
      <c r="I110" s="2172"/>
      <c r="J110" s="2172"/>
      <c r="K110" s="2172"/>
      <c r="L110" s="2172"/>
      <c r="M110" s="2172"/>
      <c r="N110" s="2172"/>
      <c r="O110" s="2172"/>
      <c r="P110" s="2172"/>
      <c r="Q110" s="2172"/>
      <c r="R110" s="2172"/>
      <c r="S110" s="2172"/>
      <c r="T110" s="2172"/>
      <c r="U110" s="2172"/>
      <c r="V110" s="2172"/>
      <c r="W110" s="2172"/>
      <c r="X110" s="2172"/>
      <c r="Y110" s="2172"/>
      <c r="Z110" s="2172"/>
      <c r="AA110" s="2172"/>
      <c r="AB110" s="2172"/>
      <c r="AC110" s="2172"/>
      <c r="AD110" s="2172"/>
      <c r="AE110" s="2172"/>
      <c r="AF110" s="2172"/>
      <c r="AG110" s="2172"/>
      <c r="AH110" s="2172"/>
      <c r="AI110" s="2172"/>
      <c r="AJ110" s="2172"/>
      <c r="AK110" s="2172"/>
      <c r="AL110" s="2172"/>
      <c r="AM110" s="2172"/>
      <c r="AN110" s="2172"/>
      <c r="AO110" s="2172"/>
      <c r="AP110" s="2172"/>
      <c r="AQ110" s="2172"/>
      <c r="AR110" s="2172"/>
      <c r="AS110" s="2172"/>
      <c r="AT110" s="2172"/>
      <c r="AU110" s="2172"/>
      <c r="AV110" s="2172"/>
      <c r="AW110" s="2172"/>
      <c r="AX110" s="2172"/>
      <c r="AY110" s="2172"/>
      <c r="AZ110" s="2172"/>
      <c r="BA110" s="2172"/>
      <c r="BB110" s="2172"/>
      <c r="BC110" s="724" t="s">
        <v>637</v>
      </c>
    </row>
    <row r="111" spans="1:55" ht="18" hidden="1" customHeight="1">
      <c r="F111" s="2171" t="s">
        <v>5934</v>
      </c>
      <c r="G111" s="2172"/>
      <c r="H111" s="2172"/>
      <c r="I111" s="2172"/>
      <c r="J111" s="2172"/>
      <c r="K111" s="2172"/>
      <c r="L111" s="2172"/>
      <c r="M111" s="2172"/>
      <c r="N111" s="2172"/>
      <c r="O111" s="2172"/>
      <c r="P111" s="2172"/>
      <c r="Q111" s="2172"/>
      <c r="R111" s="2172"/>
      <c r="S111" s="2172"/>
      <c r="T111" s="2172"/>
      <c r="U111" s="2172"/>
      <c r="V111" s="2172"/>
      <c r="W111" s="2172"/>
      <c r="X111" s="2172"/>
      <c r="Y111" s="2172"/>
      <c r="Z111" s="2172"/>
      <c r="AA111" s="2172"/>
      <c r="AB111" s="2172"/>
      <c r="AC111" s="2172"/>
      <c r="AD111" s="2172"/>
      <c r="AE111" s="2172"/>
      <c r="AF111" s="2172"/>
      <c r="AG111" s="2172"/>
      <c r="AH111" s="2172"/>
      <c r="AI111" s="2172"/>
      <c r="AJ111" s="2172"/>
      <c r="AK111" s="2172"/>
      <c r="AL111" s="2172"/>
      <c r="AM111" s="2172"/>
      <c r="AN111" s="2172"/>
      <c r="AO111" s="2172"/>
      <c r="AP111" s="2172"/>
      <c r="AQ111" s="2172"/>
      <c r="AR111" s="2172"/>
      <c r="AS111" s="2172"/>
      <c r="AT111" s="2172"/>
      <c r="AU111" s="2172"/>
      <c r="AV111" s="2172"/>
      <c r="AW111" s="2172"/>
      <c r="AX111" s="2172"/>
      <c r="AY111" s="2172"/>
      <c r="AZ111" s="2172"/>
      <c r="BA111" s="2172"/>
      <c r="BB111" s="2172"/>
      <c r="BC111" s="724" t="s">
        <v>637</v>
      </c>
    </row>
    <row r="112" spans="1:55" ht="18" hidden="1" customHeight="1">
      <c r="E112" s="2171" t="s">
        <v>65</v>
      </c>
      <c r="F112" s="2172"/>
      <c r="G112" s="2172"/>
      <c r="H112" s="2172"/>
      <c r="I112" s="2172"/>
      <c r="J112" s="2172"/>
      <c r="K112" s="2172"/>
      <c r="L112" s="2172"/>
      <c r="M112" s="2172"/>
      <c r="N112" s="2172"/>
      <c r="O112" s="2172"/>
      <c r="P112" s="2172"/>
      <c r="Q112" s="2172"/>
      <c r="R112" s="2172"/>
      <c r="S112" s="2172"/>
      <c r="T112" s="2172"/>
      <c r="U112" s="2172"/>
      <c r="V112" s="2172"/>
      <c r="W112" s="2172"/>
      <c r="X112" s="2172"/>
      <c r="Y112" s="2172"/>
      <c r="Z112" s="2172"/>
      <c r="AA112" s="2172"/>
      <c r="AB112" s="2172"/>
      <c r="AC112" s="2172"/>
      <c r="AD112" s="2172"/>
      <c r="AE112" s="2172"/>
      <c r="AF112" s="2172"/>
      <c r="AG112" s="2172"/>
      <c r="AH112" s="2172"/>
      <c r="AI112" s="2172"/>
      <c r="AJ112" s="2172"/>
      <c r="AK112" s="2172"/>
      <c r="AL112" s="2172"/>
      <c r="AM112" s="2172"/>
      <c r="AN112" s="2172"/>
      <c r="AO112" s="2172"/>
      <c r="AP112" s="2172"/>
      <c r="AQ112" s="2172"/>
      <c r="AR112" s="2172"/>
      <c r="AS112" s="2172"/>
      <c r="AT112" s="2172"/>
      <c r="AU112" s="2172"/>
      <c r="AV112" s="2172"/>
      <c r="AW112" s="2172"/>
      <c r="AX112" s="2172"/>
      <c r="AY112" s="2172"/>
      <c r="AZ112" s="2172"/>
      <c r="BA112" s="2172"/>
      <c r="BB112" s="2172"/>
      <c r="BC112" s="724" t="s">
        <v>637</v>
      </c>
    </row>
    <row r="113" spans="2:55" ht="18" hidden="1" customHeight="1">
      <c r="B113" s="2171" t="s">
        <v>66</v>
      </c>
      <c r="C113" s="2171"/>
      <c r="D113" s="2171"/>
      <c r="E113" s="2171"/>
      <c r="F113" s="2171"/>
      <c r="G113" s="2171"/>
      <c r="H113" s="2171"/>
      <c r="I113" s="2171"/>
      <c r="J113" s="2171"/>
      <c r="K113" s="2171"/>
      <c r="L113" s="2171"/>
      <c r="M113" s="2171"/>
      <c r="N113" s="2171"/>
      <c r="O113" s="2171"/>
      <c r="P113" s="2171"/>
      <c r="Q113" s="2171"/>
      <c r="R113" s="2171"/>
      <c r="S113" s="2171"/>
      <c r="T113" s="2171"/>
      <c r="U113" s="2171"/>
      <c r="V113" s="2171"/>
      <c r="W113" s="2171"/>
      <c r="X113" s="2171"/>
      <c r="Y113" s="2171"/>
      <c r="Z113" s="2171"/>
      <c r="AA113" s="2171"/>
      <c r="AB113" s="2171"/>
      <c r="AC113" s="2171"/>
      <c r="AD113" s="2171"/>
      <c r="AE113" s="2171"/>
      <c r="AF113" s="2171"/>
      <c r="AG113" s="2171"/>
      <c r="AH113" s="2171"/>
      <c r="AI113" s="2171"/>
      <c r="AJ113" s="2171"/>
      <c r="AK113" s="2171"/>
      <c r="AL113" s="2171"/>
      <c r="AM113" s="2171"/>
      <c r="AN113" s="2171"/>
      <c r="AO113" s="2171"/>
      <c r="AP113" s="2171"/>
      <c r="AQ113" s="2171"/>
      <c r="AR113" s="2171"/>
      <c r="AS113" s="2171"/>
      <c r="AT113" s="2171"/>
      <c r="AU113" s="2171"/>
      <c r="AV113" s="2171"/>
      <c r="AW113" s="2171"/>
      <c r="AX113" s="2171"/>
      <c r="AY113" s="2171"/>
      <c r="AZ113" s="2171"/>
      <c r="BA113" s="2171"/>
      <c r="BB113" s="2171"/>
      <c r="BC113" s="724" t="s">
        <v>637</v>
      </c>
    </row>
    <row r="114" spans="2:55" ht="18" hidden="1" customHeight="1">
      <c r="B114" s="2171" t="s">
        <v>67</v>
      </c>
      <c r="C114" s="2171"/>
      <c r="D114" s="2171"/>
      <c r="E114" s="2171"/>
      <c r="F114" s="2171"/>
      <c r="G114" s="2171"/>
      <c r="H114" s="2171"/>
      <c r="I114" s="2171"/>
      <c r="J114" s="2171"/>
      <c r="K114" s="2171"/>
      <c r="L114" s="2171"/>
      <c r="M114" s="2171"/>
      <c r="N114" s="2171"/>
      <c r="O114" s="2171"/>
      <c r="P114" s="2171"/>
      <c r="Q114" s="2171"/>
      <c r="R114" s="2171"/>
      <c r="S114" s="2171"/>
      <c r="T114" s="2171"/>
      <c r="U114" s="2171"/>
      <c r="V114" s="2171"/>
      <c r="W114" s="2171"/>
      <c r="X114" s="2171"/>
      <c r="Y114" s="2171"/>
      <c r="Z114" s="2171"/>
      <c r="AA114" s="2171"/>
      <c r="AB114" s="2171"/>
      <c r="AC114" s="2171"/>
      <c r="AD114" s="2171"/>
      <c r="AE114" s="2171"/>
      <c r="AF114" s="2171"/>
      <c r="AG114" s="2171"/>
      <c r="AH114" s="2171"/>
      <c r="AI114" s="2171"/>
      <c r="AJ114" s="2171"/>
      <c r="AK114" s="2171"/>
      <c r="AL114" s="2171"/>
      <c r="AM114" s="2171"/>
      <c r="AN114" s="2171"/>
      <c r="AO114" s="2171"/>
      <c r="AP114" s="2171"/>
      <c r="AQ114" s="2171"/>
      <c r="AR114" s="2171"/>
      <c r="AS114" s="2171"/>
      <c r="AT114" s="2171"/>
      <c r="AU114" s="2171"/>
      <c r="AV114" s="2171"/>
      <c r="AW114" s="2171"/>
      <c r="AX114" s="2171"/>
      <c r="AY114" s="2171"/>
      <c r="AZ114" s="2171"/>
      <c r="BA114" s="2171"/>
      <c r="BB114" s="2171"/>
      <c r="BC114" s="724" t="s">
        <v>637</v>
      </c>
    </row>
    <row r="115" spans="2:55" ht="18" hidden="1" customHeight="1">
      <c r="E115" s="2171" t="s">
        <v>4031</v>
      </c>
      <c r="F115" s="2172"/>
      <c r="G115" s="2172"/>
      <c r="H115" s="2172"/>
      <c r="I115" s="2172"/>
      <c r="J115" s="2172"/>
      <c r="K115" s="2172"/>
      <c r="L115" s="2172"/>
      <c r="M115" s="2172"/>
      <c r="N115" s="2172"/>
      <c r="O115" s="2172"/>
      <c r="P115" s="2172"/>
      <c r="Q115" s="2172"/>
      <c r="R115" s="2172"/>
      <c r="S115" s="2172"/>
      <c r="T115" s="2172"/>
      <c r="U115" s="2172"/>
      <c r="V115" s="2172"/>
      <c r="W115" s="2172"/>
      <c r="X115" s="2172"/>
      <c r="Y115" s="2172"/>
      <c r="Z115" s="2172"/>
      <c r="AA115" s="2172"/>
      <c r="AB115" s="2172"/>
      <c r="AC115" s="2172"/>
      <c r="AD115" s="2172"/>
      <c r="AE115" s="2172"/>
      <c r="AF115" s="2172"/>
      <c r="AG115" s="2172"/>
      <c r="AH115" s="2172"/>
      <c r="AI115" s="2172"/>
      <c r="AJ115" s="2172"/>
      <c r="AK115" s="2172"/>
      <c r="AL115" s="2172"/>
      <c r="AM115" s="2172"/>
      <c r="AN115" s="2172"/>
      <c r="AO115" s="2172"/>
      <c r="AP115" s="2172"/>
      <c r="AQ115" s="2172"/>
      <c r="AR115" s="2172"/>
      <c r="AS115" s="2172"/>
      <c r="AT115" s="2172"/>
      <c r="AU115" s="2172"/>
      <c r="AV115" s="2172"/>
      <c r="AW115" s="2172"/>
      <c r="AX115" s="2172"/>
      <c r="AY115" s="2172"/>
      <c r="AZ115" s="2172"/>
      <c r="BA115" s="2172"/>
      <c r="BB115" s="2172"/>
      <c r="BC115" s="724" t="s">
        <v>637</v>
      </c>
    </row>
    <row r="116" spans="2:55" ht="18" hidden="1" customHeight="1">
      <c r="E116" s="2171" t="s">
        <v>4032</v>
      </c>
      <c r="F116" s="2171"/>
      <c r="G116" s="2171"/>
      <c r="H116" s="2171"/>
      <c r="I116" s="2171"/>
      <c r="J116" s="2171"/>
      <c r="K116" s="2171"/>
      <c r="L116" s="2171"/>
      <c r="M116" s="2171"/>
      <c r="N116" s="2171"/>
      <c r="O116" s="2171"/>
      <c r="P116" s="2171"/>
      <c r="Q116" s="2171"/>
      <c r="R116" s="2171"/>
      <c r="S116" s="2171"/>
      <c r="T116" s="2171"/>
      <c r="U116" s="2171"/>
      <c r="V116" s="2171"/>
      <c r="W116" s="2171"/>
      <c r="X116" s="2171"/>
      <c r="Y116" s="2171"/>
      <c r="Z116" s="2171"/>
      <c r="AA116" s="2171"/>
      <c r="AB116" s="2171"/>
      <c r="AC116" s="2171"/>
      <c r="AD116" s="2171"/>
      <c r="AE116" s="2171"/>
      <c r="AF116" s="2171"/>
      <c r="AG116" s="2171"/>
      <c r="AH116" s="2171"/>
      <c r="AI116" s="2171"/>
      <c r="AJ116" s="2171"/>
      <c r="AK116" s="2171"/>
      <c r="AL116" s="2171"/>
      <c r="AM116" s="2171"/>
      <c r="AN116" s="2171"/>
      <c r="AO116" s="2171"/>
      <c r="AP116" s="2171"/>
      <c r="AQ116" s="2171"/>
      <c r="AR116" s="2171"/>
      <c r="AS116" s="2171"/>
      <c r="AT116" s="2171"/>
      <c r="AU116" s="2171"/>
      <c r="AV116" s="2171"/>
      <c r="AW116" s="2171"/>
      <c r="AX116" s="2171"/>
      <c r="AY116" s="2171"/>
      <c r="AZ116" s="2171"/>
      <c r="BA116" s="2171"/>
      <c r="BB116" s="2171"/>
      <c r="BC116" s="724" t="s">
        <v>637</v>
      </c>
    </row>
    <row r="117" spans="2:55" ht="18" hidden="1" customHeight="1">
      <c r="E117" s="2171" t="s">
        <v>2518</v>
      </c>
      <c r="F117" s="2172"/>
      <c r="G117" s="2172"/>
      <c r="H117" s="2172"/>
      <c r="I117" s="2172"/>
      <c r="J117" s="2172"/>
      <c r="K117" s="2172"/>
      <c r="L117" s="2172"/>
      <c r="M117" s="2172"/>
      <c r="N117" s="2172"/>
      <c r="O117" s="2172"/>
      <c r="P117" s="2172"/>
      <c r="Q117" s="2172"/>
      <c r="R117" s="2172"/>
      <c r="S117" s="2172"/>
      <c r="T117" s="2172"/>
      <c r="U117" s="2172"/>
      <c r="V117" s="2172"/>
      <c r="W117" s="2172"/>
      <c r="X117" s="2172"/>
      <c r="Y117" s="2172"/>
      <c r="Z117" s="2172"/>
      <c r="AA117" s="2172"/>
      <c r="AB117" s="2172"/>
      <c r="AC117" s="2172"/>
      <c r="AD117" s="2172"/>
      <c r="AE117" s="2172"/>
      <c r="AF117" s="2172"/>
      <c r="AG117" s="2172"/>
      <c r="AH117" s="2172"/>
      <c r="AI117" s="2172"/>
      <c r="AJ117" s="2172"/>
      <c r="AK117" s="2172"/>
      <c r="AL117" s="2172"/>
      <c r="AM117" s="2172"/>
      <c r="AN117" s="2172"/>
      <c r="AO117" s="2172"/>
      <c r="AP117" s="2172"/>
      <c r="AQ117" s="2172"/>
      <c r="AR117" s="2172"/>
      <c r="AS117" s="2172"/>
      <c r="AT117" s="2172"/>
      <c r="AU117" s="2172"/>
      <c r="AV117" s="2172"/>
      <c r="AW117" s="2172"/>
      <c r="AX117" s="2172"/>
      <c r="AY117" s="2172"/>
      <c r="AZ117" s="2172"/>
      <c r="BA117" s="2172"/>
      <c r="BB117" s="2172"/>
      <c r="BC117" s="724" t="s">
        <v>637</v>
      </c>
    </row>
    <row r="118" spans="2:55" ht="18" hidden="1" customHeight="1">
      <c r="B118" s="2171" t="s">
        <v>1659</v>
      </c>
      <c r="C118" s="2171"/>
      <c r="D118" s="2171"/>
      <c r="E118" s="2171"/>
      <c r="F118" s="2171"/>
      <c r="G118" s="2171"/>
      <c r="H118" s="2171"/>
      <c r="I118" s="2171"/>
      <c r="J118" s="2171"/>
      <c r="K118" s="2171"/>
      <c r="L118" s="2171"/>
      <c r="M118" s="2171"/>
      <c r="N118" s="2171"/>
      <c r="O118" s="2171"/>
      <c r="P118" s="2171"/>
      <c r="Q118" s="2171"/>
      <c r="R118" s="2171"/>
      <c r="S118" s="2171"/>
      <c r="T118" s="2171"/>
      <c r="U118" s="2171"/>
      <c r="V118" s="2171"/>
      <c r="W118" s="2171"/>
      <c r="X118" s="2171"/>
      <c r="Y118" s="2171"/>
      <c r="Z118" s="2171"/>
      <c r="AA118" s="2171"/>
      <c r="AB118" s="2171"/>
      <c r="AC118" s="2171"/>
      <c r="AD118" s="2171"/>
      <c r="AE118" s="2171"/>
      <c r="AF118" s="2171"/>
      <c r="AG118" s="2171"/>
      <c r="AH118" s="2171"/>
      <c r="AI118" s="2171"/>
      <c r="AJ118" s="2171"/>
      <c r="AK118" s="2171"/>
      <c r="AL118" s="2171"/>
      <c r="AM118" s="2171"/>
      <c r="AN118" s="2171"/>
      <c r="AO118" s="2171"/>
      <c r="AP118" s="2171"/>
      <c r="AQ118" s="2171"/>
      <c r="AR118" s="2171"/>
      <c r="AS118" s="2171"/>
      <c r="AT118" s="2171"/>
      <c r="AU118" s="2171"/>
      <c r="AV118" s="2171"/>
      <c r="AW118" s="2171"/>
      <c r="AX118" s="2171"/>
      <c r="AY118" s="2171"/>
      <c r="AZ118" s="2171"/>
      <c r="BA118" s="2171"/>
      <c r="BB118" s="2171"/>
      <c r="BC118" s="724" t="s">
        <v>637</v>
      </c>
    </row>
    <row r="119" spans="2:55" ht="18" hidden="1" customHeight="1">
      <c r="B119" s="2171" t="s">
        <v>1660</v>
      </c>
      <c r="C119" s="2171"/>
      <c r="D119" s="2171"/>
      <c r="E119" s="2171"/>
      <c r="F119" s="2171"/>
      <c r="G119" s="2171"/>
      <c r="H119" s="2171"/>
      <c r="I119" s="2171"/>
      <c r="J119" s="2171"/>
      <c r="K119" s="2171"/>
      <c r="L119" s="2171"/>
      <c r="M119" s="2171"/>
      <c r="N119" s="2171"/>
      <c r="O119" s="2171"/>
      <c r="P119" s="2171"/>
      <c r="Q119" s="2171"/>
      <c r="R119" s="2171"/>
      <c r="S119" s="2171"/>
      <c r="T119" s="2171"/>
      <c r="U119" s="2171"/>
      <c r="V119" s="2171"/>
      <c r="W119" s="2171"/>
      <c r="X119" s="2171"/>
      <c r="Y119" s="2171"/>
      <c r="Z119" s="2171"/>
      <c r="AA119" s="2171"/>
      <c r="AB119" s="2171"/>
      <c r="AC119" s="2171"/>
      <c r="AD119" s="2171"/>
      <c r="AE119" s="2171"/>
      <c r="AF119" s="2171"/>
      <c r="AG119" s="2171"/>
      <c r="AH119" s="2171"/>
      <c r="AI119" s="2171"/>
      <c r="AJ119" s="2171"/>
      <c r="AK119" s="2171"/>
      <c r="AL119" s="2171"/>
      <c r="AM119" s="2171"/>
      <c r="AN119" s="2171"/>
      <c r="AO119" s="2171"/>
      <c r="AP119" s="2171"/>
      <c r="AQ119" s="2171"/>
      <c r="AR119" s="2171"/>
      <c r="AS119" s="2171"/>
      <c r="AT119" s="2171"/>
      <c r="AU119" s="2171"/>
      <c r="AV119" s="2171"/>
      <c r="AW119" s="2171"/>
      <c r="AX119" s="2171"/>
      <c r="AY119" s="2171"/>
      <c r="AZ119" s="2171"/>
      <c r="BA119" s="2171"/>
      <c r="BB119" s="2171"/>
      <c r="BC119" s="724" t="s">
        <v>637</v>
      </c>
    </row>
    <row r="120" spans="2:55" ht="18" hidden="1" customHeight="1">
      <c r="E120" s="2171" t="s">
        <v>3717</v>
      </c>
      <c r="F120" s="2172"/>
      <c r="G120" s="2172"/>
      <c r="H120" s="2172"/>
      <c r="I120" s="2172"/>
      <c r="J120" s="2172"/>
      <c r="K120" s="2172"/>
      <c r="L120" s="2172"/>
      <c r="M120" s="2172"/>
      <c r="N120" s="2172"/>
      <c r="O120" s="2172"/>
      <c r="P120" s="2172"/>
      <c r="Q120" s="2172"/>
      <c r="R120" s="2172"/>
      <c r="S120" s="2172"/>
      <c r="T120" s="2172"/>
      <c r="U120" s="2172"/>
      <c r="V120" s="2172"/>
      <c r="W120" s="2172"/>
      <c r="X120" s="2172"/>
      <c r="Y120" s="2172"/>
      <c r="Z120" s="2172"/>
      <c r="AA120" s="2172"/>
      <c r="AB120" s="2172"/>
      <c r="AC120" s="2172"/>
      <c r="AD120" s="2172"/>
      <c r="AE120" s="2172"/>
      <c r="AF120" s="2172"/>
      <c r="AG120" s="2172"/>
      <c r="AH120" s="2172"/>
      <c r="AI120" s="2172"/>
      <c r="AJ120" s="2172"/>
      <c r="AK120" s="2172"/>
      <c r="AL120" s="2172"/>
      <c r="AM120" s="2172"/>
      <c r="AN120" s="2172"/>
      <c r="AO120" s="2172"/>
      <c r="AP120" s="2172"/>
      <c r="AQ120" s="2172"/>
      <c r="AR120" s="2172"/>
      <c r="AS120" s="2172"/>
      <c r="AT120" s="2172"/>
      <c r="AU120" s="2172"/>
      <c r="AV120" s="2172"/>
      <c r="AW120" s="2172"/>
      <c r="AX120" s="2172"/>
      <c r="AY120" s="2172"/>
      <c r="AZ120" s="2172"/>
      <c r="BA120" s="2172"/>
      <c r="BB120" s="2172"/>
      <c r="BC120" s="724" t="s">
        <v>637</v>
      </c>
    </row>
    <row r="121" spans="2:55" ht="18" hidden="1" customHeight="1">
      <c r="B121" s="2171" t="s">
        <v>948</v>
      </c>
      <c r="C121" s="2171"/>
      <c r="D121" s="2171"/>
      <c r="E121" s="2171"/>
      <c r="F121" s="2171"/>
      <c r="G121" s="2171"/>
      <c r="H121" s="2171"/>
      <c r="I121" s="2171"/>
      <c r="J121" s="2171"/>
      <c r="K121" s="2171"/>
      <c r="L121" s="2171"/>
      <c r="M121" s="2171"/>
      <c r="N121" s="2171"/>
      <c r="O121" s="2171"/>
      <c r="P121" s="2171"/>
      <c r="Q121" s="2171"/>
      <c r="R121" s="2171"/>
      <c r="S121" s="2171"/>
      <c r="T121" s="2171"/>
      <c r="U121" s="2171"/>
      <c r="V121" s="2171"/>
      <c r="W121" s="2171"/>
      <c r="X121" s="2171"/>
      <c r="Y121" s="2171"/>
      <c r="Z121" s="2171"/>
      <c r="AA121" s="2171"/>
      <c r="AB121" s="2171"/>
      <c r="AC121" s="2171"/>
      <c r="AD121" s="2171"/>
      <c r="AE121" s="2171"/>
      <c r="AF121" s="2171"/>
      <c r="AG121" s="2171"/>
      <c r="AH121" s="2171"/>
      <c r="AI121" s="2171"/>
      <c r="AJ121" s="2171"/>
      <c r="AK121" s="2171"/>
      <c r="AL121" s="2171"/>
      <c r="AM121" s="2171"/>
      <c r="AN121" s="2171"/>
      <c r="AO121" s="2171"/>
      <c r="AP121" s="2171"/>
      <c r="AQ121" s="2171"/>
      <c r="AR121" s="2171"/>
      <c r="AS121" s="2171"/>
      <c r="AT121" s="2171"/>
      <c r="AU121" s="2171"/>
      <c r="AV121" s="2171"/>
      <c r="AW121" s="2171"/>
      <c r="AX121" s="2171"/>
      <c r="AY121" s="2171"/>
      <c r="AZ121" s="2171"/>
      <c r="BA121" s="2171"/>
      <c r="BB121" s="2171"/>
      <c r="BC121" s="724" t="s">
        <v>637</v>
      </c>
    </row>
    <row r="122" spans="2:55" ht="18" hidden="1" customHeight="1">
      <c r="E122" s="2171" t="s">
        <v>950</v>
      </c>
      <c r="F122" s="2172"/>
      <c r="G122" s="2172"/>
      <c r="H122" s="2172"/>
      <c r="I122" s="2172"/>
      <c r="J122" s="2172"/>
      <c r="K122" s="2172"/>
      <c r="L122" s="2172"/>
      <c r="M122" s="2172"/>
      <c r="N122" s="2172"/>
      <c r="O122" s="2172"/>
      <c r="P122" s="2172"/>
      <c r="Q122" s="2172"/>
      <c r="R122" s="2172"/>
      <c r="S122" s="2172"/>
      <c r="T122" s="2172"/>
      <c r="U122" s="2172"/>
      <c r="V122" s="2172"/>
      <c r="W122" s="2172"/>
      <c r="X122" s="2172"/>
      <c r="Y122" s="2172"/>
      <c r="Z122" s="2172"/>
      <c r="AA122" s="2172"/>
      <c r="AB122" s="2172"/>
      <c r="AC122" s="2172"/>
      <c r="AD122" s="2172"/>
      <c r="AE122" s="2172"/>
      <c r="AF122" s="2172"/>
      <c r="AG122" s="2172"/>
      <c r="AH122" s="2172"/>
      <c r="AI122" s="2172"/>
      <c r="AJ122" s="2172"/>
      <c r="AK122" s="2172"/>
      <c r="AL122" s="2172"/>
      <c r="AM122" s="2172"/>
      <c r="AN122" s="2172"/>
      <c r="AO122" s="2172"/>
      <c r="AP122" s="2172"/>
      <c r="AQ122" s="2172"/>
      <c r="AR122" s="2172"/>
      <c r="AS122" s="2172"/>
      <c r="AT122" s="2172"/>
      <c r="AU122" s="2172"/>
      <c r="AV122" s="2172"/>
      <c r="AW122" s="2172"/>
      <c r="AX122" s="2172"/>
      <c r="AY122" s="2172"/>
      <c r="AZ122" s="2172"/>
      <c r="BA122" s="2172"/>
      <c r="BB122" s="2172"/>
      <c r="BC122" s="724" t="s">
        <v>637</v>
      </c>
    </row>
    <row r="123" spans="2:55" ht="18" hidden="1" customHeight="1">
      <c r="B123" s="2171" t="s">
        <v>951</v>
      </c>
      <c r="C123" s="2171"/>
      <c r="D123" s="2171"/>
      <c r="E123" s="2171"/>
      <c r="F123" s="2171"/>
      <c r="G123" s="2171"/>
      <c r="H123" s="2171"/>
      <c r="I123" s="2171"/>
      <c r="J123" s="2171"/>
      <c r="K123" s="2171"/>
      <c r="L123" s="2171"/>
      <c r="M123" s="2171"/>
      <c r="N123" s="2171"/>
      <c r="O123" s="2171"/>
      <c r="P123" s="2171"/>
      <c r="Q123" s="2171"/>
      <c r="R123" s="2171"/>
      <c r="S123" s="2171"/>
      <c r="T123" s="2171"/>
      <c r="U123" s="2171"/>
      <c r="V123" s="2171"/>
      <c r="W123" s="2171"/>
      <c r="X123" s="2171"/>
      <c r="Y123" s="2171"/>
      <c r="Z123" s="2171"/>
      <c r="AA123" s="2171"/>
      <c r="AB123" s="2171"/>
      <c r="AC123" s="2171"/>
      <c r="AD123" s="2171"/>
      <c r="AE123" s="2171"/>
      <c r="AF123" s="2171"/>
      <c r="AG123" s="2171"/>
      <c r="AH123" s="2171"/>
      <c r="AI123" s="2171"/>
      <c r="AJ123" s="2171"/>
      <c r="AK123" s="2171"/>
      <c r="AL123" s="2171"/>
      <c r="AM123" s="2171"/>
      <c r="AN123" s="2171"/>
      <c r="AO123" s="2171"/>
      <c r="AP123" s="2171"/>
      <c r="AQ123" s="2171"/>
      <c r="AR123" s="2171"/>
      <c r="AS123" s="2171"/>
      <c r="AT123" s="2171"/>
      <c r="AU123" s="2171"/>
      <c r="AV123" s="2171"/>
      <c r="AW123" s="2171"/>
      <c r="AX123" s="2171"/>
      <c r="AY123" s="2171"/>
      <c r="AZ123" s="2171"/>
      <c r="BA123" s="2171"/>
      <c r="BB123" s="2171"/>
      <c r="BC123" s="724" t="s">
        <v>637</v>
      </c>
    </row>
    <row r="124" spans="2:55" ht="18" hidden="1" customHeight="1">
      <c r="D124" s="2173" t="s">
        <v>3094</v>
      </c>
      <c r="E124" s="2173"/>
      <c r="F124" s="2173"/>
      <c r="G124" s="2173"/>
      <c r="H124" s="2173"/>
      <c r="I124" s="2173"/>
      <c r="J124" s="2173"/>
      <c r="K124" s="2173"/>
      <c r="L124" s="2173"/>
      <c r="M124" s="2173"/>
      <c r="N124" s="2173"/>
      <c r="O124" s="2173"/>
      <c r="P124" s="2173"/>
      <c r="Q124" s="2173"/>
      <c r="R124" s="2173"/>
      <c r="S124" s="2173"/>
      <c r="T124" s="2173"/>
      <c r="U124" s="2173"/>
      <c r="V124" s="2173"/>
      <c r="W124" s="2173"/>
      <c r="X124" s="2173"/>
      <c r="Y124" s="2173"/>
      <c r="Z124" s="2173"/>
      <c r="AA124" s="2173"/>
      <c r="AB124" s="2173"/>
      <c r="AC124" s="2173"/>
      <c r="AD124" s="2173"/>
      <c r="AE124" s="2173"/>
      <c r="AF124" s="2173"/>
      <c r="AG124" s="2173"/>
      <c r="AH124" s="2173"/>
      <c r="AI124" s="2173"/>
      <c r="AJ124" s="2173"/>
      <c r="AK124" s="2173"/>
      <c r="AL124" s="2173"/>
      <c r="AM124" s="2173"/>
      <c r="AN124" s="2173"/>
      <c r="AO124" s="2173"/>
      <c r="AP124" s="2173"/>
      <c r="AQ124" s="2173"/>
      <c r="AR124" s="2173"/>
      <c r="AS124" s="2173"/>
      <c r="AT124" s="2173"/>
      <c r="AU124" s="2173"/>
      <c r="AV124" s="2173"/>
      <c r="AW124" s="2173"/>
      <c r="AX124" s="2173"/>
      <c r="AY124" s="2173"/>
      <c r="AZ124" s="2173"/>
      <c r="BA124" s="2173"/>
      <c r="BB124" s="2173"/>
      <c r="BC124" s="724" t="s">
        <v>637</v>
      </c>
    </row>
    <row r="125" spans="2:55" ht="18" hidden="1" customHeight="1">
      <c r="E125" s="2171" t="s">
        <v>3554</v>
      </c>
      <c r="F125" s="2172"/>
      <c r="G125" s="2172"/>
      <c r="H125" s="2172"/>
      <c r="I125" s="2172"/>
      <c r="J125" s="2172"/>
      <c r="K125" s="2172"/>
      <c r="L125" s="2172"/>
      <c r="M125" s="2172"/>
      <c r="N125" s="2172"/>
      <c r="O125" s="2172"/>
      <c r="P125" s="2172"/>
      <c r="Q125" s="2172"/>
      <c r="R125" s="2172"/>
      <c r="S125" s="2172"/>
      <c r="T125" s="2172"/>
      <c r="U125" s="2172"/>
      <c r="V125" s="2172"/>
      <c r="W125" s="2172"/>
      <c r="X125" s="2172"/>
      <c r="Y125" s="2172"/>
      <c r="Z125" s="2172"/>
      <c r="AA125" s="2172"/>
      <c r="AB125" s="2172"/>
      <c r="AC125" s="2172"/>
      <c r="AD125" s="2172"/>
      <c r="AE125" s="2172"/>
      <c r="AF125" s="2172"/>
      <c r="AG125" s="2172"/>
      <c r="AH125" s="2172"/>
      <c r="AI125" s="2172"/>
      <c r="AJ125" s="2172"/>
      <c r="AK125" s="2172"/>
      <c r="AL125" s="2172"/>
      <c r="AM125" s="2172"/>
      <c r="AN125" s="2172"/>
      <c r="AO125" s="2172"/>
      <c r="AP125" s="2172"/>
      <c r="AQ125" s="2172"/>
      <c r="AR125" s="2172"/>
      <c r="AS125" s="2172"/>
      <c r="AT125" s="2172"/>
      <c r="AU125" s="2172"/>
      <c r="AV125" s="2172"/>
      <c r="AW125" s="2172"/>
      <c r="AX125" s="2172"/>
      <c r="AY125" s="2172"/>
      <c r="AZ125" s="2172"/>
      <c r="BA125" s="2172"/>
      <c r="BB125" s="2172"/>
      <c r="BC125" s="724" t="s">
        <v>637</v>
      </c>
    </row>
    <row r="126" spans="2:55" ht="18" hidden="1" customHeight="1">
      <c r="E126" s="2171" t="s">
        <v>3937</v>
      </c>
      <c r="F126" s="2172"/>
      <c r="G126" s="2172"/>
      <c r="H126" s="2172"/>
      <c r="I126" s="2172"/>
      <c r="J126" s="2172"/>
      <c r="K126" s="2172"/>
      <c r="L126" s="2172"/>
      <c r="M126" s="2172"/>
      <c r="N126" s="2172"/>
      <c r="O126" s="2172"/>
      <c r="P126" s="2172"/>
      <c r="Q126" s="2172"/>
      <c r="R126" s="2172"/>
      <c r="S126" s="2172"/>
      <c r="T126" s="2172"/>
      <c r="U126" s="2172"/>
      <c r="V126" s="2172"/>
      <c r="W126" s="2172"/>
      <c r="X126" s="2172"/>
      <c r="Y126" s="2172"/>
      <c r="Z126" s="2172"/>
      <c r="AA126" s="2172"/>
      <c r="AB126" s="2172"/>
      <c r="AC126" s="2172"/>
      <c r="AD126" s="2172"/>
      <c r="AE126" s="2172"/>
      <c r="AF126" s="2172"/>
      <c r="AG126" s="2172"/>
      <c r="AH126" s="2172"/>
      <c r="AI126" s="2172"/>
      <c r="AJ126" s="2172"/>
      <c r="AK126" s="2172"/>
      <c r="AL126" s="2172"/>
      <c r="AM126" s="2172"/>
      <c r="AN126" s="2172"/>
      <c r="AO126" s="2172"/>
      <c r="AP126" s="2172"/>
      <c r="AQ126" s="2172"/>
      <c r="AR126" s="2172"/>
      <c r="AS126" s="2172"/>
      <c r="AT126" s="2172"/>
      <c r="AU126" s="2172"/>
      <c r="AV126" s="2172"/>
      <c r="AW126" s="2172"/>
      <c r="AX126" s="2172"/>
      <c r="AY126" s="2172"/>
      <c r="AZ126" s="2172"/>
      <c r="BA126" s="2172"/>
      <c r="BB126" s="2172"/>
      <c r="BC126" s="724" t="s">
        <v>637</v>
      </c>
    </row>
    <row r="127" spans="2:55" ht="18" hidden="1" customHeight="1">
      <c r="E127" s="2171" t="s">
        <v>6220</v>
      </c>
      <c r="F127" s="2172"/>
      <c r="G127" s="2172"/>
      <c r="H127" s="2172"/>
      <c r="I127" s="2172"/>
      <c r="J127" s="2172"/>
      <c r="K127" s="2172"/>
      <c r="L127" s="2172"/>
      <c r="M127" s="2172"/>
      <c r="N127" s="2172"/>
      <c r="O127" s="2172"/>
      <c r="P127" s="2172"/>
      <c r="Q127" s="2172"/>
      <c r="R127" s="2172"/>
      <c r="S127" s="2172"/>
      <c r="T127" s="2172"/>
      <c r="U127" s="2172"/>
      <c r="V127" s="2172"/>
      <c r="W127" s="2172"/>
      <c r="X127" s="2172"/>
      <c r="Y127" s="2172"/>
      <c r="Z127" s="2172"/>
      <c r="AA127" s="2172"/>
      <c r="AB127" s="2172"/>
      <c r="AC127" s="2172"/>
      <c r="AD127" s="2172"/>
      <c r="AE127" s="2172"/>
      <c r="AF127" s="2172"/>
      <c r="AG127" s="2172"/>
      <c r="AH127" s="2172"/>
      <c r="AI127" s="2172"/>
      <c r="AJ127" s="2172"/>
      <c r="AK127" s="2172"/>
      <c r="AL127" s="2172"/>
      <c r="AM127" s="2172"/>
      <c r="AN127" s="2172"/>
      <c r="AO127" s="2172"/>
      <c r="AP127" s="2172"/>
      <c r="AQ127" s="2172"/>
      <c r="AR127" s="2172"/>
      <c r="AS127" s="2172"/>
      <c r="AT127" s="2172"/>
      <c r="AU127" s="2172"/>
      <c r="AV127" s="2172"/>
      <c r="AW127" s="2172"/>
      <c r="AX127" s="2172"/>
      <c r="AY127" s="2172"/>
      <c r="AZ127" s="2172"/>
      <c r="BA127" s="2172"/>
      <c r="BB127" s="2172"/>
      <c r="BC127" s="724" t="s">
        <v>637</v>
      </c>
    </row>
    <row r="128" spans="2:55" ht="18" hidden="1" customHeight="1">
      <c r="E128" s="2171" t="s">
        <v>6221</v>
      </c>
      <c r="F128" s="2172"/>
      <c r="G128" s="2172"/>
      <c r="H128" s="2172"/>
      <c r="I128" s="2172"/>
      <c r="J128" s="2172"/>
      <c r="K128" s="2172"/>
      <c r="L128" s="2172"/>
      <c r="M128" s="2172"/>
      <c r="N128" s="2172"/>
      <c r="O128" s="2172"/>
      <c r="P128" s="2172"/>
      <c r="Q128" s="2172"/>
      <c r="R128" s="2172"/>
      <c r="S128" s="2172"/>
      <c r="T128" s="2172"/>
      <c r="U128" s="2172"/>
      <c r="V128" s="2172"/>
      <c r="W128" s="2172"/>
      <c r="X128" s="2172"/>
      <c r="Y128" s="2172"/>
      <c r="Z128" s="2172"/>
      <c r="AA128" s="2172"/>
      <c r="AB128" s="2172"/>
      <c r="AC128" s="2172"/>
      <c r="AD128" s="2172"/>
      <c r="AE128" s="2172"/>
      <c r="AF128" s="2172"/>
      <c r="AG128" s="2172"/>
      <c r="AH128" s="2172"/>
      <c r="AI128" s="2172"/>
      <c r="AJ128" s="2172"/>
      <c r="AK128" s="2172"/>
      <c r="AL128" s="2172"/>
      <c r="AM128" s="2172"/>
      <c r="AN128" s="2172"/>
      <c r="AO128" s="2172"/>
      <c r="AP128" s="2172"/>
      <c r="AQ128" s="2172"/>
      <c r="AR128" s="2172"/>
      <c r="AS128" s="2172"/>
      <c r="AT128" s="2172"/>
      <c r="AU128" s="2172"/>
      <c r="AV128" s="2172"/>
      <c r="AW128" s="2172"/>
      <c r="AX128" s="2172"/>
      <c r="AY128" s="2172"/>
      <c r="AZ128" s="2172"/>
      <c r="BA128" s="2172"/>
      <c r="BB128" s="2172"/>
      <c r="BC128" s="724" t="s">
        <v>637</v>
      </c>
    </row>
    <row r="129" spans="1:110" ht="18" hidden="1" customHeight="1">
      <c r="D129" s="2173" t="s">
        <v>3095</v>
      </c>
      <c r="E129" s="2173"/>
      <c r="F129" s="2173"/>
      <c r="G129" s="2173"/>
      <c r="H129" s="2173"/>
      <c r="I129" s="2173"/>
      <c r="J129" s="2173"/>
      <c r="K129" s="2173"/>
      <c r="L129" s="2173"/>
      <c r="M129" s="2173"/>
      <c r="N129" s="2173"/>
      <c r="O129" s="2173"/>
      <c r="P129" s="2173"/>
      <c r="Q129" s="2173"/>
      <c r="R129" s="2173"/>
      <c r="S129" s="2173"/>
      <c r="T129" s="2173"/>
      <c r="U129" s="2173"/>
      <c r="V129" s="2173"/>
      <c r="W129" s="2173"/>
      <c r="X129" s="2173"/>
      <c r="Y129" s="2173"/>
      <c r="Z129" s="2173"/>
      <c r="AA129" s="2173"/>
      <c r="AB129" s="2173"/>
      <c r="AC129" s="2173"/>
      <c r="AD129" s="2173"/>
      <c r="AE129" s="2173"/>
      <c r="AF129" s="2173"/>
      <c r="AG129" s="2173"/>
      <c r="AH129" s="2173"/>
      <c r="AI129" s="2173"/>
      <c r="AJ129" s="2173"/>
      <c r="AK129" s="2173"/>
      <c r="AL129" s="2173"/>
      <c r="AM129" s="2173"/>
      <c r="AN129" s="2173"/>
      <c r="AO129" s="2173"/>
      <c r="AP129" s="2173"/>
      <c r="AQ129" s="2173"/>
      <c r="AR129" s="2173"/>
      <c r="AS129" s="2173"/>
      <c r="AT129" s="2173"/>
      <c r="AU129" s="2173"/>
      <c r="AV129" s="2173"/>
      <c r="AW129" s="2173"/>
      <c r="AX129" s="2173"/>
      <c r="AY129" s="2173"/>
      <c r="AZ129" s="2173"/>
      <c r="BA129" s="2173"/>
      <c r="BB129" s="2173"/>
      <c r="BC129" s="722" t="s">
        <v>637</v>
      </c>
    </row>
    <row r="130" spans="1:110" ht="18" hidden="1" customHeight="1">
      <c r="E130" s="2171" t="s">
        <v>6222</v>
      </c>
      <c r="F130" s="2172"/>
      <c r="G130" s="2172"/>
      <c r="H130" s="2172"/>
      <c r="I130" s="2172"/>
      <c r="J130" s="2172"/>
      <c r="K130" s="2172"/>
      <c r="L130" s="2172"/>
      <c r="M130" s="2172"/>
      <c r="N130" s="2172"/>
      <c r="O130" s="2172"/>
      <c r="P130" s="2172"/>
      <c r="Q130" s="2172"/>
      <c r="R130" s="2172"/>
      <c r="S130" s="2172"/>
      <c r="T130" s="2172"/>
      <c r="U130" s="2172"/>
      <c r="V130" s="2172"/>
      <c r="W130" s="2172"/>
      <c r="X130" s="2172"/>
      <c r="Y130" s="2172"/>
      <c r="Z130" s="2172"/>
      <c r="AA130" s="2172"/>
      <c r="AB130" s="2172"/>
      <c r="AC130" s="2172"/>
      <c r="AD130" s="2172"/>
      <c r="AE130" s="2172"/>
      <c r="AF130" s="2172"/>
      <c r="AG130" s="2172"/>
      <c r="AH130" s="2172"/>
      <c r="AI130" s="2172"/>
      <c r="AJ130" s="2172"/>
      <c r="AK130" s="2172"/>
      <c r="AL130" s="2172"/>
      <c r="AM130" s="2172"/>
      <c r="AN130" s="2172"/>
      <c r="AO130" s="2172"/>
      <c r="AP130" s="2172"/>
      <c r="AQ130" s="2172"/>
      <c r="AR130" s="2172"/>
      <c r="AS130" s="2172"/>
      <c r="AT130" s="2172"/>
      <c r="AU130" s="2172"/>
      <c r="AV130" s="2172"/>
      <c r="AW130" s="2172"/>
      <c r="AX130" s="2172"/>
      <c r="AY130" s="2172"/>
      <c r="AZ130" s="2172"/>
      <c r="BA130" s="2172"/>
      <c r="BB130" s="2172"/>
      <c r="BC130" s="722" t="s">
        <v>637</v>
      </c>
    </row>
    <row r="131" spans="1:110" ht="18" hidden="1" customHeight="1">
      <c r="E131" s="2171" t="s">
        <v>4945</v>
      </c>
      <c r="F131" s="2172"/>
      <c r="G131" s="2172"/>
      <c r="H131" s="2172"/>
      <c r="I131" s="2172"/>
      <c r="J131" s="2172"/>
      <c r="K131" s="2172"/>
      <c r="L131" s="2172"/>
      <c r="M131" s="2172"/>
      <c r="N131" s="2172"/>
      <c r="O131" s="2172"/>
      <c r="P131" s="2172"/>
      <c r="Q131" s="2172"/>
      <c r="R131" s="2172"/>
      <c r="S131" s="2172"/>
      <c r="T131" s="2172"/>
      <c r="U131" s="2172"/>
      <c r="V131" s="2172"/>
      <c r="W131" s="2172"/>
      <c r="X131" s="2172"/>
      <c r="Y131" s="2172"/>
      <c r="Z131" s="2172"/>
      <c r="AA131" s="2172"/>
      <c r="AB131" s="2172"/>
      <c r="AC131" s="2172"/>
      <c r="AD131" s="2172"/>
      <c r="AE131" s="2172"/>
      <c r="AF131" s="2172"/>
      <c r="AG131" s="2172"/>
      <c r="AH131" s="2172"/>
      <c r="AI131" s="2172"/>
      <c r="AJ131" s="2172"/>
      <c r="AK131" s="2172"/>
      <c r="AL131" s="2172"/>
      <c r="AM131" s="2172"/>
      <c r="AN131" s="2172"/>
      <c r="AO131" s="2172"/>
      <c r="AP131" s="2172"/>
      <c r="AQ131" s="2172"/>
      <c r="AR131" s="2172"/>
      <c r="AS131" s="2172"/>
      <c r="AT131" s="2172"/>
      <c r="AU131" s="2172"/>
      <c r="AV131" s="2172"/>
      <c r="AW131" s="2172"/>
      <c r="AX131" s="2172"/>
      <c r="AY131" s="2172"/>
      <c r="AZ131" s="2172"/>
      <c r="BA131" s="2172"/>
      <c r="BB131" s="2172"/>
      <c r="BC131" s="722" t="s">
        <v>637</v>
      </c>
    </row>
    <row r="132" spans="1:110" ht="18" hidden="1" customHeight="1">
      <c r="E132" s="2171" t="s">
        <v>2628</v>
      </c>
      <c r="F132" s="2172"/>
      <c r="G132" s="2172"/>
      <c r="H132" s="2172"/>
      <c r="I132" s="2172"/>
      <c r="J132" s="2172"/>
      <c r="K132" s="2172"/>
      <c r="L132" s="2172"/>
      <c r="M132" s="2172"/>
      <c r="N132" s="2172"/>
      <c r="O132" s="2172"/>
      <c r="P132" s="2172"/>
      <c r="Q132" s="2172"/>
      <c r="R132" s="2172"/>
      <c r="S132" s="2172"/>
      <c r="T132" s="2172"/>
      <c r="U132" s="2172"/>
      <c r="V132" s="2172"/>
      <c r="W132" s="2172"/>
      <c r="X132" s="2172"/>
      <c r="Y132" s="2172"/>
      <c r="Z132" s="2172"/>
      <c r="AA132" s="2172"/>
      <c r="AB132" s="2172"/>
      <c r="AC132" s="2172"/>
      <c r="AD132" s="2172"/>
      <c r="AE132" s="2172"/>
      <c r="AF132" s="2172"/>
      <c r="AG132" s="2172"/>
      <c r="AH132" s="2172"/>
      <c r="AI132" s="2172"/>
      <c r="AJ132" s="2172"/>
      <c r="AK132" s="2172"/>
      <c r="AL132" s="2172"/>
      <c r="AM132" s="2172"/>
      <c r="AN132" s="2172"/>
      <c r="AO132" s="2172"/>
      <c r="AP132" s="2172"/>
      <c r="AQ132" s="2172"/>
      <c r="AR132" s="2172"/>
      <c r="AS132" s="2172"/>
      <c r="AT132" s="2172"/>
      <c r="AU132" s="2172"/>
      <c r="AV132" s="2172"/>
      <c r="AW132" s="2172"/>
      <c r="AX132" s="2172"/>
      <c r="AY132" s="2172"/>
      <c r="AZ132" s="2172"/>
      <c r="BA132" s="2172"/>
      <c r="BB132" s="2172"/>
      <c r="BC132" s="722" t="s">
        <v>637</v>
      </c>
    </row>
    <row r="133" spans="1:110" ht="18" hidden="1" customHeight="1">
      <c r="B133" s="2171" t="s">
        <v>2629</v>
      </c>
      <c r="C133" s="2171"/>
      <c r="D133" s="2171"/>
      <c r="E133" s="2171"/>
      <c r="F133" s="2171"/>
      <c r="G133" s="2171"/>
      <c r="H133" s="2171"/>
      <c r="I133" s="2171"/>
      <c r="J133" s="2171"/>
      <c r="K133" s="2171"/>
      <c r="L133" s="2171"/>
      <c r="M133" s="2171"/>
      <c r="N133" s="2171"/>
      <c r="O133" s="2171"/>
      <c r="P133" s="2171"/>
      <c r="Q133" s="2171"/>
      <c r="R133" s="2171"/>
      <c r="S133" s="2171"/>
      <c r="T133" s="2171"/>
      <c r="U133" s="2171"/>
      <c r="V133" s="2171"/>
      <c r="W133" s="2171"/>
      <c r="X133" s="2171"/>
      <c r="Y133" s="2171"/>
      <c r="Z133" s="2171"/>
      <c r="AA133" s="2171"/>
      <c r="AB133" s="2171"/>
      <c r="AC133" s="2171"/>
      <c r="AD133" s="2171"/>
      <c r="AE133" s="2171"/>
      <c r="AF133" s="2171"/>
      <c r="AG133" s="2171"/>
      <c r="AH133" s="2171"/>
      <c r="AI133" s="2171"/>
      <c r="AJ133" s="2171"/>
      <c r="AK133" s="2171"/>
      <c r="AL133" s="2171"/>
      <c r="AM133" s="2171"/>
      <c r="AN133" s="2171"/>
      <c r="AO133" s="2171"/>
      <c r="AP133" s="2171"/>
      <c r="AQ133" s="2171"/>
      <c r="AR133" s="2171"/>
      <c r="AS133" s="2171"/>
      <c r="AT133" s="2171"/>
      <c r="AU133" s="2171"/>
      <c r="AV133" s="2171"/>
      <c r="AW133" s="2171"/>
      <c r="AX133" s="2171"/>
      <c r="AY133" s="2171"/>
      <c r="AZ133" s="2171"/>
      <c r="BA133" s="2171"/>
      <c r="BB133" s="2171"/>
      <c r="BC133" s="722" t="s">
        <v>637</v>
      </c>
      <c r="BD133" s="721"/>
      <c r="BH133" s="107"/>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723" t="s">
        <v>637</v>
      </c>
    </row>
    <row r="134" spans="1:110" ht="15.75" hidden="1">
      <c r="E134" s="2171" t="s">
        <v>3716</v>
      </c>
      <c r="F134" s="2172"/>
      <c r="G134" s="2172"/>
      <c r="H134" s="2172"/>
      <c r="I134" s="2172"/>
      <c r="J134" s="2172"/>
      <c r="K134" s="2172"/>
      <c r="L134" s="2172"/>
      <c r="M134" s="2172"/>
      <c r="N134" s="2172"/>
      <c r="O134" s="2172"/>
      <c r="P134" s="2172"/>
      <c r="Q134" s="2172"/>
      <c r="R134" s="2172"/>
      <c r="S134" s="2172"/>
      <c r="T134" s="2172"/>
      <c r="U134" s="2172"/>
      <c r="V134" s="2172"/>
      <c r="W134" s="2172"/>
      <c r="X134" s="2172"/>
      <c r="Y134" s="2172"/>
      <c r="Z134" s="2172"/>
      <c r="AA134" s="2172"/>
      <c r="AB134" s="2172"/>
      <c r="AC134" s="2172"/>
      <c r="AD134" s="2172"/>
      <c r="AE134" s="2172"/>
      <c r="AF134" s="2172"/>
      <c r="AG134" s="2172"/>
      <c r="AH134" s="2172"/>
      <c r="AI134" s="2172"/>
      <c r="AJ134" s="2172"/>
      <c r="AK134" s="2172"/>
      <c r="AL134" s="2172"/>
      <c r="AM134" s="2172"/>
      <c r="AN134" s="2172"/>
      <c r="AO134" s="2172"/>
      <c r="AP134" s="2172"/>
      <c r="AQ134" s="2172"/>
      <c r="AR134" s="2172"/>
      <c r="AS134" s="2172"/>
      <c r="AT134" s="2172"/>
      <c r="AU134" s="2172"/>
      <c r="AV134" s="2172"/>
      <c r="AW134" s="2172"/>
      <c r="AX134" s="2172"/>
      <c r="AY134" s="2172"/>
      <c r="AZ134" s="2172"/>
      <c r="BA134" s="2172"/>
      <c r="BB134" s="2172"/>
      <c r="BC134" s="722" t="s">
        <v>637</v>
      </c>
    </row>
    <row r="135" spans="1:110" ht="20.100000000000001" hidden="1" customHeight="1">
      <c r="D135" s="2173" t="s">
        <v>3096</v>
      </c>
      <c r="E135" s="2173"/>
      <c r="F135" s="2173"/>
      <c r="G135" s="2173"/>
      <c r="H135" s="2173"/>
      <c r="I135" s="2173"/>
      <c r="J135" s="2173"/>
      <c r="K135" s="2173"/>
      <c r="L135" s="2173"/>
      <c r="M135" s="2173"/>
      <c r="N135" s="2173"/>
      <c r="O135" s="2173"/>
      <c r="P135" s="2173"/>
      <c r="Q135" s="2173"/>
      <c r="R135" s="2173"/>
      <c r="S135" s="2173"/>
      <c r="T135" s="2173"/>
      <c r="U135" s="2173"/>
      <c r="V135" s="2173"/>
      <c r="W135" s="2173"/>
      <c r="X135" s="2173"/>
      <c r="Y135" s="2173"/>
      <c r="Z135" s="2173"/>
      <c r="AA135" s="2173"/>
      <c r="AB135" s="2173"/>
      <c r="AC135" s="2173"/>
      <c r="AD135" s="2173"/>
      <c r="AE135" s="2173"/>
      <c r="AF135" s="2173"/>
      <c r="AG135" s="2173"/>
      <c r="AH135" s="2173"/>
      <c r="AI135" s="2173"/>
      <c r="AJ135" s="2173"/>
      <c r="AK135" s="2173"/>
      <c r="AL135" s="2173"/>
      <c r="AM135" s="2173"/>
      <c r="AN135" s="2173"/>
      <c r="AO135" s="2173"/>
      <c r="AP135" s="2173"/>
      <c r="AQ135" s="2173"/>
      <c r="AR135" s="2173"/>
      <c r="AS135" s="2173"/>
      <c r="AT135" s="2173"/>
      <c r="AU135" s="2173"/>
      <c r="AV135" s="2173"/>
      <c r="AW135" s="2173"/>
      <c r="AX135" s="2173"/>
      <c r="AY135" s="2173"/>
      <c r="AZ135" s="2173"/>
      <c r="BA135" s="2173"/>
      <c r="BB135" s="2173"/>
      <c r="BC135" s="722" t="s">
        <v>637</v>
      </c>
    </row>
    <row r="136" spans="1:110" ht="20.100000000000001" hidden="1" customHeight="1">
      <c r="E136" s="2171" t="s">
        <v>640</v>
      </c>
      <c r="F136" s="2171"/>
      <c r="G136" s="2171"/>
      <c r="H136" s="2171" t="s">
        <v>2479</v>
      </c>
      <c r="I136" s="2171"/>
      <c r="J136" s="2171"/>
      <c r="K136" s="2171"/>
      <c r="L136" s="2171"/>
      <c r="M136" s="2171"/>
      <c r="N136" s="2171"/>
      <c r="O136" s="2171"/>
      <c r="P136" s="2171"/>
      <c r="Q136" s="2171"/>
      <c r="R136" s="2171"/>
      <c r="S136" s="2171"/>
      <c r="T136" s="2171"/>
      <c r="U136" s="2171"/>
      <c r="V136" s="2171"/>
      <c r="W136" s="2171"/>
      <c r="X136" s="2171"/>
      <c r="Y136" s="2171"/>
      <c r="Z136" s="2171"/>
      <c r="AA136" s="2171"/>
      <c r="AB136" s="2171"/>
      <c r="AC136" s="2171"/>
      <c r="AD136" s="2171"/>
      <c r="AE136" s="2171"/>
      <c r="AF136" s="2171"/>
      <c r="AG136" s="2171"/>
      <c r="AH136" s="2171"/>
      <c r="AI136" s="2171"/>
      <c r="AJ136" s="2171"/>
      <c r="AK136" s="2171"/>
      <c r="AL136" s="2171"/>
      <c r="AM136" s="2171"/>
      <c r="AN136" s="2171"/>
      <c r="AO136" s="2171"/>
      <c r="AP136" s="2171"/>
      <c r="AQ136" s="2171"/>
      <c r="AR136" s="2171"/>
      <c r="AS136" s="2171"/>
      <c r="AT136" s="2171"/>
      <c r="AU136" s="2171"/>
      <c r="AV136" s="2171"/>
      <c r="AW136" s="2171"/>
      <c r="AX136" s="2171"/>
      <c r="AY136" s="2171"/>
      <c r="AZ136" s="2171"/>
      <c r="BA136" s="2171"/>
      <c r="BB136" s="2171"/>
      <c r="BC136" s="722" t="s">
        <v>637</v>
      </c>
    </row>
    <row r="137" spans="1:110" ht="20.100000000000001" hidden="1" customHeight="1">
      <c r="B137" s="2171" t="s">
        <v>2480</v>
      </c>
      <c r="C137" s="2171"/>
      <c r="D137" s="2171"/>
      <c r="E137" s="2171"/>
      <c r="F137" s="2171"/>
      <c r="G137" s="2171"/>
      <c r="H137" s="2171"/>
      <c r="I137" s="2171"/>
      <c r="J137" s="2171"/>
      <c r="K137" s="2171"/>
      <c r="L137" s="2171"/>
      <c r="M137" s="2171"/>
      <c r="N137" s="2171"/>
      <c r="O137" s="2171"/>
      <c r="P137" s="2171"/>
      <c r="Q137" s="2171"/>
      <c r="R137" s="2171"/>
      <c r="S137" s="2171"/>
      <c r="T137" s="2171"/>
      <c r="U137" s="2171"/>
      <c r="V137" s="2171"/>
      <c r="W137" s="2171"/>
      <c r="X137" s="2171"/>
      <c r="Y137" s="2171"/>
      <c r="Z137" s="2171"/>
      <c r="AA137" s="2171"/>
      <c r="AB137" s="2171"/>
      <c r="AC137" s="2171"/>
      <c r="AD137" s="2171"/>
      <c r="AE137" s="2171"/>
      <c r="AF137" s="2171"/>
      <c r="AG137" s="2171"/>
      <c r="AH137" s="2171"/>
      <c r="AI137" s="2171"/>
      <c r="AJ137" s="2171"/>
      <c r="AK137" s="2171"/>
      <c r="AL137" s="2171"/>
      <c r="AM137" s="2171"/>
      <c r="AN137" s="2171"/>
      <c r="AO137" s="2171"/>
      <c r="AP137" s="2171"/>
      <c r="AQ137" s="2171"/>
      <c r="AR137" s="2171"/>
      <c r="AS137" s="2171"/>
      <c r="AT137" s="2171"/>
      <c r="AU137" s="2171"/>
      <c r="AV137" s="2171"/>
      <c r="AW137" s="2171"/>
      <c r="AX137" s="2171"/>
      <c r="AY137" s="2171"/>
      <c r="AZ137" s="2171"/>
      <c r="BA137" s="2171"/>
      <c r="BB137" s="2171"/>
      <c r="BC137" s="722" t="s">
        <v>637</v>
      </c>
    </row>
    <row r="138" spans="1:110" ht="20.100000000000001" hidden="1" customHeight="1">
      <c r="E138" s="2171" t="s">
        <v>641</v>
      </c>
      <c r="F138" s="2171"/>
      <c r="G138" s="2171"/>
      <c r="H138" s="2171" t="s">
        <v>555</v>
      </c>
      <c r="I138" s="2171"/>
      <c r="J138" s="2171"/>
      <c r="K138" s="2171"/>
      <c r="L138" s="2171"/>
      <c r="M138" s="2171"/>
      <c r="N138" s="2171"/>
      <c r="O138" s="2171"/>
      <c r="P138" s="2171"/>
      <c r="Q138" s="2171"/>
      <c r="R138" s="2171"/>
      <c r="S138" s="2171"/>
      <c r="T138" s="2171"/>
      <c r="U138" s="2171"/>
      <c r="V138" s="2171"/>
      <c r="W138" s="2171"/>
      <c r="X138" s="2171"/>
      <c r="Y138" s="2171"/>
      <c r="Z138" s="2171"/>
      <c r="AA138" s="2171"/>
      <c r="AB138" s="2171"/>
      <c r="AC138" s="2171"/>
      <c r="AD138" s="2171"/>
      <c r="AE138" s="2171"/>
      <c r="AF138" s="2171"/>
      <c r="AG138" s="2171"/>
      <c r="AH138" s="2171"/>
      <c r="AI138" s="2171"/>
      <c r="AJ138" s="2171"/>
      <c r="AK138" s="2171"/>
      <c r="AL138" s="2171"/>
      <c r="AM138" s="2171"/>
      <c r="AN138" s="2171"/>
      <c r="AO138" s="2171"/>
      <c r="AP138" s="2171"/>
      <c r="AQ138" s="2171"/>
      <c r="AR138" s="2171"/>
      <c r="AS138" s="2171"/>
      <c r="AT138" s="2171"/>
      <c r="AU138" s="2171"/>
      <c r="AV138" s="2171"/>
      <c r="AW138" s="2171"/>
      <c r="AX138" s="2171"/>
      <c r="AY138" s="2171"/>
      <c r="AZ138" s="2171"/>
      <c r="BA138" s="2171"/>
      <c r="BB138" s="2171"/>
      <c r="BC138" s="722" t="s">
        <v>637</v>
      </c>
    </row>
    <row r="139" spans="1:110" ht="15.75" hidden="1">
      <c r="E139" s="2171" t="s">
        <v>556</v>
      </c>
      <c r="F139" s="2171"/>
      <c r="G139" s="2171"/>
      <c r="H139" s="2171" t="s">
        <v>2185</v>
      </c>
      <c r="I139" s="2171"/>
      <c r="J139" s="2171"/>
      <c r="K139" s="2171"/>
      <c r="L139" s="2171"/>
      <c r="M139" s="2171"/>
      <c r="N139" s="2171"/>
      <c r="O139" s="2171"/>
      <c r="P139" s="2171"/>
      <c r="Q139" s="2171"/>
      <c r="R139" s="2171"/>
      <c r="S139" s="2171"/>
      <c r="T139" s="2171"/>
      <c r="U139" s="2171"/>
      <c r="V139" s="2171"/>
      <c r="W139" s="2171"/>
      <c r="X139" s="2171"/>
      <c r="Y139" s="2171"/>
      <c r="Z139" s="2171"/>
      <c r="AA139" s="2171"/>
      <c r="AB139" s="2171"/>
      <c r="AC139" s="2171"/>
      <c r="AD139" s="2171"/>
      <c r="AE139" s="2171"/>
      <c r="AF139" s="2171"/>
      <c r="AG139" s="2171"/>
      <c r="AH139" s="2171"/>
      <c r="AI139" s="2171"/>
      <c r="AJ139" s="2171"/>
      <c r="AK139" s="2171"/>
      <c r="AL139" s="2171"/>
      <c r="AM139" s="2171"/>
      <c r="AN139" s="2171"/>
      <c r="AO139" s="2171"/>
      <c r="AP139" s="2171"/>
      <c r="AQ139" s="2171"/>
      <c r="AR139" s="2171"/>
      <c r="AS139" s="2171"/>
      <c r="AT139" s="2171"/>
      <c r="AU139" s="2171"/>
      <c r="AV139" s="2171"/>
      <c r="AW139" s="2171"/>
      <c r="AX139" s="2171"/>
      <c r="AY139" s="2171"/>
      <c r="AZ139" s="2171"/>
      <c r="BA139" s="2171"/>
      <c r="BB139" s="2171"/>
      <c r="BC139" s="722" t="s">
        <v>637</v>
      </c>
    </row>
    <row r="140" spans="1:110" ht="15.75" hidden="1">
      <c r="A140" s="728"/>
      <c r="B140" s="729"/>
      <c r="C140" s="729"/>
      <c r="D140" s="729"/>
      <c r="E140" s="1262"/>
      <c r="F140" s="1262"/>
      <c r="G140" s="1262"/>
      <c r="H140" s="1262"/>
      <c r="I140" s="1262"/>
      <c r="J140" s="1262"/>
      <c r="K140" s="1262"/>
      <c r="L140" s="1262"/>
      <c r="M140" s="1262"/>
      <c r="N140" s="1262"/>
      <c r="O140" s="1262"/>
      <c r="P140" s="1262"/>
      <c r="Q140" s="1262"/>
      <c r="R140" s="1262"/>
      <c r="S140" s="1262"/>
      <c r="T140" s="1262"/>
      <c r="U140" s="1262"/>
      <c r="V140" s="1262"/>
      <c r="W140" s="1262"/>
      <c r="X140" s="1262"/>
      <c r="Y140" s="1262"/>
      <c r="Z140" s="1262"/>
      <c r="AA140" s="1262"/>
      <c r="AB140" s="1262"/>
      <c r="AC140" s="1262"/>
      <c r="AD140" s="1262"/>
      <c r="AE140" s="1262"/>
      <c r="AF140" s="1262"/>
      <c r="AG140" s="1262"/>
      <c r="AH140" s="1262"/>
      <c r="AI140" s="1262"/>
      <c r="AJ140" s="1262"/>
      <c r="AK140" s="1262"/>
      <c r="AL140" s="1262"/>
      <c r="AM140" s="1262"/>
      <c r="AN140" s="1262"/>
      <c r="AO140" s="1262"/>
      <c r="AP140" s="1262"/>
      <c r="AQ140" s="1262"/>
      <c r="AR140" s="1262"/>
      <c r="AS140" s="1262"/>
      <c r="AT140" s="1262"/>
      <c r="AU140" s="1262"/>
      <c r="AV140" s="1262"/>
      <c r="AW140" s="1262"/>
      <c r="AX140" s="1262"/>
      <c r="AY140" s="1262"/>
      <c r="AZ140" s="1262"/>
      <c r="BA140" s="1262"/>
      <c r="BB140" s="1262"/>
      <c r="BC140" s="722" t="s">
        <v>637</v>
      </c>
    </row>
    <row r="141" spans="1:110" ht="15.75" hidden="1">
      <c r="A141" s="728"/>
      <c r="B141" s="729"/>
      <c r="C141" s="729"/>
      <c r="D141" s="729"/>
      <c r="E141" s="1262"/>
      <c r="F141" s="1262"/>
      <c r="G141" s="1262"/>
      <c r="H141" s="1262"/>
      <c r="I141" s="1262"/>
      <c r="J141" s="1262"/>
      <c r="K141" s="1262"/>
      <c r="L141" s="1262"/>
      <c r="M141" s="1262"/>
      <c r="N141" s="1262"/>
      <c r="O141" s="1262"/>
      <c r="P141" s="1262"/>
      <c r="Q141" s="1262"/>
      <c r="R141" s="1262"/>
      <c r="S141" s="1262"/>
      <c r="T141" s="1262"/>
      <c r="U141" s="1262"/>
      <c r="V141" s="1262"/>
      <c r="W141" s="1262"/>
      <c r="X141" s="1262"/>
      <c r="Y141" s="1262"/>
      <c r="Z141" s="1262"/>
      <c r="AA141" s="1262"/>
      <c r="AB141" s="1262"/>
      <c r="AC141" s="1262"/>
      <c r="AD141" s="1262"/>
      <c r="AE141" s="1262"/>
      <c r="AF141" s="1262"/>
      <c r="AG141" s="1262"/>
      <c r="AH141" s="1262"/>
      <c r="AI141" s="1262"/>
      <c r="AJ141" s="1262"/>
      <c r="AK141" s="1262"/>
      <c r="AL141" s="1262"/>
      <c r="AM141" s="1262"/>
      <c r="AN141" s="1262"/>
      <c r="AO141" s="1262"/>
      <c r="AP141" s="1262"/>
      <c r="AQ141" s="1262"/>
      <c r="AR141" s="1262"/>
      <c r="AS141" s="1262"/>
      <c r="AT141" s="1262"/>
      <c r="AU141" s="1262"/>
      <c r="AV141" s="1262"/>
      <c r="AW141" s="1262"/>
      <c r="AX141" s="1262"/>
      <c r="AY141" s="1262"/>
      <c r="AZ141" s="1262"/>
      <c r="BA141" s="1262"/>
      <c r="BB141" s="1262"/>
      <c r="BC141" s="722" t="s">
        <v>637</v>
      </c>
    </row>
    <row r="142" spans="1:110" ht="15.75" hidden="1">
      <c r="A142" s="728"/>
      <c r="B142" s="729"/>
      <c r="C142" s="729"/>
      <c r="D142" s="729"/>
      <c r="E142" s="1262"/>
      <c r="F142" s="1262"/>
      <c r="G142" s="1262"/>
      <c r="H142" s="1262"/>
      <c r="I142" s="1262"/>
      <c r="J142" s="1262"/>
      <c r="K142" s="1262"/>
      <c r="L142" s="1262"/>
      <c r="M142" s="1262"/>
      <c r="N142" s="1262"/>
      <c r="O142" s="1262"/>
      <c r="P142" s="1262"/>
      <c r="Q142" s="1262"/>
      <c r="R142" s="1262"/>
      <c r="S142" s="1262"/>
      <c r="T142" s="1262"/>
      <c r="U142" s="1262"/>
      <c r="V142" s="1262"/>
      <c r="W142" s="1262"/>
      <c r="X142" s="1262"/>
      <c r="Y142" s="1262"/>
      <c r="Z142" s="1262"/>
      <c r="AA142" s="1262"/>
      <c r="AB142" s="1262"/>
      <c r="AC142" s="1262"/>
      <c r="AD142" s="1262"/>
      <c r="AE142" s="1262"/>
      <c r="AF142" s="1262"/>
      <c r="AG142" s="1262"/>
      <c r="AH142" s="1262"/>
      <c r="AI142" s="1262"/>
      <c r="AJ142" s="1262"/>
      <c r="AK142" s="1262"/>
      <c r="AL142" s="1262"/>
      <c r="AM142" s="1262"/>
      <c r="AN142" s="1262"/>
      <c r="AO142" s="1262"/>
      <c r="AP142" s="1262"/>
      <c r="AQ142" s="1262"/>
      <c r="AR142" s="1262"/>
      <c r="AS142" s="1262"/>
      <c r="AT142" s="1262"/>
      <c r="AU142" s="1262"/>
      <c r="AV142" s="1262"/>
      <c r="AW142" s="1262"/>
      <c r="AX142" s="1262"/>
      <c r="AY142" s="1262"/>
      <c r="AZ142" s="1262"/>
      <c r="BA142" s="1262"/>
      <c r="BB142" s="1262"/>
      <c r="BC142" s="722" t="s">
        <v>637</v>
      </c>
    </row>
    <row r="143" spans="1:110" ht="15.75" hidden="1">
      <c r="A143" s="728"/>
      <c r="B143" s="729"/>
      <c r="C143" s="729"/>
      <c r="D143" s="729"/>
      <c r="E143" s="1262"/>
      <c r="F143" s="1262"/>
      <c r="G143" s="1262"/>
      <c r="H143" s="1262"/>
      <c r="I143" s="1262"/>
      <c r="J143" s="1262"/>
      <c r="K143" s="1262"/>
      <c r="L143" s="1262"/>
      <c r="M143" s="1262"/>
      <c r="N143" s="1262"/>
      <c r="O143" s="1262"/>
      <c r="P143" s="1262"/>
      <c r="Q143" s="1262"/>
      <c r="R143" s="1262"/>
      <c r="S143" s="1262"/>
      <c r="T143" s="1262"/>
      <c r="U143" s="1262"/>
      <c r="V143" s="1262"/>
      <c r="W143" s="1262"/>
      <c r="X143" s="1262"/>
      <c r="Y143" s="1262"/>
      <c r="Z143" s="1262"/>
      <c r="AA143" s="1262"/>
      <c r="AB143" s="1262"/>
      <c r="AC143" s="1262"/>
      <c r="AD143" s="1262"/>
      <c r="AE143" s="1262"/>
      <c r="AF143" s="1262"/>
      <c r="AG143" s="1262"/>
      <c r="AH143" s="1262"/>
      <c r="AI143" s="1262"/>
      <c r="AJ143" s="1262"/>
      <c r="AK143" s="1262"/>
      <c r="AL143" s="1262"/>
      <c r="AM143" s="1262"/>
      <c r="AN143" s="1262"/>
      <c r="AO143" s="1262"/>
      <c r="AP143" s="1262"/>
      <c r="AQ143" s="1262"/>
      <c r="AR143" s="1262"/>
      <c r="AS143" s="1262"/>
      <c r="AT143" s="1262"/>
      <c r="AU143" s="1262"/>
      <c r="AV143" s="1262"/>
      <c r="AW143" s="1262"/>
      <c r="AX143" s="1262"/>
      <c r="AY143" s="1262"/>
      <c r="AZ143" s="1262"/>
      <c r="BA143" s="1262"/>
      <c r="BB143" s="1262"/>
      <c r="BC143" s="722" t="s">
        <v>637</v>
      </c>
    </row>
    <row r="144" spans="1:110" ht="15.75" hidden="1">
      <c r="A144" s="728"/>
      <c r="B144" s="729"/>
      <c r="C144" s="729"/>
      <c r="D144" s="729"/>
      <c r="E144" s="1262"/>
      <c r="F144" s="1262"/>
      <c r="G144" s="1262"/>
      <c r="H144" s="1262"/>
      <c r="I144" s="1262"/>
      <c r="J144" s="1262"/>
      <c r="K144" s="1262"/>
      <c r="L144" s="1262"/>
      <c r="M144" s="1262"/>
      <c r="N144" s="1262"/>
      <c r="O144" s="1262"/>
      <c r="P144" s="1262"/>
      <c r="Q144" s="1262"/>
      <c r="R144" s="1262"/>
      <c r="S144" s="1262"/>
      <c r="T144" s="1262"/>
      <c r="U144" s="1262"/>
      <c r="V144" s="1262"/>
      <c r="W144" s="1262"/>
      <c r="X144" s="1262"/>
      <c r="Y144" s="1262"/>
      <c r="Z144" s="1262"/>
      <c r="AA144" s="1262"/>
      <c r="AB144" s="1262"/>
      <c r="AC144" s="1262"/>
      <c r="AD144" s="1262"/>
      <c r="AE144" s="1262"/>
      <c r="AF144" s="1262"/>
      <c r="AG144" s="1262"/>
      <c r="AH144" s="1262"/>
      <c r="AI144" s="1262"/>
      <c r="AJ144" s="1262"/>
      <c r="AK144" s="1262"/>
      <c r="AL144" s="1262"/>
      <c r="AM144" s="1262"/>
      <c r="AN144" s="1262"/>
      <c r="AO144" s="1262"/>
      <c r="AP144" s="1262"/>
      <c r="AQ144" s="1262"/>
      <c r="AR144" s="1262"/>
      <c r="AS144" s="1262"/>
      <c r="AT144" s="1262"/>
      <c r="AU144" s="1262"/>
      <c r="AV144" s="1262"/>
      <c r="AW144" s="1262"/>
      <c r="AX144" s="1262"/>
      <c r="AY144" s="1262"/>
      <c r="AZ144" s="1262"/>
      <c r="BA144" s="1262"/>
      <c r="BB144" s="1262"/>
      <c r="BC144" s="722" t="s">
        <v>637</v>
      </c>
    </row>
    <row r="145" spans="1:55" ht="15.75" hidden="1">
      <c r="A145" s="728"/>
      <c r="B145" s="729"/>
      <c r="C145" s="729"/>
      <c r="D145" s="729"/>
      <c r="E145" s="1262"/>
      <c r="F145" s="1262"/>
      <c r="G145" s="1262"/>
      <c r="H145" s="1262"/>
      <c r="I145" s="1262"/>
      <c r="J145" s="1262"/>
      <c r="K145" s="1262"/>
      <c r="L145" s="1262"/>
      <c r="M145" s="1262"/>
      <c r="N145" s="1262"/>
      <c r="O145" s="1262"/>
      <c r="P145" s="1262"/>
      <c r="Q145" s="1262"/>
      <c r="R145" s="1262"/>
      <c r="S145" s="1262"/>
      <c r="T145" s="1262"/>
      <c r="U145" s="1262"/>
      <c r="V145" s="1262"/>
      <c r="W145" s="1262"/>
      <c r="X145" s="1262"/>
      <c r="Y145" s="1262"/>
      <c r="Z145" s="1262"/>
      <c r="AA145" s="1262"/>
      <c r="AB145" s="1262"/>
      <c r="AC145" s="1262"/>
      <c r="AD145" s="1262"/>
      <c r="AE145" s="1262"/>
      <c r="AF145" s="1262"/>
      <c r="AG145" s="1262"/>
      <c r="AH145" s="1262"/>
      <c r="AI145" s="1262"/>
      <c r="AJ145" s="1262"/>
      <c r="AK145" s="1262"/>
      <c r="AL145" s="1262"/>
      <c r="AM145" s="1262"/>
      <c r="AN145" s="1262"/>
      <c r="AO145" s="1262"/>
      <c r="AP145" s="1262"/>
      <c r="AQ145" s="1262"/>
      <c r="AR145" s="1262"/>
      <c r="AS145" s="1262"/>
      <c r="AT145" s="1262"/>
      <c r="AU145" s="1262"/>
      <c r="AV145" s="1262"/>
      <c r="AW145" s="1262"/>
      <c r="AX145" s="1262"/>
      <c r="AY145" s="1262"/>
      <c r="AZ145" s="1262"/>
      <c r="BA145" s="1262"/>
      <c r="BB145" s="1262"/>
      <c r="BC145" s="722" t="s">
        <v>637</v>
      </c>
    </row>
    <row r="146" spans="1:55" ht="15.75" hidden="1">
      <c r="E146" s="2171" t="s">
        <v>2186</v>
      </c>
      <c r="F146" s="2171"/>
      <c r="G146" s="2171"/>
      <c r="H146" s="2171" t="s">
        <v>2187</v>
      </c>
      <c r="I146" s="2171"/>
      <c r="J146" s="2171"/>
      <c r="K146" s="2171"/>
      <c r="L146" s="2171"/>
      <c r="M146" s="2171"/>
      <c r="N146" s="2171"/>
      <c r="O146" s="2171"/>
      <c r="P146" s="2171"/>
      <c r="Q146" s="2171"/>
      <c r="R146" s="2171"/>
      <c r="S146" s="2171"/>
      <c r="T146" s="2171"/>
      <c r="U146" s="2171"/>
      <c r="V146" s="2171"/>
      <c r="W146" s="2171"/>
      <c r="X146" s="2171"/>
      <c r="Y146" s="2171"/>
      <c r="Z146" s="2171"/>
      <c r="AA146" s="2171"/>
      <c r="AB146" s="2171"/>
      <c r="AC146" s="2171"/>
      <c r="AD146" s="2171"/>
      <c r="AE146" s="2171"/>
      <c r="AF146" s="2171"/>
      <c r="AG146" s="2171"/>
      <c r="AH146" s="2171"/>
      <c r="AI146" s="2171"/>
      <c r="AJ146" s="2171"/>
      <c r="AK146" s="2171"/>
      <c r="AL146" s="2171"/>
      <c r="AM146" s="2171"/>
      <c r="AN146" s="2171"/>
      <c r="AO146" s="2171"/>
      <c r="AP146" s="2171"/>
      <c r="AQ146" s="2171"/>
      <c r="AR146" s="2171"/>
      <c r="AS146" s="2171"/>
      <c r="AT146" s="2171"/>
      <c r="AU146" s="2171"/>
      <c r="AV146" s="2171"/>
      <c r="AW146" s="2171"/>
      <c r="AX146" s="2171"/>
      <c r="AY146" s="2171"/>
      <c r="AZ146" s="2171"/>
      <c r="BA146" s="2171"/>
      <c r="BB146" s="2171"/>
      <c r="BC146" s="722" t="s">
        <v>637</v>
      </c>
    </row>
    <row r="147" spans="1:55" ht="18.95" hidden="1" customHeight="1">
      <c r="B147" s="2171" t="s">
        <v>2188</v>
      </c>
      <c r="C147" s="2171"/>
      <c r="D147" s="2171"/>
      <c r="E147" s="2171"/>
      <c r="F147" s="2171"/>
      <c r="G147" s="2171"/>
      <c r="H147" s="2171"/>
      <c r="I147" s="2171"/>
      <c r="J147" s="2171"/>
      <c r="K147" s="2171"/>
      <c r="L147" s="2171"/>
      <c r="M147" s="2171"/>
      <c r="N147" s="2171"/>
      <c r="O147" s="2171"/>
      <c r="P147" s="2171"/>
      <c r="Q147" s="2171"/>
      <c r="R147" s="2171"/>
      <c r="S147" s="2171"/>
      <c r="T147" s="2171"/>
      <c r="U147" s="2171"/>
      <c r="V147" s="2171"/>
      <c r="W147" s="2171"/>
      <c r="X147" s="2171"/>
      <c r="Y147" s="2171"/>
      <c r="Z147" s="2171"/>
      <c r="AA147" s="2171"/>
      <c r="AB147" s="2171"/>
      <c r="AC147" s="2171"/>
      <c r="AD147" s="2171"/>
      <c r="AE147" s="2171"/>
      <c r="AF147" s="2171"/>
      <c r="AG147" s="2171"/>
      <c r="AH147" s="2171"/>
      <c r="AI147" s="2171"/>
      <c r="AJ147" s="2171"/>
      <c r="AK147" s="2171"/>
      <c r="AL147" s="2171"/>
      <c r="AM147" s="2171"/>
      <c r="AN147" s="2171"/>
      <c r="AO147" s="2171"/>
      <c r="AP147" s="2171"/>
      <c r="AQ147" s="2171"/>
      <c r="AR147" s="2171"/>
      <c r="AS147" s="2171"/>
      <c r="AT147" s="2171"/>
      <c r="AU147" s="2171"/>
      <c r="AV147" s="2171"/>
      <c r="AW147" s="2171"/>
      <c r="AX147" s="2171"/>
      <c r="AY147" s="2171"/>
      <c r="AZ147" s="2171"/>
      <c r="BA147" s="2171"/>
      <c r="BB147" s="2171"/>
      <c r="BC147" s="722" t="s">
        <v>637</v>
      </c>
    </row>
    <row r="148" spans="1:55" ht="18" hidden="1" customHeight="1">
      <c r="E148" s="2171" t="s">
        <v>2189</v>
      </c>
      <c r="F148" s="2171"/>
      <c r="G148" s="2171"/>
      <c r="H148" s="2171" t="s">
        <v>2322</v>
      </c>
      <c r="I148" s="2171"/>
      <c r="J148" s="2171"/>
      <c r="K148" s="2171"/>
      <c r="L148" s="2171"/>
      <c r="M148" s="2171"/>
      <c r="N148" s="2171"/>
      <c r="O148" s="2171"/>
      <c r="P148" s="2171"/>
      <c r="Q148" s="2171"/>
      <c r="R148" s="2171"/>
      <c r="S148" s="2171"/>
      <c r="T148" s="2171"/>
      <c r="U148" s="2171"/>
      <c r="V148" s="2171"/>
      <c r="W148" s="2171"/>
      <c r="X148" s="2171"/>
      <c r="Y148" s="2171"/>
      <c r="Z148" s="2171"/>
      <c r="AA148" s="2171"/>
      <c r="AB148" s="2171"/>
      <c r="AC148" s="2171"/>
      <c r="AD148" s="2171"/>
      <c r="AE148" s="2171"/>
      <c r="AF148" s="2171"/>
      <c r="AG148" s="2171"/>
      <c r="AH148" s="2171"/>
      <c r="AI148" s="2171"/>
      <c r="AJ148" s="2171"/>
      <c r="AK148" s="2171"/>
      <c r="AL148" s="2171"/>
      <c r="AM148" s="2171"/>
      <c r="AN148" s="2171"/>
      <c r="AO148" s="2171"/>
      <c r="AP148" s="2171"/>
      <c r="AQ148" s="2171"/>
      <c r="AR148" s="2171"/>
      <c r="AS148" s="2171"/>
      <c r="AT148" s="2171"/>
      <c r="AU148" s="2171"/>
      <c r="AV148" s="2171"/>
      <c r="AW148" s="2171"/>
      <c r="AX148" s="2171"/>
      <c r="AY148" s="2171"/>
      <c r="AZ148" s="2171"/>
      <c r="BA148" s="2171"/>
      <c r="BB148" s="2171"/>
      <c r="BC148" s="722" t="s">
        <v>637</v>
      </c>
    </row>
    <row r="149" spans="1:55" ht="18" hidden="1" customHeight="1">
      <c r="B149" s="2171" t="s">
        <v>2323</v>
      </c>
      <c r="C149" s="2171"/>
      <c r="D149" s="2171"/>
      <c r="E149" s="2171"/>
      <c r="F149" s="2171"/>
      <c r="G149" s="2171"/>
      <c r="H149" s="2171"/>
      <c r="I149" s="2171"/>
      <c r="J149" s="2171"/>
      <c r="K149" s="2171"/>
      <c r="L149" s="2171"/>
      <c r="M149" s="2171"/>
      <c r="N149" s="2171"/>
      <c r="O149" s="2171"/>
      <c r="P149" s="2171"/>
      <c r="Q149" s="2171"/>
      <c r="R149" s="2171"/>
      <c r="S149" s="2171"/>
      <c r="T149" s="2171"/>
      <c r="U149" s="2171"/>
      <c r="V149" s="2171"/>
      <c r="W149" s="2171"/>
      <c r="X149" s="2171"/>
      <c r="Y149" s="2171"/>
      <c r="Z149" s="2171"/>
      <c r="AA149" s="2171"/>
      <c r="AB149" s="2171"/>
      <c r="AC149" s="2171"/>
      <c r="AD149" s="2171"/>
      <c r="AE149" s="2171"/>
      <c r="AF149" s="2171"/>
      <c r="AG149" s="2171"/>
      <c r="AH149" s="2171"/>
      <c r="AI149" s="2171"/>
      <c r="AJ149" s="2171"/>
      <c r="AK149" s="2171"/>
      <c r="AL149" s="2171"/>
      <c r="AM149" s="2171"/>
      <c r="AN149" s="2171"/>
      <c r="AO149" s="2171"/>
      <c r="AP149" s="2171"/>
      <c r="AQ149" s="2171"/>
      <c r="AR149" s="2171"/>
      <c r="AS149" s="2171"/>
      <c r="AT149" s="2171"/>
      <c r="AU149" s="2171"/>
      <c r="AV149" s="2171"/>
      <c r="AW149" s="2171"/>
      <c r="AX149" s="2171"/>
      <c r="AY149" s="2171"/>
      <c r="AZ149" s="2171"/>
      <c r="BA149" s="2171"/>
      <c r="BB149" s="2171"/>
      <c r="BC149" s="722" t="s">
        <v>637</v>
      </c>
    </row>
    <row r="150" spans="1:55" ht="18" hidden="1" customHeight="1">
      <c r="BC150" s="722" t="s">
        <v>637</v>
      </c>
    </row>
    <row r="151" spans="1:55" ht="18" hidden="1" customHeight="1">
      <c r="C151" s="2030" t="s">
        <v>4479</v>
      </c>
      <c r="D151" s="2030"/>
      <c r="E151" s="2030"/>
      <c r="F151" s="2030"/>
      <c r="G151" s="2030"/>
      <c r="H151" s="2030"/>
      <c r="I151" s="2030"/>
      <c r="J151" s="2030"/>
      <c r="K151" s="2030"/>
      <c r="L151" s="2030"/>
      <c r="M151" s="2030"/>
      <c r="N151" s="2030"/>
      <c r="O151" s="2030"/>
      <c r="P151" s="2030"/>
      <c r="Q151" s="2030"/>
      <c r="R151" s="2030"/>
      <c r="S151" s="2030"/>
      <c r="T151" s="2030"/>
      <c r="U151" s="2030"/>
      <c r="V151" s="2030"/>
      <c r="W151" s="2030"/>
      <c r="X151" s="2030"/>
      <c r="Y151" s="2030"/>
      <c r="Z151" s="2030"/>
      <c r="AA151" s="2030"/>
      <c r="AB151" s="2030"/>
      <c r="AC151" s="2030" t="s">
        <v>543</v>
      </c>
      <c r="AD151" s="2030"/>
      <c r="AE151" s="2030"/>
      <c r="AF151" s="2030"/>
      <c r="AG151" s="2030"/>
      <c r="AH151" s="2030"/>
      <c r="AI151" s="2030"/>
      <c r="AJ151" s="2030"/>
      <c r="AK151" s="2030"/>
      <c r="AL151" s="2030"/>
      <c r="AM151" s="2030"/>
      <c r="AN151" s="2030"/>
      <c r="AO151" s="2030"/>
      <c r="AP151" s="2030"/>
      <c r="AQ151" s="2030"/>
      <c r="AR151" s="2030"/>
      <c r="AS151" s="2030"/>
      <c r="AT151" s="2030"/>
      <c r="AU151" s="2030"/>
      <c r="AV151" s="2030"/>
      <c r="AW151" s="2030"/>
      <c r="AX151" s="2030"/>
      <c r="AY151" s="2030"/>
      <c r="AZ151" s="2030"/>
      <c r="BA151" s="2030"/>
      <c r="BB151" s="2030"/>
      <c r="BC151" s="722" t="s">
        <v>637</v>
      </c>
    </row>
    <row r="152" spans="1:55" ht="18" hidden="1" customHeight="1">
      <c r="AC152" s="2030" t="s">
        <v>5941</v>
      </c>
      <c r="AD152" s="2030"/>
      <c r="AE152" s="2030"/>
      <c r="AF152" s="2030"/>
      <c r="AG152" s="2030"/>
      <c r="AH152" s="2030"/>
      <c r="AI152" s="2030"/>
      <c r="AJ152" s="2030"/>
      <c r="AK152" s="2030"/>
      <c r="AL152" s="2030"/>
      <c r="AM152" s="2030"/>
      <c r="AN152" s="2030"/>
      <c r="AO152" s="2030"/>
      <c r="AP152" s="2030"/>
      <c r="AQ152" s="2030"/>
      <c r="AR152" s="2030"/>
      <c r="AS152" s="2030"/>
      <c r="AT152" s="2030"/>
      <c r="AU152" s="2030"/>
      <c r="AV152" s="2030"/>
      <c r="AW152" s="2030"/>
      <c r="AX152" s="2030"/>
      <c r="AY152" s="2030"/>
      <c r="AZ152" s="2030"/>
      <c r="BA152" s="2030"/>
      <c r="BB152" s="2030"/>
      <c r="BC152" s="722" t="s">
        <v>637</v>
      </c>
    </row>
    <row r="153" spans="1:55" ht="18" hidden="1" customHeight="1">
      <c r="BC153" s="722" t="s">
        <v>637</v>
      </c>
    </row>
    <row r="154" spans="1:55" ht="18" hidden="1" customHeight="1">
      <c r="BC154" s="722" t="s">
        <v>637</v>
      </c>
    </row>
    <row r="155" spans="1:55" ht="18" hidden="1" customHeight="1">
      <c r="BC155" s="722" t="s">
        <v>637</v>
      </c>
    </row>
    <row r="156" spans="1:55" ht="18" hidden="1" customHeight="1">
      <c r="BC156" s="722" t="s">
        <v>637</v>
      </c>
    </row>
    <row r="157" spans="1:55" ht="15.75" hidden="1">
      <c r="AC157" s="2030" t="s">
        <v>502</v>
      </c>
      <c r="AD157" s="2030"/>
      <c r="AE157" s="2030"/>
      <c r="AF157" s="2030"/>
      <c r="AG157" s="2030"/>
      <c r="AH157" s="2030"/>
      <c r="AI157" s="2030"/>
      <c r="AJ157" s="2030"/>
      <c r="AK157" s="2030"/>
      <c r="AL157" s="2030"/>
      <c r="AM157" s="2030"/>
      <c r="AN157" s="2030"/>
      <c r="AO157" s="2030"/>
      <c r="AP157" s="2030"/>
      <c r="AQ157" s="2030"/>
      <c r="AR157" s="2030"/>
      <c r="AS157" s="2030"/>
      <c r="AT157" s="2030"/>
      <c r="AU157" s="2030"/>
      <c r="AV157" s="2030"/>
      <c r="AW157" s="2030"/>
      <c r="AX157" s="2030"/>
      <c r="AY157" s="2030"/>
      <c r="AZ157" s="2030"/>
      <c r="BA157" s="2030"/>
      <c r="BB157" s="2030"/>
      <c r="BC157" s="722" t="s">
        <v>637</v>
      </c>
    </row>
    <row r="158" spans="1:55" ht="15.75" hidden="1">
      <c r="A158" s="728"/>
      <c r="B158" s="729"/>
      <c r="C158" s="729"/>
      <c r="D158" s="729"/>
      <c r="E158" s="729"/>
      <c r="F158" s="729"/>
      <c r="G158" s="729"/>
      <c r="H158" s="729"/>
      <c r="I158" s="729"/>
      <c r="J158" s="729"/>
      <c r="K158" s="729"/>
      <c r="L158" s="729"/>
      <c r="M158" s="729"/>
      <c r="N158" s="729"/>
      <c r="O158" s="729"/>
      <c r="P158" s="729"/>
      <c r="Q158" s="729"/>
      <c r="R158" s="729"/>
      <c r="S158" s="729"/>
      <c r="T158" s="729"/>
      <c r="U158" s="729"/>
      <c r="V158" s="729"/>
      <c r="W158" s="729"/>
      <c r="X158" s="729"/>
      <c r="Y158" s="729"/>
      <c r="Z158" s="729"/>
      <c r="AA158" s="729"/>
      <c r="AB158" s="729"/>
      <c r="AC158" s="1260"/>
      <c r="AD158" s="1260"/>
      <c r="AE158" s="1260"/>
      <c r="AF158" s="1260"/>
      <c r="AG158" s="1260"/>
      <c r="AH158" s="1260"/>
      <c r="AI158" s="1260"/>
      <c r="AJ158" s="1260"/>
      <c r="AK158" s="1260"/>
      <c r="AL158" s="1260"/>
      <c r="AM158" s="1260"/>
      <c r="AN158" s="1260"/>
      <c r="AO158" s="1260"/>
      <c r="AP158" s="1260"/>
      <c r="AQ158" s="1260"/>
      <c r="AR158" s="1260"/>
      <c r="AS158" s="1260"/>
      <c r="AT158" s="1260"/>
      <c r="AU158" s="1260"/>
      <c r="AV158" s="1260"/>
      <c r="AW158" s="1260"/>
      <c r="AX158" s="1260"/>
      <c r="AY158" s="1260"/>
      <c r="AZ158" s="1260"/>
      <c r="BA158" s="1260"/>
      <c r="BB158" s="1260"/>
      <c r="BC158" s="722" t="s">
        <v>637</v>
      </c>
    </row>
    <row r="159" spans="1:55" ht="15.75" hidden="1">
      <c r="A159" s="728"/>
      <c r="B159" s="729"/>
      <c r="C159" s="729"/>
      <c r="D159" s="729"/>
      <c r="E159" s="729"/>
      <c r="F159" s="729"/>
      <c r="G159" s="729"/>
      <c r="H159" s="729"/>
      <c r="I159" s="729"/>
      <c r="J159" s="729"/>
      <c r="K159" s="729"/>
      <c r="L159" s="729"/>
      <c r="M159" s="729"/>
      <c r="N159" s="729"/>
      <c r="O159" s="729"/>
      <c r="P159" s="729"/>
      <c r="Q159" s="729"/>
      <c r="R159" s="729"/>
      <c r="S159" s="729"/>
      <c r="T159" s="729"/>
      <c r="U159" s="729"/>
      <c r="V159" s="729"/>
      <c r="W159" s="729"/>
      <c r="X159" s="729"/>
      <c r="Y159" s="729"/>
      <c r="Z159" s="729"/>
      <c r="AA159" s="729"/>
      <c r="AB159" s="729"/>
      <c r="AC159" s="1260"/>
      <c r="AD159" s="1260"/>
      <c r="AE159" s="1260"/>
      <c r="AF159" s="1260"/>
      <c r="AG159" s="1260"/>
      <c r="AH159" s="1260"/>
      <c r="AI159" s="1260"/>
      <c r="AJ159" s="1260"/>
      <c r="AK159" s="1260"/>
      <c r="AL159" s="1260"/>
      <c r="AM159" s="1260"/>
      <c r="AN159" s="1260"/>
      <c r="AO159" s="1260"/>
      <c r="AP159" s="1260"/>
      <c r="AQ159" s="1260"/>
      <c r="AR159" s="1260"/>
      <c r="AS159" s="1260"/>
      <c r="AT159" s="1260"/>
      <c r="AU159" s="1260"/>
      <c r="AV159" s="1260"/>
      <c r="AW159" s="1260"/>
      <c r="AX159" s="1260"/>
      <c r="AY159" s="1260"/>
      <c r="AZ159" s="1260"/>
      <c r="BA159" s="1260"/>
      <c r="BB159" s="1260"/>
      <c r="BC159" s="722" t="s">
        <v>637</v>
      </c>
    </row>
    <row r="160" spans="1:55" ht="15.75" hidden="1">
      <c r="A160" s="728"/>
      <c r="B160" s="729"/>
      <c r="C160" s="729"/>
      <c r="D160" s="729"/>
      <c r="E160" s="729"/>
      <c r="F160" s="729"/>
      <c r="G160" s="729"/>
      <c r="H160" s="729"/>
      <c r="I160" s="729"/>
      <c r="J160" s="729"/>
      <c r="K160" s="729"/>
      <c r="L160" s="729"/>
      <c r="M160" s="729"/>
      <c r="N160" s="729"/>
      <c r="O160" s="729"/>
      <c r="P160" s="729"/>
      <c r="Q160" s="729"/>
      <c r="R160" s="729"/>
      <c r="S160" s="729"/>
      <c r="T160" s="729"/>
      <c r="U160" s="729"/>
      <c r="V160" s="729"/>
      <c r="W160" s="729"/>
      <c r="X160" s="729"/>
      <c r="Y160" s="729"/>
      <c r="Z160" s="729"/>
      <c r="AA160" s="729"/>
      <c r="AB160" s="729"/>
      <c r="AC160" s="1260"/>
      <c r="AD160" s="1260"/>
      <c r="AE160" s="1260"/>
      <c r="AF160" s="1260"/>
      <c r="AG160" s="1260"/>
      <c r="AH160" s="1260"/>
      <c r="AI160" s="1260"/>
      <c r="AJ160" s="1260"/>
      <c r="AK160" s="1260"/>
      <c r="AL160" s="1260"/>
      <c r="AM160" s="1260"/>
      <c r="AN160" s="1260"/>
      <c r="AO160" s="1260"/>
      <c r="AP160" s="1260"/>
      <c r="AQ160" s="1260"/>
      <c r="AR160" s="1260"/>
      <c r="AS160" s="1260"/>
      <c r="AT160" s="1260"/>
      <c r="AU160" s="1260"/>
      <c r="AV160" s="1260"/>
      <c r="AW160" s="1260"/>
      <c r="AX160" s="1260"/>
      <c r="AY160" s="1260"/>
      <c r="AZ160" s="1260"/>
      <c r="BA160" s="1260"/>
      <c r="BB160" s="1260"/>
      <c r="BC160" s="722" t="s">
        <v>637</v>
      </c>
    </row>
    <row r="161" spans="1:55" ht="15.75" hidden="1">
      <c r="A161" s="728"/>
      <c r="B161" s="729"/>
      <c r="C161" s="729"/>
      <c r="D161" s="729"/>
      <c r="E161" s="729"/>
      <c r="F161" s="729"/>
      <c r="G161" s="729"/>
      <c r="H161" s="729"/>
      <c r="I161" s="729"/>
      <c r="J161" s="729"/>
      <c r="K161" s="729"/>
      <c r="L161" s="729"/>
      <c r="M161" s="729"/>
      <c r="N161" s="729"/>
      <c r="O161" s="729"/>
      <c r="P161" s="729"/>
      <c r="Q161" s="729"/>
      <c r="R161" s="729"/>
      <c r="S161" s="729"/>
      <c r="T161" s="729"/>
      <c r="U161" s="729"/>
      <c r="V161" s="729"/>
      <c r="W161" s="729"/>
      <c r="X161" s="729"/>
      <c r="Y161" s="729"/>
      <c r="Z161" s="729"/>
      <c r="AA161" s="729"/>
      <c r="AB161" s="729"/>
      <c r="AC161" s="1260"/>
      <c r="AD161" s="1260"/>
      <c r="AE161" s="1260"/>
      <c r="AF161" s="1260"/>
      <c r="AG161" s="1260"/>
      <c r="AH161" s="1260"/>
      <c r="AI161" s="1260"/>
      <c r="AJ161" s="1260"/>
      <c r="AK161" s="1260"/>
      <c r="AL161" s="1260"/>
      <c r="AM161" s="1260"/>
      <c r="AN161" s="1260"/>
      <c r="AO161" s="1260"/>
      <c r="AP161" s="1260"/>
      <c r="AQ161" s="1260"/>
      <c r="AR161" s="1260"/>
      <c r="AS161" s="1260"/>
      <c r="AT161" s="1260"/>
      <c r="AU161" s="1260"/>
      <c r="AV161" s="1260"/>
      <c r="AW161" s="1260"/>
      <c r="AX161" s="1260"/>
      <c r="AY161" s="1260"/>
      <c r="AZ161" s="1260"/>
      <c r="BA161" s="1260"/>
      <c r="BB161" s="1260"/>
      <c r="BC161" s="722" t="s">
        <v>637</v>
      </c>
    </row>
    <row r="162" spans="1:55" ht="15.75" hidden="1">
      <c r="A162" s="728"/>
      <c r="B162" s="729"/>
      <c r="C162" s="729"/>
      <c r="D162" s="729"/>
      <c r="E162" s="729"/>
      <c r="F162" s="729"/>
      <c r="G162" s="729"/>
      <c r="H162" s="729"/>
      <c r="I162" s="729"/>
      <c r="J162" s="729"/>
      <c r="K162" s="729"/>
      <c r="L162" s="729"/>
      <c r="M162" s="729"/>
      <c r="N162" s="729"/>
      <c r="O162" s="729"/>
      <c r="P162" s="729"/>
      <c r="Q162" s="729"/>
      <c r="R162" s="729"/>
      <c r="S162" s="729"/>
      <c r="T162" s="729"/>
      <c r="U162" s="729"/>
      <c r="V162" s="729"/>
      <c r="W162" s="729"/>
      <c r="X162" s="729"/>
      <c r="Y162" s="729"/>
      <c r="Z162" s="729"/>
      <c r="AA162" s="729"/>
      <c r="AB162" s="729"/>
      <c r="AC162" s="1260"/>
      <c r="AD162" s="1260"/>
      <c r="AE162" s="1260"/>
      <c r="AF162" s="1260"/>
      <c r="AG162" s="1260"/>
      <c r="AH162" s="1260"/>
      <c r="AI162" s="1260"/>
      <c r="AJ162" s="1260"/>
      <c r="AK162" s="1260"/>
      <c r="AL162" s="1260"/>
      <c r="AM162" s="1260"/>
      <c r="AN162" s="1260"/>
      <c r="AO162" s="1260"/>
      <c r="AP162" s="1260"/>
      <c r="AQ162" s="1260"/>
      <c r="AR162" s="1260"/>
      <c r="AS162" s="1260"/>
      <c r="AT162" s="1260"/>
      <c r="AU162" s="1260"/>
      <c r="AV162" s="1260"/>
      <c r="AW162" s="1260"/>
      <c r="AX162" s="1260"/>
      <c r="AY162" s="1260"/>
      <c r="AZ162" s="1260"/>
      <c r="BA162" s="1260"/>
      <c r="BB162" s="1260"/>
      <c r="BC162" s="722" t="s">
        <v>637</v>
      </c>
    </row>
    <row r="163" spans="1:55" ht="15.75" hidden="1">
      <c r="A163" s="728"/>
      <c r="B163" s="729"/>
      <c r="C163" s="729"/>
      <c r="D163" s="729"/>
      <c r="E163" s="729"/>
      <c r="F163" s="729"/>
      <c r="G163" s="729"/>
      <c r="H163" s="729"/>
      <c r="I163" s="729"/>
      <c r="J163" s="729"/>
      <c r="K163" s="729"/>
      <c r="L163" s="729"/>
      <c r="M163" s="729"/>
      <c r="N163" s="729"/>
      <c r="O163" s="729"/>
      <c r="P163" s="729"/>
      <c r="Q163" s="729"/>
      <c r="R163" s="729"/>
      <c r="S163" s="729"/>
      <c r="T163" s="729"/>
      <c r="U163" s="729"/>
      <c r="V163" s="729"/>
      <c r="W163" s="729"/>
      <c r="X163" s="729"/>
      <c r="Y163" s="729"/>
      <c r="Z163" s="729"/>
      <c r="AA163" s="729"/>
      <c r="AB163" s="729"/>
      <c r="AC163" s="1260"/>
      <c r="AD163" s="1260"/>
      <c r="AE163" s="1260"/>
      <c r="AF163" s="1260"/>
      <c r="AG163" s="1260"/>
      <c r="AH163" s="1260"/>
      <c r="AI163" s="1260"/>
      <c r="AJ163" s="1260"/>
      <c r="AK163" s="1260"/>
      <c r="AL163" s="1260"/>
      <c r="AM163" s="1260"/>
      <c r="AN163" s="1260"/>
      <c r="AO163" s="1260"/>
      <c r="AP163" s="1260"/>
      <c r="AQ163" s="1260"/>
      <c r="AR163" s="1260"/>
      <c r="AS163" s="1260"/>
      <c r="AT163" s="1260"/>
      <c r="AU163" s="1260"/>
      <c r="AV163" s="1260"/>
      <c r="AW163" s="1260"/>
      <c r="AX163" s="1260"/>
      <c r="AY163" s="1260"/>
      <c r="AZ163" s="1260"/>
      <c r="BA163" s="1260"/>
      <c r="BB163" s="1260"/>
      <c r="BC163" s="722" t="s">
        <v>637</v>
      </c>
    </row>
    <row r="164" spans="1:55" ht="15.75" hidden="1">
      <c r="A164" s="728"/>
      <c r="B164" s="729"/>
      <c r="C164" s="729"/>
      <c r="D164" s="729"/>
      <c r="E164" s="729"/>
      <c r="F164" s="729"/>
      <c r="G164" s="729"/>
      <c r="H164" s="729"/>
      <c r="I164" s="729"/>
      <c r="J164" s="729"/>
      <c r="K164" s="729"/>
      <c r="L164" s="729"/>
      <c r="M164" s="729"/>
      <c r="N164" s="729"/>
      <c r="O164" s="729"/>
      <c r="P164" s="729"/>
      <c r="Q164" s="729"/>
      <c r="R164" s="729"/>
      <c r="S164" s="729"/>
      <c r="T164" s="729"/>
      <c r="U164" s="729"/>
      <c r="V164" s="729"/>
      <c r="W164" s="729"/>
      <c r="X164" s="729"/>
      <c r="Y164" s="729"/>
      <c r="Z164" s="729"/>
      <c r="AA164" s="729"/>
      <c r="AB164" s="729"/>
      <c r="AC164" s="1260"/>
      <c r="AD164" s="1260"/>
      <c r="AE164" s="1260"/>
      <c r="AF164" s="1260"/>
      <c r="AG164" s="1260"/>
      <c r="AH164" s="1260"/>
      <c r="AI164" s="1260"/>
      <c r="AJ164" s="1260"/>
      <c r="AK164" s="1260"/>
      <c r="AL164" s="1260"/>
      <c r="AM164" s="1260"/>
      <c r="AN164" s="1260"/>
      <c r="AO164" s="1260"/>
      <c r="AP164" s="1260"/>
      <c r="AQ164" s="1260"/>
      <c r="AR164" s="1260"/>
      <c r="AS164" s="1260"/>
      <c r="AT164" s="1260"/>
      <c r="AU164" s="1260"/>
      <c r="AV164" s="1260"/>
      <c r="AW164" s="1260"/>
      <c r="AX164" s="1260"/>
      <c r="AY164" s="1260"/>
      <c r="AZ164" s="1260"/>
      <c r="BA164" s="1260"/>
      <c r="BB164" s="1260"/>
      <c r="BC164" s="722" t="s">
        <v>637</v>
      </c>
    </row>
    <row r="165" spans="1:55" ht="15.75" hidden="1">
      <c r="A165" s="728"/>
      <c r="B165" s="729"/>
      <c r="C165" s="729"/>
      <c r="D165" s="729"/>
      <c r="E165" s="729"/>
      <c r="F165" s="729"/>
      <c r="G165" s="729"/>
      <c r="H165" s="729"/>
      <c r="I165" s="729"/>
      <c r="J165" s="729"/>
      <c r="K165" s="729"/>
      <c r="L165" s="729"/>
      <c r="M165" s="729"/>
      <c r="N165" s="729"/>
      <c r="O165" s="729"/>
      <c r="P165" s="729"/>
      <c r="Q165" s="729"/>
      <c r="R165" s="729"/>
      <c r="S165" s="729"/>
      <c r="T165" s="729"/>
      <c r="U165" s="729"/>
      <c r="V165" s="729"/>
      <c r="W165" s="729"/>
      <c r="X165" s="729"/>
      <c r="Y165" s="729"/>
      <c r="Z165" s="729"/>
      <c r="AA165" s="729"/>
      <c r="AB165" s="729"/>
      <c r="AC165" s="1260"/>
      <c r="AD165" s="1260"/>
      <c r="AE165" s="1260"/>
      <c r="AF165" s="1260"/>
      <c r="AG165" s="1260"/>
      <c r="AH165" s="1260"/>
      <c r="AI165" s="1260"/>
      <c r="AJ165" s="1260"/>
      <c r="AK165" s="1260"/>
      <c r="AL165" s="1260"/>
      <c r="AM165" s="1260"/>
      <c r="AN165" s="1260"/>
      <c r="AO165" s="1260"/>
      <c r="AP165" s="1260"/>
      <c r="AQ165" s="1260"/>
      <c r="AR165" s="1260"/>
      <c r="AS165" s="1260"/>
      <c r="AT165" s="1260"/>
      <c r="AU165" s="1260"/>
      <c r="AV165" s="1260"/>
      <c r="AW165" s="1260"/>
      <c r="AX165" s="1260"/>
      <c r="AY165" s="1260"/>
      <c r="AZ165" s="1260"/>
      <c r="BA165" s="1260"/>
      <c r="BB165" s="1260"/>
      <c r="BC165" s="722" t="s">
        <v>637</v>
      </c>
    </row>
    <row r="166" spans="1:55" ht="15.75" hidden="1">
      <c r="A166" s="728"/>
      <c r="B166" s="729"/>
      <c r="C166" s="729"/>
      <c r="D166" s="729"/>
      <c r="E166" s="729"/>
      <c r="F166" s="729"/>
      <c r="G166" s="729"/>
      <c r="H166" s="729"/>
      <c r="I166" s="729"/>
      <c r="J166" s="729"/>
      <c r="K166" s="729"/>
      <c r="L166" s="729"/>
      <c r="M166" s="729"/>
      <c r="N166" s="729"/>
      <c r="O166" s="729"/>
      <c r="P166" s="729"/>
      <c r="Q166" s="729"/>
      <c r="R166" s="729"/>
      <c r="S166" s="729"/>
      <c r="T166" s="729"/>
      <c r="U166" s="729"/>
      <c r="V166" s="729"/>
      <c r="W166" s="729"/>
      <c r="X166" s="729"/>
      <c r="Y166" s="729"/>
      <c r="Z166" s="729"/>
      <c r="AA166" s="729"/>
      <c r="AB166" s="729"/>
      <c r="AC166" s="1260"/>
      <c r="AD166" s="1260"/>
      <c r="AE166" s="1260"/>
      <c r="AF166" s="1260"/>
      <c r="AG166" s="1260"/>
      <c r="AH166" s="1260"/>
      <c r="AI166" s="1260"/>
      <c r="AJ166" s="1260"/>
      <c r="AK166" s="1260"/>
      <c r="AL166" s="1260"/>
      <c r="AM166" s="1260"/>
      <c r="AN166" s="1260"/>
      <c r="AO166" s="1260"/>
      <c r="AP166" s="1260"/>
      <c r="AQ166" s="1260"/>
      <c r="AR166" s="1260"/>
      <c r="AS166" s="1260"/>
      <c r="AT166" s="1260"/>
      <c r="AU166" s="1260"/>
      <c r="AV166" s="1260"/>
      <c r="AW166" s="1260"/>
      <c r="AX166" s="1260"/>
      <c r="AY166" s="1260"/>
      <c r="AZ166" s="1260"/>
      <c r="BA166" s="1260"/>
      <c r="BB166" s="1260"/>
      <c r="BC166" s="722" t="s">
        <v>637</v>
      </c>
    </row>
    <row r="167" spans="1:55" ht="15.75" hidden="1">
      <c r="A167" s="728"/>
      <c r="B167" s="729"/>
      <c r="C167" s="729"/>
      <c r="D167" s="729"/>
      <c r="E167" s="729"/>
      <c r="F167" s="729"/>
      <c r="G167" s="729"/>
      <c r="H167" s="729"/>
      <c r="I167" s="729"/>
      <c r="J167" s="729"/>
      <c r="K167" s="729"/>
      <c r="L167" s="729"/>
      <c r="M167" s="729"/>
      <c r="N167" s="729"/>
      <c r="O167" s="729"/>
      <c r="P167" s="729"/>
      <c r="Q167" s="729"/>
      <c r="R167" s="729"/>
      <c r="S167" s="729"/>
      <c r="T167" s="729"/>
      <c r="U167" s="729"/>
      <c r="V167" s="729"/>
      <c r="W167" s="729"/>
      <c r="X167" s="729"/>
      <c r="Y167" s="729"/>
      <c r="Z167" s="729"/>
      <c r="AA167" s="729"/>
      <c r="AB167" s="729"/>
      <c r="AC167" s="1260"/>
      <c r="AD167" s="1260"/>
      <c r="AE167" s="1260"/>
      <c r="AF167" s="1260"/>
      <c r="AG167" s="1260"/>
      <c r="AH167" s="1260"/>
      <c r="AI167" s="1260"/>
      <c r="AJ167" s="1260"/>
      <c r="AK167" s="1260"/>
      <c r="AL167" s="1260"/>
      <c r="AM167" s="1260"/>
      <c r="AN167" s="1260"/>
      <c r="AO167" s="1260"/>
      <c r="AP167" s="1260"/>
      <c r="AQ167" s="1260"/>
      <c r="AR167" s="1260"/>
      <c r="AS167" s="1260"/>
      <c r="AT167" s="1260"/>
      <c r="AU167" s="1260"/>
      <c r="AV167" s="1260"/>
      <c r="AW167" s="1260"/>
      <c r="AX167" s="1260"/>
      <c r="AY167" s="1260"/>
      <c r="AZ167" s="1260"/>
      <c r="BA167" s="1260"/>
      <c r="BB167" s="1260"/>
      <c r="BC167" s="722" t="s">
        <v>637</v>
      </c>
    </row>
    <row r="168" spans="1:55" ht="15.75" hidden="1">
      <c r="A168" s="728"/>
      <c r="B168" s="729"/>
      <c r="C168" s="729"/>
      <c r="D168" s="729"/>
      <c r="E168" s="729"/>
      <c r="F168" s="729"/>
      <c r="G168" s="729"/>
      <c r="H168" s="729"/>
      <c r="I168" s="729"/>
      <c r="J168" s="729"/>
      <c r="K168" s="729"/>
      <c r="L168" s="729"/>
      <c r="M168" s="729"/>
      <c r="N168" s="729"/>
      <c r="O168" s="729"/>
      <c r="P168" s="729"/>
      <c r="Q168" s="729"/>
      <c r="R168" s="729"/>
      <c r="S168" s="729"/>
      <c r="T168" s="729"/>
      <c r="U168" s="729"/>
      <c r="V168" s="729"/>
      <c r="W168" s="729"/>
      <c r="X168" s="729"/>
      <c r="Y168" s="729"/>
      <c r="Z168" s="729"/>
      <c r="AA168" s="729"/>
      <c r="AB168" s="729"/>
      <c r="AC168" s="1260"/>
      <c r="AD168" s="1260"/>
      <c r="AE168" s="1260"/>
      <c r="AF168" s="1260"/>
      <c r="AG168" s="1260"/>
      <c r="AH168" s="1260"/>
      <c r="AI168" s="1260"/>
      <c r="AJ168" s="1260"/>
      <c r="AK168" s="1260"/>
      <c r="AL168" s="1260"/>
      <c r="AM168" s="1260"/>
      <c r="AN168" s="1260"/>
      <c r="AO168" s="1260"/>
      <c r="AP168" s="1260"/>
      <c r="AQ168" s="1260"/>
      <c r="AR168" s="1260"/>
      <c r="AS168" s="1260"/>
      <c r="AT168" s="1260"/>
      <c r="AU168" s="1260"/>
      <c r="AV168" s="1260"/>
      <c r="AW168" s="1260"/>
      <c r="AX168" s="1260"/>
      <c r="AY168" s="1260"/>
      <c r="AZ168" s="1260"/>
      <c r="BA168" s="1260"/>
      <c r="BB168" s="1260"/>
      <c r="BC168" s="722" t="s">
        <v>637</v>
      </c>
    </row>
    <row r="169" spans="1:55" ht="15.75" hidden="1">
      <c r="A169" s="728"/>
      <c r="B169" s="729"/>
      <c r="C169" s="729"/>
      <c r="D169" s="729"/>
      <c r="E169" s="729"/>
      <c r="F169" s="729"/>
      <c r="G169" s="729"/>
      <c r="H169" s="729"/>
      <c r="I169" s="729"/>
      <c r="J169" s="729"/>
      <c r="K169" s="729"/>
      <c r="L169" s="729"/>
      <c r="M169" s="729"/>
      <c r="N169" s="729"/>
      <c r="O169" s="729"/>
      <c r="P169" s="729"/>
      <c r="Q169" s="729"/>
      <c r="R169" s="729"/>
      <c r="S169" s="729"/>
      <c r="T169" s="729"/>
      <c r="U169" s="729"/>
      <c r="V169" s="729"/>
      <c r="W169" s="729"/>
      <c r="X169" s="729"/>
      <c r="Y169" s="729"/>
      <c r="Z169" s="729"/>
      <c r="AA169" s="729"/>
      <c r="AB169" s="729"/>
      <c r="AC169" s="1260"/>
      <c r="AD169" s="1260"/>
      <c r="AE169" s="1260"/>
      <c r="AF169" s="1260"/>
      <c r="AG169" s="1260"/>
      <c r="AH169" s="1260"/>
      <c r="AI169" s="1260"/>
      <c r="AJ169" s="1260"/>
      <c r="AK169" s="1260"/>
      <c r="AL169" s="1260"/>
      <c r="AM169" s="1260"/>
      <c r="AN169" s="1260"/>
      <c r="AO169" s="1260"/>
      <c r="AP169" s="1260"/>
      <c r="AQ169" s="1260"/>
      <c r="AR169" s="1260"/>
      <c r="AS169" s="1260"/>
      <c r="AT169" s="1260"/>
      <c r="AU169" s="1260"/>
      <c r="AV169" s="1260"/>
      <c r="AW169" s="1260"/>
      <c r="AX169" s="1260"/>
      <c r="AY169" s="1260"/>
      <c r="AZ169" s="1260"/>
      <c r="BA169" s="1260"/>
      <c r="BB169" s="1260"/>
      <c r="BC169" s="722" t="s">
        <v>637</v>
      </c>
    </row>
    <row r="170" spans="1:55" ht="15.75" hidden="1">
      <c r="A170" s="728"/>
      <c r="B170" s="729"/>
      <c r="C170" s="729"/>
      <c r="D170" s="729"/>
      <c r="E170" s="729"/>
      <c r="F170" s="729"/>
      <c r="G170" s="729"/>
      <c r="H170" s="729"/>
      <c r="I170" s="729"/>
      <c r="J170" s="729"/>
      <c r="K170" s="729"/>
      <c r="L170" s="729"/>
      <c r="M170" s="729"/>
      <c r="N170" s="729"/>
      <c r="O170" s="729"/>
      <c r="P170" s="729"/>
      <c r="Q170" s="729"/>
      <c r="R170" s="729"/>
      <c r="S170" s="729"/>
      <c r="T170" s="729"/>
      <c r="U170" s="729"/>
      <c r="V170" s="729"/>
      <c r="W170" s="729"/>
      <c r="X170" s="729"/>
      <c r="Y170" s="729"/>
      <c r="Z170" s="729"/>
      <c r="AA170" s="729"/>
      <c r="AB170" s="729"/>
      <c r="AC170" s="1260"/>
      <c r="AD170" s="1260"/>
      <c r="AE170" s="1260"/>
      <c r="AF170" s="1260"/>
      <c r="AG170" s="1260"/>
      <c r="AH170" s="1260"/>
      <c r="AI170" s="1260"/>
      <c r="AJ170" s="1260"/>
      <c r="AK170" s="1260"/>
      <c r="AL170" s="1260"/>
      <c r="AM170" s="1260"/>
      <c r="AN170" s="1260"/>
      <c r="AO170" s="1260"/>
      <c r="AP170" s="1260"/>
      <c r="AQ170" s="1260"/>
      <c r="AR170" s="1260"/>
      <c r="AS170" s="1260"/>
      <c r="AT170" s="1260"/>
      <c r="AU170" s="1260"/>
      <c r="AV170" s="1260"/>
      <c r="AW170" s="1260"/>
      <c r="AX170" s="1260"/>
      <c r="AY170" s="1260"/>
      <c r="AZ170" s="1260"/>
      <c r="BA170" s="1260"/>
      <c r="BB170" s="1260"/>
      <c r="BC170" s="722" t="s">
        <v>637</v>
      </c>
    </row>
    <row r="171" spans="1:55" ht="15.75" hidden="1">
      <c r="A171" s="728"/>
      <c r="B171" s="729"/>
      <c r="C171" s="729"/>
      <c r="D171" s="729"/>
      <c r="E171" s="729"/>
      <c r="F171" s="729"/>
      <c r="G171" s="729"/>
      <c r="H171" s="729"/>
      <c r="I171" s="729"/>
      <c r="J171" s="729"/>
      <c r="K171" s="729"/>
      <c r="L171" s="729"/>
      <c r="M171" s="729"/>
      <c r="N171" s="729"/>
      <c r="O171" s="729"/>
      <c r="P171" s="729"/>
      <c r="Q171" s="729"/>
      <c r="R171" s="729"/>
      <c r="S171" s="729"/>
      <c r="T171" s="729"/>
      <c r="U171" s="729"/>
      <c r="V171" s="729"/>
      <c r="W171" s="729"/>
      <c r="X171" s="729"/>
      <c r="Y171" s="729"/>
      <c r="Z171" s="729"/>
      <c r="AA171" s="729"/>
      <c r="AB171" s="729"/>
      <c r="AC171" s="1260"/>
      <c r="AD171" s="1260"/>
      <c r="AE171" s="1260"/>
      <c r="AF171" s="1260"/>
      <c r="AG171" s="1260"/>
      <c r="AH171" s="1260"/>
      <c r="AI171" s="1260"/>
      <c r="AJ171" s="1260"/>
      <c r="AK171" s="1260"/>
      <c r="AL171" s="1260"/>
      <c r="AM171" s="1260"/>
      <c r="AN171" s="1260"/>
      <c r="AO171" s="1260"/>
      <c r="AP171" s="1260"/>
      <c r="AQ171" s="1260"/>
      <c r="AR171" s="1260"/>
      <c r="AS171" s="1260"/>
      <c r="AT171" s="1260"/>
      <c r="AU171" s="1260"/>
      <c r="AV171" s="1260"/>
      <c r="AW171" s="1260"/>
      <c r="AX171" s="1260"/>
      <c r="AY171" s="1260"/>
      <c r="AZ171" s="1260"/>
      <c r="BA171" s="1260"/>
      <c r="BB171" s="1260"/>
      <c r="BC171" s="722" t="s">
        <v>637</v>
      </c>
    </row>
    <row r="172" spans="1:55" ht="15.75" hidden="1">
      <c r="A172" s="728"/>
      <c r="B172" s="729"/>
      <c r="C172" s="729"/>
      <c r="D172" s="729"/>
      <c r="E172" s="729"/>
      <c r="F172" s="729"/>
      <c r="G172" s="729"/>
      <c r="H172" s="729"/>
      <c r="I172" s="729"/>
      <c r="J172" s="729"/>
      <c r="K172" s="729"/>
      <c r="L172" s="729"/>
      <c r="M172" s="729"/>
      <c r="N172" s="729"/>
      <c r="O172" s="729"/>
      <c r="P172" s="729"/>
      <c r="Q172" s="729"/>
      <c r="R172" s="729"/>
      <c r="S172" s="729"/>
      <c r="T172" s="729"/>
      <c r="U172" s="729"/>
      <c r="V172" s="729"/>
      <c r="W172" s="729"/>
      <c r="X172" s="729"/>
      <c r="Y172" s="729"/>
      <c r="Z172" s="729"/>
      <c r="AA172" s="729"/>
      <c r="AB172" s="729"/>
      <c r="AC172" s="1260"/>
      <c r="AD172" s="1260"/>
      <c r="AE172" s="1260"/>
      <c r="AF172" s="1260"/>
      <c r="AG172" s="1260"/>
      <c r="AH172" s="1260"/>
      <c r="AI172" s="1260"/>
      <c r="AJ172" s="1260"/>
      <c r="AK172" s="1260"/>
      <c r="AL172" s="1260"/>
      <c r="AM172" s="1260"/>
      <c r="AN172" s="1260"/>
      <c r="AO172" s="1260"/>
      <c r="AP172" s="1260"/>
      <c r="AQ172" s="1260"/>
      <c r="AR172" s="1260"/>
      <c r="AS172" s="1260"/>
      <c r="AT172" s="1260"/>
      <c r="AU172" s="1260"/>
      <c r="AV172" s="1260"/>
      <c r="AW172" s="1260"/>
      <c r="AX172" s="1260"/>
      <c r="AY172" s="1260"/>
      <c r="AZ172" s="1260"/>
      <c r="BA172" s="1260"/>
      <c r="BB172" s="1260"/>
      <c r="BC172" s="722" t="s">
        <v>637</v>
      </c>
    </row>
    <row r="173" spans="1:55" ht="15.75" hidden="1">
      <c r="A173" s="728"/>
      <c r="B173" s="729"/>
      <c r="C173" s="729"/>
      <c r="D173" s="729"/>
      <c r="E173" s="729"/>
      <c r="F173" s="729"/>
      <c r="G173" s="729"/>
      <c r="H173" s="729"/>
      <c r="I173" s="729"/>
      <c r="J173" s="729"/>
      <c r="K173" s="729"/>
      <c r="L173" s="729"/>
      <c r="M173" s="729"/>
      <c r="N173" s="729"/>
      <c r="O173" s="729"/>
      <c r="P173" s="729"/>
      <c r="Q173" s="729"/>
      <c r="R173" s="729"/>
      <c r="S173" s="729"/>
      <c r="T173" s="729"/>
      <c r="U173" s="729"/>
      <c r="V173" s="729"/>
      <c r="W173" s="729"/>
      <c r="X173" s="729"/>
      <c r="Y173" s="729"/>
      <c r="Z173" s="729"/>
      <c r="AA173" s="729"/>
      <c r="AB173" s="729"/>
      <c r="AC173" s="1260"/>
      <c r="AD173" s="1260"/>
      <c r="AE173" s="1260"/>
      <c r="AF173" s="1260"/>
      <c r="AG173" s="1260"/>
      <c r="AH173" s="1260"/>
      <c r="AI173" s="1260"/>
      <c r="AJ173" s="1260"/>
      <c r="AK173" s="1260"/>
      <c r="AL173" s="1260"/>
      <c r="AM173" s="1260"/>
      <c r="AN173" s="1260"/>
      <c r="AO173" s="1260"/>
      <c r="AP173" s="1260"/>
      <c r="AQ173" s="1260"/>
      <c r="AR173" s="1260"/>
      <c r="AS173" s="1260"/>
      <c r="AT173" s="1260"/>
      <c r="AU173" s="1260"/>
      <c r="AV173" s="1260"/>
      <c r="AW173" s="1260"/>
      <c r="AX173" s="1260"/>
      <c r="AY173" s="1260"/>
      <c r="AZ173" s="1260"/>
      <c r="BA173" s="1260"/>
      <c r="BB173" s="1260"/>
      <c r="BC173" s="722" t="s">
        <v>637</v>
      </c>
    </row>
    <row r="174" spans="1:55" ht="15.75" hidden="1">
      <c r="A174" s="728"/>
      <c r="B174" s="729"/>
      <c r="C174" s="729"/>
      <c r="D174" s="729"/>
      <c r="E174" s="729"/>
      <c r="F174" s="729"/>
      <c r="G174" s="729"/>
      <c r="H174" s="729"/>
      <c r="I174" s="729"/>
      <c r="J174" s="729"/>
      <c r="K174" s="729"/>
      <c r="L174" s="729"/>
      <c r="M174" s="729"/>
      <c r="N174" s="729"/>
      <c r="O174" s="729"/>
      <c r="P174" s="729"/>
      <c r="Q174" s="729"/>
      <c r="R174" s="729"/>
      <c r="S174" s="729"/>
      <c r="T174" s="729"/>
      <c r="U174" s="729"/>
      <c r="V174" s="729"/>
      <c r="W174" s="729"/>
      <c r="X174" s="729"/>
      <c r="Y174" s="729"/>
      <c r="Z174" s="729"/>
      <c r="AA174" s="729"/>
      <c r="AB174" s="729"/>
      <c r="AC174" s="1260"/>
      <c r="AD174" s="1260"/>
      <c r="AE174" s="1260"/>
      <c r="AF174" s="1260"/>
      <c r="AG174" s="1260"/>
      <c r="AH174" s="1260"/>
      <c r="AI174" s="1260"/>
      <c r="AJ174" s="1260"/>
      <c r="AK174" s="1260"/>
      <c r="AL174" s="1260"/>
      <c r="AM174" s="1260"/>
      <c r="AN174" s="1260"/>
      <c r="AO174" s="1260"/>
      <c r="AP174" s="1260"/>
      <c r="AQ174" s="1260"/>
      <c r="AR174" s="1260"/>
      <c r="AS174" s="1260"/>
      <c r="AT174" s="1260"/>
      <c r="AU174" s="1260"/>
      <c r="AV174" s="1260"/>
      <c r="AW174" s="1260"/>
      <c r="AX174" s="1260"/>
      <c r="AY174" s="1260"/>
      <c r="AZ174" s="1260"/>
      <c r="BA174" s="1260"/>
      <c r="BB174" s="1260"/>
      <c r="BC174" s="722" t="s">
        <v>637</v>
      </c>
    </row>
    <row r="175" spans="1:55" ht="15.75" hidden="1">
      <c r="A175" s="728"/>
      <c r="B175" s="729"/>
      <c r="C175" s="729"/>
      <c r="D175" s="729"/>
      <c r="E175" s="729"/>
      <c r="F175" s="729"/>
      <c r="G175" s="729"/>
      <c r="H175" s="729"/>
      <c r="I175" s="729"/>
      <c r="J175" s="729"/>
      <c r="K175" s="729"/>
      <c r="L175" s="729"/>
      <c r="M175" s="729"/>
      <c r="N175" s="729"/>
      <c r="O175" s="729"/>
      <c r="P175" s="729"/>
      <c r="Q175" s="729"/>
      <c r="R175" s="729"/>
      <c r="S175" s="729"/>
      <c r="T175" s="729"/>
      <c r="U175" s="729"/>
      <c r="V175" s="729"/>
      <c r="W175" s="729"/>
      <c r="X175" s="729"/>
      <c r="Y175" s="729"/>
      <c r="Z175" s="729"/>
      <c r="AA175" s="729"/>
      <c r="AB175" s="729"/>
      <c r="AC175" s="1260"/>
      <c r="AD175" s="1260"/>
      <c r="AE175" s="1260"/>
      <c r="AF175" s="1260"/>
      <c r="AG175" s="1260"/>
      <c r="AH175" s="1260"/>
      <c r="AI175" s="1260"/>
      <c r="AJ175" s="1260"/>
      <c r="AK175" s="1260"/>
      <c r="AL175" s="1260"/>
      <c r="AM175" s="1260"/>
      <c r="AN175" s="1260"/>
      <c r="AO175" s="1260"/>
      <c r="AP175" s="1260"/>
      <c r="AQ175" s="1260"/>
      <c r="AR175" s="1260"/>
      <c r="AS175" s="1260"/>
      <c r="AT175" s="1260"/>
      <c r="AU175" s="1260"/>
      <c r="AV175" s="1260"/>
      <c r="AW175" s="1260"/>
      <c r="AX175" s="1260"/>
      <c r="AY175" s="1260"/>
      <c r="AZ175" s="1260"/>
      <c r="BA175" s="1260"/>
      <c r="BB175" s="1260"/>
      <c r="BC175" s="722" t="s">
        <v>637</v>
      </c>
    </row>
    <row r="176" spans="1:55" ht="15.75" hidden="1">
      <c r="A176" s="728"/>
      <c r="B176" s="729"/>
      <c r="C176" s="729"/>
      <c r="D176" s="729"/>
      <c r="E176" s="729"/>
      <c r="F176" s="729"/>
      <c r="G176" s="729"/>
      <c r="H176" s="729"/>
      <c r="I176" s="729"/>
      <c r="J176" s="729"/>
      <c r="K176" s="729"/>
      <c r="L176" s="729"/>
      <c r="M176" s="729"/>
      <c r="N176" s="729"/>
      <c r="O176" s="729"/>
      <c r="P176" s="729"/>
      <c r="Q176" s="729"/>
      <c r="R176" s="729"/>
      <c r="S176" s="729"/>
      <c r="T176" s="729"/>
      <c r="U176" s="729"/>
      <c r="V176" s="729"/>
      <c r="W176" s="729"/>
      <c r="X176" s="729"/>
      <c r="Y176" s="729"/>
      <c r="Z176" s="729"/>
      <c r="AA176" s="729"/>
      <c r="AB176" s="729"/>
      <c r="AC176" s="1260"/>
      <c r="AD176" s="1260"/>
      <c r="AE176" s="1260"/>
      <c r="AF176" s="1260"/>
      <c r="AG176" s="1260"/>
      <c r="AH176" s="1260"/>
      <c r="AI176" s="1260"/>
      <c r="AJ176" s="1260"/>
      <c r="AK176" s="1260"/>
      <c r="AL176" s="1260"/>
      <c r="AM176" s="1260"/>
      <c r="AN176" s="1260"/>
      <c r="AO176" s="1260"/>
      <c r="AP176" s="1260"/>
      <c r="AQ176" s="1260"/>
      <c r="AR176" s="1260"/>
      <c r="AS176" s="1260"/>
      <c r="AT176" s="1260"/>
      <c r="AU176" s="1260"/>
      <c r="AV176" s="1260"/>
      <c r="AW176" s="1260"/>
      <c r="AX176" s="1260"/>
      <c r="AY176" s="1260"/>
      <c r="AZ176" s="1260"/>
      <c r="BA176" s="1260"/>
      <c r="BB176" s="1260"/>
      <c r="BC176" s="722" t="s">
        <v>637</v>
      </c>
    </row>
    <row r="177" spans="1:63" ht="15.75" hidden="1">
      <c r="A177" s="728"/>
      <c r="B177" s="729"/>
      <c r="C177" s="729"/>
      <c r="D177" s="729"/>
      <c r="E177" s="729"/>
      <c r="F177" s="729"/>
      <c r="G177" s="729"/>
      <c r="H177" s="729"/>
      <c r="I177" s="729"/>
      <c r="J177" s="729"/>
      <c r="K177" s="729"/>
      <c r="L177" s="729"/>
      <c r="M177" s="729"/>
      <c r="N177" s="729"/>
      <c r="O177" s="729"/>
      <c r="P177" s="729"/>
      <c r="Q177" s="729"/>
      <c r="R177" s="729"/>
      <c r="S177" s="729"/>
      <c r="T177" s="729"/>
      <c r="U177" s="729"/>
      <c r="V177" s="729"/>
      <c r="W177" s="729"/>
      <c r="X177" s="729"/>
      <c r="Y177" s="729"/>
      <c r="Z177" s="729"/>
      <c r="AA177" s="729"/>
      <c r="AB177" s="729"/>
      <c r="AC177" s="1260"/>
      <c r="AD177" s="1260"/>
      <c r="AE177" s="1260"/>
      <c r="AF177" s="1260"/>
      <c r="AG177" s="1260"/>
      <c r="AH177" s="1260"/>
      <c r="AI177" s="1260"/>
      <c r="AJ177" s="1260"/>
      <c r="AK177" s="1260"/>
      <c r="AL177" s="1260"/>
      <c r="AM177" s="1260"/>
      <c r="AN177" s="1260"/>
      <c r="AO177" s="1260"/>
      <c r="AP177" s="1260"/>
      <c r="AQ177" s="1260"/>
      <c r="AR177" s="1260"/>
      <c r="AS177" s="1260"/>
      <c r="AT177" s="1260"/>
      <c r="AU177" s="1260"/>
      <c r="AV177" s="1260"/>
      <c r="AW177" s="1260"/>
      <c r="AX177" s="1260"/>
      <c r="AY177" s="1260"/>
      <c r="AZ177" s="1260"/>
      <c r="BA177" s="1260"/>
      <c r="BB177" s="1260"/>
      <c r="BC177" s="722" t="s">
        <v>637</v>
      </c>
    </row>
    <row r="178" spans="1:63" ht="15.75" hidden="1">
      <c r="A178" s="728"/>
      <c r="B178" s="729"/>
      <c r="C178" s="729"/>
      <c r="D178" s="729"/>
      <c r="E178" s="729"/>
      <c r="F178" s="729"/>
      <c r="G178" s="729"/>
      <c r="H178" s="729"/>
      <c r="I178" s="729"/>
      <c r="J178" s="729"/>
      <c r="K178" s="729"/>
      <c r="L178" s="729"/>
      <c r="M178" s="729"/>
      <c r="N178" s="729"/>
      <c r="O178" s="729"/>
      <c r="P178" s="729"/>
      <c r="Q178" s="729"/>
      <c r="R178" s="729"/>
      <c r="S178" s="729"/>
      <c r="T178" s="729"/>
      <c r="U178" s="729"/>
      <c r="V178" s="729"/>
      <c r="W178" s="729"/>
      <c r="X178" s="729"/>
      <c r="Y178" s="729"/>
      <c r="Z178" s="729"/>
      <c r="AA178" s="729"/>
      <c r="AB178" s="729"/>
      <c r="AC178" s="1260"/>
      <c r="AD178" s="1260"/>
      <c r="AE178" s="1260"/>
      <c r="AF178" s="1260"/>
      <c r="AG178" s="1260"/>
      <c r="AH178" s="1260"/>
      <c r="AI178" s="1260"/>
      <c r="AJ178" s="1260"/>
      <c r="AK178" s="1260"/>
      <c r="AL178" s="1260"/>
      <c r="AM178" s="1260"/>
      <c r="AN178" s="1260"/>
      <c r="AO178" s="1260"/>
      <c r="AP178" s="1260"/>
      <c r="AQ178" s="1260"/>
      <c r="AR178" s="1260"/>
      <c r="AS178" s="1260"/>
      <c r="AT178" s="1260"/>
      <c r="AU178" s="1260"/>
      <c r="AV178" s="1260"/>
      <c r="AW178" s="1260"/>
      <c r="AX178" s="1260"/>
      <c r="AY178" s="1260"/>
      <c r="AZ178" s="1260"/>
      <c r="BA178" s="1260"/>
      <c r="BB178" s="1260"/>
      <c r="BC178" s="722" t="s">
        <v>637</v>
      </c>
    </row>
    <row r="179" spans="1:63" ht="15.75" hidden="1">
      <c r="A179" s="728"/>
      <c r="B179" s="729"/>
      <c r="C179" s="729"/>
      <c r="D179" s="729"/>
      <c r="E179" s="729"/>
      <c r="F179" s="729"/>
      <c r="G179" s="729"/>
      <c r="H179" s="729"/>
      <c r="I179" s="729"/>
      <c r="J179" s="729"/>
      <c r="K179" s="729"/>
      <c r="L179" s="729"/>
      <c r="M179" s="729"/>
      <c r="N179" s="729"/>
      <c r="O179" s="729"/>
      <c r="P179" s="729"/>
      <c r="Q179" s="729"/>
      <c r="R179" s="729"/>
      <c r="S179" s="729"/>
      <c r="T179" s="729"/>
      <c r="U179" s="729"/>
      <c r="V179" s="729"/>
      <c r="W179" s="729"/>
      <c r="X179" s="729"/>
      <c r="Y179" s="729"/>
      <c r="Z179" s="729"/>
      <c r="AA179" s="729"/>
      <c r="AB179" s="729"/>
      <c r="AC179" s="1260"/>
      <c r="AD179" s="1260"/>
      <c r="AE179" s="1260"/>
      <c r="AF179" s="1260"/>
      <c r="AG179" s="1260"/>
      <c r="AH179" s="1260"/>
      <c r="AI179" s="1260"/>
      <c r="AJ179" s="1260"/>
      <c r="AK179" s="1260"/>
      <c r="AL179" s="1260"/>
      <c r="AM179" s="1260"/>
      <c r="AN179" s="1260"/>
      <c r="AO179" s="1260"/>
      <c r="AP179" s="1260"/>
      <c r="AQ179" s="1260"/>
      <c r="AR179" s="1260"/>
      <c r="AS179" s="1260"/>
      <c r="AT179" s="1260"/>
      <c r="AU179" s="1260"/>
      <c r="AV179" s="1260"/>
      <c r="AW179" s="1260"/>
      <c r="AX179" s="1260"/>
      <c r="AY179" s="1260"/>
      <c r="AZ179" s="1260"/>
      <c r="BA179" s="1260"/>
      <c r="BB179" s="1260"/>
      <c r="BC179" s="722" t="s">
        <v>637</v>
      </c>
    </row>
    <row r="180" spans="1:63" ht="15.75" hidden="1">
      <c r="A180" s="728"/>
      <c r="B180" s="729"/>
      <c r="C180" s="729"/>
      <c r="D180" s="729"/>
      <c r="E180" s="729"/>
      <c r="F180" s="729"/>
      <c r="G180" s="729"/>
      <c r="H180" s="729"/>
      <c r="I180" s="729"/>
      <c r="J180" s="729"/>
      <c r="K180" s="729"/>
      <c r="L180" s="729"/>
      <c r="M180" s="729"/>
      <c r="N180" s="729"/>
      <c r="O180" s="729"/>
      <c r="P180" s="729"/>
      <c r="Q180" s="729"/>
      <c r="R180" s="729"/>
      <c r="S180" s="729"/>
      <c r="T180" s="729"/>
      <c r="U180" s="729"/>
      <c r="V180" s="729"/>
      <c r="W180" s="729"/>
      <c r="X180" s="729"/>
      <c r="Y180" s="729"/>
      <c r="Z180" s="729"/>
      <c r="AA180" s="729"/>
      <c r="AB180" s="729"/>
      <c r="AC180" s="1260"/>
      <c r="AD180" s="1260"/>
      <c r="AE180" s="1260"/>
      <c r="AF180" s="1260"/>
      <c r="AG180" s="1260"/>
      <c r="AH180" s="1260"/>
      <c r="AI180" s="1260"/>
      <c r="AJ180" s="1260"/>
      <c r="AK180" s="1260"/>
      <c r="AL180" s="1260"/>
      <c r="AM180" s="1260"/>
      <c r="AN180" s="1260"/>
      <c r="AO180" s="1260"/>
      <c r="AP180" s="1260"/>
      <c r="AQ180" s="1260"/>
      <c r="AR180" s="1260"/>
      <c r="AS180" s="1260"/>
      <c r="AT180" s="1260"/>
      <c r="AU180" s="1260"/>
      <c r="AV180" s="1260"/>
      <c r="AW180" s="1260"/>
      <c r="AX180" s="1260"/>
      <c r="AY180" s="1260"/>
      <c r="AZ180" s="1260"/>
      <c r="BA180" s="1260"/>
      <c r="BB180" s="1260"/>
      <c r="BC180" s="722" t="s">
        <v>637</v>
      </c>
    </row>
    <row r="181" spans="1:63" ht="15.75" hidden="1">
      <c r="A181" s="728"/>
      <c r="B181" s="729"/>
      <c r="C181" s="729"/>
      <c r="D181" s="729"/>
      <c r="E181" s="729"/>
      <c r="F181" s="729"/>
      <c r="G181" s="729"/>
      <c r="H181" s="729"/>
      <c r="I181" s="729"/>
      <c r="J181" s="729"/>
      <c r="K181" s="729"/>
      <c r="L181" s="729"/>
      <c r="M181" s="729"/>
      <c r="N181" s="729"/>
      <c r="O181" s="729"/>
      <c r="P181" s="729"/>
      <c r="Q181" s="729"/>
      <c r="R181" s="729"/>
      <c r="S181" s="729"/>
      <c r="T181" s="729"/>
      <c r="U181" s="729"/>
      <c r="V181" s="729"/>
      <c r="W181" s="729"/>
      <c r="X181" s="729"/>
      <c r="Y181" s="729"/>
      <c r="Z181" s="729"/>
      <c r="AA181" s="729"/>
      <c r="AB181" s="729"/>
      <c r="AC181" s="1260"/>
      <c r="AD181" s="1260"/>
      <c r="AE181" s="1260"/>
      <c r="AF181" s="1260"/>
      <c r="AG181" s="1260"/>
      <c r="AH181" s="1260"/>
      <c r="AI181" s="1260"/>
      <c r="AJ181" s="1260"/>
      <c r="AK181" s="1260"/>
      <c r="AL181" s="1260"/>
      <c r="AM181" s="1260"/>
      <c r="AN181" s="1260"/>
      <c r="AO181" s="1260"/>
      <c r="AP181" s="1260"/>
      <c r="AQ181" s="1260"/>
      <c r="AR181" s="1260"/>
      <c r="AS181" s="1260"/>
      <c r="AT181" s="1260"/>
      <c r="AU181" s="1260"/>
      <c r="AV181" s="1260"/>
      <c r="AW181" s="1260"/>
      <c r="AX181" s="1260"/>
      <c r="AY181" s="1260"/>
      <c r="AZ181" s="1260"/>
      <c r="BA181" s="1260"/>
      <c r="BB181" s="1260"/>
      <c r="BC181" s="722" t="s">
        <v>637</v>
      </c>
    </row>
    <row r="182" spans="1:63" ht="15.75" hidden="1">
      <c r="A182" s="728"/>
      <c r="B182" s="729"/>
      <c r="C182" s="729"/>
      <c r="D182" s="729"/>
      <c r="E182" s="729"/>
      <c r="F182" s="729"/>
      <c r="G182" s="729"/>
      <c r="H182" s="729"/>
      <c r="I182" s="729"/>
      <c r="J182" s="729"/>
      <c r="K182" s="729"/>
      <c r="L182" s="729"/>
      <c r="M182" s="729"/>
      <c r="N182" s="729"/>
      <c r="O182" s="729"/>
      <c r="P182" s="729"/>
      <c r="Q182" s="729"/>
      <c r="R182" s="729"/>
      <c r="S182" s="729"/>
      <c r="T182" s="729"/>
      <c r="U182" s="729"/>
      <c r="V182" s="729"/>
      <c r="W182" s="729"/>
      <c r="X182" s="729"/>
      <c r="Y182" s="729"/>
      <c r="Z182" s="729"/>
      <c r="AA182" s="729"/>
      <c r="AB182" s="729"/>
      <c r="AC182" s="1260"/>
      <c r="AD182" s="1260"/>
      <c r="AE182" s="1260"/>
      <c r="AF182" s="1260"/>
      <c r="AG182" s="1260"/>
      <c r="AH182" s="1260"/>
      <c r="AI182" s="1260"/>
      <c r="AJ182" s="1260"/>
      <c r="AK182" s="1260"/>
      <c r="AL182" s="1260"/>
      <c r="AM182" s="1260"/>
      <c r="AN182" s="1260"/>
      <c r="AO182" s="1260"/>
      <c r="AP182" s="1260"/>
      <c r="AQ182" s="1260"/>
      <c r="AR182" s="1260"/>
      <c r="AS182" s="1260"/>
      <c r="AT182" s="1260"/>
      <c r="AU182" s="1260"/>
      <c r="AV182" s="1260"/>
      <c r="AW182" s="1260"/>
      <c r="AX182" s="1260"/>
      <c r="AY182" s="1260"/>
      <c r="AZ182" s="1260"/>
      <c r="BA182" s="1260"/>
      <c r="BB182" s="1260"/>
      <c r="BC182" s="722" t="s">
        <v>637</v>
      </c>
    </row>
    <row r="183" spans="1:63" ht="15.75" hidden="1">
      <c r="A183" s="728"/>
      <c r="B183" s="729"/>
      <c r="C183" s="729"/>
      <c r="D183" s="729"/>
      <c r="E183" s="729"/>
      <c r="F183" s="729"/>
      <c r="G183" s="729"/>
      <c r="H183" s="729"/>
      <c r="I183" s="729"/>
      <c r="J183" s="729"/>
      <c r="K183" s="729"/>
      <c r="L183" s="729"/>
      <c r="M183" s="729"/>
      <c r="N183" s="729"/>
      <c r="O183" s="729"/>
      <c r="P183" s="729"/>
      <c r="Q183" s="729"/>
      <c r="R183" s="729"/>
      <c r="S183" s="729"/>
      <c r="T183" s="729"/>
      <c r="U183" s="729"/>
      <c r="V183" s="729"/>
      <c r="W183" s="729"/>
      <c r="X183" s="729"/>
      <c r="Y183" s="729"/>
      <c r="Z183" s="729"/>
      <c r="AA183" s="729"/>
      <c r="AB183" s="729"/>
      <c r="AC183" s="1260"/>
      <c r="AD183" s="1260"/>
      <c r="AE183" s="1260"/>
      <c r="AF183" s="1260"/>
      <c r="AG183" s="1260"/>
      <c r="AH183" s="1260"/>
      <c r="AI183" s="1260"/>
      <c r="AJ183" s="1260"/>
      <c r="AK183" s="1260"/>
      <c r="AL183" s="1260"/>
      <c r="AM183" s="1260"/>
      <c r="AN183" s="1260"/>
      <c r="AO183" s="1260"/>
      <c r="AP183" s="1260"/>
      <c r="AQ183" s="1260"/>
      <c r="AR183" s="1260"/>
      <c r="AS183" s="1260"/>
      <c r="AT183" s="1260"/>
      <c r="AU183" s="1260"/>
      <c r="AV183" s="1260"/>
      <c r="AW183" s="1260"/>
      <c r="AX183" s="1260"/>
      <c r="AY183" s="1260"/>
      <c r="AZ183" s="1260"/>
      <c r="BA183" s="1260"/>
      <c r="BB183" s="1260"/>
      <c r="BC183" s="722" t="s">
        <v>637</v>
      </c>
    </row>
    <row r="184" spans="1:63" ht="15.75" hidden="1">
      <c r="A184" s="728"/>
      <c r="B184" s="729"/>
      <c r="C184" s="729"/>
      <c r="D184" s="729"/>
      <c r="E184" s="729"/>
      <c r="F184" s="729"/>
      <c r="G184" s="729"/>
      <c r="H184" s="729"/>
      <c r="I184" s="729"/>
      <c r="J184" s="729"/>
      <c r="K184" s="729"/>
      <c r="L184" s="729"/>
      <c r="M184" s="729"/>
      <c r="N184" s="729"/>
      <c r="O184" s="729"/>
      <c r="P184" s="729"/>
      <c r="Q184" s="729"/>
      <c r="R184" s="729"/>
      <c r="S184" s="729"/>
      <c r="T184" s="729"/>
      <c r="U184" s="729"/>
      <c r="V184" s="729"/>
      <c r="W184" s="729"/>
      <c r="X184" s="729"/>
      <c r="Y184" s="729"/>
      <c r="Z184" s="729"/>
      <c r="AA184" s="729"/>
      <c r="AB184" s="729"/>
      <c r="AC184" s="1260"/>
      <c r="AD184" s="1260"/>
      <c r="AE184" s="1260"/>
      <c r="AF184" s="1260"/>
      <c r="AG184" s="1260"/>
      <c r="AH184" s="1260"/>
      <c r="AI184" s="1260"/>
      <c r="AJ184" s="1260"/>
      <c r="AK184" s="1260"/>
      <c r="AL184" s="1260"/>
      <c r="AM184" s="1260"/>
      <c r="AN184" s="1260"/>
      <c r="AO184" s="1260"/>
      <c r="AP184" s="1260"/>
      <c r="AQ184" s="1260"/>
      <c r="AR184" s="1260"/>
      <c r="AS184" s="1260"/>
      <c r="AT184" s="1260"/>
      <c r="AU184" s="1260"/>
      <c r="AV184" s="1260"/>
      <c r="AW184" s="1260"/>
      <c r="AX184" s="1260"/>
      <c r="AY184" s="1260"/>
      <c r="AZ184" s="1260"/>
      <c r="BA184" s="1260"/>
      <c r="BB184" s="1260"/>
      <c r="BC184" s="722" t="s">
        <v>637</v>
      </c>
    </row>
    <row r="185" spans="1:63" ht="15.75" hidden="1">
      <c r="A185" s="728"/>
      <c r="B185" s="729"/>
      <c r="C185" s="729"/>
      <c r="D185" s="729"/>
      <c r="E185" s="729"/>
      <c r="F185" s="729"/>
      <c r="G185" s="729"/>
      <c r="H185" s="729"/>
      <c r="I185" s="729"/>
      <c r="J185" s="729"/>
      <c r="K185" s="729"/>
      <c r="L185" s="729"/>
      <c r="M185" s="729"/>
      <c r="N185" s="729"/>
      <c r="O185" s="729"/>
      <c r="P185" s="729"/>
      <c r="Q185" s="729"/>
      <c r="R185" s="729"/>
      <c r="S185" s="729"/>
      <c r="T185" s="729"/>
      <c r="U185" s="729"/>
      <c r="V185" s="729"/>
      <c r="W185" s="729"/>
      <c r="X185" s="729"/>
      <c r="Y185" s="729"/>
      <c r="Z185" s="729"/>
      <c r="AA185" s="729"/>
      <c r="AB185" s="729"/>
      <c r="AC185" s="1260"/>
      <c r="AD185" s="1260"/>
      <c r="AE185" s="1260"/>
      <c r="AF185" s="1260"/>
      <c r="AG185" s="1260"/>
      <c r="AH185" s="1260"/>
      <c r="AI185" s="1260"/>
      <c r="AJ185" s="1260"/>
      <c r="AK185" s="1260"/>
      <c r="AL185" s="1260"/>
      <c r="AM185" s="1260"/>
      <c r="AN185" s="1260"/>
      <c r="AO185" s="1260"/>
      <c r="AP185" s="1260"/>
      <c r="AQ185" s="1260"/>
      <c r="AR185" s="1260"/>
      <c r="AS185" s="1260"/>
      <c r="AT185" s="1260"/>
      <c r="AU185" s="1260"/>
      <c r="AV185" s="1260"/>
      <c r="AW185" s="1260"/>
      <c r="AX185" s="1260"/>
      <c r="AY185" s="1260"/>
      <c r="AZ185" s="1260"/>
      <c r="BA185" s="1260"/>
      <c r="BB185" s="1260"/>
      <c r="BC185" s="722" t="s">
        <v>637</v>
      </c>
    </row>
    <row r="186" spans="1:63" ht="15.75" hidden="1">
      <c r="A186" s="728"/>
      <c r="B186" s="729"/>
      <c r="C186" s="729"/>
      <c r="D186" s="729"/>
      <c r="E186" s="729"/>
      <c r="F186" s="729"/>
      <c r="G186" s="729"/>
      <c r="H186" s="729"/>
      <c r="I186" s="729"/>
      <c r="J186" s="729"/>
      <c r="K186" s="729"/>
      <c r="L186" s="729"/>
      <c r="M186" s="729"/>
      <c r="N186" s="729"/>
      <c r="O186" s="729"/>
      <c r="P186" s="729"/>
      <c r="Q186" s="729"/>
      <c r="R186" s="729"/>
      <c r="S186" s="729"/>
      <c r="T186" s="729"/>
      <c r="U186" s="729"/>
      <c r="V186" s="729"/>
      <c r="W186" s="729"/>
      <c r="X186" s="729"/>
      <c r="Y186" s="729"/>
      <c r="Z186" s="729"/>
      <c r="AA186" s="729"/>
      <c r="AB186" s="729"/>
      <c r="AC186" s="1260"/>
      <c r="AD186" s="1260"/>
      <c r="AE186" s="1260"/>
      <c r="AF186" s="1260"/>
      <c r="AG186" s="1260"/>
      <c r="AH186" s="1260"/>
      <c r="AI186" s="1260"/>
      <c r="AJ186" s="1260"/>
      <c r="AK186" s="1260"/>
      <c r="AL186" s="1260"/>
      <c r="AM186" s="1260"/>
      <c r="AN186" s="1260"/>
      <c r="AO186" s="1260"/>
      <c r="AP186" s="1260"/>
      <c r="AQ186" s="1260"/>
      <c r="AR186" s="1260"/>
      <c r="AS186" s="1260"/>
      <c r="AT186" s="1260"/>
      <c r="AU186" s="1260"/>
      <c r="AV186" s="1260"/>
      <c r="AW186" s="1260"/>
      <c r="AX186" s="1260"/>
      <c r="AY186" s="1260"/>
      <c r="AZ186" s="1260"/>
      <c r="BA186" s="1260"/>
      <c r="BB186" s="1260"/>
      <c r="BC186" s="722" t="s">
        <v>637</v>
      </c>
    </row>
    <row r="187" spans="1:63" ht="15.75" hidden="1">
      <c r="A187" s="728"/>
      <c r="B187" s="729"/>
      <c r="C187" s="729"/>
      <c r="D187" s="729"/>
      <c r="E187" s="729"/>
      <c r="F187" s="729"/>
      <c r="G187" s="729"/>
      <c r="H187" s="729"/>
      <c r="I187" s="729"/>
      <c r="J187" s="729"/>
      <c r="K187" s="729"/>
      <c r="L187" s="729"/>
      <c r="M187" s="729"/>
      <c r="N187" s="729"/>
      <c r="O187" s="729"/>
      <c r="P187" s="729"/>
      <c r="Q187" s="729"/>
      <c r="R187" s="729"/>
      <c r="S187" s="729"/>
      <c r="T187" s="729"/>
      <c r="U187" s="729"/>
      <c r="V187" s="729"/>
      <c r="W187" s="729"/>
      <c r="X187" s="729"/>
      <c r="Y187" s="729"/>
      <c r="Z187" s="729"/>
      <c r="AA187" s="729"/>
      <c r="AB187" s="729"/>
      <c r="AC187" s="1260"/>
      <c r="AD187" s="1260"/>
      <c r="AE187" s="1260"/>
      <c r="AF187" s="1260"/>
      <c r="AG187" s="1260"/>
      <c r="AH187" s="1260"/>
      <c r="AI187" s="1260"/>
      <c r="AJ187" s="1260"/>
      <c r="AK187" s="1260"/>
      <c r="AL187" s="1260"/>
      <c r="AM187" s="1260"/>
      <c r="AN187" s="1260"/>
      <c r="AO187" s="1260"/>
      <c r="AP187" s="1260"/>
      <c r="AQ187" s="1260"/>
      <c r="AR187" s="1260"/>
      <c r="AS187" s="1260"/>
      <c r="AT187" s="1260"/>
      <c r="AU187" s="1260"/>
      <c r="AV187" s="1260"/>
      <c r="AW187" s="1260"/>
      <c r="AX187" s="1260"/>
      <c r="AY187" s="1260"/>
      <c r="AZ187" s="1260"/>
      <c r="BA187" s="1260"/>
      <c r="BB187" s="1260"/>
      <c r="BC187" s="722" t="s">
        <v>637</v>
      </c>
    </row>
    <row r="188" spans="1:63" ht="15.75" hidden="1">
      <c r="A188" s="728"/>
      <c r="B188" s="729"/>
      <c r="C188" s="729"/>
      <c r="D188" s="729"/>
      <c r="E188" s="729"/>
      <c r="F188" s="729"/>
      <c r="G188" s="729"/>
      <c r="H188" s="729"/>
      <c r="I188" s="729"/>
      <c r="J188" s="729"/>
      <c r="K188" s="729"/>
      <c r="L188" s="729"/>
      <c r="M188" s="729"/>
      <c r="N188" s="729"/>
      <c r="O188" s="729"/>
      <c r="P188" s="729"/>
      <c r="Q188" s="729"/>
      <c r="R188" s="729"/>
      <c r="S188" s="729"/>
      <c r="T188" s="729"/>
      <c r="U188" s="729"/>
      <c r="V188" s="729"/>
      <c r="W188" s="729"/>
      <c r="X188" s="729"/>
      <c r="Y188" s="729"/>
      <c r="Z188" s="729"/>
      <c r="AA188" s="729"/>
      <c r="AB188" s="729"/>
      <c r="AC188" s="1260"/>
      <c r="AD188" s="1260"/>
      <c r="AE188" s="1260"/>
      <c r="AF188" s="1260"/>
      <c r="AG188" s="1260"/>
      <c r="AH188" s="1260"/>
      <c r="AI188" s="1260"/>
      <c r="AJ188" s="1260"/>
      <c r="AK188" s="1260"/>
      <c r="AL188" s="1260"/>
      <c r="AM188" s="1260"/>
      <c r="AN188" s="1260"/>
      <c r="AO188" s="1260"/>
      <c r="AP188" s="1260"/>
      <c r="AQ188" s="1260"/>
      <c r="AR188" s="1260"/>
      <c r="AS188" s="1260"/>
      <c r="AT188" s="1260"/>
      <c r="AU188" s="1260"/>
      <c r="AV188" s="1260"/>
      <c r="AW188" s="1260"/>
      <c r="AX188" s="1260"/>
      <c r="AY188" s="1260"/>
      <c r="AZ188" s="1260"/>
      <c r="BA188" s="1260"/>
      <c r="BB188" s="1260"/>
      <c r="BC188" s="722" t="s">
        <v>637</v>
      </c>
    </row>
    <row r="189" spans="1:63" ht="15.75" hidden="1">
      <c r="A189" s="728"/>
      <c r="B189" s="729"/>
      <c r="C189" s="729"/>
      <c r="D189" s="729"/>
      <c r="E189" s="729"/>
      <c r="F189" s="729"/>
      <c r="G189" s="729"/>
      <c r="H189" s="729"/>
      <c r="I189" s="729"/>
      <c r="J189" s="729"/>
      <c r="K189" s="729"/>
      <c r="L189" s="729"/>
      <c r="M189" s="729"/>
      <c r="N189" s="729"/>
      <c r="O189" s="729"/>
      <c r="P189" s="729"/>
      <c r="Q189" s="729"/>
      <c r="R189" s="729"/>
      <c r="S189" s="729"/>
      <c r="T189" s="729"/>
      <c r="U189" s="729"/>
      <c r="V189" s="729"/>
      <c r="W189" s="729"/>
      <c r="X189" s="729"/>
      <c r="Y189" s="729"/>
      <c r="Z189" s="729"/>
      <c r="AA189" s="729"/>
      <c r="AB189" s="729"/>
      <c r="AC189" s="1260"/>
      <c r="AD189" s="1260"/>
      <c r="AE189" s="1260"/>
      <c r="AF189" s="1260"/>
      <c r="AG189" s="1260"/>
      <c r="AH189" s="1260"/>
      <c r="AI189" s="1260"/>
      <c r="AJ189" s="1260"/>
      <c r="AK189" s="1260"/>
      <c r="AL189" s="1260"/>
      <c r="AM189" s="1260"/>
      <c r="AN189" s="1260"/>
      <c r="AO189" s="1260"/>
      <c r="AP189" s="1260"/>
      <c r="AQ189" s="1260"/>
      <c r="AR189" s="1260"/>
      <c r="AS189" s="1260"/>
      <c r="AT189" s="1260"/>
      <c r="AU189" s="1260"/>
      <c r="AV189" s="1260"/>
      <c r="AW189" s="1260"/>
      <c r="AX189" s="1260"/>
      <c r="AY189" s="1260"/>
      <c r="AZ189" s="1260"/>
      <c r="BA189" s="1260"/>
      <c r="BB189" s="1260"/>
      <c r="BC189" s="722" t="s">
        <v>637</v>
      </c>
    </row>
    <row r="190" spans="1:63" ht="15.75" hidden="1">
      <c r="A190" s="728"/>
      <c r="B190" s="729"/>
      <c r="C190" s="729"/>
      <c r="D190" s="729"/>
      <c r="E190" s="729"/>
      <c r="F190" s="729"/>
      <c r="G190" s="729"/>
      <c r="H190" s="729"/>
      <c r="I190" s="729"/>
      <c r="J190" s="729"/>
      <c r="K190" s="729"/>
      <c r="L190" s="729"/>
      <c r="M190" s="729"/>
      <c r="N190" s="729"/>
      <c r="O190" s="729"/>
      <c r="P190" s="729"/>
      <c r="Q190" s="729"/>
      <c r="R190" s="729"/>
      <c r="S190" s="729"/>
      <c r="T190" s="729"/>
      <c r="U190" s="729"/>
      <c r="V190" s="729"/>
      <c r="W190" s="729"/>
      <c r="X190" s="729"/>
      <c r="Y190" s="729"/>
      <c r="Z190" s="729"/>
      <c r="AA190" s="729"/>
      <c r="AB190" s="729"/>
      <c r="AC190" s="1260"/>
      <c r="AD190" s="1260"/>
      <c r="AE190" s="1260"/>
      <c r="AF190" s="1260"/>
      <c r="AG190" s="1260"/>
      <c r="AH190" s="1260"/>
      <c r="AI190" s="1260"/>
      <c r="AJ190" s="1260"/>
      <c r="AK190" s="1260"/>
      <c r="AL190" s="1260"/>
      <c r="AM190" s="1260"/>
      <c r="AN190" s="1260"/>
      <c r="AO190" s="1260"/>
      <c r="AP190" s="1260"/>
      <c r="AQ190" s="1260"/>
      <c r="AR190" s="1260"/>
      <c r="AS190" s="1260"/>
      <c r="AT190" s="1260"/>
      <c r="AU190" s="1260"/>
      <c r="AV190" s="1260"/>
      <c r="AW190" s="1260"/>
      <c r="AX190" s="1260"/>
      <c r="AY190" s="1260"/>
      <c r="AZ190" s="1260"/>
      <c r="BA190" s="1260"/>
      <c r="BB190" s="1260"/>
      <c r="BC190" s="722" t="s">
        <v>637</v>
      </c>
    </row>
    <row r="191" spans="1:63" ht="15.75" hidden="1">
      <c r="A191" s="728"/>
      <c r="B191" s="729"/>
      <c r="C191" s="729"/>
      <c r="D191" s="729"/>
      <c r="E191" s="729"/>
      <c r="F191" s="729"/>
      <c r="G191" s="729"/>
      <c r="H191" s="729"/>
      <c r="I191" s="729"/>
      <c r="J191" s="729"/>
      <c r="K191" s="729"/>
      <c r="L191" s="729"/>
      <c r="M191" s="729"/>
      <c r="N191" s="729"/>
      <c r="O191" s="729"/>
      <c r="P191" s="729"/>
      <c r="Q191" s="729"/>
      <c r="R191" s="729"/>
      <c r="S191" s="729"/>
      <c r="T191" s="729"/>
      <c r="U191" s="729"/>
      <c r="V191" s="729"/>
      <c r="W191" s="729"/>
      <c r="X191" s="729"/>
      <c r="Y191" s="729"/>
      <c r="Z191" s="729"/>
      <c r="AA191" s="729"/>
      <c r="AB191" s="729"/>
      <c r="AC191" s="1260"/>
      <c r="AD191" s="1260"/>
      <c r="AE191" s="1260"/>
      <c r="AF191" s="1260"/>
      <c r="AG191" s="1260"/>
      <c r="AH191" s="1260"/>
      <c r="AI191" s="1260"/>
      <c r="AJ191" s="1260"/>
      <c r="AK191" s="1260"/>
      <c r="AL191" s="1260"/>
      <c r="AM191" s="1260"/>
      <c r="AN191" s="1260"/>
      <c r="AO191" s="1260"/>
      <c r="AP191" s="1260"/>
      <c r="AQ191" s="1260"/>
      <c r="AR191" s="1260"/>
      <c r="AS191" s="1260"/>
      <c r="AT191" s="1260"/>
      <c r="AU191" s="1260"/>
      <c r="AV191" s="1260"/>
      <c r="AW191" s="1260"/>
      <c r="AX191" s="1260"/>
      <c r="AY191" s="1260"/>
      <c r="AZ191" s="1260"/>
      <c r="BA191" s="1260"/>
      <c r="BB191" s="1260"/>
      <c r="BC191" s="722" t="s">
        <v>637</v>
      </c>
    </row>
    <row r="192" spans="1:63" ht="15.75" hidden="1">
      <c r="B192" s="2030" t="s">
        <v>205</v>
      </c>
      <c r="C192" s="2030"/>
      <c r="D192" s="2030"/>
      <c r="E192" s="2030"/>
      <c r="F192" s="2030"/>
      <c r="G192" s="2030"/>
      <c r="H192" s="2030"/>
      <c r="I192" s="2030"/>
      <c r="J192" s="2030"/>
      <c r="K192" s="2030"/>
      <c r="L192" s="2030"/>
      <c r="M192" s="2030"/>
      <c r="N192" s="2030"/>
      <c r="O192" s="2030"/>
      <c r="P192" s="2030"/>
      <c r="Q192" s="2030"/>
      <c r="R192" s="2030"/>
      <c r="S192" s="2030"/>
      <c r="T192" s="2030"/>
      <c r="U192" s="2030"/>
      <c r="V192" s="2030"/>
      <c r="W192" s="2030"/>
      <c r="X192" s="2030"/>
      <c r="Y192" s="2030"/>
      <c r="Z192" s="2030"/>
      <c r="AA192" s="2030"/>
      <c r="AB192" s="2030"/>
      <c r="AC192" s="2030"/>
      <c r="AD192" s="2030"/>
      <c r="AE192" s="2030"/>
      <c r="AF192" s="2030"/>
      <c r="AG192" s="2030"/>
      <c r="AH192" s="2030"/>
      <c r="AI192" s="2030"/>
      <c r="AJ192" s="2030"/>
      <c r="AK192" s="2030"/>
      <c r="AL192" s="2030"/>
      <c r="AM192" s="2030"/>
      <c r="AN192" s="2030"/>
      <c r="AO192" s="2030"/>
      <c r="AP192" s="2030"/>
      <c r="AQ192" s="2030"/>
      <c r="AR192" s="2030"/>
      <c r="AS192" s="2030"/>
      <c r="AT192" s="2030"/>
      <c r="AU192" s="2030"/>
      <c r="AV192" s="2030"/>
      <c r="AW192" s="2030"/>
      <c r="AX192" s="2030"/>
      <c r="AY192" s="2030"/>
      <c r="AZ192" s="2030"/>
      <c r="BA192" s="2030"/>
      <c r="BB192" s="2030"/>
      <c r="BC192" s="722" t="s">
        <v>637</v>
      </c>
      <c r="BE192" s="85"/>
      <c r="BF192" s="100"/>
      <c r="BG192" s="100"/>
      <c r="BH192" s="100"/>
      <c r="BI192" s="100"/>
      <c r="BJ192" s="100"/>
      <c r="BK192" s="100"/>
    </row>
    <row r="193" spans="2:62" ht="15.75" hidden="1">
      <c r="B193" s="2030" t="s">
        <v>206</v>
      </c>
      <c r="C193" s="2030"/>
      <c r="D193" s="2030"/>
      <c r="E193" s="2030"/>
      <c r="F193" s="2030"/>
      <c r="G193" s="2030"/>
      <c r="H193" s="2030"/>
      <c r="I193" s="2030"/>
      <c r="J193" s="2030"/>
      <c r="K193" s="2030"/>
      <c r="L193" s="2030"/>
      <c r="M193" s="2030"/>
      <c r="N193" s="2030"/>
      <c r="O193" s="2030"/>
      <c r="P193" s="2030"/>
      <c r="Q193" s="2030"/>
      <c r="R193" s="2030"/>
      <c r="S193" s="2030"/>
      <c r="T193" s="2030"/>
      <c r="U193" s="2030"/>
      <c r="V193" s="2030"/>
      <c r="W193" s="2030"/>
      <c r="X193" s="2030"/>
      <c r="Y193" s="2030"/>
      <c r="Z193" s="2030"/>
      <c r="AA193" s="2030"/>
      <c r="AB193" s="2030"/>
      <c r="AC193" s="2030"/>
      <c r="AD193" s="2030"/>
      <c r="AE193" s="2030"/>
      <c r="AF193" s="2030"/>
      <c r="AG193" s="2030"/>
      <c r="AH193" s="2030"/>
      <c r="AI193" s="2030"/>
      <c r="AJ193" s="2030"/>
      <c r="AK193" s="2030"/>
      <c r="AL193" s="2030"/>
      <c r="AM193" s="2030"/>
      <c r="AN193" s="2030"/>
      <c r="AO193" s="2030"/>
      <c r="AP193" s="2030"/>
      <c r="AQ193" s="2030"/>
      <c r="AR193" s="2030"/>
      <c r="AS193" s="2030"/>
      <c r="AT193" s="2030"/>
      <c r="AU193" s="2030"/>
      <c r="AV193" s="2030"/>
      <c r="AW193" s="2030"/>
      <c r="AX193" s="2030"/>
      <c r="AY193" s="2030"/>
      <c r="AZ193" s="2030"/>
      <c r="BA193" s="2030"/>
      <c r="BB193" s="2030"/>
      <c r="BC193" s="722" t="s">
        <v>637</v>
      </c>
      <c r="BE193" s="85"/>
      <c r="BF193" s="100"/>
      <c r="BG193" s="100"/>
      <c r="BH193" s="100"/>
      <c r="BI193" s="100"/>
      <c r="BJ193" s="100"/>
    </row>
    <row r="194" spans="2:62" ht="18" hidden="1" customHeight="1">
      <c r="B194" s="2002" t="s">
        <v>638</v>
      </c>
      <c r="C194" s="2176"/>
      <c r="D194" s="2176"/>
      <c r="E194" s="2176"/>
      <c r="F194" s="2176"/>
      <c r="G194" s="2176"/>
      <c r="H194" s="2176"/>
      <c r="I194" s="2176"/>
      <c r="J194" s="2176"/>
      <c r="K194" s="2176"/>
      <c r="L194" s="2176"/>
      <c r="M194" s="2176"/>
      <c r="N194" s="2176"/>
      <c r="O194" s="2176"/>
      <c r="P194" s="2176"/>
      <c r="Q194" s="2176"/>
      <c r="R194" s="2176"/>
      <c r="S194" s="2176"/>
      <c r="T194" s="2176"/>
      <c r="U194" s="2176"/>
      <c r="V194" s="2176"/>
      <c r="W194" s="2176"/>
      <c r="X194" s="2176"/>
      <c r="Y194" s="2176"/>
      <c r="Z194" s="2176"/>
      <c r="AA194" s="2176"/>
      <c r="AB194" s="2176"/>
      <c r="AC194" s="2176"/>
      <c r="AD194" s="2176"/>
      <c r="AE194" s="2176"/>
      <c r="AF194" s="2176"/>
      <c r="AG194" s="2176"/>
      <c r="AH194" s="2176"/>
      <c r="AI194" s="2176"/>
      <c r="AJ194" s="2176"/>
      <c r="AK194" s="2176"/>
      <c r="AL194" s="2176"/>
      <c r="AM194" s="2176"/>
      <c r="AN194" s="2176"/>
      <c r="AO194" s="2176"/>
      <c r="AP194" s="2176"/>
      <c r="AQ194" s="2176"/>
      <c r="AR194" s="2176"/>
      <c r="AS194" s="2176"/>
      <c r="AT194" s="2176"/>
      <c r="AU194" s="2176"/>
      <c r="AV194" s="2176"/>
      <c r="AW194" s="2176"/>
      <c r="AX194" s="2176"/>
      <c r="AY194" s="2176"/>
      <c r="AZ194" s="2176"/>
      <c r="BA194" s="2176"/>
      <c r="BB194" s="2176"/>
      <c r="BC194" s="722" t="s">
        <v>637</v>
      </c>
      <c r="BE194" s="85"/>
      <c r="BF194" s="100"/>
      <c r="BG194" s="100"/>
      <c r="BH194" s="100"/>
      <c r="BI194" s="100"/>
      <c r="BJ194" s="100"/>
    </row>
    <row r="195" spans="2:62" ht="15.95" hidden="1" customHeight="1">
      <c r="B195" s="2005" t="s">
        <v>6264</v>
      </c>
      <c r="C195" s="2005"/>
      <c r="D195" s="2005"/>
      <c r="E195" s="2005"/>
      <c r="F195" s="2005"/>
      <c r="G195" s="2005"/>
      <c r="H195" s="2005"/>
      <c r="I195" s="2005"/>
      <c r="J195" s="2005"/>
      <c r="K195" s="2005"/>
      <c r="L195" s="2005"/>
      <c r="M195" s="2005"/>
      <c r="N195" s="2005"/>
      <c r="O195" s="2005"/>
      <c r="P195" s="2005"/>
      <c r="Q195" s="2005"/>
      <c r="R195" s="2005"/>
      <c r="S195" s="2005"/>
      <c r="T195" s="2005"/>
      <c r="U195" s="2005"/>
      <c r="V195" s="2005"/>
      <c r="W195" s="2005"/>
      <c r="X195" s="2005"/>
      <c r="Y195" s="2005"/>
      <c r="Z195" s="2005"/>
      <c r="AA195" s="2005"/>
      <c r="AB195" s="2005"/>
      <c r="AC195" s="2005"/>
      <c r="AD195" s="2005"/>
      <c r="AE195" s="2005"/>
      <c r="AF195" s="2005"/>
      <c r="AG195" s="2005"/>
      <c r="AH195" s="2005"/>
      <c r="AI195" s="2005"/>
      <c r="AJ195" s="2005"/>
      <c r="AK195" s="2005"/>
      <c r="AL195" s="2005"/>
      <c r="AM195" s="2005"/>
      <c r="AN195" s="2005"/>
      <c r="AO195" s="2005"/>
      <c r="AP195" s="2005"/>
      <c r="AQ195" s="2005"/>
      <c r="AR195" s="2005"/>
      <c r="AS195" s="2005"/>
      <c r="AT195" s="2005"/>
      <c r="AU195" s="2005"/>
      <c r="AV195" s="2005"/>
      <c r="AW195" s="2005"/>
      <c r="AX195" s="2005"/>
      <c r="AY195" s="2005"/>
      <c r="AZ195" s="2005"/>
      <c r="BA195" s="2005"/>
      <c r="BB195" s="2005"/>
      <c r="BC195" s="722" t="s">
        <v>637</v>
      </c>
      <c r="BE195" s="85"/>
      <c r="BF195" s="100"/>
      <c r="BG195" s="100"/>
      <c r="BH195" s="100"/>
      <c r="BI195" s="100"/>
      <c r="BJ195" s="100"/>
    </row>
    <row r="196" spans="2:62" ht="9.9499999999999993" hidden="1" customHeight="1">
      <c r="B196" s="2002"/>
      <c r="C196" s="2176"/>
      <c r="D196" s="2176"/>
      <c r="E196" s="2176"/>
      <c r="F196" s="2176"/>
      <c r="G196" s="2176"/>
      <c r="H196" s="2176"/>
      <c r="I196" s="2176"/>
      <c r="J196" s="2176"/>
      <c r="K196" s="2176"/>
      <c r="L196" s="2176"/>
      <c r="M196" s="2176"/>
      <c r="N196" s="2176"/>
      <c r="O196" s="2176"/>
      <c r="P196" s="2176"/>
      <c r="Q196" s="2176"/>
      <c r="R196" s="2176"/>
      <c r="S196" s="2176"/>
      <c r="T196" s="2176"/>
      <c r="U196" s="2176"/>
      <c r="V196" s="2176"/>
      <c r="W196" s="2176"/>
      <c r="X196" s="2176"/>
      <c r="Y196" s="2176"/>
      <c r="Z196" s="2176"/>
      <c r="AA196" s="2176"/>
      <c r="AB196" s="2176"/>
      <c r="AC196" s="2176"/>
      <c r="AD196" s="2176"/>
      <c r="AE196" s="2176"/>
      <c r="AF196" s="2176"/>
      <c r="AG196" s="2176"/>
      <c r="AH196" s="2176"/>
      <c r="AI196" s="2176"/>
      <c r="AJ196" s="2176"/>
      <c r="AK196" s="2176"/>
      <c r="AL196" s="2176"/>
      <c r="AM196" s="2176"/>
      <c r="AN196" s="2176"/>
      <c r="AO196" s="2176"/>
      <c r="AP196" s="2176"/>
      <c r="AQ196" s="2176"/>
      <c r="AR196" s="2176"/>
      <c r="AS196" s="2176"/>
      <c r="AT196" s="2176"/>
      <c r="AU196" s="2176"/>
      <c r="AV196" s="2176"/>
      <c r="AW196" s="2176"/>
      <c r="AX196" s="2176"/>
      <c r="AY196" s="2176"/>
      <c r="AZ196" s="2176"/>
      <c r="BA196" s="2176"/>
      <c r="BB196" s="2176"/>
      <c r="BC196" s="722" t="s">
        <v>637</v>
      </c>
      <c r="BE196" s="85"/>
      <c r="BF196" s="100"/>
      <c r="BG196" s="100"/>
      <c r="BH196" s="100"/>
      <c r="BI196" s="100"/>
      <c r="BJ196" s="100"/>
    </row>
    <row r="197" spans="2:62" ht="26.1" hidden="1" customHeight="1">
      <c r="B197" s="2198" t="s">
        <v>511</v>
      </c>
      <c r="C197" s="2198"/>
      <c r="D197" s="2198"/>
      <c r="E197" s="2198"/>
      <c r="F197" s="2198"/>
      <c r="G197" s="2198"/>
      <c r="H197" s="2198"/>
      <c r="I197" s="2198"/>
      <c r="J197" s="2198"/>
      <c r="K197" s="2198"/>
      <c r="L197" s="2198"/>
      <c r="M197" s="2198"/>
      <c r="N197" s="2198"/>
      <c r="O197" s="2198"/>
      <c r="P197" s="2198"/>
      <c r="Q197" s="2198"/>
      <c r="R197" s="2198"/>
      <c r="S197" s="2198"/>
      <c r="T197" s="2198"/>
      <c r="U197" s="2198"/>
      <c r="V197" s="2198"/>
      <c r="W197" s="2198"/>
      <c r="X197" s="2198"/>
      <c r="Y197" s="2198"/>
      <c r="Z197" s="2198"/>
      <c r="AA197" s="2198"/>
      <c r="AB197" s="2198"/>
      <c r="AC197" s="2198"/>
      <c r="AD197" s="2198"/>
      <c r="AE197" s="2198"/>
      <c r="AF197" s="2198"/>
      <c r="AG197" s="2198"/>
      <c r="AH197" s="2198"/>
      <c r="AI197" s="2198"/>
      <c r="AJ197" s="2198"/>
      <c r="AK197" s="2198"/>
      <c r="AL197" s="2198"/>
      <c r="AM197" s="2198"/>
      <c r="AN197" s="2198"/>
      <c r="AO197" s="2198"/>
      <c r="AP197" s="2198"/>
      <c r="AQ197" s="2198"/>
      <c r="AR197" s="2198"/>
      <c r="AS197" s="2198"/>
      <c r="AT197" s="2198"/>
      <c r="AU197" s="2198"/>
      <c r="AV197" s="2198"/>
      <c r="AW197" s="2198"/>
      <c r="AX197" s="2198"/>
      <c r="AY197" s="2198"/>
      <c r="AZ197" s="2198"/>
      <c r="BA197" s="2198"/>
      <c r="BB197" s="2198"/>
      <c r="BC197" s="722" t="s">
        <v>637</v>
      </c>
      <c r="BE197" s="85"/>
      <c r="BF197" s="100"/>
      <c r="BG197" s="100"/>
      <c r="BH197" s="100"/>
      <c r="BI197" s="100"/>
      <c r="BJ197" s="100"/>
    </row>
    <row r="198" spans="2:62" ht="18" hidden="1" customHeight="1">
      <c r="B198" s="2002" t="str">
        <f>+"Số: "&amp;NL!U2&amp;"/TLHĐKSTK-PCHG"</f>
        <v>Số: 01/TLHĐKSTK-PCHG</v>
      </c>
      <c r="C198" s="2002"/>
      <c r="D198" s="2002"/>
      <c r="E198" s="2002"/>
      <c r="F198" s="2002"/>
      <c r="G198" s="2002"/>
      <c r="H198" s="2002"/>
      <c r="I198" s="2002"/>
      <c r="J198" s="2002"/>
      <c r="K198" s="2002"/>
      <c r="L198" s="2002"/>
      <c r="M198" s="2002"/>
      <c r="N198" s="2002"/>
      <c r="O198" s="2002"/>
      <c r="P198" s="2002"/>
      <c r="Q198" s="2002"/>
      <c r="R198" s="2002"/>
      <c r="S198" s="2002"/>
      <c r="T198" s="2002"/>
      <c r="U198" s="2002"/>
      <c r="V198" s="2002"/>
      <c r="W198" s="2002"/>
      <c r="X198" s="2002"/>
      <c r="Y198" s="2002"/>
      <c r="Z198" s="2002"/>
      <c r="AA198" s="2002"/>
      <c r="AB198" s="2002"/>
      <c r="AC198" s="2002"/>
      <c r="AD198" s="2002"/>
      <c r="AE198" s="2002"/>
      <c r="AF198" s="2002"/>
      <c r="AG198" s="2002"/>
      <c r="AH198" s="2002"/>
      <c r="AI198" s="2002"/>
      <c r="AJ198" s="2002"/>
      <c r="AK198" s="2002"/>
      <c r="AL198" s="2002"/>
      <c r="AM198" s="2002"/>
      <c r="AN198" s="2002"/>
      <c r="AO198" s="2002"/>
      <c r="AP198" s="2002"/>
      <c r="AQ198" s="2002"/>
      <c r="AR198" s="2002"/>
      <c r="AS198" s="2002"/>
      <c r="AT198" s="2002"/>
      <c r="AU198" s="2002"/>
      <c r="AV198" s="2002"/>
      <c r="AW198" s="2002"/>
      <c r="AX198" s="2002"/>
      <c r="AY198" s="2002"/>
      <c r="AZ198" s="2002"/>
      <c r="BA198" s="2002"/>
      <c r="BB198" s="2002"/>
      <c r="BC198" s="722" t="s">
        <v>637</v>
      </c>
    </row>
    <row r="199" spans="2:62" ht="18" hidden="1" customHeight="1">
      <c r="B199" s="91"/>
      <c r="C199" s="2186" t="s">
        <v>3098</v>
      </c>
      <c r="D199" s="2186"/>
      <c r="E199" s="2186"/>
      <c r="F199" s="2186"/>
      <c r="G199" s="2186"/>
      <c r="H199" s="2186"/>
      <c r="I199" s="2186"/>
      <c r="J199" s="2186"/>
      <c r="K199" s="2186"/>
      <c r="L199" s="2186"/>
      <c r="M199" s="2186"/>
      <c r="N199" s="2186"/>
      <c r="O199" s="2186"/>
      <c r="P199" s="2186"/>
      <c r="Q199" s="2186"/>
      <c r="R199" s="2186"/>
      <c r="S199" s="2186"/>
      <c r="T199" s="2186"/>
      <c r="U199" s="2186"/>
      <c r="V199" s="2186"/>
      <c r="W199" s="2186"/>
      <c r="X199" s="2186"/>
      <c r="Y199" s="2186"/>
      <c r="Z199" s="2186"/>
      <c r="AA199" s="2186"/>
      <c r="AB199" s="2186"/>
      <c r="AC199" s="2186"/>
      <c r="AD199" s="2186"/>
      <c r="AE199" s="2186"/>
      <c r="AF199" s="2186"/>
      <c r="AG199" s="2186"/>
      <c r="AH199" s="2186"/>
      <c r="AI199" s="2186"/>
      <c r="AJ199" s="2186"/>
      <c r="AK199" s="2186"/>
      <c r="AL199" s="2186"/>
      <c r="AM199" s="2186"/>
      <c r="AN199" s="2186"/>
      <c r="AO199" s="2186"/>
      <c r="AP199" s="2186"/>
      <c r="AQ199" s="2186"/>
      <c r="AR199" s="2186"/>
      <c r="AS199" s="2186"/>
      <c r="AT199" s="2186"/>
      <c r="AU199" s="2186"/>
      <c r="AV199" s="2186"/>
      <c r="AW199" s="2186"/>
      <c r="AX199" s="2186"/>
      <c r="AY199" s="2186"/>
      <c r="AZ199" s="2186"/>
      <c r="BA199" s="2186"/>
      <c r="BB199" s="2186"/>
      <c r="BC199" s="722" t="s">
        <v>637</v>
      </c>
    </row>
    <row r="200" spans="2:62" ht="18" hidden="1" customHeight="1">
      <c r="C200" s="2172" t="str">
        <f>+"       Căn cứ hợp đồng KSTK "&amp;$B$8&amp;" ngày "&amp;TEXT(NL!U8,"dd/mm/yyyy")&amp;" ký giữa Công ty"</f>
        <v xml:space="preserve">       Căn cứ hợp đồng KSTK Số: 01/HĐKSTK-PCHG ngày 11/01/2017 ký giữa Công ty</v>
      </c>
      <c r="D200" s="2171"/>
      <c r="E200" s="2171"/>
      <c r="F200" s="2171"/>
      <c r="G200" s="2171"/>
      <c r="H200" s="2171"/>
      <c r="I200" s="2171"/>
      <c r="J200" s="2171"/>
      <c r="K200" s="2171"/>
      <c r="L200" s="2171"/>
      <c r="M200" s="2171"/>
      <c r="N200" s="2171"/>
      <c r="O200" s="2171"/>
      <c r="P200" s="2171"/>
      <c r="Q200" s="2171"/>
      <c r="R200" s="2171"/>
      <c r="S200" s="2171"/>
      <c r="T200" s="2171"/>
      <c r="U200" s="2171"/>
      <c r="V200" s="2171"/>
      <c r="W200" s="2171"/>
      <c r="X200" s="2171"/>
      <c r="Y200" s="2171"/>
      <c r="Z200" s="2171"/>
      <c r="AA200" s="2171"/>
      <c r="AB200" s="2171"/>
      <c r="AC200" s="2171"/>
      <c r="AD200" s="2171"/>
      <c r="AE200" s="2171"/>
      <c r="AF200" s="2171"/>
      <c r="AG200" s="2171"/>
      <c r="AH200" s="2171"/>
      <c r="AI200" s="2171"/>
      <c r="AJ200" s="2171"/>
      <c r="AK200" s="2171"/>
      <c r="AL200" s="2171"/>
      <c r="AM200" s="2171"/>
      <c r="AN200" s="2171"/>
      <c r="AO200" s="2171"/>
      <c r="AP200" s="2171"/>
      <c r="AQ200" s="2171"/>
      <c r="AR200" s="2171"/>
      <c r="AS200" s="2171"/>
      <c r="AT200" s="2171"/>
      <c r="AU200" s="2171"/>
      <c r="AV200" s="2171"/>
      <c r="AW200" s="2171"/>
      <c r="AX200" s="2171"/>
      <c r="AY200" s="2171"/>
      <c r="AZ200" s="2171"/>
      <c r="BA200" s="2171"/>
      <c r="BB200" s="2171"/>
      <c r="BC200" s="722" t="s">
        <v>637</v>
      </c>
    </row>
    <row r="201" spans="2:62" ht="18" hidden="1" customHeight="1">
      <c r="C201" s="2184" t="str">
        <f>+"Điện lực Hậu Giang và đại diện "&amp;NL!U19&amp; ";"</f>
        <v>Điện lực Hậu Giang và đại diện Nhà máy xay xát Nguyễn Văn A;</v>
      </c>
      <c r="D201" s="1714"/>
      <c r="E201" s="1714"/>
      <c r="F201" s="1714"/>
      <c r="G201" s="1714"/>
      <c r="H201" s="1714"/>
      <c r="I201" s="1714"/>
      <c r="J201" s="1714"/>
      <c r="K201" s="1714"/>
      <c r="L201" s="1714"/>
      <c r="M201" s="1714"/>
      <c r="N201" s="1714"/>
      <c r="O201" s="1714"/>
      <c r="P201" s="1714"/>
      <c r="Q201" s="1714"/>
      <c r="R201" s="1714"/>
      <c r="S201" s="1714"/>
      <c r="T201" s="1714"/>
      <c r="U201" s="1714"/>
      <c r="V201" s="1714"/>
      <c r="W201" s="1714"/>
      <c r="X201" s="1714"/>
      <c r="Y201" s="1714"/>
      <c r="Z201" s="1714"/>
      <c r="AA201" s="1714"/>
      <c r="AB201" s="1714"/>
      <c r="AC201" s="1714"/>
      <c r="AD201" s="1714"/>
      <c r="AE201" s="1714"/>
      <c r="AF201" s="1714"/>
      <c r="AG201" s="1714"/>
      <c r="AH201" s="1714"/>
      <c r="AI201" s="1714"/>
      <c r="AJ201" s="1714"/>
      <c r="AK201" s="1714"/>
      <c r="AL201" s="1714"/>
      <c r="AM201" s="1714"/>
      <c r="AN201" s="1714"/>
      <c r="AO201" s="1714"/>
      <c r="AP201" s="1714"/>
      <c r="AQ201" s="1714"/>
      <c r="AR201" s="1714"/>
      <c r="AS201" s="1714"/>
      <c r="AT201" s="1714"/>
      <c r="AU201" s="1714"/>
      <c r="AV201" s="1714"/>
      <c r="AW201" s="1714"/>
      <c r="AX201" s="1714"/>
      <c r="AY201" s="1714"/>
      <c r="AZ201" s="1714"/>
      <c r="BA201" s="1714"/>
      <c r="BB201" s="1714"/>
      <c r="BC201" s="722" t="s">
        <v>637</v>
      </c>
    </row>
    <row r="202" spans="2:62" ht="18" hidden="1" customHeight="1">
      <c r="C202" s="2172" t="str">
        <f>+"       Căn cứ BC KT-KT số: "&amp;NL!U2&amp;"/BCKTKT-PCHG"&amp;" ngày "&amp;TEXT(NL!U9,"dd/mm/yyyy")&amp;" đã được phê duyệt."</f>
        <v xml:space="preserve">       Căn cứ BC KT-KT số: 01/BCKTKT-PCHG ngày 07/12/2018 đã được phê duyệt.</v>
      </c>
      <c r="D202" s="2171"/>
      <c r="E202" s="2171"/>
      <c r="F202" s="2171"/>
      <c r="G202" s="2171"/>
      <c r="H202" s="2171"/>
      <c r="I202" s="2171"/>
      <c r="J202" s="2171"/>
      <c r="K202" s="2171"/>
      <c r="L202" s="2171"/>
      <c r="M202" s="2171"/>
      <c r="N202" s="2171"/>
      <c r="O202" s="2171"/>
      <c r="P202" s="2171"/>
      <c r="Q202" s="2171"/>
      <c r="R202" s="2171"/>
      <c r="S202" s="2171"/>
      <c r="T202" s="2171"/>
      <c r="U202" s="2171"/>
      <c r="V202" s="2171"/>
      <c r="W202" s="2171"/>
      <c r="X202" s="2171"/>
      <c r="Y202" s="2171"/>
      <c r="Z202" s="2171"/>
      <c r="AA202" s="2171"/>
      <c r="AB202" s="2171"/>
      <c r="AC202" s="2171"/>
      <c r="AD202" s="2171"/>
      <c r="AE202" s="2171"/>
      <c r="AF202" s="2171"/>
      <c r="AG202" s="2171"/>
      <c r="AH202" s="2171"/>
      <c r="AI202" s="2171"/>
      <c r="AJ202" s="2171"/>
      <c r="AK202" s="2171"/>
      <c r="AL202" s="2171"/>
      <c r="AM202" s="2171"/>
      <c r="AN202" s="2171"/>
      <c r="AO202" s="2171"/>
      <c r="AP202" s="2171"/>
      <c r="AQ202" s="2171"/>
      <c r="AR202" s="2171"/>
      <c r="AS202" s="2171"/>
      <c r="AT202" s="2171"/>
      <c r="AU202" s="2171"/>
      <c r="AV202" s="2171"/>
      <c r="AW202" s="2171"/>
      <c r="AX202" s="2171"/>
      <c r="AY202" s="2171"/>
      <c r="AZ202" s="2171"/>
      <c r="BA202" s="2171"/>
      <c r="BB202" s="2171"/>
      <c r="BC202" s="722" t="s">
        <v>637</v>
      </c>
    </row>
    <row r="203" spans="2:62" ht="18" hidden="1" customHeight="1">
      <c r="C203" s="2184" t="s">
        <v>3083</v>
      </c>
      <c r="D203" s="1714"/>
      <c r="E203" s="1714"/>
      <c r="F203" s="1714"/>
      <c r="G203" s="1714"/>
      <c r="H203" s="1714"/>
      <c r="I203" s="1714"/>
      <c r="J203" s="1714"/>
      <c r="K203" s="1714"/>
      <c r="L203" s="1714"/>
      <c r="M203" s="1714"/>
      <c r="N203" s="1714"/>
      <c r="O203" s="1714"/>
      <c r="P203" s="1714"/>
      <c r="Q203" s="1714"/>
      <c r="R203" s="1714"/>
      <c r="S203" s="1714"/>
      <c r="T203" s="1714"/>
      <c r="U203" s="1714"/>
      <c r="V203" s="1714"/>
      <c r="W203" s="1714"/>
      <c r="X203" s="1714"/>
      <c r="Y203" s="1714"/>
      <c r="Z203" s="1714"/>
      <c r="AA203" s="1714"/>
      <c r="AB203" s="1714"/>
      <c r="AC203" s="1714"/>
      <c r="AD203" s="1714"/>
      <c r="AE203" s="1714"/>
      <c r="AF203" s="1714"/>
      <c r="AG203" s="1714"/>
      <c r="AH203" s="1714"/>
      <c r="AI203" s="1714"/>
      <c r="AJ203" s="1714"/>
      <c r="AK203" s="1714"/>
      <c r="AL203" s="1714"/>
      <c r="AM203" s="1714"/>
      <c r="AN203" s="1714"/>
      <c r="AO203" s="1714"/>
      <c r="AP203" s="1714"/>
      <c r="AQ203" s="1714"/>
      <c r="AR203" s="1714"/>
      <c r="AS203" s="1714"/>
      <c r="AT203" s="1714"/>
      <c r="AU203" s="1714"/>
      <c r="AV203" s="1714"/>
      <c r="AW203" s="1714"/>
      <c r="AX203" s="1714"/>
      <c r="AY203" s="1714"/>
      <c r="AZ203" s="1714"/>
      <c r="BA203" s="1714"/>
      <c r="BB203" s="1714"/>
      <c r="BC203" s="722" t="s">
        <v>637</v>
      </c>
    </row>
    <row r="204" spans="2:62" ht="18" hidden="1" customHeight="1">
      <c r="D204" s="2173" t="s">
        <v>3483</v>
      </c>
      <c r="E204" s="2173"/>
      <c r="F204" s="2173"/>
      <c r="G204" s="2173"/>
      <c r="H204" s="2173"/>
      <c r="I204" s="2173"/>
      <c r="J204" s="2173"/>
      <c r="K204" s="2173"/>
      <c r="L204" s="2173"/>
      <c r="M204" s="2173"/>
      <c r="N204" s="2173"/>
      <c r="O204" s="2173"/>
      <c r="P204" s="2173"/>
      <c r="Q204" s="2173"/>
      <c r="R204" s="2173"/>
      <c r="S204" s="2173"/>
      <c r="T204" s="2173"/>
      <c r="U204" s="2173"/>
      <c r="V204" s="2173"/>
      <c r="W204" s="2173"/>
      <c r="X204" s="2173"/>
      <c r="Y204" s="2173"/>
      <c r="Z204" s="2173"/>
      <c r="AA204" s="2173"/>
      <c r="AB204" s="2173"/>
      <c r="AC204" s="2173"/>
      <c r="AD204" s="2173"/>
      <c r="AE204" s="2173"/>
      <c r="AF204" s="2173"/>
      <c r="AG204" s="2173"/>
      <c r="AH204" s="2173"/>
      <c r="AI204" s="2173"/>
      <c r="AJ204" s="2173"/>
      <c r="AK204" s="2173"/>
      <c r="AL204" s="2173"/>
      <c r="AM204" s="2173"/>
      <c r="AN204" s="2173"/>
      <c r="AO204" s="2173"/>
      <c r="AP204" s="2173"/>
      <c r="AQ204" s="2173"/>
      <c r="AR204" s="2173"/>
      <c r="AS204" s="2173"/>
      <c r="AT204" s="2173"/>
      <c r="AU204" s="2173"/>
      <c r="AV204" s="2173"/>
      <c r="AW204" s="2173"/>
      <c r="AX204" s="2173"/>
      <c r="AY204" s="2173"/>
      <c r="AZ204" s="2173"/>
      <c r="BA204" s="2173"/>
      <c r="BB204" s="2173"/>
      <c r="BC204" s="722" t="s">
        <v>637</v>
      </c>
    </row>
    <row r="205" spans="2:62" ht="18" hidden="1" customHeight="1">
      <c r="F205" s="102" t="s">
        <v>6344</v>
      </c>
      <c r="G205" s="2171" t="s">
        <v>2068</v>
      </c>
      <c r="H205" s="2171"/>
      <c r="I205" s="2171"/>
      <c r="J205" s="2171"/>
      <c r="K205" s="2171"/>
      <c r="L205" s="2171"/>
      <c r="M205" s="2171"/>
      <c r="N205" s="2171"/>
      <c r="O205" s="2171"/>
      <c r="P205" s="2171"/>
      <c r="Q205" s="91" t="s">
        <v>944</v>
      </c>
      <c r="R205" s="2173" t="str">
        <f>NL!$U$13</f>
        <v>TỔNG CÔNG TY ĐIỆN LỰC MIỀN NAM</v>
      </c>
      <c r="S205" s="2173"/>
      <c r="T205" s="2173"/>
      <c r="U205" s="2173"/>
      <c r="V205" s="2173"/>
      <c r="W205" s="2173"/>
      <c r="X205" s="2173"/>
      <c r="Y205" s="2173"/>
      <c r="Z205" s="2173"/>
      <c r="AA205" s="2173"/>
      <c r="AB205" s="2173"/>
      <c r="AC205" s="2173"/>
      <c r="AD205" s="2173"/>
      <c r="AE205" s="2173"/>
      <c r="AF205" s="2173"/>
      <c r="AG205" s="2173"/>
      <c r="AH205" s="2173"/>
      <c r="AI205" s="2173"/>
      <c r="AJ205" s="2173"/>
      <c r="AK205" s="2173"/>
      <c r="AL205" s="2173"/>
      <c r="AM205" s="2173"/>
      <c r="AN205" s="2173"/>
      <c r="AO205" s="2173"/>
      <c r="AP205" s="2173"/>
      <c r="AQ205" s="2173"/>
      <c r="AR205" s="2173"/>
      <c r="AS205" s="2173"/>
      <c r="AT205" s="2173"/>
      <c r="AU205" s="2173"/>
      <c r="AV205" s="2173"/>
      <c r="AW205" s="2173"/>
      <c r="AX205" s="2173"/>
      <c r="AY205" s="2173"/>
      <c r="AZ205" s="2173"/>
      <c r="BA205" s="2173"/>
      <c r="BB205" s="2173"/>
      <c r="BC205" s="722" t="s">
        <v>637</v>
      </c>
    </row>
    <row r="206" spans="2:62" ht="18" hidden="1" customHeight="1">
      <c r="F206" s="102" t="s">
        <v>6344</v>
      </c>
      <c r="G206" s="2171" t="s">
        <v>3484</v>
      </c>
      <c r="H206" s="2171"/>
      <c r="I206" s="2171"/>
      <c r="J206" s="2171"/>
      <c r="K206" s="2171"/>
      <c r="L206" s="2171"/>
      <c r="M206" s="2171"/>
      <c r="N206" s="2171"/>
      <c r="O206" s="2171"/>
      <c r="P206" s="2171"/>
      <c r="Q206" s="91" t="s">
        <v>944</v>
      </c>
      <c r="R206" s="2002" t="str">
        <f>NL!$U$18</f>
        <v>ông</v>
      </c>
      <c r="S206" s="2002"/>
      <c r="T206" s="2030" t="str">
        <f>NL!$W$18</f>
        <v>NGUYỄN VĂN A</v>
      </c>
      <c r="U206" s="2030"/>
      <c r="V206" s="2030"/>
      <c r="W206" s="2030"/>
      <c r="X206" s="2030"/>
      <c r="Y206" s="2030"/>
      <c r="Z206" s="2030"/>
      <c r="AA206" s="2030"/>
      <c r="AB206" s="2030"/>
      <c r="AC206" s="2030"/>
      <c r="AD206" s="2030"/>
      <c r="AE206" s="2030"/>
      <c r="AF206" s="2030"/>
      <c r="AG206" s="2030"/>
      <c r="AH206" s="2030"/>
      <c r="AI206" s="2030"/>
      <c r="AJ206" s="2030"/>
      <c r="AK206" s="2030"/>
      <c r="AL206" s="102" t="s">
        <v>3485</v>
      </c>
      <c r="AO206" s="106"/>
      <c r="AR206" s="106" t="str">
        <f>NL!$AR$18</f>
        <v>CHỦ CƠ SỞ</v>
      </c>
      <c r="AT206" s="119"/>
      <c r="AU206" s="119"/>
      <c r="AV206" s="119"/>
      <c r="AW206" s="119"/>
      <c r="AX206" s="119"/>
      <c r="AY206" s="119"/>
      <c r="AZ206" s="119"/>
      <c r="BA206" s="119"/>
      <c r="BB206" s="119"/>
      <c r="BC206" s="722" t="s">
        <v>637</v>
      </c>
    </row>
    <row r="207" spans="2:62" ht="18" hidden="1" customHeight="1">
      <c r="D207" s="2173" t="s">
        <v>3486</v>
      </c>
      <c r="E207" s="2173"/>
      <c r="F207" s="2173"/>
      <c r="G207" s="2173"/>
      <c r="H207" s="2173"/>
      <c r="I207" s="2173"/>
      <c r="J207" s="2173"/>
      <c r="K207" s="2173"/>
      <c r="L207" s="2173"/>
      <c r="M207" s="2173"/>
      <c r="N207" s="2173"/>
      <c r="O207" s="2173"/>
      <c r="P207" s="2173"/>
      <c r="Q207" s="2173"/>
      <c r="R207" s="2173"/>
      <c r="S207" s="2173"/>
      <c r="T207" s="2173"/>
      <c r="U207" s="2173"/>
      <c r="V207" s="2173"/>
      <c r="W207" s="2173"/>
      <c r="X207" s="2173"/>
      <c r="Y207" s="2173"/>
      <c r="Z207" s="2173"/>
      <c r="AA207" s="2173"/>
      <c r="AB207" s="2173"/>
      <c r="AC207" s="2173"/>
      <c r="AD207" s="2173"/>
      <c r="AE207" s="2173"/>
      <c r="AF207" s="2173"/>
      <c r="AG207" s="2173"/>
      <c r="AH207" s="2173"/>
      <c r="AI207" s="2173"/>
      <c r="AJ207" s="2173"/>
      <c r="AK207" s="2173"/>
      <c r="AL207" s="2173"/>
      <c r="AM207" s="2173"/>
      <c r="AN207" s="2173"/>
      <c r="AO207" s="2173"/>
      <c r="AP207" s="2173"/>
      <c r="AQ207" s="2173"/>
      <c r="AR207" s="2173"/>
      <c r="AS207" s="2173"/>
      <c r="AT207" s="2173"/>
      <c r="AU207" s="2173"/>
      <c r="AV207" s="2173"/>
      <c r="AW207" s="2173"/>
      <c r="AX207" s="2173"/>
      <c r="AY207" s="2173"/>
      <c r="AZ207" s="2173"/>
      <c r="BA207" s="2173"/>
      <c r="BB207" s="2173"/>
      <c r="BC207" s="722" t="s">
        <v>637</v>
      </c>
    </row>
    <row r="208" spans="2:62" ht="18" hidden="1" customHeight="1">
      <c r="F208" s="102" t="s">
        <v>6344</v>
      </c>
      <c r="G208" s="2171" t="s">
        <v>2068</v>
      </c>
      <c r="H208" s="2171"/>
      <c r="I208" s="2171"/>
      <c r="J208" s="2171"/>
      <c r="K208" s="2171"/>
      <c r="L208" s="2171"/>
      <c r="M208" s="2171"/>
      <c r="N208" s="2171"/>
      <c r="O208" s="2171"/>
      <c r="P208" s="2171"/>
      <c r="Q208" s="91" t="s">
        <v>944</v>
      </c>
      <c r="R208" s="2173" t="s">
        <v>318</v>
      </c>
      <c r="S208" s="2173"/>
      <c r="T208" s="2173"/>
      <c r="U208" s="2173"/>
      <c r="V208" s="2173"/>
      <c r="W208" s="2173"/>
      <c r="X208" s="2173"/>
      <c r="Y208" s="2173"/>
      <c r="Z208" s="2173"/>
      <c r="AA208" s="2173"/>
      <c r="AB208" s="2173"/>
      <c r="AC208" s="2173"/>
      <c r="AD208" s="2173"/>
      <c r="AE208" s="2173"/>
      <c r="AF208" s="2173"/>
      <c r="AG208" s="2173"/>
      <c r="AH208" s="2173"/>
      <c r="AI208" s="2173"/>
      <c r="AJ208" s="2173"/>
      <c r="AK208" s="2173"/>
      <c r="AL208" s="2173"/>
      <c r="AM208" s="2173"/>
      <c r="AN208" s="2173"/>
      <c r="AO208" s="2173"/>
      <c r="AP208" s="2173"/>
      <c r="AQ208" s="2173"/>
      <c r="AR208" s="2173"/>
      <c r="AS208" s="2173"/>
      <c r="AT208" s="2173"/>
      <c r="AU208" s="2173"/>
      <c r="AV208" s="2173"/>
      <c r="AW208" s="2173"/>
      <c r="AX208" s="2173"/>
      <c r="AY208" s="2173"/>
      <c r="AZ208" s="2173"/>
      <c r="BA208" s="2173"/>
      <c r="BB208" s="2173"/>
      <c r="BC208" s="722" t="s">
        <v>637</v>
      </c>
    </row>
    <row r="209" spans="2:55" ht="18" hidden="1" customHeight="1">
      <c r="F209" s="102" t="s">
        <v>6344</v>
      </c>
      <c r="G209" s="2171" t="s">
        <v>3484</v>
      </c>
      <c r="H209" s="2171"/>
      <c r="I209" s="2171"/>
      <c r="J209" s="2171"/>
      <c r="K209" s="2171"/>
      <c r="L209" s="2171"/>
      <c r="M209" s="2171"/>
      <c r="N209" s="2171"/>
      <c r="O209" s="2171"/>
      <c r="P209" s="2171"/>
      <c r="Q209" s="91" t="s">
        <v>944</v>
      </c>
      <c r="R209" s="2002" t="s">
        <v>5940</v>
      </c>
      <c r="S209" s="2002"/>
      <c r="T209" s="2030" t="s">
        <v>3488</v>
      </c>
      <c r="U209" s="2030"/>
      <c r="V209" s="2030"/>
      <c r="W209" s="2030"/>
      <c r="X209" s="2030"/>
      <c r="Y209" s="2030"/>
      <c r="Z209" s="2030"/>
      <c r="AA209" s="2030"/>
      <c r="AB209" s="2030"/>
      <c r="AC209" s="2030"/>
      <c r="AD209" s="2030"/>
      <c r="AE209" s="2030"/>
      <c r="AF209" s="2030"/>
      <c r="AG209" s="2030"/>
      <c r="AH209" s="2030"/>
      <c r="AI209" s="2030"/>
      <c r="AJ209" s="2030"/>
      <c r="AK209" s="2030"/>
      <c r="AL209" s="102" t="s">
        <v>3485</v>
      </c>
      <c r="AO209" s="119"/>
      <c r="AP209" s="119"/>
      <c r="AQ209" s="119"/>
      <c r="AR209" s="119" t="s">
        <v>5941</v>
      </c>
      <c r="AS209" s="119"/>
      <c r="AT209" s="119"/>
      <c r="AU209" s="119"/>
      <c r="AV209" s="119"/>
      <c r="AW209" s="119"/>
      <c r="AX209" s="119"/>
      <c r="BC209" s="722" t="s">
        <v>637</v>
      </c>
    </row>
    <row r="210" spans="2:55" ht="18" hidden="1" customHeight="1">
      <c r="E210" s="2171" t="str">
        <f>"Cùng tiến hành thanh lý hợp đồng KSTK "&amp;B8&amp;" ngày "&amp;TEXT(NL!U8,"dd/mm/yyyy")&amp;" cho:"</f>
        <v>Cùng tiến hành thanh lý hợp đồng KSTK Số: 01/HĐKSTK-PCHG ngày 11/01/2017 cho:</v>
      </c>
      <c r="F210" s="2171"/>
      <c r="G210" s="2171"/>
      <c r="H210" s="2171"/>
      <c r="I210" s="2171"/>
      <c r="J210" s="2171"/>
      <c r="K210" s="2171"/>
      <c r="L210" s="2171"/>
      <c r="M210" s="2171"/>
      <c r="N210" s="2171"/>
      <c r="O210" s="2171"/>
      <c r="P210" s="2171"/>
      <c r="Q210" s="2171"/>
      <c r="R210" s="2171"/>
      <c r="S210" s="2171"/>
      <c r="T210" s="2171"/>
      <c r="U210" s="2171"/>
      <c r="V210" s="2171"/>
      <c r="W210" s="2171"/>
      <c r="X210" s="2171"/>
      <c r="Y210" s="2171"/>
      <c r="Z210" s="2171"/>
      <c r="AA210" s="2171"/>
      <c r="AB210" s="2171"/>
      <c r="AC210" s="2171"/>
      <c r="AD210" s="2171"/>
      <c r="AE210" s="2171"/>
      <c r="AF210" s="2171"/>
      <c r="AG210" s="2171"/>
      <c r="AH210" s="2171"/>
      <c r="AI210" s="2171"/>
      <c r="AJ210" s="2171"/>
      <c r="AK210" s="2171"/>
      <c r="AL210" s="2171"/>
      <c r="AM210" s="2171"/>
      <c r="AN210" s="2171"/>
      <c r="AO210" s="2171"/>
      <c r="AP210" s="2171"/>
      <c r="AQ210" s="2171"/>
      <c r="AR210" s="2171"/>
      <c r="AS210" s="2171"/>
      <c r="AT210" s="2171"/>
      <c r="AU210" s="2171"/>
      <c r="AV210" s="2171"/>
      <c r="AW210" s="2171"/>
      <c r="AX210" s="2171"/>
      <c r="AY210" s="2171"/>
      <c r="AZ210" s="2171"/>
      <c r="BA210" s="2171"/>
      <c r="BB210" s="2171"/>
      <c r="BC210" s="722" t="s">
        <v>637</v>
      </c>
    </row>
    <row r="211" spans="2:55" ht="18" hidden="1" customHeight="1">
      <c r="B211" s="2030" t="str">
        <f>+"Công trình: "&amp;NL!$U$3</f>
        <v>Công trình: XÂY DỰNG ĐƯỜNG DÂY TRUNG HẠ ÁP &amp; TRẠM BIẾN ÁP</v>
      </c>
      <c r="C211" s="2030"/>
      <c r="D211" s="2030"/>
      <c r="E211" s="2030"/>
      <c r="F211" s="2030"/>
      <c r="G211" s="2030"/>
      <c r="H211" s="2030"/>
      <c r="I211" s="2030"/>
      <c r="J211" s="2030"/>
      <c r="K211" s="2030"/>
      <c r="L211" s="2030"/>
      <c r="M211" s="2030"/>
      <c r="N211" s="2030"/>
      <c r="O211" s="2030"/>
      <c r="P211" s="2030"/>
      <c r="Q211" s="2030"/>
      <c r="R211" s="2030"/>
      <c r="S211" s="2030"/>
      <c r="T211" s="2030"/>
      <c r="U211" s="2030"/>
      <c r="V211" s="2030"/>
      <c r="W211" s="2030"/>
      <c r="X211" s="2030"/>
      <c r="Y211" s="2030"/>
      <c r="Z211" s="2030"/>
      <c r="AA211" s="2030"/>
      <c r="AB211" s="2030"/>
      <c r="AC211" s="2030"/>
      <c r="AD211" s="2030"/>
      <c r="AE211" s="2030"/>
      <c r="AF211" s="2030"/>
      <c r="AG211" s="2030"/>
      <c r="AH211" s="2030"/>
      <c r="AI211" s="2030"/>
      <c r="AJ211" s="2030"/>
      <c r="AK211" s="2030"/>
      <c r="AL211" s="2030"/>
      <c r="AM211" s="2030"/>
      <c r="AN211" s="2030"/>
      <c r="AO211" s="2030"/>
      <c r="AP211" s="2030"/>
      <c r="AQ211" s="2030"/>
      <c r="AR211" s="2030"/>
      <c r="AS211" s="2030"/>
      <c r="AT211" s="2030"/>
      <c r="AU211" s="2030"/>
      <c r="AV211" s="2030"/>
      <c r="AW211" s="2030"/>
      <c r="AX211" s="2030"/>
      <c r="AY211" s="2030"/>
      <c r="AZ211" s="2030"/>
      <c r="BA211" s="2030"/>
      <c r="BB211" s="2030"/>
      <c r="BC211" s="722" t="s">
        <v>637</v>
      </c>
    </row>
    <row r="212" spans="2:55" ht="18" hidden="1" customHeight="1">
      <c r="B212" s="2030" t="str">
        <f>NL!$U$4</f>
        <v>HUYỆN CHÂU THÀNH, TX NGÃ BẢY</v>
      </c>
      <c r="C212" s="2030"/>
      <c r="D212" s="2030"/>
      <c r="E212" s="2030"/>
      <c r="F212" s="2030"/>
      <c r="G212" s="2030"/>
      <c r="H212" s="2030"/>
      <c r="I212" s="2030"/>
      <c r="J212" s="2030"/>
      <c r="K212" s="2030"/>
      <c r="L212" s="2030"/>
      <c r="M212" s="2030"/>
      <c r="N212" s="2030"/>
      <c r="O212" s="2030"/>
      <c r="P212" s="2030"/>
      <c r="Q212" s="2030"/>
      <c r="R212" s="2030"/>
      <c r="S212" s="2030"/>
      <c r="T212" s="2030"/>
      <c r="U212" s="2030"/>
      <c r="V212" s="2030"/>
      <c r="W212" s="2030"/>
      <c r="X212" s="2030"/>
      <c r="Y212" s="2030"/>
      <c r="Z212" s="2030"/>
      <c r="AA212" s="2030"/>
      <c r="AB212" s="2030"/>
      <c r="AC212" s="2030"/>
      <c r="AD212" s="2030"/>
      <c r="AE212" s="2030"/>
      <c r="AF212" s="2030"/>
      <c r="AG212" s="2030"/>
      <c r="AH212" s="2030"/>
      <c r="AI212" s="2030"/>
      <c r="AJ212" s="2030"/>
      <c r="AK212" s="2030"/>
      <c r="AL212" s="2030"/>
      <c r="AM212" s="2030"/>
      <c r="AN212" s="2030"/>
      <c r="AO212" s="2030"/>
      <c r="AP212" s="2030"/>
      <c r="AQ212" s="2030"/>
      <c r="AR212" s="2030"/>
      <c r="AS212" s="2030"/>
      <c r="AT212" s="2030"/>
      <c r="AU212" s="2030"/>
      <c r="AV212" s="2030"/>
      <c r="AW212" s="2030"/>
      <c r="AX212" s="2030"/>
      <c r="AY212" s="2030"/>
      <c r="AZ212" s="2030"/>
      <c r="BA212" s="2030"/>
      <c r="BB212" s="2030"/>
      <c r="BC212" s="722" t="s">
        <v>637</v>
      </c>
    </row>
    <row r="213" spans="2:55" ht="17.100000000000001" hidden="1" customHeight="1">
      <c r="B213" s="2030" t="str">
        <f>+"Địa điểm: "&amp;NL!$U$5</f>
        <v>Địa điểm: Huyện Châu Thành &amp; Tx.Ngã Bảy, tỉnh Hậu Giang</v>
      </c>
      <c r="C213" s="2030"/>
      <c r="D213" s="2030"/>
      <c r="E213" s="2030"/>
      <c r="F213" s="2030"/>
      <c r="G213" s="2030"/>
      <c r="H213" s="2030"/>
      <c r="I213" s="2030"/>
      <c r="J213" s="2030"/>
      <c r="K213" s="2030"/>
      <c r="L213" s="2030"/>
      <c r="M213" s="2030"/>
      <c r="N213" s="2030"/>
      <c r="O213" s="2030"/>
      <c r="P213" s="2030"/>
      <c r="Q213" s="2030"/>
      <c r="R213" s="2030"/>
      <c r="S213" s="2030"/>
      <c r="T213" s="2030"/>
      <c r="U213" s="2030"/>
      <c r="V213" s="2030"/>
      <c r="W213" s="2030"/>
      <c r="X213" s="2030"/>
      <c r="Y213" s="2030"/>
      <c r="Z213" s="2030"/>
      <c r="AA213" s="2030"/>
      <c r="AB213" s="2030"/>
      <c r="AC213" s="2030"/>
      <c r="AD213" s="2030"/>
      <c r="AE213" s="2030"/>
      <c r="AF213" s="2030"/>
      <c r="AG213" s="2030"/>
      <c r="AH213" s="2030"/>
      <c r="AI213" s="2030"/>
      <c r="AJ213" s="2030"/>
      <c r="AK213" s="2030"/>
      <c r="AL213" s="2030"/>
      <c r="AM213" s="2030"/>
      <c r="AN213" s="2030"/>
      <c r="AO213" s="2030"/>
      <c r="AP213" s="2030"/>
      <c r="AQ213" s="2030"/>
      <c r="AR213" s="2030"/>
      <c r="AS213" s="2030"/>
      <c r="AT213" s="2030"/>
      <c r="AU213" s="2030"/>
      <c r="AV213" s="2030"/>
      <c r="AW213" s="2030"/>
      <c r="AX213" s="2030"/>
      <c r="AY213" s="2030"/>
      <c r="AZ213" s="2030"/>
      <c r="BA213" s="2030"/>
      <c r="BB213" s="2030"/>
      <c r="BC213" s="722" t="s">
        <v>637</v>
      </c>
    </row>
    <row r="214" spans="2:55" ht="17.100000000000001" hidden="1" customHeight="1">
      <c r="D214" s="2171" t="s">
        <v>1740</v>
      </c>
      <c r="E214" s="2173"/>
      <c r="F214" s="2173"/>
      <c r="G214" s="2173"/>
      <c r="H214" s="2173"/>
      <c r="I214" s="2173"/>
      <c r="J214" s="2173"/>
      <c r="K214" s="2173"/>
      <c r="L214" s="2173"/>
      <c r="M214" s="2173"/>
      <c r="N214" s="2173"/>
      <c r="O214" s="2173"/>
      <c r="P214" s="2173"/>
      <c r="Q214" s="2173"/>
      <c r="R214" s="2173"/>
      <c r="S214" s="2173"/>
      <c r="T214" s="2173"/>
      <c r="U214" s="2173"/>
      <c r="V214" s="2173"/>
      <c r="W214" s="2173"/>
      <c r="X214" s="2173"/>
      <c r="Y214" s="2173"/>
      <c r="Z214" s="2173"/>
      <c r="AA214" s="2173"/>
      <c r="AB214" s="2173"/>
      <c r="AC214" s="2173"/>
      <c r="AD214" s="2173"/>
      <c r="AE214" s="2173"/>
      <c r="AF214" s="2173"/>
      <c r="AG214" s="2173"/>
      <c r="AH214" s="2173"/>
      <c r="AI214" s="2173"/>
      <c r="AJ214" s="2173"/>
      <c r="AK214" s="2173"/>
      <c r="AL214" s="2173"/>
      <c r="AM214" s="2173"/>
      <c r="AN214" s="2173"/>
      <c r="AO214" s="2173"/>
      <c r="AP214" s="2173"/>
      <c r="AQ214" s="2173"/>
      <c r="AR214" s="2173"/>
      <c r="AS214" s="2173"/>
      <c r="AT214" s="2173"/>
      <c r="AU214" s="2173"/>
      <c r="AV214" s="2173"/>
      <c r="AW214" s="2173"/>
      <c r="AX214" s="2173"/>
      <c r="AY214" s="2173"/>
      <c r="AZ214" s="2173"/>
      <c r="BA214" s="2173"/>
      <c r="BB214" s="2173"/>
      <c r="BC214" s="722" t="s">
        <v>637</v>
      </c>
    </row>
    <row r="215" spans="2:55" ht="17.100000000000001" hidden="1" customHeight="1">
      <c r="B215" s="2172" t="str">
        <f>"BC KT-KT Số: "&amp;NL!U2&amp;"/BCKTKT-PCHG"&amp;" ngày "&amp;TEXT(NL!U9,"dd/ mm/ yyyy")&amp;" do PCHG thiết lập."</f>
        <v>BC KT-KT Số: 01/BCKTKT-PCHG ngày 07/ 12/ 2018 do PCHG thiết lập.</v>
      </c>
      <c r="C215" s="2171"/>
      <c r="D215" s="2171"/>
      <c r="E215" s="2171"/>
      <c r="F215" s="2171"/>
      <c r="G215" s="2171"/>
      <c r="H215" s="2171"/>
      <c r="I215" s="2171"/>
      <c r="J215" s="2171"/>
      <c r="K215" s="2171"/>
      <c r="L215" s="2171"/>
      <c r="M215" s="2171"/>
      <c r="N215" s="2171"/>
      <c r="O215" s="2171"/>
      <c r="P215" s="2171"/>
      <c r="Q215" s="2171"/>
      <c r="R215" s="2171"/>
      <c r="S215" s="2171"/>
      <c r="T215" s="2171"/>
      <c r="U215" s="2171"/>
      <c r="V215" s="2171"/>
      <c r="W215" s="2171"/>
      <c r="X215" s="2171"/>
      <c r="Y215" s="2171"/>
      <c r="Z215" s="2171"/>
      <c r="AA215" s="2171"/>
      <c r="AB215" s="2171"/>
      <c r="AC215" s="2171"/>
      <c r="AD215" s="2171"/>
      <c r="AE215" s="2171"/>
      <c r="AF215" s="2171"/>
      <c r="AG215" s="2171"/>
      <c r="AH215" s="2171"/>
      <c r="AI215" s="2171"/>
      <c r="AJ215" s="2171"/>
      <c r="AK215" s="2171"/>
      <c r="AL215" s="2171"/>
      <c r="AM215" s="2171"/>
      <c r="AN215" s="2171"/>
      <c r="AO215" s="2171"/>
      <c r="AP215" s="2171"/>
      <c r="AQ215" s="2171"/>
      <c r="AR215" s="2171"/>
      <c r="AS215" s="2171"/>
      <c r="AT215" s="2171"/>
      <c r="AU215" s="2171"/>
      <c r="AV215" s="2171"/>
      <c r="AW215" s="2171"/>
      <c r="AX215" s="2171"/>
      <c r="AY215" s="2171"/>
      <c r="AZ215" s="2171"/>
      <c r="BA215" s="2171"/>
      <c r="BB215" s="2171"/>
      <c r="BC215" s="722" t="s">
        <v>637</v>
      </c>
    </row>
    <row r="216" spans="2:55" ht="17.100000000000001" hidden="1" customHeight="1">
      <c r="D216" s="2173" t="s">
        <v>660</v>
      </c>
      <c r="E216" s="2173"/>
      <c r="F216" s="2173"/>
      <c r="G216" s="2173"/>
      <c r="H216" s="2173"/>
      <c r="I216" s="2173"/>
      <c r="J216" s="2173"/>
      <c r="K216" s="2173"/>
      <c r="L216" s="2173"/>
      <c r="M216" s="2173"/>
      <c r="N216" s="2173"/>
      <c r="O216" s="2173"/>
      <c r="P216" s="2173"/>
      <c r="Q216" s="2173"/>
      <c r="R216" s="2173"/>
      <c r="S216" s="2173"/>
      <c r="T216" s="2173"/>
      <c r="U216" s="2173"/>
      <c r="V216" s="2173"/>
      <c r="W216" s="2173"/>
      <c r="X216" s="2173"/>
      <c r="Y216" s="2173"/>
      <c r="Z216" s="2173"/>
      <c r="AA216" s="2173"/>
      <c r="AB216" s="2173"/>
      <c r="AC216" s="2173"/>
      <c r="AD216" s="2173"/>
      <c r="AE216" s="2173"/>
      <c r="AF216" s="2173"/>
      <c r="AG216" s="2173"/>
      <c r="AH216" s="2173"/>
      <c r="AI216" s="2173"/>
      <c r="AJ216" s="2173"/>
      <c r="AK216" s="2173"/>
      <c r="AL216" s="2173"/>
      <c r="AM216" s="2173"/>
      <c r="AN216" s="2173"/>
      <c r="AO216" s="2173"/>
      <c r="AP216" s="2173"/>
      <c r="AQ216" s="2173"/>
      <c r="AR216" s="2173"/>
      <c r="AS216" s="2173"/>
      <c r="AT216" s="2173"/>
      <c r="AU216" s="2173"/>
      <c r="AV216" s="2173"/>
      <c r="AW216" s="2173"/>
      <c r="AX216" s="2173"/>
      <c r="AY216" s="2173"/>
      <c r="AZ216" s="2173"/>
      <c r="BA216" s="2173"/>
      <c r="BB216" s="2173"/>
      <c r="BC216" s="722" t="s">
        <v>637</v>
      </c>
    </row>
    <row r="217" spans="2:55" ht="17.100000000000001" hidden="1" customHeight="1">
      <c r="I217" s="102" t="s">
        <v>661</v>
      </c>
      <c r="P217" s="91"/>
      <c r="AO217" s="105" t="s">
        <v>3306</v>
      </c>
      <c r="AP217" s="2174" t="e">
        <f>+AP81</f>
        <v>#REF!</v>
      </c>
      <c r="AQ217" s="2174"/>
      <c r="AR217" s="2174"/>
      <c r="AS217" s="2174"/>
      <c r="AT217" s="2174"/>
      <c r="AU217" s="2174"/>
      <c r="AV217" s="2174"/>
      <c r="AW217" s="2174"/>
      <c r="AX217" s="2174"/>
      <c r="AY217" s="2174"/>
      <c r="AZ217" s="125" t="s">
        <v>4160</v>
      </c>
      <c r="BC217" s="722" t="s">
        <v>637</v>
      </c>
    </row>
    <row r="218" spans="2:55" ht="17.100000000000001" hidden="1" customHeight="1">
      <c r="I218" s="102" t="s">
        <v>662</v>
      </c>
      <c r="AO218" s="102" t="s">
        <v>3306</v>
      </c>
      <c r="AP218" s="2174" t="e">
        <f>+AP219+AP220</f>
        <v>#REF!</v>
      </c>
      <c r="AQ218" s="2191"/>
      <c r="AR218" s="2191"/>
      <c r="AS218" s="2191"/>
      <c r="AT218" s="2191"/>
      <c r="AU218" s="2191"/>
      <c r="AV218" s="2191"/>
      <c r="AW218" s="2191"/>
      <c r="AX218" s="2191"/>
      <c r="AY218" s="2191"/>
      <c r="AZ218" s="119" t="s">
        <v>4160</v>
      </c>
      <c r="BC218" s="722" t="s">
        <v>637</v>
      </c>
    </row>
    <row r="219" spans="2:55" ht="17.100000000000001" hidden="1" customHeight="1">
      <c r="K219" s="109" t="s">
        <v>4068</v>
      </c>
      <c r="P219" s="91"/>
      <c r="AO219" s="105" t="s">
        <v>3306</v>
      </c>
      <c r="AP219" s="2174" t="e">
        <f>AP76</f>
        <v>#REF!</v>
      </c>
      <c r="AQ219" s="2174"/>
      <c r="AR219" s="2174"/>
      <c r="AS219" s="2174"/>
      <c r="AT219" s="2174"/>
      <c r="AU219" s="2174"/>
      <c r="AV219" s="2174"/>
      <c r="AW219" s="2174"/>
      <c r="AX219" s="2174"/>
      <c r="AY219" s="2174"/>
      <c r="AZ219" s="125" t="s">
        <v>4160</v>
      </c>
      <c r="BC219" s="722" t="s">
        <v>637</v>
      </c>
    </row>
    <row r="220" spans="2:55" ht="15.75" hidden="1">
      <c r="K220" s="109" t="s">
        <v>4069</v>
      </c>
      <c r="P220" s="91"/>
      <c r="AO220" s="105" t="s">
        <v>3306</v>
      </c>
      <c r="AP220" s="2174">
        <f>AP80</f>
        <v>236755715</v>
      </c>
      <c r="AQ220" s="2174"/>
      <c r="AR220" s="2174"/>
      <c r="AS220" s="2174"/>
      <c r="AT220" s="2174"/>
      <c r="AU220" s="2174"/>
      <c r="AV220" s="2174"/>
      <c r="AW220" s="2174"/>
      <c r="AX220" s="2174"/>
      <c r="AY220" s="2174"/>
      <c r="AZ220" s="125" t="s">
        <v>4160</v>
      </c>
      <c r="BC220" s="722" t="s">
        <v>637</v>
      </c>
    </row>
    <row r="221" spans="2:55" ht="15.75" hidden="1">
      <c r="E221" s="109"/>
      <c r="F221" s="109"/>
      <c r="G221" s="109"/>
      <c r="H221" s="109"/>
      <c r="K221" s="109"/>
      <c r="L221" s="109"/>
      <c r="M221" s="109"/>
      <c r="N221" s="109"/>
      <c r="O221" s="109"/>
      <c r="P221" s="91"/>
      <c r="Q221" s="126"/>
      <c r="R221" s="126"/>
      <c r="S221" s="126"/>
      <c r="T221" s="126"/>
      <c r="U221" s="126"/>
      <c r="V221" s="126"/>
      <c r="W221" s="126"/>
      <c r="X221" s="126"/>
      <c r="Y221" s="126"/>
      <c r="Z221" s="126"/>
      <c r="AA221" s="126"/>
      <c r="AB221" s="126"/>
      <c r="AC221" s="126"/>
      <c r="AD221" s="126"/>
      <c r="AE221" s="126"/>
      <c r="AF221" s="126"/>
      <c r="AH221" s="125"/>
      <c r="AI221" s="119"/>
      <c r="AJ221" s="119"/>
      <c r="AK221" s="119"/>
      <c r="AL221" s="119"/>
      <c r="AM221" s="119"/>
      <c r="AN221" s="119"/>
      <c r="AO221" s="91" t="s">
        <v>3306</v>
      </c>
      <c r="AP221" s="2174" t="e">
        <f>+AP217</f>
        <v>#REF!</v>
      </c>
      <c r="AQ221" s="2174"/>
      <c r="AR221" s="2174"/>
      <c r="AS221" s="2174"/>
      <c r="AT221" s="2174"/>
      <c r="AU221" s="2174"/>
      <c r="AV221" s="2174"/>
      <c r="AW221" s="2174"/>
      <c r="AX221" s="2174"/>
      <c r="AY221" s="2174"/>
      <c r="AZ221" s="125" t="s">
        <v>4160</v>
      </c>
      <c r="BC221" s="722"/>
    </row>
    <row r="222" spans="2:55" ht="15.75" hidden="1">
      <c r="F222" s="109"/>
      <c r="G222" s="109"/>
      <c r="H222" s="109"/>
      <c r="I222" s="102" t="s">
        <v>663</v>
      </c>
      <c r="K222" s="109"/>
      <c r="L222" s="109"/>
      <c r="M222" s="109"/>
      <c r="N222" s="109"/>
      <c r="O222" s="109"/>
      <c r="P222" s="91"/>
      <c r="Q222" s="127"/>
      <c r="R222" s="127"/>
      <c r="S222" s="127"/>
      <c r="T222" s="127"/>
      <c r="U222" s="127"/>
      <c r="V222" s="127"/>
      <c r="W222" s="127"/>
      <c r="X222" s="127"/>
      <c r="Y222" s="127"/>
      <c r="Z222" s="127"/>
      <c r="AA222" s="127"/>
      <c r="AB222" s="127"/>
      <c r="AC222" s="127"/>
      <c r="AD222" s="127"/>
      <c r="AE222" s="127"/>
      <c r="AF222" s="127"/>
      <c r="AO222" s="91" t="s">
        <v>3306</v>
      </c>
      <c r="AP222" s="2174">
        <f>+AQ92</f>
        <v>0</v>
      </c>
      <c r="AQ222" s="2174"/>
      <c r="AR222" s="2174"/>
      <c r="AS222" s="2174"/>
      <c r="AT222" s="2174"/>
      <c r="AU222" s="2174"/>
      <c r="AV222" s="2174"/>
      <c r="AW222" s="2174"/>
      <c r="AX222" s="2174"/>
      <c r="AY222" s="2174"/>
      <c r="AZ222" s="125" t="s">
        <v>4160</v>
      </c>
      <c r="BC222" s="722" t="s">
        <v>637</v>
      </c>
    </row>
    <row r="223" spans="2:55" ht="17.100000000000001" hidden="1" customHeight="1">
      <c r="E223" s="109"/>
      <c r="F223" s="109"/>
      <c r="G223" s="109"/>
      <c r="H223" s="109"/>
      <c r="I223" s="102" t="s">
        <v>3973</v>
      </c>
      <c r="K223" s="109"/>
      <c r="L223" s="109"/>
      <c r="M223" s="109"/>
      <c r="N223" s="109"/>
      <c r="O223" s="109"/>
      <c r="P223" s="91"/>
      <c r="Q223" s="113"/>
      <c r="R223" s="113"/>
      <c r="S223" s="113"/>
      <c r="T223" s="113"/>
      <c r="U223" s="113"/>
      <c r="V223" s="113"/>
      <c r="W223" s="113"/>
      <c r="X223" s="113"/>
      <c r="Y223" s="113"/>
      <c r="Z223" s="113"/>
      <c r="AA223" s="113"/>
      <c r="AB223" s="113"/>
      <c r="AC223" s="113"/>
      <c r="AD223" s="113"/>
      <c r="AE223" s="113"/>
      <c r="AF223" s="113"/>
      <c r="AO223" s="91" t="s">
        <v>3306</v>
      </c>
      <c r="AP223" s="2174" t="e">
        <f>+AP218-AP222</f>
        <v>#REF!</v>
      </c>
      <c r="AQ223" s="2174"/>
      <c r="AR223" s="2174"/>
      <c r="AS223" s="2174"/>
      <c r="AT223" s="2174"/>
      <c r="AU223" s="2174"/>
      <c r="AV223" s="2174"/>
      <c r="AW223" s="2174"/>
      <c r="AX223" s="2174"/>
      <c r="AY223" s="2174"/>
      <c r="AZ223" s="125" t="s">
        <v>4160</v>
      </c>
      <c r="BC223" s="722" t="s">
        <v>637</v>
      </c>
    </row>
    <row r="224" spans="2:55" ht="18" hidden="1" customHeight="1">
      <c r="F224" s="2183" t="e">
        <v>#NAME?</v>
      </c>
      <c r="G224" s="2183"/>
      <c r="H224" s="2183"/>
      <c r="I224" s="2183"/>
      <c r="J224" s="2183"/>
      <c r="K224" s="2183"/>
      <c r="L224" s="2183"/>
      <c r="M224" s="2183"/>
      <c r="N224" s="2183"/>
      <c r="O224" s="2183"/>
      <c r="P224" s="2183"/>
      <c r="Q224" s="2183"/>
      <c r="R224" s="2183"/>
      <c r="S224" s="2183"/>
      <c r="T224" s="2183"/>
      <c r="U224" s="2183"/>
      <c r="V224" s="2183"/>
      <c r="W224" s="2183"/>
      <c r="X224" s="2183"/>
      <c r="Y224" s="2183"/>
      <c r="Z224" s="2183"/>
      <c r="AA224" s="2183"/>
      <c r="AB224" s="2183"/>
      <c r="AC224" s="2183"/>
      <c r="AD224" s="2183"/>
      <c r="AE224" s="2183"/>
      <c r="AF224" s="2183"/>
      <c r="AG224" s="2183"/>
      <c r="AH224" s="2183"/>
      <c r="AI224" s="2183"/>
      <c r="AJ224" s="2183"/>
      <c r="AK224" s="2183"/>
      <c r="AL224" s="2183"/>
      <c r="AM224" s="2183"/>
      <c r="AN224" s="2183"/>
      <c r="AO224" s="2183"/>
      <c r="AP224" s="2183"/>
      <c r="AQ224" s="2183"/>
      <c r="AR224" s="2183"/>
      <c r="AS224" s="2183"/>
      <c r="AT224" s="2183"/>
      <c r="AU224" s="2183"/>
      <c r="AV224" s="2183"/>
      <c r="AW224" s="2183"/>
      <c r="AX224" s="2183"/>
      <c r="AY224" s="2183"/>
      <c r="AZ224" s="2183"/>
      <c r="BA224" s="2183"/>
      <c r="BB224" s="2183"/>
      <c r="BC224" s="722" t="s">
        <v>637</v>
      </c>
    </row>
    <row r="225" spans="2:55" ht="18" hidden="1" customHeight="1">
      <c r="F225" s="2171" t="str">
        <f>+"Hai bên cùng thống nhất thanh lý hợp đồng "&amp;+B8&amp;" ngày "&amp;TEXT(NL!U8,"dd/ mm/ yyyy")&amp;""</f>
        <v>Hai bên cùng thống nhất thanh lý hợp đồng Số: 01/HĐKSTK-PCHG ngày 11/ 01/ 2017</v>
      </c>
      <c r="G225" s="2172"/>
      <c r="H225" s="2172"/>
      <c r="I225" s="2172"/>
      <c r="J225" s="2172"/>
      <c r="K225" s="2172"/>
      <c r="L225" s="2172"/>
      <c r="M225" s="2172"/>
      <c r="N225" s="2172"/>
      <c r="O225" s="2172"/>
      <c r="P225" s="2172"/>
      <c r="Q225" s="2172"/>
      <c r="R225" s="2172"/>
      <c r="S225" s="2172"/>
      <c r="T225" s="2172"/>
      <c r="U225" s="2172"/>
      <c r="V225" s="2172"/>
      <c r="W225" s="2172"/>
      <c r="X225" s="2172"/>
      <c r="Y225" s="2172"/>
      <c r="Z225" s="2172"/>
      <c r="AA225" s="2172"/>
      <c r="AB225" s="2172"/>
      <c r="AC225" s="2172"/>
      <c r="AD225" s="2172"/>
      <c r="AE225" s="2172"/>
      <c r="AF225" s="2172"/>
      <c r="AG225" s="2172"/>
      <c r="AH225" s="2172"/>
      <c r="AI225" s="2172"/>
      <c r="AJ225" s="2172"/>
      <c r="AK225" s="2172"/>
      <c r="AL225" s="2172"/>
      <c r="AM225" s="2172"/>
      <c r="AN225" s="2172"/>
      <c r="AO225" s="2172"/>
      <c r="AP225" s="2172"/>
      <c r="AQ225" s="2172"/>
      <c r="AR225" s="2172"/>
      <c r="AS225" s="2172"/>
      <c r="AT225" s="2172"/>
      <c r="AU225" s="2172"/>
      <c r="AV225" s="2172"/>
      <c r="AW225" s="2172"/>
      <c r="AX225" s="2172"/>
      <c r="AY225" s="2172"/>
      <c r="AZ225" s="2172"/>
      <c r="BA225" s="2172"/>
      <c r="BB225" s="2172"/>
      <c r="BC225" s="722" t="s">
        <v>637</v>
      </c>
    </row>
    <row r="226" spans="2:55" ht="18" hidden="1" customHeight="1">
      <c r="B226" s="2171" t="s">
        <v>3621</v>
      </c>
      <c r="C226" s="2171"/>
      <c r="D226" s="2171"/>
      <c r="E226" s="2171"/>
      <c r="F226" s="2171"/>
      <c r="G226" s="2171"/>
      <c r="H226" s="2171"/>
      <c r="I226" s="2171"/>
      <c r="J226" s="2171"/>
      <c r="K226" s="2171"/>
      <c r="L226" s="2171"/>
      <c r="M226" s="2171"/>
      <c r="N226" s="2171"/>
      <c r="O226" s="2171"/>
      <c r="P226" s="2171"/>
      <c r="Q226" s="2171"/>
      <c r="R226" s="2171"/>
      <c r="S226" s="2171"/>
      <c r="T226" s="2171"/>
      <c r="U226" s="2171"/>
      <c r="V226" s="2171"/>
      <c r="W226" s="2171"/>
      <c r="X226" s="2171"/>
      <c r="Y226" s="2171"/>
      <c r="Z226" s="2171"/>
      <c r="AA226" s="2171"/>
      <c r="AB226" s="2171"/>
      <c r="AC226" s="2171"/>
      <c r="AD226" s="2171"/>
      <c r="AE226" s="2171"/>
      <c r="AF226" s="2171"/>
      <c r="AG226" s="2171"/>
      <c r="AH226" s="2171"/>
      <c r="AI226" s="2171"/>
      <c r="AJ226" s="2171"/>
      <c r="AK226" s="2171"/>
      <c r="AL226" s="2171"/>
      <c r="AM226" s="2171"/>
      <c r="AN226" s="2171"/>
      <c r="AO226" s="2171"/>
      <c r="AP226" s="2171"/>
      <c r="AQ226" s="2171"/>
      <c r="AR226" s="2171"/>
      <c r="AS226" s="2171"/>
      <c r="AT226" s="2171"/>
      <c r="AU226" s="2171"/>
      <c r="AV226" s="2171"/>
      <c r="AW226" s="2171"/>
      <c r="AX226" s="2171"/>
      <c r="AY226" s="2171"/>
      <c r="AZ226" s="2171"/>
      <c r="BA226" s="2171"/>
      <c r="BB226" s="2171"/>
      <c r="BC226" s="722" t="s">
        <v>637</v>
      </c>
    </row>
    <row r="227" spans="2:55" ht="18" hidden="1" customHeight="1">
      <c r="F227" s="2171" t="s">
        <v>5935</v>
      </c>
      <c r="G227" s="2172"/>
      <c r="H227" s="2172"/>
      <c r="I227" s="2172"/>
      <c r="J227" s="2172"/>
      <c r="K227" s="2172"/>
      <c r="L227" s="2172"/>
      <c r="M227" s="2172"/>
      <c r="N227" s="2172"/>
      <c r="O227" s="2172"/>
      <c r="P227" s="2172"/>
      <c r="Q227" s="2172"/>
      <c r="R227" s="2172"/>
      <c r="S227" s="2172"/>
      <c r="T227" s="2172"/>
      <c r="U227" s="2172"/>
      <c r="V227" s="2172"/>
      <c r="W227" s="2172"/>
      <c r="X227" s="2172"/>
      <c r="Y227" s="2172"/>
      <c r="Z227" s="2172"/>
      <c r="AA227" s="2172"/>
      <c r="AB227" s="2172"/>
      <c r="AC227" s="2172"/>
      <c r="AD227" s="2172"/>
      <c r="AE227" s="2172"/>
      <c r="AF227" s="2172"/>
      <c r="AG227" s="2172"/>
      <c r="AH227" s="2172"/>
      <c r="AI227" s="2172"/>
      <c r="AJ227" s="2172"/>
      <c r="AK227" s="2172"/>
      <c r="AL227" s="2172"/>
      <c r="AM227" s="2172"/>
      <c r="AN227" s="2172"/>
      <c r="AO227" s="2172"/>
      <c r="AP227" s="2172"/>
      <c r="AQ227" s="2172"/>
      <c r="AR227" s="2172"/>
      <c r="AS227" s="2172"/>
      <c r="AT227" s="2172"/>
      <c r="AU227" s="2172"/>
      <c r="AV227" s="2172"/>
      <c r="AW227" s="2172"/>
      <c r="AX227" s="2172"/>
      <c r="AY227" s="2172"/>
      <c r="AZ227" s="2172"/>
      <c r="BA227" s="2172"/>
      <c r="BB227" s="2172"/>
      <c r="BC227" s="722" t="s">
        <v>637</v>
      </c>
    </row>
    <row r="228" spans="2:55" ht="18" hidden="1" customHeight="1">
      <c r="C228" s="2030" t="s">
        <v>4479</v>
      </c>
      <c r="D228" s="2030"/>
      <c r="E228" s="2030"/>
      <c r="F228" s="2030"/>
      <c r="G228" s="2030"/>
      <c r="H228" s="2030"/>
      <c r="I228" s="2030"/>
      <c r="J228" s="2030"/>
      <c r="K228" s="2030"/>
      <c r="L228" s="2030"/>
      <c r="M228" s="2030"/>
      <c r="N228" s="2030"/>
      <c r="O228" s="2030"/>
      <c r="P228" s="2030"/>
      <c r="Q228" s="2030"/>
      <c r="R228" s="2030"/>
      <c r="S228" s="2030"/>
      <c r="T228" s="2030"/>
      <c r="U228" s="2030"/>
      <c r="V228" s="2030"/>
      <c r="W228" s="2030"/>
      <c r="X228" s="2030"/>
      <c r="Y228" s="2030"/>
      <c r="Z228" s="2030"/>
      <c r="AA228" s="2030"/>
      <c r="AB228" s="2030"/>
      <c r="AC228" s="2030" t="s">
        <v>543</v>
      </c>
      <c r="AD228" s="2030"/>
      <c r="AE228" s="2030"/>
      <c r="AF228" s="2030"/>
      <c r="AG228" s="2030"/>
      <c r="AH228" s="2030"/>
      <c r="AI228" s="2030"/>
      <c r="AJ228" s="2030"/>
      <c r="AK228" s="2030"/>
      <c r="AL228" s="2030"/>
      <c r="AM228" s="2030"/>
      <c r="AN228" s="2030"/>
      <c r="AO228" s="2030"/>
      <c r="AP228" s="2030"/>
      <c r="AQ228" s="2030"/>
      <c r="AR228" s="2030"/>
      <c r="AS228" s="2030"/>
      <c r="AT228" s="2030"/>
      <c r="AU228" s="2030"/>
      <c r="AV228" s="2030"/>
      <c r="AW228" s="2030"/>
      <c r="AX228" s="2030"/>
      <c r="AY228" s="2030"/>
      <c r="AZ228" s="2030"/>
      <c r="BA228" s="2030"/>
      <c r="BB228" s="2030"/>
      <c r="BC228" s="722" t="s">
        <v>637</v>
      </c>
    </row>
    <row r="229" spans="2:55" ht="18" hidden="1" customHeight="1">
      <c r="AC229" s="2030" t="s">
        <v>5941</v>
      </c>
      <c r="AD229" s="2030"/>
      <c r="AE229" s="2030"/>
      <c r="AF229" s="2030"/>
      <c r="AG229" s="2030"/>
      <c r="AH229" s="2030"/>
      <c r="AI229" s="2030"/>
      <c r="AJ229" s="2030"/>
      <c r="AK229" s="2030"/>
      <c r="AL229" s="2030"/>
      <c r="AM229" s="2030"/>
      <c r="AN229" s="2030"/>
      <c r="AO229" s="2030"/>
      <c r="AP229" s="2030"/>
      <c r="AQ229" s="2030"/>
      <c r="AR229" s="2030"/>
      <c r="AS229" s="2030"/>
      <c r="AT229" s="2030"/>
      <c r="AU229" s="2030"/>
      <c r="AV229" s="2030"/>
      <c r="AW229" s="2030"/>
      <c r="AX229" s="2030"/>
      <c r="AY229" s="2030"/>
      <c r="AZ229" s="2030"/>
      <c r="BA229" s="2030"/>
      <c r="BB229" s="2030"/>
      <c r="BC229" s="722" t="s">
        <v>637</v>
      </c>
    </row>
    <row r="230" spans="2:55" ht="18" hidden="1" customHeight="1">
      <c r="BC230" s="722" t="s">
        <v>637</v>
      </c>
    </row>
    <row r="231" spans="2:55" ht="18" hidden="1" customHeight="1">
      <c r="BC231" s="722" t="s">
        <v>637</v>
      </c>
    </row>
    <row r="232" spans="2:55" ht="18" hidden="1" customHeight="1">
      <c r="BC232" s="722" t="s">
        <v>637</v>
      </c>
    </row>
    <row r="233" spans="2:55" ht="18" hidden="1" customHeight="1">
      <c r="BC233" s="722" t="s">
        <v>637</v>
      </c>
    </row>
    <row r="234" spans="2:55" ht="15.75" hidden="1">
      <c r="AC234" s="2030" t="s">
        <v>502</v>
      </c>
      <c r="AD234" s="2030"/>
      <c r="AE234" s="2030"/>
      <c r="AF234" s="2030"/>
      <c r="AG234" s="2030"/>
      <c r="AH234" s="2030"/>
      <c r="AI234" s="2030"/>
      <c r="AJ234" s="2030"/>
      <c r="AK234" s="2030"/>
      <c r="AL234" s="2030"/>
      <c r="AM234" s="2030"/>
      <c r="AN234" s="2030"/>
      <c r="AO234" s="2030"/>
      <c r="AP234" s="2030"/>
      <c r="AQ234" s="2030"/>
      <c r="AR234" s="2030"/>
      <c r="AS234" s="2030"/>
      <c r="AT234" s="2030"/>
      <c r="AU234" s="2030"/>
      <c r="AV234" s="2030"/>
      <c r="AW234" s="2030"/>
      <c r="AX234" s="2030"/>
      <c r="AY234" s="2030"/>
      <c r="AZ234" s="2030"/>
      <c r="BA234" s="2030"/>
      <c r="BB234" s="2030"/>
      <c r="BC234" s="722" t="s">
        <v>637</v>
      </c>
    </row>
    <row r="235" spans="2:55" ht="15.75" hidden="1">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722" t="s">
        <v>637</v>
      </c>
    </row>
    <row r="236" spans="2:55" ht="15.75" hidden="1">
      <c r="B236" s="2030" t="s">
        <v>205</v>
      </c>
      <c r="C236" s="2030"/>
      <c r="D236" s="2030"/>
      <c r="E236" s="2030"/>
      <c r="F236" s="2030"/>
      <c r="G236" s="2030"/>
      <c r="H236" s="2030"/>
      <c r="I236" s="2030"/>
      <c r="J236" s="2030"/>
      <c r="K236" s="2030"/>
      <c r="L236" s="2030"/>
      <c r="M236" s="2030"/>
      <c r="N236" s="2030"/>
      <c r="O236" s="2030"/>
      <c r="P236" s="2030"/>
      <c r="Q236" s="2030"/>
      <c r="R236" s="2030"/>
      <c r="S236" s="2030"/>
      <c r="T236" s="2030"/>
      <c r="U236" s="2030"/>
      <c r="V236" s="2030"/>
      <c r="W236" s="2030"/>
      <c r="X236" s="2030"/>
      <c r="Y236" s="2030"/>
      <c r="Z236" s="2030"/>
      <c r="AA236" s="2030"/>
      <c r="AB236" s="2030"/>
      <c r="AC236" s="2030"/>
      <c r="AD236" s="2030"/>
      <c r="AE236" s="2030"/>
      <c r="AF236" s="2030"/>
      <c r="AG236" s="2030"/>
      <c r="AH236" s="2030"/>
      <c r="AI236" s="2030"/>
      <c r="AJ236" s="2030"/>
      <c r="AK236" s="2030"/>
      <c r="AL236" s="2030"/>
      <c r="AM236" s="2030"/>
      <c r="AN236" s="2030"/>
      <c r="AO236" s="2030"/>
      <c r="AP236" s="2030"/>
      <c r="AQ236" s="2030"/>
      <c r="AR236" s="2030"/>
      <c r="AS236" s="2030"/>
      <c r="AT236" s="2030"/>
      <c r="AU236" s="2030"/>
      <c r="AV236" s="2030"/>
      <c r="AW236" s="2030"/>
      <c r="AX236" s="2030"/>
      <c r="AY236" s="2030"/>
      <c r="AZ236" s="2030"/>
      <c r="BA236" s="2030"/>
      <c r="BB236" s="2030"/>
      <c r="BC236" s="722" t="s">
        <v>637</v>
      </c>
    </row>
    <row r="237" spans="2:55" ht="18" hidden="1" customHeight="1">
      <c r="B237" s="2030" t="s">
        <v>206</v>
      </c>
      <c r="C237" s="2030"/>
      <c r="D237" s="2030"/>
      <c r="E237" s="2030"/>
      <c r="F237" s="2030"/>
      <c r="G237" s="2030"/>
      <c r="H237" s="2030"/>
      <c r="I237" s="2030"/>
      <c r="J237" s="2030"/>
      <c r="K237" s="2030"/>
      <c r="L237" s="2030"/>
      <c r="M237" s="2030"/>
      <c r="N237" s="2030"/>
      <c r="O237" s="2030"/>
      <c r="P237" s="2030"/>
      <c r="Q237" s="2030"/>
      <c r="R237" s="2030"/>
      <c r="S237" s="2030"/>
      <c r="T237" s="2030"/>
      <c r="U237" s="2030"/>
      <c r="V237" s="2030"/>
      <c r="W237" s="2030"/>
      <c r="X237" s="2030"/>
      <c r="Y237" s="2030"/>
      <c r="Z237" s="2030"/>
      <c r="AA237" s="2030"/>
      <c r="AB237" s="2030"/>
      <c r="AC237" s="2030"/>
      <c r="AD237" s="2030"/>
      <c r="AE237" s="2030"/>
      <c r="AF237" s="2030"/>
      <c r="AG237" s="2030"/>
      <c r="AH237" s="2030"/>
      <c r="AI237" s="2030"/>
      <c r="AJ237" s="2030"/>
      <c r="AK237" s="2030"/>
      <c r="AL237" s="2030"/>
      <c r="AM237" s="2030"/>
      <c r="AN237" s="2030"/>
      <c r="AO237" s="2030"/>
      <c r="AP237" s="2030"/>
      <c r="AQ237" s="2030"/>
      <c r="AR237" s="2030"/>
      <c r="AS237" s="2030"/>
      <c r="AT237" s="2030"/>
      <c r="AU237" s="2030"/>
      <c r="AV237" s="2030"/>
      <c r="AW237" s="2030"/>
      <c r="AX237" s="2030"/>
      <c r="AY237" s="2030"/>
      <c r="AZ237" s="2030"/>
      <c r="BA237" s="2030"/>
      <c r="BB237" s="2030"/>
      <c r="BC237" s="722" t="s">
        <v>637</v>
      </c>
    </row>
    <row r="238" spans="2:55" ht="18" hidden="1" customHeight="1">
      <c r="B238" s="2002" t="s">
        <v>638</v>
      </c>
      <c r="C238" s="2176"/>
      <c r="D238" s="2176"/>
      <c r="E238" s="2176"/>
      <c r="F238" s="2176"/>
      <c r="G238" s="2176"/>
      <c r="H238" s="2176"/>
      <c r="I238" s="2176"/>
      <c r="J238" s="2176"/>
      <c r="K238" s="2176"/>
      <c r="L238" s="2176"/>
      <c r="M238" s="2176"/>
      <c r="N238" s="2176"/>
      <c r="O238" s="2176"/>
      <c r="P238" s="2176"/>
      <c r="Q238" s="2176"/>
      <c r="R238" s="2176"/>
      <c r="S238" s="2176"/>
      <c r="T238" s="2176"/>
      <c r="U238" s="2176"/>
      <c r="V238" s="2176"/>
      <c r="W238" s="2176"/>
      <c r="X238" s="2176"/>
      <c r="Y238" s="2176"/>
      <c r="Z238" s="2176"/>
      <c r="AA238" s="2176"/>
      <c r="AB238" s="2176"/>
      <c r="AC238" s="2176"/>
      <c r="AD238" s="2176"/>
      <c r="AE238" s="2176"/>
      <c r="AF238" s="2176"/>
      <c r="AG238" s="2176"/>
      <c r="AH238" s="2176"/>
      <c r="AI238" s="2176"/>
      <c r="AJ238" s="2176"/>
      <c r="AK238" s="2176"/>
      <c r="AL238" s="2176"/>
      <c r="AM238" s="2176"/>
      <c r="AN238" s="2176"/>
      <c r="AO238" s="2176"/>
      <c r="AP238" s="2176"/>
      <c r="AQ238" s="2176"/>
      <c r="AR238" s="2176"/>
      <c r="AS238" s="2176"/>
      <c r="AT238" s="2176"/>
      <c r="AU238" s="2176"/>
      <c r="AV238" s="2176"/>
      <c r="AW238" s="2176"/>
      <c r="AX238" s="2176"/>
      <c r="AY238" s="2176"/>
      <c r="AZ238" s="2176"/>
      <c r="BA238" s="2176"/>
      <c r="BB238" s="2176"/>
      <c r="BC238" s="722" t="s">
        <v>637</v>
      </c>
    </row>
    <row r="239" spans="2:55" ht="18" hidden="1" customHeight="1">
      <c r="B239" s="2005" t="str">
        <f>IF(NL!U10="","Chưa nhập ngày","Hậu Giang, ngày "&amp;TEXT(NL!U10,"dd")&amp;" tháng "&amp;TEXT(NL!U10,"mm")&amp;" năm "&amp;TEXT(NL!U10,"yyyy"))</f>
        <v>Hậu Giang, ngày 14 tháng 12 năm 2018</v>
      </c>
      <c r="C239" s="2005"/>
      <c r="D239" s="2005"/>
      <c r="E239" s="2005"/>
      <c r="F239" s="2005"/>
      <c r="G239" s="2005"/>
      <c r="H239" s="2005"/>
      <c r="I239" s="2005"/>
      <c r="J239" s="2005"/>
      <c r="K239" s="2005"/>
      <c r="L239" s="2005"/>
      <c r="M239" s="2005"/>
      <c r="N239" s="2005"/>
      <c r="O239" s="2005"/>
      <c r="P239" s="2005"/>
      <c r="Q239" s="2005"/>
      <c r="R239" s="2005"/>
      <c r="S239" s="2005"/>
      <c r="T239" s="2005"/>
      <c r="U239" s="2005"/>
      <c r="V239" s="2005"/>
      <c r="W239" s="2005"/>
      <c r="X239" s="2005"/>
      <c r="Y239" s="2005"/>
      <c r="Z239" s="2005"/>
      <c r="AA239" s="2005"/>
      <c r="AB239" s="2005"/>
      <c r="AC239" s="2005"/>
      <c r="AD239" s="2005"/>
      <c r="AE239" s="2005"/>
      <c r="AF239" s="2005"/>
      <c r="AG239" s="2005"/>
      <c r="AH239" s="2005"/>
      <c r="AI239" s="2005"/>
      <c r="AJ239" s="2005"/>
      <c r="AK239" s="2005"/>
      <c r="AL239" s="2005"/>
      <c r="AM239" s="2005"/>
      <c r="AN239" s="2005"/>
      <c r="AO239" s="2005"/>
      <c r="AP239" s="2005"/>
      <c r="AQ239" s="2005"/>
      <c r="AR239" s="2005"/>
      <c r="AS239" s="2005"/>
      <c r="AT239" s="2005"/>
      <c r="AU239" s="2005"/>
      <c r="AV239" s="2005"/>
      <c r="AW239" s="2005"/>
      <c r="AX239" s="2005"/>
      <c r="AY239" s="2005"/>
      <c r="AZ239" s="2005"/>
      <c r="BA239" s="2005"/>
      <c r="BB239" s="2005"/>
      <c r="BC239" s="722" t="s">
        <v>637</v>
      </c>
    </row>
    <row r="240" spans="2:55" ht="18" hidden="1" customHeight="1">
      <c r="B240" s="2030" t="str">
        <f>"BIÊN BẢN "&amp;+"SỐ: "&amp;NL!U2&amp;"/BB-NTKSTK"</f>
        <v>BIÊN BẢN SỐ: 01/BB-NTKSTK</v>
      </c>
      <c r="C240" s="2030"/>
      <c r="D240" s="2030"/>
      <c r="E240" s="2030"/>
      <c r="F240" s="2030"/>
      <c r="G240" s="2030"/>
      <c r="H240" s="2030"/>
      <c r="I240" s="2030"/>
      <c r="J240" s="2030"/>
      <c r="K240" s="2030"/>
      <c r="L240" s="2030"/>
      <c r="M240" s="2030"/>
      <c r="N240" s="2030"/>
      <c r="O240" s="2030"/>
      <c r="P240" s="2030"/>
      <c r="Q240" s="2030"/>
      <c r="R240" s="2030"/>
      <c r="S240" s="2030"/>
      <c r="T240" s="2030"/>
      <c r="U240" s="2030"/>
      <c r="V240" s="2030"/>
      <c r="W240" s="2030"/>
      <c r="X240" s="2030"/>
      <c r="Y240" s="2030"/>
      <c r="Z240" s="2030"/>
      <c r="AA240" s="2030"/>
      <c r="AB240" s="2030"/>
      <c r="AC240" s="2030"/>
      <c r="AD240" s="2030"/>
      <c r="AE240" s="2030"/>
      <c r="AF240" s="2030"/>
      <c r="AG240" s="2030"/>
      <c r="AH240" s="2030"/>
      <c r="AI240" s="2030"/>
      <c r="AJ240" s="2030"/>
      <c r="AK240" s="2030"/>
      <c r="AL240" s="2030"/>
      <c r="AM240" s="2030"/>
      <c r="AN240" s="2030"/>
      <c r="AO240" s="2030"/>
      <c r="AP240" s="2030"/>
      <c r="AQ240" s="2030"/>
      <c r="AR240" s="2030"/>
      <c r="AS240" s="2030"/>
      <c r="AT240" s="2030"/>
      <c r="AU240" s="2030"/>
      <c r="AV240" s="2030"/>
      <c r="AW240" s="2030"/>
      <c r="AX240" s="2030"/>
      <c r="AY240" s="2030"/>
      <c r="AZ240" s="2030"/>
      <c r="BA240" s="2030"/>
      <c r="BB240" s="2030"/>
      <c r="BC240" s="722" t="s">
        <v>637</v>
      </c>
    </row>
    <row r="241" spans="2:55" ht="18" hidden="1" customHeight="1">
      <c r="B241" s="2030" t="s">
        <v>5113</v>
      </c>
      <c r="C241" s="2030"/>
      <c r="D241" s="2030"/>
      <c r="E241" s="2030"/>
      <c r="F241" s="2030"/>
      <c r="G241" s="2030"/>
      <c r="H241" s="2030"/>
      <c r="I241" s="2030"/>
      <c r="J241" s="2030"/>
      <c r="K241" s="2030"/>
      <c r="L241" s="2030"/>
      <c r="M241" s="2030"/>
      <c r="N241" s="2030"/>
      <c r="O241" s="2030"/>
      <c r="P241" s="2030"/>
      <c r="Q241" s="2030"/>
      <c r="R241" s="2030"/>
      <c r="S241" s="2030"/>
      <c r="T241" s="2030"/>
      <c r="U241" s="2030"/>
      <c r="V241" s="2030"/>
      <c r="W241" s="2030"/>
      <c r="X241" s="2030"/>
      <c r="Y241" s="2030"/>
      <c r="Z241" s="2030"/>
      <c r="AA241" s="2030"/>
      <c r="AB241" s="2030"/>
      <c r="AC241" s="2030"/>
      <c r="AD241" s="2030"/>
      <c r="AE241" s="2030"/>
      <c r="AF241" s="2030"/>
      <c r="AG241" s="2030"/>
      <c r="AH241" s="2030"/>
      <c r="AI241" s="2030"/>
      <c r="AJ241" s="2030"/>
      <c r="AK241" s="2030"/>
      <c r="AL241" s="2030"/>
      <c r="AM241" s="2030"/>
      <c r="AN241" s="2030"/>
      <c r="AO241" s="2030"/>
      <c r="AP241" s="2030"/>
      <c r="AQ241" s="2030"/>
      <c r="AR241" s="2030"/>
      <c r="AS241" s="2030"/>
      <c r="AT241" s="2030"/>
      <c r="AU241" s="2030"/>
      <c r="AV241" s="2030"/>
      <c r="AW241" s="2030"/>
      <c r="AX241" s="2030"/>
      <c r="AY241" s="2030"/>
      <c r="AZ241" s="2030"/>
      <c r="BA241" s="2030"/>
      <c r="BB241" s="2030"/>
      <c r="BC241" s="722" t="s">
        <v>637</v>
      </c>
    </row>
    <row r="242" spans="2:55" ht="18" hidden="1" customHeight="1">
      <c r="C242" s="2173" t="s">
        <v>3099</v>
      </c>
      <c r="D242" s="2173"/>
      <c r="E242" s="2173"/>
      <c r="F242" s="2173"/>
      <c r="G242" s="2173"/>
      <c r="H242" s="2173"/>
      <c r="I242" s="2173"/>
      <c r="J242" s="2173"/>
      <c r="K242" s="2173"/>
      <c r="L242" s="2173"/>
      <c r="M242" s="2173"/>
      <c r="N242" s="2173"/>
      <c r="O242" s="2173"/>
      <c r="P242" s="2173"/>
      <c r="Q242" s="2173"/>
      <c r="R242" s="2173"/>
      <c r="S242" s="2173"/>
      <c r="T242" s="2173"/>
      <c r="U242" s="2173"/>
      <c r="V242" s="2173"/>
      <c r="W242" s="2173"/>
      <c r="X242" s="2173"/>
      <c r="Y242" s="2173"/>
      <c r="Z242" s="2173"/>
      <c r="AA242" s="2173"/>
      <c r="AB242" s="2173"/>
      <c r="AC242" s="2173"/>
      <c r="AD242" s="2173"/>
      <c r="AE242" s="2173"/>
      <c r="AF242" s="2173"/>
      <c r="AG242" s="2173"/>
      <c r="AH242" s="2173"/>
      <c r="AI242" s="2173"/>
      <c r="AJ242" s="2173"/>
      <c r="AK242" s="2173"/>
      <c r="AL242" s="2173"/>
      <c r="AM242" s="2173"/>
      <c r="AN242" s="2173"/>
      <c r="AO242" s="2173"/>
      <c r="AP242" s="2173"/>
      <c r="AQ242" s="2173"/>
      <c r="AR242" s="2173"/>
      <c r="AS242" s="2173"/>
      <c r="AT242" s="2173"/>
      <c r="AU242" s="2173"/>
      <c r="AV242" s="2173"/>
      <c r="AW242" s="2173"/>
      <c r="AX242" s="2173"/>
      <c r="AY242" s="2173"/>
      <c r="AZ242" s="2173"/>
      <c r="BA242" s="2173"/>
      <c r="BB242" s="2173"/>
      <c r="BC242" s="722" t="s">
        <v>637</v>
      </c>
    </row>
    <row r="243" spans="2:55" ht="18" hidden="1" customHeight="1">
      <c r="B243" s="2030" t="str">
        <f>+"Công trình: "&amp;NL!U3</f>
        <v>Công trình: XÂY DỰNG ĐƯỜNG DÂY TRUNG HẠ ÁP &amp; TRẠM BIẾN ÁP</v>
      </c>
      <c r="C243" s="2030"/>
      <c r="D243" s="2030"/>
      <c r="E243" s="2030"/>
      <c r="F243" s="2030"/>
      <c r="G243" s="2030"/>
      <c r="H243" s="2030"/>
      <c r="I243" s="2030"/>
      <c r="J243" s="2030"/>
      <c r="K243" s="2030"/>
      <c r="L243" s="2030"/>
      <c r="M243" s="2030"/>
      <c r="N243" s="2030"/>
      <c r="O243" s="2030"/>
      <c r="P243" s="2030"/>
      <c r="Q243" s="2030"/>
      <c r="R243" s="2030"/>
      <c r="S243" s="2030"/>
      <c r="T243" s="2030"/>
      <c r="U243" s="2030"/>
      <c r="V243" s="2030"/>
      <c r="W243" s="2030"/>
      <c r="X243" s="2030"/>
      <c r="Y243" s="2030"/>
      <c r="Z243" s="2030"/>
      <c r="AA243" s="2030"/>
      <c r="AB243" s="2030"/>
      <c r="AC243" s="2030"/>
      <c r="AD243" s="2030"/>
      <c r="AE243" s="2030"/>
      <c r="AF243" s="2030"/>
      <c r="AG243" s="2030"/>
      <c r="AH243" s="2030"/>
      <c r="AI243" s="2030"/>
      <c r="AJ243" s="2030"/>
      <c r="AK243" s="2030"/>
      <c r="AL243" s="2030"/>
      <c r="AM243" s="2030"/>
      <c r="AN243" s="2030"/>
      <c r="AO243" s="2030"/>
      <c r="AP243" s="2030"/>
      <c r="AQ243" s="2030"/>
      <c r="AR243" s="2030"/>
      <c r="AS243" s="2030"/>
      <c r="AT243" s="2030"/>
      <c r="AU243" s="2030"/>
      <c r="AV243" s="2030"/>
      <c r="AW243" s="2030"/>
      <c r="AX243" s="2030"/>
      <c r="AY243" s="2030"/>
      <c r="AZ243" s="2030"/>
      <c r="BA243" s="2030"/>
      <c r="BB243" s="2030"/>
      <c r="BC243" s="722" t="s">
        <v>637</v>
      </c>
    </row>
    <row r="244" spans="2:55" ht="18" hidden="1" customHeight="1">
      <c r="B244" s="2030" t="str">
        <f>NL!U4</f>
        <v>HUYỆN CHÂU THÀNH, TX NGÃ BẢY</v>
      </c>
      <c r="C244" s="2030"/>
      <c r="D244" s="2030"/>
      <c r="E244" s="2030"/>
      <c r="F244" s="2030"/>
      <c r="G244" s="2030"/>
      <c r="H244" s="2030"/>
      <c r="I244" s="2030"/>
      <c r="J244" s="2030"/>
      <c r="K244" s="2030"/>
      <c r="L244" s="2030"/>
      <c r="M244" s="2030"/>
      <c r="N244" s="2030"/>
      <c r="O244" s="2030"/>
      <c r="P244" s="2030"/>
      <c r="Q244" s="2030"/>
      <c r="R244" s="2030"/>
      <c r="S244" s="2030"/>
      <c r="T244" s="2030"/>
      <c r="U244" s="2030"/>
      <c r="V244" s="2030"/>
      <c r="W244" s="2030"/>
      <c r="X244" s="2030"/>
      <c r="Y244" s="2030"/>
      <c r="Z244" s="2030"/>
      <c r="AA244" s="2030"/>
      <c r="AB244" s="2030"/>
      <c r="AC244" s="2030"/>
      <c r="AD244" s="2030"/>
      <c r="AE244" s="2030"/>
      <c r="AF244" s="2030"/>
      <c r="AG244" s="2030"/>
      <c r="AH244" s="2030"/>
      <c r="AI244" s="2030"/>
      <c r="AJ244" s="2030"/>
      <c r="AK244" s="2030"/>
      <c r="AL244" s="2030"/>
      <c r="AM244" s="2030"/>
      <c r="AN244" s="2030"/>
      <c r="AO244" s="2030"/>
      <c r="AP244" s="2030"/>
      <c r="AQ244" s="2030"/>
      <c r="AR244" s="2030"/>
      <c r="AS244" s="2030"/>
      <c r="AT244" s="2030"/>
      <c r="AU244" s="2030"/>
      <c r="AV244" s="2030"/>
      <c r="AW244" s="2030"/>
      <c r="AX244" s="2030"/>
      <c r="AY244" s="2030"/>
      <c r="AZ244" s="2030"/>
      <c r="BA244" s="2030"/>
      <c r="BB244" s="2030"/>
      <c r="BC244" s="722" t="s">
        <v>637</v>
      </c>
    </row>
    <row r="245" spans="2:55" ht="18" hidden="1" customHeight="1">
      <c r="B245" s="2030" t="str">
        <f>+"Địa điểm: "&amp;NL!U5</f>
        <v>Địa điểm: Huyện Châu Thành &amp; Tx.Ngã Bảy, tỉnh Hậu Giang</v>
      </c>
      <c r="C245" s="2030"/>
      <c r="D245" s="2030"/>
      <c r="E245" s="2030"/>
      <c r="F245" s="2030"/>
      <c r="G245" s="2030"/>
      <c r="H245" s="2030"/>
      <c r="I245" s="2030"/>
      <c r="J245" s="2030"/>
      <c r="K245" s="2030"/>
      <c r="L245" s="2030"/>
      <c r="M245" s="2030"/>
      <c r="N245" s="2030"/>
      <c r="O245" s="2030"/>
      <c r="P245" s="2030"/>
      <c r="Q245" s="2030"/>
      <c r="R245" s="2030"/>
      <c r="S245" s="2030"/>
      <c r="T245" s="2030"/>
      <c r="U245" s="2030"/>
      <c r="V245" s="2030"/>
      <c r="W245" s="2030"/>
      <c r="X245" s="2030"/>
      <c r="Y245" s="2030"/>
      <c r="Z245" s="2030"/>
      <c r="AA245" s="2030"/>
      <c r="AB245" s="2030"/>
      <c r="AC245" s="2030"/>
      <c r="AD245" s="2030"/>
      <c r="AE245" s="2030"/>
      <c r="AF245" s="2030"/>
      <c r="AG245" s="2030"/>
      <c r="AH245" s="2030"/>
      <c r="AI245" s="2030"/>
      <c r="AJ245" s="2030"/>
      <c r="AK245" s="2030"/>
      <c r="AL245" s="2030"/>
      <c r="AM245" s="2030"/>
      <c r="AN245" s="2030"/>
      <c r="AO245" s="2030"/>
      <c r="AP245" s="2030"/>
      <c r="AQ245" s="2030"/>
      <c r="AR245" s="2030"/>
      <c r="AS245" s="2030"/>
      <c r="AT245" s="2030"/>
      <c r="AU245" s="2030"/>
      <c r="AV245" s="2030"/>
      <c r="AW245" s="2030"/>
      <c r="AX245" s="2030"/>
      <c r="AY245" s="2030"/>
      <c r="AZ245" s="2030"/>
      <c r="BA245" s="2030"/>
      <c r="BB245" s="2030"/>
      <c r="BC245" s="722" t="s">
        <v>637</v>
      </c>
    </row>
    <row r="246" spans="2:55" ht="18" hidden="1" customHeight="1">
      <c r="C246" s="2173" t="s">
        <v>3100</v>
      </c>
      <c r="D246" s="2173"/>
      <c r="E246" s="2173"/>
      <c r="F246" s="2173"/>
      <c r="G246" s="2173"/>
      <c r="H246" s="2173"/>
      <c r="I246" s="2173"/>
      <c r="J246" s="2173"/>
      <c r="K246" s="2173"/>
      <c r="L246" s="2173"/>
      <c r="M246" s="2173"/>
      <c r="N246" s="2173"/>
      <c r="O246" s="2173"/>
      <c r="P246" s="2173"/>
      <c r="Q246" s="2173"/>
      <c r="R246" s="2173"/>
      <c r="S246" s="2173"/>
      <c r="T246" s="2173"/>
      <c r="U246" s="2173"/>
      <c r="V246" s="2173"/>
      <c r="W246" s="2173"/>
      <c r="X246" s="2173"/>
      <c r="Y246" s="2173"/>
      <c r="Z246" s="2173"/>
      <c r="AA246" s="2173"/>
      <c r="AB246" s="2173"/>
      <c r="AC246" s="2173"/>
      <c r="AD246" s="2173"/>
      <c r="AE246" s="2173"/>
      <c r="AF246" s="2173"/>
      <c r="AG246" s="2173"/>
      <c r="AH246" s="2173"/>
      <c r="AI246" s="2173"/>
      <c r="AJ246" s="2173"/>
      <c r="AK246" s="2173"/>
      <c r="AL246" s="2173"/>
      <c r="AM246" s="2173"/>
      <c r="AN246" s="2173"/>
      <c r="AO246" s="2173"/>
      <c r="AP246" s="2173"/>
      <c r="AQ246" s="2173"/>
      <c r="AR246" s="2173"/>
      <c r="AS246" s="2173"/>
      <c r="AT246" s="2173"/>
      <c r="AU246" s="2173"/>
      <c r="AV246" s="2173"/>
      <c r="AW246" s="2173"/>
      <c r="AX246" s="2173"/>
      <c r="AY246" s="2173"/>
      <c r="AZ246" s="2173"/>
      <c r="BA246" s="2173"/>
      <c r="BB246" s="2173"/>
      <c r="BC246" s="722" t="s">
        <v>637</v>
      </c>
    </row>
    <row r="247" spans="2:55" ht="18" hidden="1" customHeight="1">
      <c r="D247" s="2173" t="s">
        <v>5043</v>
      </c>
      <c r="E247" s="2173"/>
      <c r="F247" s="2173"/>
      <c r="G247" s="2173"/>
      <c r="H247" s="2173"/>
      <c r="I247" s="2173"/>
      <c r="J247" s="2173"/>
      <c r="K247" s="2173"/>
      <c r="L247" s="2173"/>
      <c r="M247" s="2173"/>
      <c r="N247" s="2173"/>
      <c r="O247" s="2173"/>
      <c r="P247" s="2173"/>
      <c r="Q247" s="2173"/>
      <c r="R247" s="2173"/>
      <c r="S247" s="2173"/>
      <c r="T247" s="2173"/>
      <c r="U247" s="2173"/>
      <c r="V247" s="2173"/>
      <c r="W247" s="2173"/>
      <c r="X247" s="2173"/>
      <c r="Y247" s="2173"/>
      <c r="Z247" s="2173"/>
      <c r="AA247" s="2173"/>
      <c r="AB247" s="2173"/>
      <c r="AC247" s="2173"/>
      <c r="AD247" s="2173"/>
      <c r="AE247" s="2173"/>
      <c r="AF247" s="2173"/>
      <c r="AG247" s="2173"/>
      <c r="AH247" s="2173"/>
      <c r="AI247" s="2173"/>
      <c r="AJ247" s="2173"/>
      <c r="AK247" s="2173"/>
      <c r="AL247" s="2173"/>
      <c r="AM247" s="2173"/>
      <c r="AN247" s="2173"/>
      <c r="AO247" s="2173"/>
      <c r="AP247" s="2173"/>
      <c r="AQ247" s="2173"/>
      <c r="AR247" s="2173"/>
      <c r="AS247" s="2173"/>
      <c r="AT247" s="2173"/>
      <c r="AU247" s="2173"/>
      <c r="AV247" s="2173"/>
      <c r="AW247" s="2173"/>
      <c r="AX247" s="2173"/>
      <c r="AY247" s="2173"/>
      <c r="AZ247" s="2173"/>
      <c r="BA247" s="2173"/>
      <c r="BB247" s="2173"/>
      <c r="BC247" s="722" t="s">
        <v>637</v>
      </c>
    </row>
    <row r="248" spans="2:55" ht="18" hidden="1" customHeight="1">
      <c r="F248" s="102" t="s">
        <v>6344</v>
      </c>
      <c r="G248" s="2171" t="s">
        <v>2068</v>
      </c>
      <c r="H248" s="2171"/>
      <c r="I248" s="2171"/>
      <c r="J248" s="2171"/>
      <c r="K248" s="2171"/>
      <c r="L248" s="2171"/>
      <c r="M248" s="2171"/>
      <c r="N248" s="2171"/>
      <c r="O248" s="2171"/>
      <c r="P248" s="2171"/>
      <c r="Q248" s="91" t="s">
        <v>944</v>
      </c>
      <c r="R248" s="2173" t="str">
        <f>NL!U13</f>
        <v>TỔNG CÔNG TY ĐIỆN LỰC MIỀN NAM</v>
      </c>
      <c r="S248" s="2173"/>
      <c r="T248" s="2173"/>
      <c r="U248" s="2173"/>
      <c r="V248" s="2173"/>
      <c r="W248" s="2173"/>
      <c r="X248" s="2173"/>
      <c r="Y248" s="2173"/>
      <c r="Z248" s="2173"/>
      <c r="AA248" s="2173"/>
      <c r="AB248" s="2173"/>
      <c r="AC248" s="2173"/>
      <c r="AD248" s="2173"/>
      <c r="AE248" s="2173"/>
      <c r="AF248" s="2173"/>
      <c r="AG248" s="2173"/>
      <c r="AH248" s="2173"/>
      <c r="AI248" s="2173"/>
      <c r="AJ248" s="2173"/>
      <c r="AK248" s="2173"/>
      <c r="AL248" s="2173"/>
      <c r="AM248" s="2173"/>
      <c r="AN248" s="2173"/>
      <c r="AO248" s="2173"/>
      <c r="AP248" s="2173"/>
      <c r="AQ248" s="2173"/>
      <c r="AR248" s="2173"/>
      <c r="AS248" s="2173"/>
      <c r="AT248" s="2173"/>
      <c r="AU248" s="2173"/>
      <c r="AV248" s="2173"/>
      <c r="AW248" s="2173"/>
      <c r="AX248" s="2173"/>
      <c r="AY248" s="2173"/>
      <c r="AZ248" s="2173"/>
      <c r="BA248" s="2173"/>
      <c r="BB248" s="2173"/>
      <c r="BC248" s="722" t="s">
        <v>637</v>
      </c>
    </row>
    <row r="249" spans="2:55" ht="18" hidden="1" customHeight="1">
      <c r="F249" s="102" t="s">
        <v>6344</v>
      </c>
      <c r="G249" s="2171" t="s">
        <v>2069</v>
      </c>
      <c r="H249" s="2171"/>
      <c r="I249" s="2171"/>
      <c r="J249" s="2171"/>
      <c r="K249" s="2171"/>
      <c r="L249" s="2171"/>
      <c r="M249" s="2171"/>
      <c r="N249" s="2171"/>
      <c r="O249" s="2171"/>
      <c r="P249" s="2171"/>
      <c r="Q249" s="91" t="s">
        <v>944</v>
      </c>
      <c r="R249" s="2171" t="str">
        <f>NL!U14</f>
        <v>TP.Vị Thanh, tỉnh Hậu Giang</v>
      </c>
      <c r="S249" s="2171"/>
      <c r="T249" s="2171"/>
      <c r="U249" s="2171"/>
      <c r="V249" s="2171"/>
      <c r="W249" s="2171"/>
      <c r="X249" s="2171"/>
      <c r="Y249" s="2171"/>
      <c r="Z249" s="2171"/>
      <c r="AA249" s="2171"/>
      <c r="AB249" s="2171"/>
      <c r="AC249" s="2171"/>
      <c r="AD249" s="2171"/>
      <c r="AE249" s="2171"/>
      <c r="AF249" s="2171"/>
      <c r="AG249" s="2171"/>
      <c r="AH249" s="2171"/>
      <c r="AI249" s="2171"/>
      <c r="AJ249" s="2171"/>
      <c r="AK249" s="2171"/>
      <c r="AL249" s="2171"/>
      <c r="AM249" s="2171"/>
      <c r="AN249" s="2171"/>
      <c r="AO249" s="2171"/>
      <c r="AP249" s="2171"/>
      <c r="AQ249" s="2171"/>
      <c r="AR249" s="2171"/>
      <c r="AS249" s="2171"/>
      <c r="AT249" s="2171"/>
      <c r="AU249" s="2171"/>
      <c r="AV249" s="2171"/>
      <c r="AW249" s="2171"/>
      <c r="AX249" s="2171"/>
      <c r="AY249" s="2171"/>
      <c r="AZ249" s="2171"/>
      <c r="BA249" s="2171"/>
      <c r="BB249" s="2171"/>
      <c r="BC249" s="722" t="s">
        <v>637</v>
      </c>
    </row>
    <row r="250" spans="2:55" ht="18" hidden="1" customHeight="1">
      <c r="F250" s="102" t="s">
        <v>6344</v>
      </c>
      <c r="G250" s="2171" t="s">
        <v>3484</v>
      </c>
      <c r="H250" s="2171"/>
      <c r="I250" s="2171"/>
      <c r="J250" s="2171"/>
      <c r="K250" s="2171"/>
      <c r="L250" s="2171"/>
      <c r="M250" s="2171"/>
      <c r="N250" s="2171"/>
      <c r="O250" s="2171"/>
      <c r="P250" s="2171"/>
      <c r="Q250" s="91" t="s">
        <v>944</v>
      </c>
      <c r="R250" s="2002" t="str">
        <f>NL!U18</f>
        <v>ông</v>
      </c>
      <c r="S250" s="2002"/>
      <c r="T250" s="2030" t="str">
        <f>NL!W18</f>
        <v>NGUYỄN VĂN A</v>
      </c>
      <c r="U250" s="2030"/>
      <c r="V250" s="2030"/>
      <c r="W250" s="2030"/>
      <c r="X250" s="2030"/>
      <c r="Y250" s="2030"/>
      <c r="Z250" s="2030"/>
      <c r="AA250" s="2030"/>
      <c r="AB250" s="2030"/>
      <c r="AC250" s="2030"/>
      <c r="AD250" s="2030"/>
      <c r="AE250" s="2030"/>
      <c r="AF250" s="2030"/>
      <c r="AG250" s="2030"/>
      <c r="AH250" s="2030"/>
      <c r="AI250" s="2030"/>
      <c r="AJ250" s="2030"/>
      <c r="AK250" s="2030"/>
      <c r="AL250" s="102" t="s">
        <v>3485</v>
      </c>
      <c r="AO250" s="106"/>
      <c r="AR250" s="106" t="str">
        <f>NL!AR18</f>
        <v>CHỦ CƠ SỞ</v>
      </c>
      <c r="AT250" s="119"/>
      <c r="AU250" s="119"/>
      <c r="AV250" s="119"/>
      <c r="AW250" s="119"/>
      <c r="AX250" s="119"/>
      <c r="AY250" s="119"/>
      <c r="AZ250" s="119"/>
      <c r="BA250" s="119"/>
      <c r="BB250" s="119"/>
      <c r="BC250" s="722" t="s">
        <v>637</v>
      </c>
    </row>
    <row r="251" spans="2:55" ht="18" hidden="1" customHeight="1">
      <c r="D251" s="2173" t="s">
        <v>5044</v>
      </c>
      <c r="E251" s="2173"/>
      <c r="F251" s="2173"/>
      <c r="G251" s="2173"/>
      <c r="H251" s="2173"/>
      <c r="I251" s="2173"/>
      <c r="J251" s="2173"/>
      <c r="K251" s="2173"/>
      <c r="L251" s="2173"/>
      <c r="M251" s="2173"/>
      <c r="N251" s="2173"/>
      <c r="O251" s="2173"/>
      <c r="P251" s="2173"/>
      <c r="Q251" s="2173"/>
      <c r="R251" s="2173"/>
      <c r="S251" s="2173"/>
      <c r="T251" s="2173"/>
      <c r="U251" s="2173"/>
      <c r="V251" s="2173"/>
      <c r="W251" s="2173"/>
      <c r="X251" s="2173"/>
      <c r="Y251" s="2173"/>
      <c r="Z251" s="2173"/>
      <c r="AA251" s="2173"/>
      <c r="AB251" s="2173"/>
      <c r="AC251" s="2173"/>
      <c r="AD251" s="2173"/>
      <c r="AE251" s="2173"/>
      <c r="AF251" s="2173"/>
      <c r="AG251" s="2173"/>
      <c r="AH251" s="2173"/>
      <c r="AI251" s="2173"/>
      <c r="AJ251" s="2173"/>
      <c r="AK251" s="2173"/>
      <c r="AL251" s="2173"/>
      <c r="AM251" s="2173"/>
      <c r="AN251" s="2173"/>
      <c r="AO251" s="2173"/>
      <c r="AP251" s="2173"/>
      <c r="AQ251" s="2173"/>
      <c r="AR251" s="2173"/>
      <c r="AS251" s="2173"/>
      <c r="AT251" s="2173"/>
      <c r="AU251" s="2173"/>
      <c r="AV251" s="2173"/>
      <c r="AW251" s="2173"/>
      <c r="AX251" s="2173"/>
      <c r="AY251" s="2173"/>
      <c r="AZ251" s="2173"/>
      <c r="BA251" s="2173"/>
      <c r="BB251" s="2173"/>
      <c r="BC251" s="722" t="s">
        <v>637</v>
      </c>
    </row>
    <row r="252" spans="2:55" ht="18" hidden="1" customHeight="1">
      <c r="F252" s="102" t="s">
        <v>6344</v>
      </c>
      <c r="G252" s="2171" t="s">
        <v>2068</v>
      </c>
      <c r="H252" s="2171"/>
      <c r="I252" s="2171"/>
      <c r="J252" s="2171"/>
      <c r="K252" s="2171"/>
      <c r="L252" s="2171"/>
      <c r="M252" s="2171"/>
      <c r="N252" s="2171"/>
      <c r="O252" s="2171"/>
      <c r="P252" s="2171"/>
      <c r="Q252" s="91" t="s">
        <v>944</v>
      </c>
      <c r="R252" s="2173" t="s">
        <v>318</v>
      </c>
      <c r="S252" s="2173"/>
      <c r="T252" s="2173"/>
      <c r="U252" s="2173"/>
      <c r="V252" s="2173"/>
      <c r="W252" s="2173"/>
      <c r="X252" s="2173"/>
      <c r="Y252" s="2173"/>
      <c r="Z252" s="2173"/>
      <c r="AA252" s="2173"/>
      <c r="AB252" s="2173"/>
      <c r="AC252" s="2173"/>
      <c r="AD252" s="2173"/>
      <c r="AE252" s="2173"/>
      <c r="AF252" s="2173"/>
      <c r="AG252" s="2173"/>
      <c r="AH252" s="2173"/>
      <c r="AI252" s="2173"/>
      <c r="AJ252" s="2173"/>
      <c r="AK252" s="2173"/>
      <c r="AL252" s="2173"/>
      <c r="AM252" s="2173"/>
      <c r="AN252" s="2173"/>
      <c r="AO252" s="2173"/>
      <c r="AP252" s="2173"/>
      <c r="AQ252" s="2173"/>
      <c r="AR252" s="2173"/>
      <c r="AS252" s="2173"/>
      <c r="AT252" s="2173"/>
      <c r="AU252" s="2173"/>
      <c r="AV252" s="2173"/>
      <c r="AW252" s="2173"/>
      <c r="AX252" s="2173"/>
      <c r="AY252" s="2173"/>
      <c r="AZ252" s="2173"/>
      <c r="BA252" s="2173"/>
      <c r="BB252" s="2173"/>
      <c r="BC252" s="722" t="s">
        <v>637</v>
      </c>
    </row>
    <row r="253" spans="2:55" ht="18" hidden="1" customHeight="1">
      <c r="F253" s="102" t="s">
        <v>6344</v>
      </c>
      <c r="G253" s="2171" t="s">
        <v>2069</v>
      </c>
      <c r="H253" s="2171"/>
      <c r="I253" s="2171"/>
      <c r="J253" s="2171"/>
      <c r="K253" s="2171"/>
      <c r="L253" s="2171"/>
      <c r="M253" s="2171"/>
      <c r="N253" s="2171"/>
      <c r="O253" s="2171"/>
      <c r="P253" s="2171"/>
      <c r="Q253" s="91" t="s">
        <v>944</v>
      </c>
      <c r="R253" s="2171" t="s">
        <v>6032</v>
      </c>
      <c r="S253" s="2171"/>
      <c r="T253" s="2171"/>
      <c r="U253" s="2171"/>
      <c r="V253" s="2171"/>
      <c r="W253" s="2171"/>
      <c r="X253" s="2171"/>
      <c r="Y253" s="2171"/>
      <c r="Z253" s="2171"/>
      <c r="AA253" s="2171"/>
      <c r="AB253" s="2171"/>
      <c r="AC253" s="2171"/>
      <c r="AD253" s="2171"/>
      <c r="AE253" s="2171"/>
      <c r="AF253" s="2171"/>
      <c r="AG253" s="2171"/>
      <c r="AH253" s="2171"/>
      <c r="AI253" s="2171"/>
      <c r="AJ253" s="2171"/>
      <c r="AK253" s="2171"/>
      <c r="AL253" s="2171"/>
      <c r="AM253" s="2171"/>
      <c r="AN253" s="2171"/>
      <c r="AO253" s="2171"/>
      <c r="AP253" s="2171"/>
      <c r="AQ253" s="2171"/>
      <c r="AR253" s="2171"/>
      <c r="AS253" s="2171"/>
      <c r="AT253" s="2171"/>
      <c r="AU253" s="2171"/>
      <c r="AV253" s="2171"/>
      <c r="AW253" s="2171"/>
      <c r="AX253" s="2171"/>
      <c r="AY253" s="2171"/>
      <c r="AZ253" s="2171"/>
      <c r="BA253" s="2171"/>
      <c r="BB253" s="2171"/>
      <c r="BC253" s="722" t="s">
        <v>637</v>
      </c>
    </row>
    <row r="254" spans="2:55" ht="18" hidden="1" customHeight="1">
      <c r="F254" s="102" t="s">
        <v>6344</v>
      </c>
      <c r="G254" s="2171" t="s">
        <v>3484</v>
      </c>
      <c r="H254" s="2171"/>
      <c r="I254" s="2171"/>
      <c r="J254" s="2171"/>
      <c r="K254" s="2171"/>
      <c r="L254" s="2171"/>
      <c r="M254" s="2171"/>
      <c r="N254" s="2171"/>
      <c r="O254" s="2171"/>
      <c r="P254" s="2171"/>
      <c r="Q254" s="91" t="s">
        <v>944</v>
      </c>
      <c r="R254" s="2002" t="s">
        <v>5940</v>
      </c>
      <c r="S254" s="2002"/>
      <c r="T254" s="2030" t="s">
        <v>3488</v>
      </c>
      <c r="U254" s="2030"/>
      <c r="V254" s="2030"/>
      <c r="W254" s="2030"/>
      <c r="X254" s="2030"/>
      <c r="Y254" s="2030"/>
      <c r="Z254" s="2030"/>
      <c r="AA254" s="2030"/>
      <c r="AB254" s="2030"/>
      <c r="AC254" s="2030"/>
      <c r="AD254" s="2030"/>
      <c r="AE254" s="2030"/>
      <c r="AF254" s="2030"/>
      <c r="AG254" s="2030"/>
      <c r="AH254" s="2030"/>
      <c r="AI254" s="2030"/>
      <c r="AJ254" s="2030"/>
      <c r="AK254" s="2030"/>
      <c r="AL254" s="102" t="s">
        <v>3485</v>
      </c>
      <c r="AO254" s="119"/>
      <c r="AP254" s="119"/>
      <c r="AQ254" s="119"/>
      <c r="AR254" s="119" t="s">
        <v>5941</v>
      </c>
      <c r="AS254" s="119"/>
      <c r="AT254" s="119"/>
      <c r="AU254" s="119"/>
      <c r="AV254" s="119"/>
      <c r="AW254" s="119"/>
      <c r="AX254" s="119"/>
      <c r="BC254" s="722" t="s">
        <v>637</v>
      </c>
    </row>
    <row r="255" spans="2:55" ht="18" hidden="1" customHeight="1">
      <c r="C255" s="2173" t="s">
        <v>3101</v>
      </c>
      <c r="D255" s="2173"/>
      <c r="E255" s="2173"/>
      <c r="F255" s="2173"/>
      <c r="G255" s="2173"/>
      <c r="H255" s="2173"/>
      <c r="I255" s="2173"/>
      <c r="J255" s="2173"/>
      <c r="K255" s="2173"/>
      <c r="L255" s="2173"/>
      <c r="M255" s="2173"/>
      <c r="N255" s="2173"/>
      <c r="O255" s="2173"/>
      <c r="P255" s="2173"/>
      <c r="Q255" s="2173"/>
      <c r="R255" s="2173"/>
      <c r="S255" s="2173"/>
      <c r="T255" s="2173"/>
      <c r="U255" s="2173"/>
      <c r="V255" s="2173"/>
      <c r="W255" s="2173"/>
      <c r="X255" s="2173"/>
      <c r="Y255" s="2173"/>
      <c r="Z255" s="2173"/>
      <c r="AA255" s="2173"/>
      <c r="AB255" s="2173"/>
      <c r="AC255" s="2173"/>
      <c r="AD255" s="2173"/>
      <c r="AE255" s="2173"/>
      <c r="AF255" s="2173"/>
      <c r="AG255" s="2173"/>
      <c r="AH255" s="2173"/>
      <c r="AI255" s="2173"/>
      <c r="AJ255" s="2173"/>
      <c r="AK255" s="2173"/>
      <c r="AL255" s="2173"/>
      <c r="AM255" s="2173"/>
      <c r="AN255" s="2173"/>
      <c r="AO255" s="2173"/>
      <c r="AP255" s="2173"/>
      <c r="AQ255" s="2173"/>
      <c r="AR255" s="2173"/>
      <c r="AS255" s="2173"/>
      <c r="AT255" s="2173"/>
      <c r="AU255" s="2173"/>
      <c r="AV255" s="2173"/>
      <c r="AW255" s="2173"/>
      <c r="AX255" s="2173"/>
      <c r="AY255" s="2173"/>
      <c r="AZ255" s="2173"/>
      <c r="BA255" s="2173"/>
      <c r="BB255" s="2173"/>
      <c r="BC255" s="722" t="s">
        <v>637</v>
      </c>
    </row>
    <row r="256" spans="2:55" ht="18" hidden="1" customHeight="1">
      <c r="I256" s="102" t="s">
        <v>6344</v>
      </c>
      <c r="J256" s="2171" t="s">
        <v>5045</v>
      </c>
      <c r="K256" s="2171"/>
      <c r="L256" s="2171"/>
      <c r="M256" s="2171"/>
      <c r="N256" s="2171"/>
      <c r="O256" s="2171"/>
      <c r="P256" s="102" t="s">
        <v>944</v>
      </c>
      <c r="Q256" s="2171" t="str">
        <f>"lúc 08h30,"&amp;IF(NL!U10="","Chưa nhập ngày ",": ngày ")&amp;TEXT(NL!U10,"dd")&amp;" tháng "&amp;TEXT(NL!U10,"mm")&amp;" năm "&amp;TEXT(NL!U10,"yyyy")</f>
        <v>lúc 08h30,: ngày 14 tháng 12 năm 2018</v>
      </c>
      <c r="R256" s="2171"/>
      <c r="S256" s="2171"/>
      <c r="T256" s="2171"/>
      <c r="U256" s="2171"/>
      <c r="V256" s="2171"/>
      <c r="W256" s="2171"/>
      <c r="X256" s="2171"/>
      <c r="Y256" s="2171"/>
      <c r="Z256" s="2171"/>
      <c r="AA256" s="2171"/>
      <c r="AB256" s="2171"/>
      <c r="AC256" s="2171"/>
      <c r="AD256" s="2171"/>
      <c r="AE256" s="2171"/>
      <c r="AF256" s="2171"/>
      <c r="AG256" s="2171"/>
      <c r="AH256" s="2171"/>
      <c r="AI256" s="2171"/>
      <c r="AJ256" s="2171"/>
      <c r="AK256" s="2171"/>
      <c r="AL256" s="2171"/>
      <c r="AM256" s="2171"/>
      <c r="AN256" s="2171"/>
      <c r="AO256" s="2171"/>
      <c r="AP256" s="2171"/>
      <c r="AQ256" s="2171"/>
      <c r="AR256" s="2171"/>
      <c r="AS256" s="2171"/>
      <c r="AT256" s="2171"/>
      <c r="AU256" s="2171"/>
      <c r="AV256" s="2171"/>
      <c r="AW256" s="2171"/>
      <c r="AX256" s="2171"/>
      <c r="AY256" s="2171"/>
      <c r="AZ256" s="2171"/>
      <c r="BA256" s="2171"/>
      <c r="BB256" s="2171"/>
      <c r="BC256" s="722" t="s">
        <v>637</v>
      </c>
    </row>
    <row r="257" spans="3:55" ht="18" hidden="1" customHeight="1">
      <c r="I257" s="102" t="s">
        <v>6344</v>
      </c>
      <c r="J257" s="2171" t="s">
        <v>5046</v>
      </c>
      <c r="K257" s="2171"/>
      <c r="L257" s="2171"/>
      <c r="M257" s="2171"/>
      <c r="N257" s="2171"/>
      <c r="O257" s="2171"/>
      <c r="P257" s="102" t="s">
        <v>944</v>
      </c>
      <c r="Q257" s="2171" t="str">
        <f>"lúc 10h30,"&amp;IF(NL!U10="","Chưa nhập ngày ",": ngày ")&amp;TEXT(NL!U10,"dd")&amp;" tháng "&amp;TEXT(NL!U10,"mm")&amp;" năm "&amp;TEXT(NL!U10,"yyyy")</f>
        <v>lúc 10h30,: ngày 14 tháng 12 năm 2018</v>
      </c>
      <c r="R257" s="2171"/>
      <c r="S257" s="2171"/>
      <c r="T257" s="2171"/>
      <c r="U257" s="2171"/>
      <c r="V257" s="2171"/>
      <c r="W257" s="2171"/>
      <c r="X257" s="2171"/>
      <c r="Y257" s="2171"/>
      <c r="Z257" s="2171"/>
      <c r="AA257" s="2171"/>
      <c r="AB257" s="2171"/>
      <c r="AC257" s="2171"/>
      <c r="AD257" s="2171"/>
      <c r="AE257" s="2171"/>
      <c r="AF257" s="2171"/>
      <c r="AG257" s="2171"/>
      <c r="AH257" s="2171"/>
      <c r="AI257" s="2171"/>
      <c r="AJ257" s="2171"/>
      <c r="AK257" s="2171"/>
      <c r="AL257" s="2171"/>
      <c r="AM257" s="2171"/>
      <c r="AN257" s="2171"/>
      <c r="AO257" s="2171"/>
      <c r="AP257" s="2171"/>
      <c r="AQ257" s="2171"/>
      <c r="AR257" s="2171"/>
      <c r="AS257" s="2171"/>
      <c r="AT257" s="2171"/>
      <c r="AU257" s="2171"/>
      <c r="AV257" s="2171"/>
      <c r="AW257" s="2171"/>
      <c r="AX257" s="2171"/>
      <c r="AY257" s="2171"/>
      <c r="AZ257" s="2171"/>
      <c r="BA257" s="2171"/>
      <c r="BB257" s="2171"/>
      <c r="BC257" s="722" t="s">
        <v>637</v>
      </c>
    </row>
    <row r="258" spans="3:55" ht="18" hidden="1" customHeight="1">
      <c r="I258" s="102" t="s">
        <v>6344</v>
      </c>
      <c r="J258" s="2171" t="s">
        <v>5047</v>
      </c>
      <c r="K258" s="2171"/>
      <c r="L258" s="2171"/>
      <c r="M258" s="2171"/>
      <c r="N258" s="2171"/>
      <c r="O258" s="2171"/>
      <c r="P258" s="102" t="s">
        <v>944</v>
      </c>
      <c r="Q258" s="2171" t="s">
        <v>540</v>
      </c>
      <c r="R258" s="2171"/>
      <c r="S258" s="2171"/>
      <c r="T258" s="2171"/>
      <c r="U258" s="2171"/>
      <c r="V258" s="2171"/>
      <c r="W258" s="2171"/>
      <c r="X258" s="2171"/>
      <c r="Y258" s="2171"/>
      <c r="Z258" s="2171"/>
      <c r="AA258" s="2171"/>
      <c r="AB258" s="2171"/>
      <c r="AC258" s="2171"/>
      <c r="AD258" s="2171"/>
      <c r="AE258" s="2171"/>
      <c r="AF258" s="2171"/>
      <c r="AG258" s="2171"/>
      <c r="AH258" s="2171"/>
      <c r="AI258" s="2171"/>
      <c r="AJ258" s="2171"/>
      <c r="AK258" s="2171"/>
      <c r="AL258" s="2171"/>
      <c r="AM258" s="2171"/>
      <c r="AN258" s="2171"/>
      <c r="AO258" s="2171"/>
      <c r="AP258" s="2171"/>
      <c r="AQ258" s="2171"/>
      <c r="AR258" s="2171"/>
      <c r="AS258" s="2171"/>
      <c r="AT258" s="2171"/>
      <c r="AU258" s="2171"/>
      <c r="AV258" s="2171"/>
      <c r="AW258" s="2171"/>
      <c r="AX258" s="2171"/>
      <c r="AY258" s="2171"/>
      <c r="AZ258" s="2171"/>
      <c r="BA258" s="2171"/>
      <c r="BB258" s="2171"/>
      <c r="BC258" s="722" t="s">
        <v>637</v>
      </c>
    </row>
    <row r="259" spans="3:55" ht="18" hidden="1" customHeight="1">
      <c r="C259" s="2173" t="s">
        <v>3102</v>
      </c>
      <c r="D259" s="2173"/>
      <c r="E259" s="2173"/>
      <c r="F259" s="2173"/>
      <c r="G259" s="2173"/>
      <c r="H259" s="2173"/>
      <c r="I259" s="2173"/>
      <c r="J259" s="2173"/>
      <c r="K259" s="2173"/>
      <c r="L259" s="2173"/>
      <c r="M259" s="2173"/>
      <c r="N259" s="2173"/>
      <c r="O259" s="2173"/>
      <c r="P259" s="2173"/>
      <c r="Q259" s="2173"/>
      <c r="R259" s="2173"/>
      <c r="S259" s="2173"/>
      <c r="T259" s="2173"/>
      <c r="U259" s="2173"/>
      <c r="V259" s="2173"/>
      <c r="W259" s="2173"/>
      <c r="X259" s="2173"/>
      <c r="Y259" s="2173"/>
      <c r="Z259" s="2173"/>
      <c r="AA259" s="2173"/>
      <c r="AB259" s="2173"/>
      <c r="AC259" s="2173"/>
      <c r="AD259" s="2173"/>
      <c r="AE259" s="2173"/>
      <c r="AF259" s="2173"/>
      <c r="AG259" s="2173"/>
      <c r="AH259" s="2173"/>
      <c r="AI259" s="2173"/>
      <c r="AJ259" s="2173"/>
      <c r="AK259" s="2173"/>
      <c r="AL259" s="2173"/>
      <c r="AM259" s="2173"/>
      <c r="AN259" s="2173"/>
      <c r="AO259" s="2173"/>
      <c r="AP259" s="2173"/>
      <c r="AQ259" s="2173"/>
      <c r="AR259" s="2173"/>
      <c r="AS259" s="2173"/>
      <c r="AT259" s="2173"/>
      <c r="AU259" s="2173"/>
      <c r="AV259" s="2173"/>
      <c r="AW259" s="2173"/>
      <c r="AX259" s="2173"/>
      <c r="AY259" s="2173"/>
      <c r="AZ259" s="2173"/>
      <c r="BA259" s="2173"/>
      <c r="BB259" s="2173"/>
      <c r="BC259" s="722" t="s">
        <v>637</v>
      </c>
    </row>
    <row r="260" spans="3:55" ht="18" hidden="1" customHeight="1">
      <c r="F260" s="2171" t="s">
        <v>642</v>
      </c>
      <c r="G260" s="2171"/>
      <c r="H260" s="2171" t="s">
        <v>5505</v>
      </c>
      <c r="I260" s="2171"/>
      <c r="J260" s="2171"/>
      <c r="K260" s="2171"/>
      <c r="L260" s="2171"/>
      <c r="M260" s="2171"/>
      <c r="N260" s="2171"/>
      <c r="O260" s="2171"/>
      <c r="P260" s="2171"/>
      <c r="Q260" s="2171"/>
      <c r="R260" s="2171"/>
      <c r="S260" s="2171"/>
      <c r="T260" s="2171"/>
      <c r="U260" s="2171"/>
      <c r="V260" s="2171"/>
      <c r="W260" s="2171"/>
      <c r="X260" s="2171"/>
      <c r="Y260" s="2171"/>
      <c r="Z260" s="2171"/>
      <c r="AA260" s="2171"/>
      <c r="AB260" s="2171"/>
      <c r="AC260" s="2171"/>
      <c r="AD260" s="2171"/>
      <c r="AE260" s="2171"/>
      <c r="AF260" s="2171"/>
      <c r="AG260" s="2171"/>
      <c r="AH260" s="2171"/>
      <c r="AI260" s="2171"/>
      <c r="AJ260" s="2171"/>
      <c r="AK260" s="2171"/>
      <c r="AL260" s="2171"/>
      <c r="AM260" s="2171"/>
      <c r="AN260" s="2171"/>
      <c r="AO260" s="2171"/>
      <c r="AP260" s="2171"/>
      <c r="AQ260" s="2171"/>
      <c r="AR260" s="2171"/>
      <c r="AS260" s="2171"/>
      <c r="AT260" s="2171"/>
      <c r="AU260" s="2171"/>
      <c r="AV260" s="2171"/>
      <c r="AW260" s="2171"/>
      <c r="AX260" s="2171"/>
      <c r="AY260" s="2171"/>
      <c r="AZ260" s="2171"/>
      <c r="BA260" s="2171"/>
      <c r="BB260" s="2171"/>
      <c r="BC260" s="722" t="s">
        <v>637</v>
      </c>
    </row>
    <row r="261" spans="3:55" ht="18" hidden="1" customHeight="1">
      <c r="F261" s="2171" t="s">
        <v>643</v>
      </c>
      <c r="G261" s="2171"/>
      <c r="H261" s="2171" t="s">
        <v>2330</v>
      </c>
      <c r="I261" s="2171"/>
      <c r="J261" s="2171"/>
      <c r="K261" s="2171"/>
      <c r="L261" s="2171"/>
      <c r="M261" s="2171"/>
      <c r="N261" s="2171"/>
      <c r="O261" s="2171"/>
      <c r="P261" s="2171"/>
      <c r="Q261" s="2171"/>
      <c r="R261" s="2171"/>
      <c r="S261" s="2171"/>
      <c r="T261" s="2171"/>
      <c r="U261" s="2171"/>
      <c r="V261" s="2171"/>
      <c r="W261" s="2171"/>
      <c r="X261" s="2171"/>
      <c r="Y261" s="2171"/>
      <c r="Z261" s="2171"/>
      <c r="AA261" s="2171"/>
      <c r="AB261" s="2171"/>
      <c r="AC261" s="2171"/>
      <c r="AD261" s="2171"/>
      <c r="AE261" s="2171"/>
      <c r="AF261" s="2171"/>
      <c r="AG261" s="2171"/>
      <c r="AH261" s="2171"/>
      <c r="AI261" s="2171"/>
      <c r="AJ261" s="2171"/>
      <c r="AK261" s="2171"/>
      <c r="AL261" s="2171"/>
      <c r="AM261" s="2171"/>
      <c r="AN261" s="2171"/>
      <c r="AO261" s="2171"/>
      <c r="AP261" s="2171"/>
      <c r="AQ261" s="2171"/>
      <c r="AR261" s="2171"/>
      <c r="AS261" s="2171"/>
      <c r="AT261" s="2171"/>
      <c r="AU261" s="2171"/>
      <c r="AV261" s="2171"/>
      <c r="AW261" s="2171"/>
      <c r="AX261" s="2171"/>
      <c r="AY261" s="2171"/>
      <c r="AZ261" s="2171"/>
      <c r="BA261" s="2171"/>
      <c r="BB261" s="2171"/>
      <c r="BC261" s="722" t="s">
        <v>637</v>
      </c>
    </row>
    <row r="262" spans="3:55" ht="18" hidden="1" customHeight="1">
      <c r="F262" s="107"/>
      <c r="G262" s="107"/>
      <c r="H262" s="107"/>
      <c r="I262" s="107"/>
      <c r="J262" s="107" t="s">
        <v>6344</v>
      </c>
      <c r="K262" s="2171" t="s">
        <v>6396</v>
      </c>
      <c r="L262" s="2171"/>
      <c r="M262" s="2171"/>
      <c r="N262" s="2171"/>
      <c r="O262" s="2171"/>
      <c r="P262" s="2171"/>
      <c r="Q262" s="2171"/>
      <c r="R262" s="2171"/>
      <c r="S262" s="2171"/>
      <c r="T262" s="2171"/>
      <c r="U262" s="2171"/>
      <c r="V262" s="2171"/>
      <c r="W262" s="2171"/>
      <c r="X262" s="107" t="s">
        <v>944</v>
      </c>
      <c r="Y262" s="2189">
        <f>NL!U40</f>
        <v>17</v>
      </c>
      <c r="Z262" s="2189"/>
      <c r="AA262" s="2189"/>
      <c r="AB262" s="2189"/>
      <c r="AC262" s="2189"/>
      <c r="AD262" s="2189"/>
      <c r="AE262" s="2189"/>
      <c r="AF262" s="2189"/>
      <c r="AG262" s="2189"/>
      <c r="AH262" s="2189"/>
      <c r="AI262" s="2189"/>
      <c r="AJ262" s="2189"/>
      <c r="AK262" s="107" t="s">
        <v>639</v>
      </c>
      <c r="AL262" s="107"/>
      <c r="AM262" s="107"/>
      <c r="AN262" s="107"/>
      <c r="AP262" s="107"/>
      <c r="AQ262" s="107"/>
      <c r="AR262" s="107"/>
      <c r="AS262" s="107"/>
      <c r="AT262" s="107"/>
      <c r="AU262" s="107"/>
      <c r="AV262" s="107"/>
      <c r="AW262" s="107"/>
      <c r="AX262" s="107"/>
      <c r="AY262" s="107"/>
      <c r="AZ262" s="107"/>
      <c r="BA262" s="107"/>
      <c r="BB262" s="107"/>
      <c r="BC262" s="722" t="str">
        <f>+IF(Y262=0,"","TK")</f>
        <v>TK</v>
      </c>
    </row>
    <row r="263" spans="3:55" ht="18" hidden="1" customHeight="1">
      <c r="F263" s="107"/>
      <c r="G263" s="107"/>
      <c r="H263" s="107"/>
      <c r="I263" s="107"/>
      <c r="J263" s="107" t="s">
        <v>6344</v>
      </c>
      <c r="K263" s="2171" t="s">
        <v>6397</v>
      </c>
      <c r="L263" s="2171"/>
      <c r="M263" s="2171"/>
      <c r="N263" s="2171"/>
      <c r="O263" s="2171"/>
      <c r="P263" s="2171"/>
      <c r="Q263" s="2171"/>
      <c r="R263" s="2171"/>
      <c r="S263" s="2171"/>
      <c r="T263" s="2171"/>
      <c r="U263" s="2171"/>
      <c r="V263" s="2171"/>
      <c r="W263" s="2171"/>
      <c r="X263" s="107" t="s">
        <v>944</v>
      </c>
      <c r="Y263" s="2189" t="str">
        <f>NL!U29</f>
        <v>22/0,4kV - 160</v>
      </c>
      <c r="Z263" s="2189"/>
      <c r="AA263" s="2189"/>
      <c r="AB263" s="2189"/>
      <c r="AC263" s="2189"/>
      <c r="AD263" s="2189"/>
      <c r="AE263" s="2189"/>
      <c r="AF263" s="2189"/>
      <c r="AG263" s="2189"/>
      <c r="AH263" s="2189"/>
      <c r="AI263" s="2189"/>
      <c r="AJ263" s="2189"/>
      <c r="AK263" s="107" t="s">
        <v>2321</v>
      </c>
      <c r="AL263" s="107"/>
      <c r="AM263" s="107"/>
      <c r="AN263" s="107"/>
      <c r="AP263" s="107"/>
      <c r="AQ263" s="107"/>
      <c r="AR263" s="107"/>
      <c r="AS263" s="107"/>
      <c r="AT263" s="107"/>
      <c r="AU263" s="107"/>
      <c r="AV263" s="107"/>
      <c r="AW263" s="107"/>
      <c r="AX263" s="107"/>
      <c r="AY263" s="107"/>
      <c r="AZ263" s="107"/>
      <c r="BA263" s="107"/>
      <c r="BB263" s="107"/>
      <c r="BC263" s="722" t="str">
        <f>+IF(Y263=0,"","TK")</f>
        <v>TK</v>
      </c>
    </row>
    <row r="264" spans="3:55" ht="18" hidden="1" customHeight="1">
      <c r="F264" s="107"/>
      <c r="G264" s="107"/>
      <c r="H264" s="107"/>
      <c r="I264" s="107"/>
      <c r="J264" s="107" t="s">
        <v>6344</v>
      </c>
      <c r="K264" s="2171" t="s">
        <v>2038</v>
      </c>
      <c r="L264" s="2171"/>
      <c r="M264" s="2171"/>
      <c r="N264" s="2171"/>
      <c r="O264" s="2171"/>
      <c r="P264" s="2171"/>
      <c r="Q264" s="2171"/>
      <c r="R264" s="2171"/>
      <c r="S264" s="2171"/>
      <c r="T264" s="2171"/>
      <c r="U264" s="2171"/>
      <c r="V264" s="2171"/>
      <c r="W264" s="2171"/>
      <c r="X264" s="107" t="s">
        <v>944</v>
      </c>
      <c r="Y264" s="2189">
        <f>NL!U53</f>
        <v>4653</v>
      </c>
      <c r="Z264" s="2189"/>
      <c r="AA264" s="2189"/>
      <c r="AB264" s="2189"/>
      <c r="AC264" s="2189"/>
      <c r="AD264" s="2189"/>
      <c r="AE264" s="2189"/>
      <c r="AF264" s="2189"/>
      <c r="AG264" s="2189"/>
      <c r="AH264" s="2189"/>
      <c r="AI264" s="2189"/>
      <c r="AJ264" s="2189"/>
      <c r="AK264" s="107" t="s">
        <v>639</v>
      </c>
      <c r="AL264" s="107"/>
      <c r="AM264" s="107"/>
      <c r="AN264" s="107"/>
      <c r="AP264" s="107"/>
      <c r="AQ264" s="107"/>
      <c r="AR264" s="107"/>
      <c r="AS264" s="107"/>
      <c r="AT264" s="107"/>
      <c r="AU264" s="107"/>
      <c r="AV264" s="107"/>
      <c r="AW264" s="107"/>
      <c r="AX264" s="107"/>
      <c r="AY264" s="107"/>
      <c r="AZ264" s="107"/>
      <c r="BA264" s="107"/>
      <c r="BB264" s="107"/>
      <c r="BC264" s="722" t="str">
        <f>+IF(Y264=0,"","TK")</f>
        <v>TK</v>
      </c>
    </row>
    <row r="265" spans="3:55" ht="18" hidden="1" customHeight="1">
      <c r="F265" s="2171" t="s">
        <v>644</v>
      </c>
      <c r="G265" s="2171"/>
      <c r="H265" s="102" t="s">
        <v>6321</v>
      </c>
      <c r="I265" s="107"/>
      <c r="J265" s="107"/>
      <c r="K265" s="107"/>
      <c r="L265" s="107"/>
      <c r="M265" s="107"/>
      <c r="N265" s="107"/>
      <c r="O265" s="107"/>
      <c r="P265" s="107"/>
      <c r="Q265" s="107"/>
      <c r="R265" s="107"/>
      <c r="S265" s="107"/>
      <c r="T265" s="107"/>
      <c r="U265" s="107"/>
      <c r="V265" s="107"/>
      <c r="W265" s="107"/>
      <c r="X265" s="107"/>
      <c r="Y265" s="128"/>
      <c r="Z265" s="129"/>
      <c r="AA265" s="129"/>
      <c r="AB265" s="129"/>
      <c r="AC265" s="129"/>
      <c r="AD265" s="129"/>
      <c r="AE265" s="129"/>
      <c r="AF265" s="129"/>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c r="BB265" s="107"/>
      <c r="BC265" s="722" t="s">
        <v>637</v>
      </c>
    </row>
    <row r="266" spans="3:55" ht="18" hidden="1" customHeight="1">
      <c r="C266" s="2173" t="s">
        <v>3103</v>
      </c>
      <c r="D266" s="2173"/>
      <c r="E266" s="2173"/>
      <c r="F266" s="2173"/>
      <c r="G266" s="2173"/>
      <c r="H266" s="2173"/>
      <c r="I266" s="2173"/>
      <c r="J266" s="2173"/>
      <c r="K266" s="2173"/>
      <c r="L266" s="2173"/>
      <c r="M266" s="2173"/>
      <c r="N266" s="2173"/>
      <c r="O266" s="2173"/>
      <c r="P266" s="2173"/>
      <c r="Q266" s="2173"/>
      <c r="R266" s="2173"/>
      <c r="S266" s="2173"/>
      <c r="T266" s="2173"/>
      <c r="U266" s="2173"/>
      <c r="V266" s="2173"/>
      <c r="W266" s="2173"/>
      <c r="X266" s="2173"/>
      <c r="Y266" s="2173"/>
      <c r="Z266" s="2173"/>
      <c r="AA266" s="2173"/>
      <c r="AB266" s="2173"/>
      <c r="AC266" s="2173"/>
      <c r="AD266" s="2173"/>
      <c r="AE266" s="2173"/>
      <c r="AF266" s="2173"/>
      <c r="AG266" s="2173"/>
      <c r="AH266" s="2173"/>
      <c r="AI266" s="2173"/>
      <c r="AJ266" s="2173"/>
      <c r="AK266" s="2173"/>
      <c r="AL266" s="2173"/>
      <c r="AM266" s="2173"/>
      <c r="AN266" s="2173"/>
      <c r="AO266" s="2173"/>
      <c r="AP266" s="2173"/>
      <c r="AQ266" s="2173"/>
      <c r="AR266" s="2173"/>
      <c r="AS266" s="2173"/>
      <c r="AT266" s="2173"/>
      <c r="AU266" s="2173"/>
      <c r="AV266" s="2173"/>
      <c r="AW266" s="2173"/>
      <c r="AX266" s="2173"/>
      <c r="AY266" s="2173"/>
      <c r="AZ266" s="2173"/>
      <c r="BA266" s="2173"/>
      <c r="BB266" s="2173"/>
      <c r="BC266" s="722" t="s">
        <v>637</v>
      </c>
    </row>
    <row r="267" spans="3:55" ht="18" hidden="1" customHeight="1">
      <c r="F267" s="2171" t="s">
        <v>6322</v>
      </c>
      <c r="G267" s="2171"/>
      <c r="H267" s="2171"/>
      <c r="I267" s="2171"/>
      <c r="J267" s="2171"/>
      <c r="K267" s="2171"/>
      <c r="L267" s="2171"/>
      <c r="M267" s="2171"/>
      <c r="N267" s="2171"/>
      <c r="O267" s="2171"/>
      <c r="P267" s="2171"/>
      <c r="Q267" s="2171"/>
      <c r="R267" s="2171"/>
      <c r="S267" s="2171"/>
      <c r="T267" s="2171"/>
      <c r="U267" s="2171"/>
      <c r="V267" s="2171"/>
      <c r="W267" s="2171"/>
      <c r="X267" s="2171"/>
      <c r="Y267" s="2171"/>
      <c r="Z267" s="2171"/>
      <c r="AA267" s="2171"/>
      <c r="AB267" s="2171"/>
      <c r="AC267" s="2171"/>
      <c r="AD267" s="2171"/>
      <c r="AE267" s="2171"/>
      <c r="AF267" s="2171"/>
      <c r="AG267" s="2171"/>
      <c r="AH267" s="2171"/>
      <c r="AI267" s="2171"/>
      <c r="AJ267" s="2171"/>
      <c r="AK267" s="2171"/>
      <c r="AL267" s="2171"/>
      <c r="AM267" s="2171"/>
      <c r="AN267" s="2171"/>
      <c r="AO267" s="2171"/>
      <c r="AP267" s="2171"/>
      <c r="AQ267" s="2171"/>
      <c r="AR267" s="2171"/>
      <c r="AS267" s="2171"/>
      <c r="AT267" s="2171"/>
      <c r="AU267" s="2171"/>
      <c r="AV267" s="2171"/>
      <c r="AW267" s="2171"/>
      <c r="AX267" s="2171"/>
      <c r="AY267" s="2171"/>
      <c r="AZ267" s="2171"/>
      <c r="BA267" s="2171"/>
      <c r="BB267" s="2171"/>
      <c r="BC267" s="722" t="s">
        <v>637</v>
      </c>
    </row>
    <row r="268" spans="3:55" ht="18" hidden="1" customHeight="1">
      <c r="C268" s="2030" t="s">
        <v>4479</v>
      </c>
      <c r="D268" s="2030"/>
      <c r="E268" s="2030"/>
      <c r="F268" s="2030"/>
      <c r="G268" s="2030"/>
      <c r="H268" s="2030"/>
      <c r="I268" s="2030"/>
      <c r="J268" s="2030"/>
      <c r="K268" s="2030"/>
      <c r="L268" s="2030"/>
      <c r="M268" s="2030"/>
      <c r="N268" s="2030"/>
      <c r="O268" s="2030"/>
      <c r="P268" s="2030"/>
      <c r="Q268" s="2030"/>
      <c r="R268" s="2030"/>
      <c r="S268" s="2030"/>
      <c r="T268" s="2030"/>
      <c r="U268" s="2030"/>
      <c r="V268" s="2030"/>
      <c r="W268" s="2030"/>
      <c r="X268" s="2030"/>
      <c r="Y268" s="2030"/>
      <c r="Z268" s="2030"/>
      <c r="AA268" s="2030"/>
      <c r="AB268" s="2030"/>
      <c r="AC268" s="2030" t="s">
        <v>543</v>
      </c>
      <c r="AD268" s="2030"/>
      <c r="AE268" s="2030"/>
      <c r="AF268" s="2030"/>
      <c r="AG268" s="2030"/>
      <c r="AH268" s="2030"/>
      <c r="AI268" s="2030"/>
      <c r="AJ268" s="2030"/>
      <c r="AK268" s="2030"/>
      <c r="AL268" s="2030"/>
      <c r="AM268" s="2030"/>
      <c r="AN268" s="2030"/>
      <c r="AO268" s="2030"/>
      <c r="AP268" s="2030"/>
      <c r="AQ268" s="2030"/>
      <c r="AR268" s="2030"/>
      <c r="AS268" s="2030"/>
      <c r="AT268" s="2030"/>
      <c r="AU268" s="2030"/>
      <c r="AV268" s="2030"/>
      <c r="AW268" s="2030"/>
      <c r="AX268" s="2030"/>
      <c r="AY268" s="2030"/>
      <c r="AZ268" s="2030"/>
      <c r="BA268" s="2030"/>
      <c r="BB268" s="2030"/>
      <c r="BC268" s="722" t="s">
        <v>637</v>
      </c>
    </row>
    <row r="269" spans="3:55" ht="18" hidden="1" customHeight="1">
      <c r="AC269" s="2030" t="s">
        <v>5941</v>
      </c>
      <c r="AD269" s="2030"/>
      <c r="AE269" s="2030"/>
      <c r="AF269" s="2030"/>
      <c r="AG269" s="2030"/>
      <c r="AH269" s="2030"/>
      <c r="AI269" s="2030"/>
      <c r="AJ269" s="2030"/>
      <c r="AK269" s="2030"/>
      <c r="AL269" s="2030"/>
      <c r="AM269" s="2030"/>
      <c r="AN269" s="2030"/>
      <c r="AO269" s="2030"/>
      <c r="AP269" s="2030"/>
      <c r="AQ269" s="2030"/>
      <c r="AR269" s="2030"/>
      <c r="AS269" s="2030"/>
      <c r="AT269" s="2030"/>
      <c r="AU269" s="2030"/>
      <c r="AV269" s="2030"/>
      <c r="AW269" s="2030"/>
      <c r="AX269" s="2030"/>
      <c r="AY269" s="2030"/>
      <c r="AZ269" s="2030"/>
      <c r="BA269" s="2030"/>
      <c r="BB269" s="2030"/>
      <c r="BC269" s="722" t="s">
        <v>637</v>
      </c>
    </row>
    <row r="270" spans="3:55" ht="18" hidden="1" customHeight="1">
      <c r="BC270" s="722" t="s">
        <v>637</v>
      </c>
    </row>
    <row r="271" spans="3:55" ht="18" hidden="1" customHeight="1">
      <c r="BC271" s="722" t="s">
        <v>637</v>
      </c>
    </row>
    <row r="272" spans="3:55" ht="18" hidden="1" customHeight="1">
      <c r="BC272" s="722" t="s">
        <v>637</v>
      </c>
    </row>
    <row r="273" spans="2:55" ht="18" hidden="1" customHeight="1">
      <c r="BC273" s="722" t="s">
        <v>637</v>
      </c>
    </row>
    <row r="274" spans="2:55" ht="18" hidden="1" customHeight="1">
      <c r="AC274" s="2030" t="s">
        <v>502</v>
      </c>
      <c r="AD274" s="2030"/>
      <c r="AE274" s="2030"/>
      <c r="AF274" s="2030"/>
      <c r="AG274" s="2030"/>
      <c r="AH274" s="2030"/>
      <c r="AI274" s="2030"/>
      <c r="AJ274" s="2030"/>
      <c r="AK274" s="2030"/>
      <c r="AL274" s="2030"/>
      <c r="AM274" s="2030"/>
      <c r="AN274" s="2030"/>
      <c r="AO274" s="2030"/>
      <c r="AP274" s="2030"/>
      <c r="AQ274" s="2030"/>
      <c r="AR274" s="2030"/>
      <c r="AS274" s="2030"/>
      <c r="AT274" s="2030"/>
      <c r="AU274" s="2030"/>
      <c r="AV274" s="2030"/>
      <c r="AW274" s="2030"/>
      <c r="AX274" s="2030"/>
      <c r="AY274" s="2030"/>
      <c r="AZ274" s="2030"/>
      <c r="BA274" s="2030"/>
      <c r="BB274" s="2030"/>
      <c r="BC274" s="722" t="s">
        <v>637</v>
      </c>
    </row>
    <row r="275" spans="2:55" ht="18" hidden="1" customHeight="1">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722"/>
    </row>
    <row r="276" spans="2:55" ht="18" hidden="1" customHeight="1">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722"/>
    </row>
    <row r="277" spans="2:55" ht="18" hidden="1" customHeight="1">
      <c r="B277" s="2030" t="s">
        <v>205</v>
      </c>
      <c r="C277" s="2030"/>
      <c r="D277" s="2030"/>
      <c r="E277" s="2030"/>
      <c r="F277" s="2030"/>
      <c r="G277" s="2030"/>
      <c r="H277" s="2030"/>
      <c r="I277" s="2030"/>
      <c r="J277" s="2030"/>
      <c r="K277" s="2030"/>
      <c r="L277" s="2030"/>
      <c r="M277" s="2030"/>
      <c r="N277" s="2030"/>
      <c r="O277" s="2030"/>
      <c r="P277" s="2030"/>
      <c r="Q277" s="2030"/>
      <c r="R277" s="2030"/>
      <c r="S277" s="2030"/>
      <c r="T277" s="2030"/>
      <c r="U277" s="2030"/>
      <c r="V277" s="2030"/>
      <c r="W277" s="2030"/>
      <c r="X277" s="2030"/>
      <c r="Y277" s="2030"/>
      <c r="Z277" s="2030"/>
      <c r="AA277" s="2030"/>
      <c r="AB277" s="2030"/>
      <c r="AC277" s="2030"/>
      <c r="AD277" s="2030"/>
      <c r="AE277" s="2030"/>
      <c r="AF277" s="2030"/>
      <c r="AG277" s="2030"/>
      <c r="AH277" s="2030"/>
      <c r="AI277" s="2030"/>
      <c r="AJ277" s="2030"/>
      <c r="AK277" s="2030"/>
      <c r="AL277" s="2030"/>
      <c r="AM277" s="2030"/>
      <c r="AN277" s="2030"/>
      <c r="AO277" s="2030"/>
      <c r="AP277" s="2030"/>
      <c r="AQ277" s="2030"/>
      <c r="AR277" s="2030"/>
      <c r="AS277" s="2030"/>
      <c r="AT277" s="2030"/>
      <c r="AU277" s="2030"/>
      <c r="AV277" s="2030"/>
      <c r="AW277" s="2030"/>
      <c r="AX277" s="2030"/>
      <c r="AY277" s="2030"/>
      <c r="AZ277" s="2030"/>
      <c r="BA277" s="2030"/>
      <c r="BB277" s="2030"/>
      <c r="BC277" s="722" t="s">
        <v>4694</v>
      </c>
    </row>
    <row r="278" spans="2:55" ht="15.95" hidden="1" customHeight="1">
      <c r="B278" s="2030" t="s">
        <v>206</v>
      </c>
      <c r="C278" s="2030"/>
      <c r="D278" s="2030"/>
      <c r="E278" s="2030"/>
      <c r="F278" s="2030"/>
      <c r="G278" s="2030"/>
      <c r="H278" s="2030"/>
      <c r="I278" s="2030"/>
      <c r="J278" s="2030"/>
      <c r="K278" s="2030"/>
      <c r="L278" s="2030"/>
      <c r="M278" s="2030"/>
      <c r="N278" s="2030"/>
      <c r="O278" s="2030"/>
      <c r="P278" s="2030"/>
      <c r="Q278" s="2030"/>
      <c r="R278" s="2030"/>
      <c r="S278" s="2030"/>
      <c r="T278" s="2030"/>
      <c r="U278" s="2030"/>
      <c r="V278" s="2030"/>
      <c r="W278" s="2030"/>
      <c r="X278" s="2030"/>
      <c r="Y278" s="2030"/>
      <c r="Z278" s="2030"/>
      <c r="AA278" s="2030"/>
      <c r="AB278" s="2030"/>
      <c r="AC278" s="2030"/>
      <c r="AD278" s="2030"/>
      <c r="AE278" s="2030"/>
      <c r="AF278" s="2030"/>
      <c r="AG278" s="2030"/>
      <c r="AH278" s="2030"/>
      <c r="AI278" s="2030"/>
      <c r="AJ278" s="2030"/>
      <c r="AK278" s="2030"/>
      <c r="AL278" s="2030"/>
      <c r="AM278" s="2030"/>
      <c r="AN278" s="2030"/>
      <c r="AO278" s="2030"/>
      <c r="AP278" s="2030"/>
      <c r="AQ278" s="2030"/>
      <c r="AR278" s="2030"/>
      <c r="AS278" s="2030"/>
      <c r="AT278" s="2030"/>
      <c r="AU278" s="2030"/>
      <c r="AV278" s="2030"/>
      <c r="AW278" s="2030"/>
      <c r="AX278" s="2030"/>
      <c r="AY278" s="2030"/>
      <c r="AZ278" s="2030"/>
      <c r="BA278" s="2030"/>
      <c r="BB278" s="2030"/>
      <c r="BC278" s="722" t="s">
        <v>4694</v>
      </c>
    </row>
    <row r="279" spans="2:55" ht="15.95" hidden="1" customHeight="1">
      <c r="B279" s="2002" t="s">
        <v>638</v>
      </c>
      <c r="C279" s="2176"/>
      <c r="D279" s="2176"/>
      <c r="E279" s="2176"/>
      <c r="F279" s="2176"/>
      <c r="G279" s="2176"/>
      <c r="H279" s="2176"/>
      <c r="I279" s="2176"/>
      <c r="J279" s="2176"/>
      <c r="K279" s="2176"/>
      <c r="L279" s="2176"/>
      <c r="M279" s="2176"/>
      <c r="N279" s="2176"/>
      <c r="O279" s="2176"/>
      <c r="P279" s="2176"/>
      <c r="Q279" s="2176"/>
      <c r="R279" s="2176"/>
      <c r="S279" s="2176"/>
      <c r="T279" s="2176"/>
      <c r="U279" s="2176"/>
      <c r="V279" s="2176"/>
      <c r="W279" s="2176"/>
      <c r="X279" s="2176"/>
      <c r="Y279" s="2176"/>
      <c r="Z279" s="2176"/>
      <c r="AA279" s="2176"/>
      <c r="AB279" s="2176"/>
      <c r="AC279" s="2176"/>
      <c r="AD279" s="2176"/>
      <c r="AE279" s="2176"/>
      <c r="AF279" s="2176"/>
      <c r="AG279" s="2176"/>
      <c r="AH279" s="2176"/>
      <c r="AI279" s="2176"/>
      <c r="AJ279" s="2176"/>
      <c r="AK279" s="2176"/>
      <c r="AL279" s="2176"/>
      <c r="AM279" s="2176"/>
      <c r="AN279" s="2176"/>
      <c r="AO279" s="2176"/>
      <c r="AP279" s="2176"/>
      <c r="AQ279" s="2176"/>
      <c r="AR279" s="2176"/>
      <c r="AS279" s="2176"/>
      <c r="AT279" s="2176"/>
      <c r="AU279" s="2176"/>
      <c r="AV279" s="2176"/>
      <c r="AW279" s="2176"/>
      <c r="AX279" s="2176"/>
      <c r="AY279" s="2176"/>
      <c r="AZ279" s="2176"/>
      <c r="BA279" s="2176"/>
      <c r="BB279" s="2176"/>
      <c r="BC279" s="722" t="s">
        <v>4694</v>
      </c>
    </row>
    <row r="280" spans="2:55" ht="15.95" hidden="1" customHeight="1">
      <c r="B280" s="2005" t="str">
        <f>IF(NL!U9="","Chưa nhập ngày","Hậu Giang, ngày "&amp;TEXT(NL!U9,"dd")&amp;" tháng "&amp;TEXT(NL!U9,"mm")&amp;" năm "&amp;TEXT(NL!U9,"yyyy"))</f>
        <v>Hậu Giang, ngày 07 tháng 12 năm 2018</v>
      </c>
      <c r="C280" s="2005"/>
      <c r="D280" s="2005"/>
      <c r="E280" s="2005"/>
      <c r="F280" s="2005"/>
      <c r="G280" s="2005"/>
      <c r="H280" s="2005"/>
      <c r="I280" s="2005"/>
      <c r="J280" s="2005"/>
      <c r="K280" s="2005"/>
      <c r="L280" s="2005"/>
      <c r="M280" s="2005"/>
      <c r="N280" s="2005"/>
      <c r="O280" s="2005"/>
      <c r="P280" s="2005"/>
      <c r="Q280" s="2005"/>
      <c r="R280" s="2005"/>
      <c r="S280" s="2005"/>
      <c r="T280" s="2005"/>
      <c r="U280" s="2005"/>
      <c r="V280" s="2005"/>
      <c r="W280" s="2005"/>
      <c r="X280" s="2005"/>
      <c r="Y280" s="2005"/>
      <c r="Z280" s="2005"/>
      <c r="AA280" s="2005"/>
      <c r="AB280" s="2005"/>
      <c r="AC280" s="2005"/>
      <c r="AD280" s="2005"/>
      <c r="AE280" s="2005"/>
      <c r="AF280" s="2005"/>
      <c r="AG280" s="2005"/>
      <c r="AH280" s="2005"/>
      <c r="AI280" s="2005"/>
      <c r="AJ280" s="2005"/>
      <c r="AK280" s="2005"/>
      <c r="AL280" s="2005"/>
      <c r="AM280" s="2005"/>
      <c r="AN280" s="2005"/>
      <c r="AO280" s="2005"/>
      <c r="AP280" s="2005"/>
      <c r="AQ280" s="2005"/>
      <c r="AR280" s="2005"/>
      <c r="AS280" s="2005"/>
      <c r="AT280" s="2005"/>
      <c r="AU280" s="2005"/>
      <c r="AV280" s="2005"/>
      <c r="AW280" s="2005"/>
      <c r="AX280" s="2005"/>
      <c r="AY280" s="2005"/>
      <c r="AZ280" s="2005"/>
      <c r="BA280" s="2005"/>
      <c r="BB280" s="2005"/>
      <c r="BC280" s="722" t="s">
        <v>4694</v>
      </c>
    </row>
    <row r="281" spans="2:55" ht="18" hidden="1" customHeight="1">
      <c r="B281" s="2002"/>
      <c r="C281" s="2002"/>
      <c r="D281" s="2002"/>
      <c r="E281" s="2002"/>
      <c r="F281" s="2002"/>
      <c r="G281" s="2002"/>
      <c r="H281" s="2002"/>
      <c r="I281" s="2002"/>
      <c r="J281" s="2002"/>
      <c r="K281" s="2002"/>
      <c r="L281" s="2002"/>
      <c r="M281" s="2002"/>
      <c r="N281" s="2002"/>
      <c r="O281" s="2002"/>
      <c r="P281" s="2002"/>
      <c r="Q281" s="2002"/>
      <c r="R281" s="2002"/>
      <c r="S281" s="2002"/>
      <c r="T281" s="2002"/>
      <c r="U281" s="2002"/>
      <c r="V281" s="2002"/>
      <c r="W281" s="2002"/>
      <c r="X281" s="2002"/>
      <c r="Y281" s="2002"/>
      <c r="Z281" s="2002"/>
      <c r="AA281" s="2002"/>
      <c r="AB281" s="2002"/>
      <c r="AC281" s="2002"/>
      <c r="AD281" s="2002"/>
      <c r="AE281" s="2002"/>
      <c r="AF281" s="2002"/>
      <c r="AG281" s="2002"/>
      <c r="AH281" s="2002"/>
      <c r="AI281" s="2002"/>
      <c r="AJ281" s="2002"/>
      <c r="AK281" s="2002"/>
      <c r="AL281" s="2002"/>
      <c r="AM281" s="2002"/>
      <c r="AN281" s="2002"/>
      <c r="AO281" s="2002"/>
      <c r="AP281" s="2002"/>
      <c r="AQ281" s="2002"/>
      <c r="AR281" s="2002"/>
      <c r="AS281" s="2002"/>
      <c r="AT281" s="2002"/>
      <c r="AU281" s="2002"/>
      <c r="AV281" s="2002"/>
      <c r="AW281" s="2002"/>
      <c r="AX281" s="2002"/>
      <c r="AY281" s="2002"/>
      <c r="AZ281" s="2002"/>
      <c r="BA281" s="2002"/>
      <c r="BB281" s="2002"/>
      <c r="BC281" s="722" t="s">
        <v>4694</v>
      </c>
    </row>
    <row r="282" spans="2:55" ht="26.1" hidden="1" customHeight="1">
      <c r="B282" s="2198" t="s">
        <v>3188</v>
      </c>
      <c r="C282" s="2198"/>
      <c r="D282" s="2198"/>
      <c r="E282" s="2198"/>
      <c r="F282" s="2198"/>
      <c r="G282" s="2198"/>
      <c r="H282" s="2198"/>
      <c r="I282" s="2198"/>
      <c r="J282" s="2198"/>
      <c r="K282" s="2198"/>
      <c r="L282" s="2198"/>
      <c r="M282" s="2198"/>
      <c r="N282" s="2198"/>
      <c r="O282" s="2198"/>
      <c r="P282" s="2198"/>
      <c r="Q282" s="2198"/>
      <c r="R282" s="2198"/>
      <c r="S282" s="2198"/>
      <c r="T282" s="2198"/>
      <c r="U282" s="2198"/>
      <c r="V282" s="2198"/>
      <c r="W282" s="2198"/>
      <c r="X282" s="2198"/>
      <c r="Y282" s="2198"/>
      <c r="Z282" s="2198"/>
      <c r="AA282" s="2198"/>
      <c r="AB282" s="2198"/>
      <c r="AC282" s="2198"/>
      <c r="AD282" s="2198"/>
      <c r="AE282" s="2198"/>
      <c r="AF282" s="2198"/>
      <c r="AG282" s="2198"/>
      <c r="AH282" s="2198"/>
      <c r="AI282" s="2198"/>
      <c r="AJ282" s="2198"/>
      <c r="AK282" s="2198"/>
      <c r="AL282" s="2198"/>
      <c r="AM282" s="2198"/>
      <c r="AN282" s="2198"/>
      <c r="AO282" s="2198"/>
      <c r="AP282" s="2198"/>
      <c r="AQ282" s="2198"/>
      <c r="AR282" s="2198"/>
      <c r="AS282" s="2198"/>
      <c r="AT282" s="2198"/>
      <c r="AU282" s="2198"/>
      <c r="AV282" s="2198"/>
      <c r="AW282" s="2198"/>
      <c r="AX282" s="2198"/>
      <c r="AY282" s="2198"/>
      <c r="AZ282" s="2198"/>
      <c r="BA282" s="2198"/>
      <c r="BB282" s="2198"/>
      <c r="BC282" s="722" t="s">
        <v>4694</v>
      </c>
    </row>
    <row r="283" spans="2:55" ht="15.95" hidden="1" customHeight="1">
      <c r="B283" s="2002" t="str">
        <f>+"Số: "&amp;NL!U2&amp;"/HĐGS-PCHG"</f>
        <v>Số: 01/HĐGS-PCHG</v>
      </c>
      <c r="C283" s="2002"/>
      <c r="D283" s="2002"/>
      <c r="E283" s="2002"/>
      <c r="F283" s="2002"/>
      <c r="G283" s="2002"/>
      <c r="H283" s="2002"/>
      <c r="I283" s="2002"/>
      <c r="J283" s="2002"/>
      <c r="K283" s="2002"/>
      <c r="L283" s="2002"/>
      <c r="M283" s="2002"/>
      <c r="N283" s="2002"/>
      <c r="O283" s="2002"/>
      <c r="P283" s="2002"/>
      <c r="Q283" s="2002"/>
      <c r="R283" s="2002"/>
      <c r="S283" s="2002"/>
      <c r="T283" s="2002"/>
      <c r="U283" s="2002"/>
      <c r="V283" s="2002"/>
      <c r="W283" s="2002"/>
      <c r="X283" s="2002"/>
      <c r="Y283" s="2002"/>
      <c r="Z283" s="2002"/>
      <c r="AA283" s="2002"/>
      <c r="AB283" s="2002"/>
      <c r="AC283" s="2002"/>
      <c r="AD283" s="2002"/>
      <c r="AE283" s="2002"/>
      <c r="AF283" s="2002"/>
      <c r="AG283" s="2002"/>
      <c r="AH283" s="2002"/>
      <c r="AI283" s="2002"/>
      <c r="AJ283" s="2002"/>
      <c r="AK283" s="2002"/>
      <c r="AL283" s="2002"/>
      <c r="AM283" s="2002"/>
      <c r="AN283" s="2002"/>
      <c r="AO283" s="2002"/>
      <c r="AP283" s="2002"/>
      <c r="AQ283" s="2002"/>
      <c r="AR283" s="2002"/>
      <c r="AS283" s="2002"/>
      <c r="AT283" s="2002"/>
      <c r="AU283" s="2002"/>
      <c r="AV283" s="2002"/>
      <c r="AW283" s="2002"/>
      <c r="AX283" s="2002"/>
      <c r="AY283" s="2002"/>
      <c r="AZ283" s="2002"/>
      <c r="BA283" s="2002"/>
      <c r="BB283" s="2002"/>
      <c r="BC283" s="722" t="s">
        <v>4694</v>
      </c>
    </row>
    <row r="284" spans="2:55" ht="15.95" hidden="1" customHeight="1">
      <c r="B284" s="91"/>
      <c r="C284" s="2186" t="s">
        <v>3104</v>
      </c>
      <c r="D284" s="2186"/>
      <c r="E284" s="2186"/>
      <c r="F284" s="2186"/>
      <c r="G284" s="2186"/>
      <c r="H284" s="2186"/>
      <c r="I284" s="2186"/>
      <c r="J284" s="2186"/>
      <c r="K284" s="2186"/>
      <c r="L284" s="2186"/>
      <c r="M284" s="2186"/>
      <c r="N284" s="2186"/>
      <c r="O284" s="2186"/>
      <c r="P284" s="2186"/>
      <c r="Q284" s="2186"/>
      <c r="R284" s="2186"/>
      <c r="S284" s="2186"/>
      <c r="T284" s="2186"/>
      <c r="U284" s="2186"/>
      <c r="V284" s="2186"/>
      <c r="W284" s="2186"/>
      <c r="X284" s="2186"/>
      <c r="Y284" s="2186"/>
      <c r="Z284" s="2186"/>
      <c r="AA284" s="2186"/>
      <c r="AB284" s="2186"/>
      <c r="AC284" s="2186"/>
      <c r="AD284" s="2186"/>
      <c r="AE284" s="2186"/>
      <c r="AF284" s="2186"/>
      <c r="AG284" s="2186"/>
      <c r="AH284" s="2186"/>
      <c r="AI284" s="2186"/>
      <c r="AJ284" s="2186"/>
      <c r="AK284" s="2186"/>
      <c r="AL284" s="2186"/>
      <c r="AM284" s="2186"/>
      <c r="AN284" s="2186"/>
      <c r="AO284" s="2186"/>
      <c r="AP284" s="2186"/>
      <c r="AQ284" s="2186"/>
      <c r="AR284" s="2186"/>
      <c r="AS284" s="2186"/>
      <c r="AT284" s="2186"/>
      <c r="AU284" s="2186"/>
      <c r="AV284" s="2186"/>
      <c r="AW284" s="2186"/>
      <c r="AX284" s="2186"/>
      <c r="AY284" s="2186"/>
      <c r="AZ284" s="2186"/>
      <c r="BA284" s="2186"/>
      <c r="BB284" s="2186"/>
      <c r="BC284" s="722" t="s">
        <v>4694</v>
      </c>
    </row>
    <row r="285" spans="2:55" ht="15.95" hidden="1" customHeight="1">
      <c r="B285" s="2002"/>
      <c r="C285" s="2002"/>
      <c r="D285" s="2002"/>
      <c r="E285" s="2002"/>
      <c r="F285" s="2002"/>
      <c r="G285" s="2002"/>
      <c r="H285" s="2002"/>
      <c r="I285" s="2002"/>
      <c r="J285" s="2002"/>
      <c r="K285" s="2002"/>
      <c r="L285" s="2002"/>
      <c r="M285" s="2002"/>
      <c r="N285" s="2002"/>
      <c r="O285" s="2002"/>
      <c r="P285" s="2002"/>
      <c r="Q285" s="2002"/>
      <c r="R285" s="2002"/>
      <c r="S285" s="2002"/>
      <c r="T285" s="2002"/>
      <c r="U285" s="2002"/>
      <c r="V285" s="2002"/>
      <c r="W285" s="2002"/>
      <c r="X285" s="2002"/>
      <c r="Y285" s="2002"/>
      <c r="Z285" s="2002"/>
      <c r="AA285" s="2002"/>
      <c r="AB285" s="2002"/>
      <c r="AC285" s="2002"/>
      <c r="AD285" s="2002"/>
      <c r="AE285" s="2002"/>
      <c r="AF285" s="2002"/>
      <c r="AG285" s="2002"/>
      <c r="AH285" s="2002"/>
      <c r="AI285" s="2002"/>
      <c r="AJ285" s="2002"/>
      <c r="AK285" s="2002"/>
      <c r="AL285" s="2002"/>
      <c r="AM285" s="2002"/>
      <c r="AN285" s="2002"/>
      <c r="AO285" s="2002"/>
      <c r="AP285" s="2002"/>
      <c r="AQ285" s="2002"/>
      <c r="AR285" s="2002"/>
      <c r="AS285" s="2002"/>
      <c r="AT285" s="2002"/>
      <c r="AU285" s="2002"/>
      <c r="AV285" s="2002"/>
      <c r="AW285" s="2002"/>
      <c r="AX285" s="2002"/>
      <c r="AY285" s="2002"/>
      <c r="AZ285" s="2002"/>
      <c r="BA285" s="2002"/>
      <c r="BB285" s="2002"/>
      <c r="BC285" s="722" t="s">
        <v>4694</v>
      </c>
    </row>
    <row r="286" spans="2:55" ht="15.95" hidden="1" customHeight="1">
      <c r="C286" s="2190" t="s">
        <v>3189</v>
      </c>
      <c r="D286" s="2190"/>
      <c r="E286" s="2190"/>
      <c r="F286" s="2190"/>
      <c r="G286" s="2190"/>
      <c r="H286" s="2190"/>
      <c r="I286" s="2190"/>
      <c r="J286" s="2190"/>
      <c r="K286" s="2190"/>
      <c r="L286" s="2190"/>
      <c r="M286" s="2190"/>
      <c r="N286" s="2190"/>
      <c r="O286" s="2190"/>
      <c r="P286" s="2190"/>
      <c r="Q286" s="2190"/>
      <c r="R286" s="2190"/>
      <c r="S286" s="2190"/>
      <c r="T286" s="2190"/>
      <c r="U286" s="2190"/>
      <c r="V286" s="2190"/>
      <c r="W286" s="2190"/>
      <c r="X286" s="2190"/>
      <c r="Y286" s="2190"/>
      <c r="Z286" s="2190"/>
      <c r="AA286" s="2190"/>
      <c r="AB286" s="2190"/>
      <c r="AC286" s="2190"/>
      <c r="AD286" s="2190"/>
      <c r="AE286" s="2190"/>
      <c r="AF286" s="2190"/>
      <c r="AG286" s="2190"/>
      <c r="AH286" s="2190"/>
      <c r="AI286" s="2190"/>
      <c r="AJ286" s="2190"/>
      <c r="AK286" s="2190"/>
      <c r="AL286" s="2190"/>
      <c r="AM286" s="2190"/>
      <c r="AN286" s="2190"/>
      <c r="AO286" s="2190"/>
      <c r="AP286" s="2190"/>
      <c r="AQ286" s="2190"/>
      <c r="AR286" s="2190"/>
      <c r="AS286" s="2190"/>
      <c r="AT286" s="2190"/>
      <c r="AU286" s="2190"/>
      <c r="AV286" s="2190"/>
      <c r="AW286" s="2190"/>
      <c r="AX286" s="2190"/>
      <c r="AY286" s="2190"/>
      <c r="AZ286" s="2190"/>
      <c r="BA286" s="2190"/>
      <c r="BB286" s="2190"/>
      <c r="BC286" s="722" t="s">
        <v>4694</v>
      </c>
    </row>
    <row r="287" spans="2:55" ht="15.95" hidden="1" customHeight="1">
      <c r="C287" s="1714" t="s">
        <v>2151</v>
      </c>
      <c r="D287" s="1714"/>
      <c r="E287" s="1714"/>
      <c r="F287" s="1714"/>
      <c r="G287" s="1714"/>
      <c r="H287" s="1714"/>
      <c r="I287" s="1714"/>
      <c r="J287" s="1714"/>
      <c r="K287" s="1714"/>
      <c r="L287" s="1714"/>
      <c r="M287" s="1714"/>
      <c r="N287" s="1714"/>
      <c r="O287" s="1714"/>
      <c r="P287" s="1714"/>
      <c r="Q287" s="1714"/>
      <c r="R287" s="1714"/>
      <c r="S287" s="1714"/>
      <c r="T287" s="1714"/>
      <c r="U287" s="1714"/>
      <c r="V287" s="1714"/>
      <c r="W287" s="1714"/>
      <c r="X287" s="1714"/>
      <c r="Y287" s="1714"/>
      <c r="Z287" s="1714"/>
      <c r="AA287" s="1714"/>
      <c r="AB287" s="1714"/>
      <c r="AC287" s="1714"/>
      <c r="AD287" s="1714"/>
      <c r="AE287" s="1714"/>
      <c r="AF287" s="1714"/>
      <c r="AG287" s="1714"/>
      <c r="AH287" s="1714"/>
      <c r="AI287" s="1714"/>
      <c r="AJ287" s="1714"/>
      <c r="AK287" s="1714"/>
      <c r="AL287" s="1714"/>
      <c r="AM287" s="1714"/>
      <c r="AN287" s="1714"/>
      <c r="AO287" s="1714"/>
      <c r="AP287" s="1714"/>
      <c r="AQ287" s="1714"/>
      <c r="AR287" s="1714"/>
      <c r="AS287" s="1714"/>
      <c r="AT287" s="1714"/>
      <c r="AU287" s="1714"/>
      <c r="AV287" s="1714"/>
      <c r="AW287" s="1714"/>
      <c r="AX287" s="1714"/>
      <c r="AY287" s="1714"/>
      <c r="AZ287" s="1714"/>
      <c r="BA287" s="1714"/>
      <c r="BB287" s="1714"/>
      <c r="BC287" s="722" t="s">
        <v>4694</v>
      </c>
    </row>
    <row r="288" spans="2:55" ht="15.95" hidden="1" customHeight="1">
      <c r="C288" s="1714" t="s">
        <v>2152</v>
      </c>
      <c r="D288" s="1714"/>
      <c r="E288" s="1714"/>
      <c r="F288" s="1714"/>
      <c r="G288" s="1714"/>
      <c r="H288" s="1714"/>
      <c r="I288" s="1714"/>
      <c r="J288" s="1714"/>
      <c r="K288" s="1714"/>
      <c r="L288" s="1714"/>
      <c r="M288" s="1714"/>
      <c r="N288" s="1714"/>
      <c r="O288" s="1714"/>
      <c r="P288" s="1714"/>
      <c r="Q288" s="1714"/>
      <c r="R288" s="1714"/>
      <c r="S288" s="1714"/>
      <c r="T288" s="1714"/>
      <c r="U288" s="1714"/>
      <c r="V288" s="1714"/>
      <c r="W288" s="1714"/>
      <c r="X288" s="1714"/>
      <c r="Y288" s="1714"/>
      <c r="Z288" s="1714"/>
      <c r="AA288" s="1714"/>
      <c r="AB288" s="1714"/>
      <c r="AC288" s="1714"/>
      <c r="AD288" s="1714"/>
      <c r="AE288" s="1714"/>
      <c r="AF288" s="1714"/>
      <c r="AG288" s="1714"/>
      <c r="AH288" s="1714"/>
      <c r="AI288" s="1714"/>
      <c r="AJ288" s="1714"/>
      <c r="AK288" s="1714"/>
      <c r="AL288" s="1714"/>
      <c r="AM288" s="1714"/>
      <c r="AN288" s="1714"/>
      <c r="AO288" s="1714"/>
      <c r="AP288" s="1714"/>
      <c r="AQ288" s="1714"/>
      <c r="AR288" s="1714"/>
      <c r="AS288" s="1714"/>
      <c r="AT288" s="1714"/>
      <c r="AU288" s="1714"/>
      <c r="AV288" s="1714"/>
      <c r="AW288" s="1714"/>
      <c r="AX288" s="1714"/>
      <c r="AY288" s="1714"/>
      <c r="AZ288" s="1714"/>
      <c r="BA288" s="1714"/>
      <c r="BB288" s="1714"/>
      <c r="BC288" s="722" t="s">
        <v>4694</v>
      </c>
    </row>
    <row r="289" spans="3:55" ht="15.95" hidden="1" customHeight="1">
      <c r="C289" s="1714" t="s">
        <v>2153</v>
      </c>
      <c r="D289" s="1714"/>
      <c r="E289" s="1714"/>
      <c r="F289" s="1714"/>
      <c r="G289" s="1714"/>
      <c r="H289" s="1714"/>
      <c r="I289" s="1714"/>
      <c r="J289" s="1714"/>
      <c r="K289" s="1714"/>
      <c r="L289" s="1714"/>
      <c r="M289" s="1714"/>
      <c r="N289" s="1714"/>
      <c r="O289" s="1714"/>
      <c r="P289" s="1714"/>
      <c r="Q289" s="1714"/>
      <c r="R289" s="1714"/>
      <c r="S289" s="1714"/>
      <c r="T289" s="1714"/>
      <c r="U289" s="1714"/>
      <c r="V289" s="1714"/>
      <c r="W289" s="1714"/>
      <c r="X289" s="1714"/>
      <c r="Y289" s="1714"/>
      <c r="Z289" s="1714"/>
      <c r="AA289" s="1714"/>
      <c r="AB289" s="1714"/>
      <c r="AC289" s="1714"/>
      <c r="AD289" s="1714"/>
      <c r="AE289" s="1714"/>
      <c r="AF289" s="1714"/>
      <c r="AG289" s="1714"/>
      <c r="AH289" s="1714"/>
      <c r="AI289" s="1714"/>
      <c r="AJ289" s="1714"/>
      <c r="AK289" s="1714"/>
      <c r="AL289" s="1714"/>
      <c r="AM289" s="1714"/>
      <c r="AN289" s="1714"/>
      <c r="AO289" s="1714"/>
      <c r="AP289" s="1714"/>
      <c r="AQ289" s="1714"/>
      <c r="AR289" s="1714"/>
      <c r="AS289" s="1714"/>
      <c r="AT289" s="1714"/>
      <c r="AU289" s="1714"/>
      <c r="AV289" s="1714"/>
      <c r="AW289" s="1714"/>
      <c r="AX289" s="1714"/>
      <c r="AY289" s="1714"/>
      <c r="AZ289" s="1714"/>
      <c r="BA289" s="1714"/>
      <c r="BB289" s="1714"/>
      <c r="BC289" s="722" t="s">
        <v>4694</v>
      </c>
    </row>
    <row r="290" spans="3:55" ht="15.95" hidden="1" customHeight="1">
      <c r="C290" s="1714" t="s">
        <v>4729</v>
      </c>
      <c r="D290" s="1714"/>
      <c r="E290" s="1714"/>
      <c r="F290" s="1714"/>
      <c r="G290" s="1714"/>
      <c r="H290" s="1714"/>
      <c r="I290" s="1714"/>
      <c r="J290" s="1714"/>
      <c r="K290" s="1714"/>
      <c r="L290" s="1714"/>
      <c r="M290" s="1714"/>
      <c r="N290" s="1714"/>
      <c r="O290" s="1714"/>
      <c r="P290" s="1714"/>
      <c r="Q290" s="1714"/>
      <c r="R290" s="1714"/>
      <c r="S290" s="1714"/>
      <c r="T290" s="1714"/>
      <c r="U290" s="1714"/>
      <c r="V290" s="1714"/>
      <c r="W290" s="1714"/>
      <c r="X290" s="1714"/>
      <c r="Y290" s="1714"/>
      <c r="Z290" s="1714"/>
      <c r="AA290" s="1714"/>
      <c r="AB290" s="1714"/>
      <c r="AC290" s="1714"/>
      <c r="AD290" s="1714"/>
      <c r="AE290" s="1714"/>
      <c r="AF290" s="1714"/>
      <c r="AG290" s="1714"/>
      <c r="AH290" s="1714"/>
      <c r="AI290" s="1714"/>
      <c r="AJ290" s="1714"/>
      <c r="AK290" s="1714"/>
      <c r="AL290" s="1714"/>
      <c r="AM290" s="1714"/>
      <c r="AN290" s="1714"/>
      <c r="AO290" s="1714"/>
      <c r="AP290" s="1714"/>
      <c r="AQ290" s="1714"/>
      <c r="AR290" s="1714"/>
      <c r="AS290" s="1714"/>
      <c r="AT290" s="1714"/>
      <c r="AU290" s="1714"/>
      <c r="AV290" s="1714"/>
      <c r="AW290" s="1714"/>
      <c r="AX290" s="1714"/>
      <c r="AY290" s="1714"/>
      <c r="AZ290" s="1714"/>
      <c r="BA290" s="1714"/>
      <c r="BB290" s="1714"/>
      <c r="BC290" s="722" t="s">
        <v>4694</v>
      </c>
    </row>
    <row r="291" spans="3:55" ht="15.95" hidden="1" customHeight="1">
      <c r="C291" s="1714" t="s">
        <v>1004</v>
      </c>
      <c r="D291" s="1714"/>
      <c r="E291" s="1714"/>
      <c r="F291" s="1714"/>
      <c r="G291" s="1714"/>
      <c r="H291" s="1714"/>
      <c r="I291" s="1714"/>
      <c r="J291" s="1714"/>
      <c r="K291" s="1714"/>
      <c r="L291" s="1714"/>
      <c r="M291" s="1714"/>
      <c r="N291" s="1714"/>
      <c r="O291" s="1714"/>
      <c r="P291" s="1714"/>
      <c r="Q291" s="1714"/>
      <c r="R291" s="1714"/>
      <c r="S291" s="1714"/>
      <c r="T291" s="1714"/>
      <c r="U291" s="1714"/>
      <c r="V291" s="1714"/>
      <c r="W291" s="1714"/>
      <c r="X291" s="1714"/>
      <c r="Y291" s="1714"/>
      <c r="Z291" s="1714"/>
      <c r="AA291" s="1714"/>
      <c r="AB291" s="1714"/>
      <c r="AC291" s="1714"/>
      <c r="AD291" s="1714"/>
      <c r="AE291" s="1714"/>
      <c r="AF291" s="1714"/>
      <c r="AG291" s="1714"/>
      <c r="AH291" s="1714"/>
      <c r="AI291" s="1714"/>
      <c r="AJ291" s="1714"/>
      <c r="AK291" s="1714"/>
      <c r="AL291" s="1714"/>
      <c r="AM291" s="1714"/>
      <c r="AN291" s="1714"/>
      <c r="AO291" s="1714"/>
      <c r="AP291" s="1714"/>
      <c r="AQ291" s="1714"/>
      <c r="AR291" s="1714"/>
      <c r="AS291" s="1714"/>
      <c r="AT291" s="1714"/>
      <c r="AU291" s="1714"/>
      <c r="AV291" s="1714"/>
      <c r="AW291" s="1714"/>
      <c r="AX291" s="1714"/>
      <c r="AY291" s="1714"/>
      <c r="AZ291" s="1714"/>
      <c r="BA291" s="1714"/>
      <c r="BB291" s="1714"/>
      <c r="BC291" s="722" t="s">
        <v>4694</v>
      </c>
    </row>
    <row r="292" spans="3:55" ht="15.95" hidden="1" customHeight="1">
      <c r="C292" s="1714" t="s">
        <v>1007</v>
      </c>
      <c r="D292" s="1714"/>
      <c r="E292" s="1714"/>
      <c r="F292" s="1714"/>
      <c r="G292" s="1714"/>
      <c r="H292" s="1714"/>
      <c r="I292" s="1714"/>
      <c r="J292" s="1714"/>
      <c r="K292" s="1714"/>
      <c r="L292" s="1714"/>
      <c r="M292" s="1714"/>
      <c r="N292" s="1714"/>
      <c r="O292" s="1714"/>
      <c r="P292" s="1714"/>
      <c r="Q292" s="1714"/>
      <c r="R292" s="1714"/>
      <c r="S292" s="1714"/>
      <c r="T292" s="1714"/>
      <c r="U292" s="1714"/>
      <c r="V292" s="1714"/>
      <c r="W292" s="1714"/>
      <c r="X292" s="1714"/>
      <c r="Y292" s="1714"/>
      <c r="Z292" s="1714"/>
      <c r="AA292" s="1714"/>
      <c r="AB292" s="1714"/>
      <c r="AC292" s="1714"/>
      <c r="AD292" s="1714"/>
      <c r="AE292" s="1714"/>
      <c r="AF292" s="1714"/>
      <c r="AG292" s="1714"/>
      <c r="AH292" s="1714"/>
      <c r="AI292" s="1714"/>
      <c r="AJ292" s="1714"/>
      <c r="AK292" s="1714"/>
      <c r="AL292" s="1714"/>
      <c r="AM292" s="1714"/>
      <c r="AN292" s="1714"/>
      <c r="AO292" s="1714"/>
      <c r="AP292" s="1714"/>
      <c r="AQ292" s="1714"/>
      <c r="AR292" s="1714"/>
      <c r="AS292" s="1714"/>
      <c r="AT292" s="1714"/>
      <c r="AU292" s="1714"/>
      <c r="AV292" s="1714"/>
      <c r="AW292" s="1714"/>
      <c r="AX292" s="1714"/>
      <c r="AY292" s="1714"/>
      <c r="AZ292" s="1714"/>
      <c r="BA292" s="1714"/>
      <c r="BB292" s="1714"/>
      <c r="BC292" s="722" t="s">
        <v>4694</v>
      </c>
    </row>
    <row r="293" spans="3:55" ht="15.95" hidden="1" customHeight="1">
      <c r="C293" s="1714" t="s">
        <v>3113</v>
      </c>
      <c r="D293" s="1714"/>
      <c r="E293" s="1714"/>
      <c r="F293" s="1714"/>
      <c r="G293" s="1714"/>
      <c r="H293" s="1714"/>
      <c r="I293" s="1714"/>
      <c r="J293" s="1714"/>
      <c r="K293" s="1714"/>
      <c r="L293" s="1714"/>
      <c r="M293" s="1714"/>
      <c r="N293" s="1714"/>
      <c r="O293" s="1714"/>
      <c r="P293" s="1714"/>
      <c r="Q293" s="1714"/>
      <c r="R293" s="1714"/>
      <c r="S293" s="1714"/>
      <c r="T293" s="1714"/>
      <c r="U293" s="1714"/>
      <c r="V293" s="1714"/>
      <c r="W293" s="1714"/>
      <c r="X293" s="1714"/>
      <c r="Y293" s="1714"/>
      <c r="Z293" s="1714"/>
      <c r="AA293" s="1714"/>
      <c r="AB293" s="1714"/>
      <c r="AC293" s="1714"/>
      <c r="AD293" s="1714"/>
      <c r="AE293" s="1714"/>
      <c r="AF293" s="1714"/>
      <c r="AG293" s="1714"/>
      <c r="AH293" s="1714"/>
      <c r="AI293" s="1714"/>
      <c r="AJ293" s="1714"/>
      <c r="AK293" s="1714"/>
      <c r="AL293" s="1714"/>
      <c r="AM293" s="1714"/>
      <c r="AN293" s="1714"/>
      <c r="AO293" s="1714"/>
      <c r="AP293" s="1714"/>
      <c r="AQ293" s="1714"/>
      <c r="AR293" s="1714"/>
      <c r="AS293" s="1714"/>
      <c r="AT293" s="1714"/>
      <c r="AU293" s="1714"/>
      <c r="AV293" s="1714"/>
      <c r="AW293" s="1714"/>
      <c r="AX293" s="1714"/>
      <c r="AY293" s="1714"/>
      <c r="AZ293" s="1714"/>
      <c r="BA293" s="1714"/>
      <c r="BB293" s="1714"/>
      <c r="BC293" s="722" t="s">
        <v>4694</v>
      </c>
    </row>
    <row r="294" spans="3:55" ht="18" hidden="1" customHeight="1">
      <c r="C294" s="1714" t="s">
        <v>3208</v>
      </c>
      <c r="D294" s="1714"/>
      <c r="E294" s="1714"/>
      <c r="F294" s="1714"/>
      <c r="G294" s="1714"/>
      <c r="H294" s="1714"/>
      <c r="I294" s="1714"/>
      <c r="J294" s="1714"/>
      <c r="K294" s="1714"/>
      <c r="L294" s="1714"/>
      <c r="M294" s="1714"/>
      <c r="N294" s="1714"/>
      <c r="O294" s="1714"/>
      <c r="P294" s="1714"/>
      <c r="Q294" s="1714"/>
      <c r="R294" s="1714"/>
      <c r="S294" s="1714"/>
      <c r="T294" s="1714"/>
      <c r="U294" s="1714"/>
      <c r="V294" s="1714"/>
      <c r="W294" s="1714"/>
      <c r="X294" s="1714"/>
      <c r="Y294" s="1714"/>
      <c r="Z294" s="1714"/>
      <c r="AA294" s="1714"/>
      <c r="AB294" s="1714"/>
      <c r="AC294" s="1714"/>
      <c r="AD294" s="1714"/>
      <c r="AE294" s="1714"/>
      <c r="AF294" s="1714"/>
      <c r="AG294" s="1714"/>
      <c r="AH294" s="1714"/>
      <c r="AI294" s="1714"/>
      <c r="AJ294" s="1714"/>
      <c r="AK294" s="1714"/>
      <c r="AL294" s="1714"/>
      <c r="AM294" s="1714"/>
      <c r="AN294" s="1714"/>
      <c r="AO294" s="1714"/>
      <c r="AP294" s="1714"/>
      <c r="AQ294" s="1714"/>
      <c r="AR294" s="1714"/>
      <c r="AS294" s="1714"/>
      <c r="AT294" s="1714"/>
      <c r="AU294" s="1714"/>
      <c r="AV294" s="1714"/>
      <c r="AW294" s="1714"/>
      <c r="AX294" s="1714"/>
      <c r="AY294" s="1714"/>
      <c r="AZ294" s="1714"/>
      <c r="BA294" s="1714"/>
      <c r="BB294" s="1714"/>
      <c r="BC294" s="722" t="s">
        <v>4694</v>
      </c>
    </row>
    <row r="295" spans="3:55" ht="18" hidden="1" customHeight="1">
      <c r="C295" s="1714" t="s">
        <v>1005</v>
      </c>
      <c r="D295" s="1714"/>
      <c r="E295" s="1714"/>
      <c r="F295" s="1714"/>
      <c r="G295" s="1714"/>
      <c r="H295" s="1714"/>
      <c r="I295" s="1714"/>
      <c r="J295" s="1714"/>
      <c r="K295" s="1714"/>
      <c r="L295" s="1714"/>
      <c r="M295" s="1714"/>
      <c r="N295" s="1714"/>
      <c r="O295" s="1714"/>
      <c r="P295" s="1714"/>
      <c r="Q295" s="1714"/>
      <c r="R295" s="1714"/>
      <c r="S295" s="1714"/>
      <c r="T295" s="1714"/>
      <c r="U295" s="1714"/>
      <c r="V295" s="1714"/>
      <c r="W295" s="1714"/>
      <c r="X295" s="1714"/>
      <c r="Y295" s="1714"/>
      <c r="Z295" s="1714"/>
      <c r="AA295" s="1714"/>
      <c r="AB295" s="1714"/>
      <c r="AC295" s="1714"/>
      <c r="AD295" s="1714"/>
      <c r="AE295" s="1714"/>
      <c r="AF295" s="1714"/>
      <c r="AG295" s="1714"/>
      <c r="AH295" s="1714"/>
      <c r="AI295" s="1714"/>
      <c r="AJ295" s="1714"/>
      <c r="AK295" s="1714"/>
      <c r="AL295" s="1714"/>
      <c r="AM295" s="1714"/>
      <c r="AN295" s="1714"/>
      <c r="AO295" s="1714"/>
      <c r="AP295" s="1714"/>
      <c r="AQ295" s="1714"/>
      <c r="AR295" s="1714"/>
      <c r="AS295" s="1714"/>
      <c r="AT295" s="1714"/>
      <c r="AU295" s="1714"/>
      <c r="AV295" s="1714"/>
      <c r="AW295" s="1714"/>
      <c r="AX295" s="1714"/>
      <c r="AY295" s="1714"/>
      <c r="AZ295" s="1714"/>
      <c r="BA295" s="1714"/>
      <c r="BB295" s="1714"/>
      <c r="BC295" s="722" t="s">
        <v>4694</v>
      </c>
    </row>
    <row r="296" spans="3:55" ht="18" hidden="1" customHeight="1">
      <c r="C296" s="1714" t="s">
        <v>1006</v>
      </c>
      <c r="D296" s="1714"/>
      <c r="E296" s="1714"/>
      <c r="F296" s="1714"/>
      <c r="G296" s="1714"/>
      <c r="H296" s="1714"/>
      <c r="I296" s="1714"/>
      <c r="J296" s="1714"/>
      <c r="K296" s="1714"/>
      <c r="L296" s="1714"/>
      <c r="M296" s="1714"/>
      <c r="N296" s="1714"/>
      <c r="O296" s="1714"/>
      <c r="P296" s="1714"/>
      <c r="Q296" s="1714"/>
      <c r="R296" s="1714"/>
      <c r="S296" s="1714"/>
      <c r="T296" s="1714"/>
      <c r="U296" s="1714"/>
      <c r="V296" s="1714"/>
      <c r="W296" s="1714"/>
      <c r="X296" s="1714"/>
      <c r="Y296" s="1714"/>
      <c r="Z296" s="1714"/>
      <c r="AA296" s="1714"/>
      <c r="AB296" s="1714"/>
      <c r="AC296" s="1714"/>
      <c r="AD296" s="1714"/>
      <c r="AE296" s="1714"/>
      <c r="AF296" s="1714"/>
      <c r="AG296" s="1714"/>
      <c r="AH296" s="1714"/>
      <c r="AI296" s="1714"/>
      <c r="AJ296" s="1714"/>
      <c r="AK296" s="1714"/>
      <c r="AL296" s="1714"/>
      <c r="AM296" s="1714"/>
      <c r="AN296" s="1714"/>
      <c r="AO296" s="1714"/>
      <c r="AP296" s="1714"/>
      <c r="AQ296" s="1714"/>
      <c r="AR296" s="1714"/>
      <c r="AS296" s="1714"/>
      <c r="AT296" s="1714"/>
      <c r="AU296" s="1714"/>
      <c r="AV296" s="1714"/>
      <c r="AW296" s="1714"/>
      <c r="AX296" s="1714"/>
      <c r="AY296" s="1714"/>
      <c r="AZ296" s="1714"/>
      <c r="BA296" s="1714"/>
      <c r="BB296" s="1714"/>
      <c r="BC296" s="722" t="s">
        <v>4694</v>
      </c>
    </row>
    <row r="297" spans="3:55" ht="18" hidden="1" customHeight="1">
      <c r="C297" s="1714" t="s">
        <v>3685</v>
      </c>
      <c r="D297" s="1714"/>
      <c r="E297" s="1714"/>
      <c r="F297" s="1714"/>
      <c r="G297" s="1714"/>
      <c r="H297" s="1714"/>
      <c r="I297" s="1714"/>
      <c r="J297" s="1714"/>
      <c r="K297" s="1714"/>
      <c r="L297" s="1714"/>
      <c r="M297" s="1714"/>
      <c r="N297" s="1714"/>
      <c r="O297" s="1714"/>
      <c r="P297" s="1714"/>
      <c r="Q297" s="1714"/>
      <c r="R297" s="1714"/>
      <c r="S297" s="1714"/>
      <c r="T297" s="1714"/>
      <c r="U297" s="1714"/>
      <c r="V297" s="1714"/>
      <c r="W297" s="1714"/>
      <c r="X297" s="1714"/>
      <c r="Y297" s="1714"/>
      <c r="Z297" s="1714"/>
      <c r="AA297" s="1714"/>
      <c r="AB297" s="1714"/>
      <c r="AC297" s="1714"/>
      <c r="AD297" s="1714"/>
      <c r="AE297" s="1714"/>
      <c r="AF297" s="1714"/>
      <c r="AG297" s="1714"/>
      <c r="AH297" s="1714"/>
      <c r="AI297" s="1714"/>
      <c r="AJ297" s="1714"/>
      <c r="AK297" s="1714"/>
      <c r="AL297" s="1714"/>
      <c r="AM297" s="1714"/>
      <c r="AN297" s="1714"/>
      <c r="AO297" s="1714"/>
      <c r="AP297" s="1714"/>
      <c r="AQ297" s="1714"/>
      <c r="AR297" s="1714"/>
      <c r="AS297" s="1714"/>
      <c r="AT297" s="1714"/>
      <c r="AU297" s="1714"/>
      <c r="AV297" s="1714"/>
      <c r="AW297" s="1714"/>
      <c r="AX297" s="1714"/>
      <c r="AY297" s="1714"/>
      <c r="AZ297" s="1714"/>
      <c r="BA297" s="1714"/>
      <c r="BB297" s="1714"/>
      <c r="BC297" s="722" t="s">
        <v>4694</v>
      </c>
    </row>
    <row r="298" spans="3:55" ht="18" hidden="1" customHeight="1">
      <c r="C298" s="1714" t="s">
        <v>3686</v>
      </c>
      <c r="D298" s="1714"/>
      <c r="E298" s="1714"/>
      <c r="F298" s="1714"/>
      <c r="G298" s="1714"/>
      <c r="H298" s="1714"/>
      <c r="I298" s="1714"/>
      <c r="J298" s="1714"/>
      <c r="K298" s="1714"/>
      <c r="L298" s="1714"/>
      <c r="M298" s="1714"/>
      <c r="N298" s="1714"/>
      <c r="O298" s="1714"/>
      <c r="P298" s="1714"/>
      <c r="Q298" s="1714"/>
      <c r="R298" s="1714"/>
      <c r="S298" s="1714"/>
      <c r="T298" s="1714"/>
      <c r="U298" s="1714"/>
      <c r="V298" s="1714"/>
      <c r="W298" s="1714"/>
      <c r="X298" s="1714"/>
      <c r="Y298" s="1714"/>
      <c r="Z298" s="1714"/>
      <c r="AA298" s="1714"/>
      <c r="AB298" s="1714"/>
      <c r="AC298" s="1714"/>
      <c r="AD298" s="1714"/>
      <c r="AE298" s="1714"/>
      <c r="AF298" s="1714"/>
      <c r="AG298" s="1714"/>
      <c r="AH298" s="1714"/>
      <c r="AI298" s="1714"/>
      <c r="AJ298" s="1714"/>
      <c r="AK298" s="1714"/>
      <c r="AL298" s="1714"/>
      <c r="AM298" s="1714"/>
      <c r="AN298" s="1714"/>
      <c r="AO298" s="1714"/>
      <c r="AP298" s="1714"/>
      <c r="AQ298" s="1714"/>
      <c r="AR298" s="1714"/>
      <c r="AS298" s="1714"/>
      <c r="AT298" s="1714"/>
      <c r="AU298" s="1714"/>
      <c r="AV298" s="1714"/>
      <c r="AW298" s="1714"/>
      <c r="AX298" s="1714"/>
      <c r="AY298" s="1714"/>
      <c r="AZ298" s="1714"/>
      <c r="BA298" s="1714"/>
      <c r="BB298" s="1714"/>
      <c r="BC298" s="722" t="s">
        <v>4694</v>
      </c>
    </row>
    <row r="299" spans="3:55" ht="18" hidden="1" customHeight="1">
      <c r="C299" s="2184" t="str">
        <f>"    Theo đơn đề nghị của "&amp;NL!U19&amp;"."</f>
        <v xml:space="preserve">    Theo đơn đề nghị của Nhà máy xay xát Nguyễn Văn A.</v>
      </c>
      <c r="D299" s="1714"/>
      <c r="E299" s="1714"/>
      <c r="F299" s="1714"/>
      <c r="G299" s="1714"/>
      <c r="H299" s="1714"/>
      <c r="I299" s="1714"/>
      <c r="J299" s="1714"/>
      <c r="K299" s="1714"/>
      <c r="L299" s="1714"/>
      <c r="M299" s="1714"/>
      <c r="N299" s="1714"/>
      <c r="O299" s="1714"/>
      <c r="P299" s="1714"/>
      <c r="Q299" s="1714"/>
      <c r="R299" s="1714"/>
      <c r="S299" s="1714"/>
      <c r="T299" s="1714"/>
      <c r="U299" s="1714"/>
      <c r="V299" s="1714"/>
      <c r="W299" s="1714"/>
      <c r="X299" s="1714"/>
      <c r="Y299" s="1714"/>
      <c r="Z299" s="1714"/>
      <c r="AA299" s="1714"/>
      <c r="AB299" s="1714"/>
      <c r="AC299" s="1714"/>
      <c r="AD299" s="1714"/>
      <c r="AE299" s="1714"/>
      <c r="AF299" s="1714"/>
      <c r="AG299" s="1714"/>
      <c r="AH299" s="1714"/>
      <c r="AI299" s="1714"/>
      <c r="AJ299" s="1714"/>
      <c r="AK299" s="1714"/>
      <c r="AL299" s="1714"/>
      <c r="AM299" s="1714"/>
      <c r="AN299" s="1714"/>
      <c r="AO299" s="1714"/>
      <c r="AP299" s="1714"/>
      <c r="AQ299" s="1714"/>
      <c r="AR299" s="1714"/>
      <c r="AS299" s="1714"/>
      <c r="AT299" s="1714"/>
      <c r="AU299" s="1714"/>
      <c r="AV299" s="1714"/>
      <c r="AW299" s="1714"/>
      <c r="AX299" s="1714"/>
      <c r="AY299" s="1714"/>
      <c r="AZ299" s="1714"/>
      <c r="BA299" s="1714"/>
      <c r="BB299" s="1714"/>
      <c r="BC299" s="722" t="s">
        <v>4694</v>
      </c>
    </row>
    <row r="300" spans="3:55" ht="18" hidden="1" customHeight="1">
      <c r="C300" s="2184" t="str">
        <f>"    Hôm nay,"&amp;IF(NL!U9="","Chưa nhập ngày"," ngày "&amp;TEXT(NL!U9,"dd")&amp;" tháng "&amp;TEXT(NL!U9,"mm")&amp;" năm "&amp;TEXT(NL!U9,"yyyy"))&amp;" tại Công ty Điện lực Hậu Giang chúng tôi gồm:"</f>
        <v xml:space="preserve">    Hôm nay, ngày 07 tháng 12 năm 2018 tại Công ty Điện lực Hậu Giang chúng tôi gồm:</v>
      </c>
      <c r="D300" s="1714"/>
      <c r="E300" s="1714"/>
      <c r="F300" s="1714"/>
      <c r="G300" s="1714"/>
      <c r="H300" s="1714"/>
      <c r="I300" s="1714"/>
      <c r="J300" s="1714"/>
      <c r="K300" s="1714"/>
      <c r="L300" s="1714"/>
      <c r="M300" s="1714"/>
      <c r="N300" s="1714"/>
      <c r="O300" s="1714"/>
      <c r="P300" s="1714"/>
      <c r="Q300" s="1714"/>
      <c r="R300" s="1714"/>
      <c r="S300" s="1714"/>
      <c r="T300" s="1714"/>
      <c r="U300" s="1714"/>
      <c r="V300" s="1714"/>
      <c r="W300" s="1714"/>
      <c r="X300" s="1714"/>
      <c r="Y300" s="1714"/>
      <c r="Z300" s="1714"/>
      <c r="AA300" s="1714"/>
      <c r="AB300" s="1714"/>
      <c r="AC300" s="1714"/>
      <c r="AD300" s="1714"/>
      <c r="AE300" s="1714"/>
      <c r="AF300" s="1714"/>
      <c r="AG300" s="1714"/>
      <c r="AH300" s="1714"/>
      <c r="AI300" s="1714"/>
      <c r="AJ300" s="1714"/>
      <c r="AK300" s="1714"/>
      <c r="AL300" s="1714"/>
      <c r="AM300" s="1714"/>
      <c r="AN300" s="1714"/>
      <c r="AO300" s="1714"/>
      <c r="AP300" s="1714"/>
      <c r="AQ300" s="1714"/>
      <c r="AR300" s="1714"/>
      <c r="AS300" s="1714"/>
      <c r="AT300" s="1714"/>
      <c r="AU300" s="1714"/>
      <c r="AV300" s="1714"/>
      <c r="AW300" s="1714"/>
      <c r="AX300" s="1714"/>
      <c r="AY300" s="1714"/>
      <c r="AZ300" s="1714"/>
      <c r="BA300" s="1714"/>
      <c r="BB300" s="1714"/>
      <c r="BC300" s="722" t="s">
        <v>4694</v>
      </c>
    </row>
    <row r="301" spans="3:55" ht="18" hidden="1" customHeight="1">
      <c r="C301" s="2190" t="s">
        <v>5854</v>
      </c>
      <c r="D301" s="2190"/>
      <c r="E301" s="2190"/>
      <c r="F301" s="2190"/>
      <c r="G301" s="2190"/>
      <c r="H301" s="2190"/>
      <c r="I301" s="2190"/>
      <c r="J301" s="2190"/>
      <c r="K301" s="2190"/>
      <c r="L301" s="2190"/>
      <c r="M301" s="2190"/>
      <c r="N301" s="2190"/>
      <c r="O301" s="2190"/>
      <c r="P301" s="2190"/>
      <c r="Q301" s="2190"/>
      <c r="R301" s="2190"/>
      <c r="S301" s="2190"/>
      <c r="T301" s="2190"/>
      <c r="U301" s="2190"/>
      <c r="V301" s="2190"/>
      <c r="W301" s="2190"/>
      <c r="X301" s="2190"/>
      <c r="Y301" s="2190"/>
      <c r="Z301" s="2190"/>
      <c r="AA301" s="2190"/>
      <c r="AB301" s="2190"/>
      <c r="AC301" s="2190"/>
      <c r="AD301" s="2190"/>
      <c r="AE301" s="2190"/>
      <c r="AF301" s="2190"/>
      <c r="AG301" s="2190"/>
      <c r="AH301" s="2190"/>
      <c r="AI301" s="2190"/>
      <c r="AJ301" s="2190"/>
      <c r="AK301" s="2190"/>
      <c r="AL301" s="2190"/>
      <c r="AM301" s="2190"/>
      <c r="AN301" s="2190"/>
      <c r="AO301" s="2190"/>
      <c r="AP301" s="2190"/>
      <c r="AQ301" s="2190"/>
      <c r="AR301" s="2190"/>
      <c r="AS301" s="2190"/>
      <c r="AT301" s="2190"/>
      <c r="AU301" s="2190"/>
      <c r="AV301" s="2190"/>
      <c r="AW301" s="2190"/>
      <c r="AX301" s="2190"/>
      <c r="AY301" s="2190"/>
      <c r="AZ301" s="2190"/>
      <c r="BA301" s="2190"/>
      <c r="BB301" s="2190"/>
      <c r="BC301" s="722" t="s">
        <v>4694</v>
      </c>
    </row>
    <row r="302" spans="3:55" ht="18" hidden="1" customHeight="1">
      <c r="D302" s="2173" t="s">
        <v>3483</v>
      </c>
      <c r="E302" s="2173"/>
      <c r="F302" s="2173"/>
      <c r="G302" s="2173"/>
      <c r="H302" s="2173"/>
      <c r="I302" s="2173"/>
      <c r="J302" s="2173"/>
      <c r="K302" s="2173"/>
      <c r="L302" s="2173"/>
      <c r="M302" s="2173"/>
      <c r="N302" s="2173"/>
      <c r="O302" s="2173"/>
      <c r="P302" s="2173"/>
      <c r="Q302" s="2173"/>
      <c r="R302" s="2173"/>
      <c r="S302" s="2173"/>
      <c r="T302" s="2173"/>
      <c r="U302" s="2173"/>
      <c r="V302" s="2173"/>
      <c r="W302" s="2173"/>
      <c r="X302" s="2173"/>
      <c r="Y302" s="2173"/>
      <c r="Z302" s="2173"/>
      <c r="AA302" s="2173"/>
      <c r="AB302" s="2173"/>
      <c r="AC302" s="2173"/>
      <c r="AD302" s="2173"/>
      <c r="AE302" s="2173"/>
      <c r="AF302" s="2173"/>
      <c r="AG302" s="2173"/>
      <c r="AH302" s="2173"/>
      <c r="AI302" s="2173"/>
      <c r="AJ302" s="2173"/>
      <c r="AK302" s="2173"/>
      <c r="AL302" s="2173"/>
      <c r="AM302" s="2173"/>
      <c r="AN302" s="2173"/>
      <c r="AO302" s="2173"/>
      <c r="AP302" s="2173"/>
      <c r="AQ302" s="2173"/>
      <c r="AR302" s="2173"/>
      <c r="AS302" s="2173"/>
      <c r="AT302" s="2173"/>
      <c r="AU302" s="2173"/>
      <c r="AV302" s="2173"/>
      <c r="AW302" s="2173"/>
      <c r="AX302" s="2173"/>
      <c r="AY302" s="2173"/>
      <c r="AZ302" s="2173"/>
      <c r="BA302" s="2173"/>
      <c r="BB302" s="2173"/>
      <c r="BC302" s="722" t="s">
        <v>4694</v>
      </c>
    </row>
    <row r="303" spans="3:55" ht="18" hidden="1" customHeight="1">
      <c r="F303" s="102" t="s">
        <v>6344</v>
      </c>
      <c r="G303" s="2171" t="s">
        <v>2068</v>
      </c>
      <c r="H303" s="2171"/>
      <c r="I303" s="2171"/>
      <c r="J303" s="2171"/>
      <c r="K303" s="2171"/>
      <c r="L303" s="2171"/>
      <c r="M303" s="2171"/>
      <c r="N303" s="2171"/>
      <c r="O303" s="2171"/>
      <c r="P303" s="2171"/>
      <c r="Q303" s="91" t="s">
        <v>944</v>
      </c>
      <c r="R303" s="2173" t="str">
        <f>NL!$U$13</f>
        <v>TỔNG CÔNG TY ĐIỆN LỰC MIỀN NAM</v>
      </c>
      <c r="S303" s="2173"/>
      <c r="T303" s="2173"/>
      <c r="U303" s="2173"/>
      <c r="V303" s="2173"/>
      <c r="W303" s="2173"/>
      <c r="X303" s="2173"/>
      <c r="Y303" s="2173"/>
      <c r="Z303" s="2173"/>
      <c r="AA303" s="2173"/>
      <c r="AB303" s="2173"/>
      <c r="AC303" s="2173"/>
      <c r="AD303" s="2173"/>
      <c r="AE303" s="2173"/>
      <c r="AF303" s="2173"/>
      <c r="AG303" s="2173"/>
      <c r="AH303" s="2173"/>
      <c r="AI303" s="2173"/>
      <c r="AJ303" s="2173"/>
      <c r="AK303" s="2173"/>
      <c r="AL303" s="2173"/>
      <c r="AM303" s="2173"/>
      <c r="AN303" s="2173"/>
      <c r="AO303" s="2173"/>
      <c r="AP303" s="2173"/>
      <c r="AQ303" s="2173"/>
      <c r="AR303" s="2173"/>
      <c r="AS303" s="2173"/>
      <c r="AT303" s="2173"/>
      <c r="AU303" s="2173"/>
      <c r="AV303" s="2173"/>
      <c r="AW303" s="2173"/>
      <c r="AX303" s="2173"/>
      <c r="AY303" s="2173"/>
      <c r="AZ303" s="2173"/>
      <c r="BA303" s="2173"/>
      <c r="BB303" s="2173"/>
      <c r="BC303" s="722" t="s">
        <v>4694</v>
      </c>
    </row>
    <row r="304" spans="3:55" ht="18" hidden="1" customHeight="1">
      <c r="F304" s="102" t="s">
        <v>6344</v>
      </c>
      <c r="G304" s="2171" t="s">
        <v>2069</v>
      </c>
      <c r="H304" s="2171"/>
      <c r="I304" s="2171"/>
      <c r="J304" s="2171"/>
      <c r="K304" s="2171"/>
      <c r="L304" s="2171"/>
      <c r="M304" s="2171"/>
      <c r="N304" s="2171"/>
      <c r="O304" s="2171"/>
      <c r="P304" s="2171"/>
      <c r="Q304" s="91" t="s">
        <v>944</v>
      </c>
      <c r="R304" s="2171" t="str">
        <f>NL!$U$14</f>
        <v>TP.Vị Thanh, tỉnh Hậu Giang</v>
      </c>
      <c r="S304" s="2171"/>
      <c r="T304" s="2171"/>
      <c r="U304" s="2171"/>
      <c r="V304" s="2171"/>
      <c r="W304" s="2171"/>
      <c r="X304" s="2171"/>
      <c r="Y304" s="2171"/>
      <c r="Z304" s="2171"/>
      <c r="AA304" s="2171"/>
      <c r="AB304" s="2171"/>
      <c r="AC304" s="2171"/>
      <c r="AD304" s="2171"/>
      <c r="AE304" s="2171"/>
      <c r="AF304" s="2171"/>
      <c r="AG304" s="2171"/>
      <c r="AH304" s="2171"/>
      <c r="AI304" s="2171"/>
      <c r="AJ304" s="2171"/>
      <c r="AK304" s="2171"/>
      <c r="AL304" s="2171"/>
      <c r="AM304" s="2171"/>
      <c r="AN304" s="2171"/>
      <c r="AO304" s="2171"/>
      <c r="AP304" s="2171"/>
      <c r="AQ304" s="2171"/>
      <c r="AR304" s="2171"/>
      <c r="AS304" s="2171"/>
      <c r="AT304" s="2171"/>
      <c r="AU304" s="2171"/>
      <c r="AV304" s="2171"/>
      <c r="AW304" s="2171"/>
      <c r="AX304" s="2171"/>
      <c r="AY304" s="2171"/>
      <c r="AZ304" s="2171"/>
      <c r="BA304" s="2171"/>
      <c r="BB304" s="2171"/>
      <c r="BC304" s="722" t="s">
        <v>4694</v>
      </c>
    </row>
    <row r="305" spans="2:110" ht="18" hidden="1" customHeight="1">
      <c r="F305" s="102" t="s">
        <v>6344</v>
      </c>
      <c r="G305" s="2171" t="s">
        <v>2070</v>
      </c>
      <c r="H305" s="2171"/>
      <c r="I305" s="2171"/>
      <c r="J305" s="2171"/>
      <c r="K305" s="2171"/>
      <c r="L305" s="2171"/>
      <c r="M305" s="2171"/>
      <c r="N305" s="2171"/>
      <c r="O305" s="2171"/>
      <c r="P305" s="2171"/>
      <c r="Q305" s="91" t="s">
        <v>944</v>
      </c>
      <c r="R305" s="2178" t="str">
        <f>NL!$U$15</f>
        <v xml:space="preserve">. . . . . . . . . . . . . . . . . . . . . . . . . . . . . . . . . . . . . . . . . . . . . . . . . . . </v>
      </c>
      <c r="S305" s="2178"/>
      <c r="T305" s="2178"/>
      <c r="U305" s="2178"/>
      <c r="V305" s="2178"/>
      <c r="W305" s="2178"/>
      <c r="X305" s="2178"/>
      <c r="Y305" s="2178"/>
      <c r="Z305" s="2178"/>
      <c r="AA305" s="2178"/>
      <c r="AB305" s="2171" t="s">
        <v>2885</v>
      </c>
      <c r="AC305" s="2171"/>
      <c r="AD305" s="2171"/>
      <c r="AE305" s="2171"/>
      <c r="AF305" s="2171"/>
      <c r="AG305" s="2172" t="str">
        <f>NL!$AJ$15</f>
        <v xml:space="preserve">. . . . . . . . . . . . . . . . . . . . . . . . . . . . . . . . . . . . . . . . . . . . . . . . . . . </v>
      </c>
      <c r="AH305" s="2172"/>
      <c r="AI305" s="2172"/>
      <c r="AJ305" s="2172"/>
      <c r="AK305" s="2172"/>
      <c r="AL305" s="2172"/>
      <c r="AM305" s="2172"/>
      <c r="AN305" s="2172"/>
      <c r="AO305" s="2172"/>
      <c r="AP305" s="2172"/>
      <c r="AQ305" s="2172"/>
      <c r="AR305" s="2172"/>
      <c r="AS305" s="2172"/>
      <c r="AT305" s="2172"/>
      <c r="AU305" s="2172"/>
      <c r="AV305" s="2172"/>
      <c r="AW305" s="2172"/>
      <c r="AX305" s="2172"/>
      <c r="AY305" s="2172"/>
      <c r="AZ305" s="2172"/>
      <c r="BA305" s="2172"/>
      <c r="BB305" s="2172"/>
      <c r="BC305" s="722" t="s">
        <v>4694</v>
      </c>
    </row>
    <row r="306" spans="2:110" ht="18" hidden="1" customHeight="1">
      <c r="F306" s="102" t="s">
        <v>6344</v>
      </c>
      <c r="G306" s="2171" t="s">
        <v>2071</v>
      </c>
      <c r="H306" s="2171"/>
      <c r="I306" s="2171"/>
      <c r="J306" s="2171"/>
      <c r="K306" s="2171"/>
      <c r="L306" s="2171"/>
      <c r="M306" s="2171"/>
      <c r="N306" s="2171"/>
      <c r="O306" s="2171"/>
      <c r="P306" s="2171"/>
      <c r="Q306" s="91" t="s">
        <v>944</v>
      </c>
      <c r="R306" s="2172" t="str">
        <f>NL!$U$16</f>
        <v xml:space="preserve">. . . . . . . . . . . . . . . . . . . . . . . . . . . . . . . . . . . . . . . . . . . . . . . . . . . </v>
      </c>
      <c r="S306" s="2172"/>
      <c r="T306" s="2172"/>
      <c r="U306" s="2172"/>
      <c r="V306" s="2172"/>
      <c r="W306" s="2172"/>
      <c r="X306" s="2172"/>
      <c r="Y306" s="2172"/>
      <c r="Z306" s="2172"/>
      <c r="AA306" s="2172"/>
      <c r="AB306" s="2171" t="s">
        <v>2072</v>
      </c>
      <c r="AC306" s="2171"/>
      <c r="AD306" s="2171"/>
      <c r="AE306" s="2171"/>
      <c r="AF306" s="2171"/>
      <c r="AG306" s="2171" t="str">
        <f>NL!$AJ$16</f>
        <v xml:space="preserve">. . . . . . . . . . . . . . . . . . . . . . . . . . . . . . . . . . . . . . . . . . . . . . . . . . . </v>
      </c>
      <c r="AH306" s="2171"/>
      <c r="AI306" s="2171"/>
      <c r="AJ306" s="2171"/>
      <c r="AK306" s="2171"/>
      <c r="AL306" s="2171"/>
      <c r="AM306" s="2171"/>
      <c r="AN306" s="2171"/>
      <c r="AO306" s="2171"/>
      <c r="AP306" s="2171"/>
      <c r="AQ306" s="2171"/>
      <c r="AR306" s="2171"/>
      <c r="AS306" s="2171"/>
      <c r="AT306" s="2171"/>
      <c r="AU306" s="2171"/>
      <c r="AV306" s="2171"/>
      <c r="AW306" s="2171"/>
      <c r="AX306" s="2171"/>
      <c r="AY306" s="2171"/>
      <c r="AZ306" s="2171"/>
      <c r="BA306" s="2171"/>
      <c r="BB306" s="2171"/>
      <c r="BC306" s="722" t="s">
        <v>4694</v>
      </c>
    </row>
    <row r="307" spans="2:110" ht="18" hidden="1" customHeight="1">
      <c r="F307" s="102" t="s">
        <v>6344</v>
      </c>
      <c r="G307" s="2171" t="s">
        <v>2073</v>
      </c>
      <c r="H307" s="2171"/>
      <c r="I307" s="2171"/>
      <c r="J307" s="2171"/>
      <c r="K307" s="2171"/>
      <c r="L307" s="2171"/>
      <c r="M307" s="2171"/>
      <c r="N307" s="2171"/>
      <c r="O307" s="2171"/>
      <c r="P307" s="2171"/>
      <c r="Q307" s="91" t="s">
        <v>944</v>
      </c>
      <c r="R307" s="2172" t="str">
        <f>NL!$U$17</f>
        <v xml:space="preserve">. . . . . . . . . . . . . . . . . . . . . . . . . . . . . . . . . . . . . . . . . . . . . . . . . . . </v>
      </c>
      <c r="S307" s="2171"/>
      <c r="T307" s="2171"/>
      <c r="U307" s="2171"/>
      <c r="V307" s="2171"/>
      <c r="W307" s="2171"/>
      <c r="X307" s="2171"/>
      <c r="Y307" s="2171"/>
      <c r="Z307" s="2171"/>
      <c r="AA307" s="2171"/>
      <c r="AB307" s="2171"/>
      <c r="AC307" s="2171"/>
      <c r="AD307" s="2171"/>
      <c r="AE307" s="2171"/>
      <c r="AF307" s="2171"/>
      <c r="AG307" s="2171"/>
      <c r="AH307" s="2171"/>
      <c r="AI307" s="2171"/>
      <c r="AJ307" s="2171"/>
      <c r="AK307" s="2171"/>
      <c r="AL307" s="2171"/>
      <c r="AM307" s="2171"/>
      <c r="AN307" s="2171"/>
      <c r="AO307" s="2171"/>
      <c r="AP307" s="2171"/>
      <c r="AQ307" s="2171"/>
      <c r="AR307" s="2171"/>
      <c r="AS307" s="2171"/>
      <c r="AT307" s="2171"/>
      <c r="AU307" s="2171"/>
      <c r="AV307" s="2171"/>
      <c r="AW307" s="2171"/>
      <c r="AX307" s="2171"/>
      <c r="AY307" s="2171"/>
      <c r="AZ307" s="2171"/>
      <c r="BA307" s="2171"/>
      <c r="BB307" s="2171"/>
      <c r="BC307" s="722" t="s">
        <v>4694</v>
      </c>
    </row>
    <row r="308" spans="2:110" ht="18" hidden="1" customHeight="1">
      <c r="F308" s="102" t="s">
        <v>6344</v>
      </c>
      <c r="G308" s="2171" t="s">
        <v>3484</v>
      </c>
      <c r="H308" s="2171"/>
      <c r="I308" s="2171"/>
      <c r="J308" s="2171"/>
      <c r="K308" s="2171"/>
      <c r="L308" s="2171"/>
      <c r="M308" s="2171"/>
      <c r="N308" s="2171"/>
      <c r="O308" s="2171"/>
      <c r="P308" s="2171"/>
      <c r="Q308" s="91" t="s">
        <v>944</v>
      </c>
      <c r="R308" s="2002" t="str">
        <f>NL!$U$18</f>
        <v>ông</v>
      </c>
      <c r="S308" s="2002"/>
      <c r="T308" s="2030" t="str">
        <f>NL!$W$18</f>
        <v>NGUYỄN VĂN A</v>
      </c>
      <c r="U308" s="2030"/>
      <c r="V308" s="2030"/>
      <c r="W308" s="2030"/>
      <c r="X308" s="2030"/>
      <c r="Y308" s="2030"/>
      <c r="Z308" s="2030"/>
      <c r="AA308" s="2030"/>
      <c r="AB308" s="2030"/>
      <c r="AC308" s="2030"/>
      <c r="AD308" s="2030"/>
      <c r="AE308" s="2030"/>
      <c r="AF308" s="2030"/>
      <c r="AG308" s="2030"/>
      <c r="AH308" s="2030"/>
      <c r="AI308" s="2030"/>
      <c r="AJ308" s="2030"/>
      <c r="AK308" s="2030"/>
      <c r="AL308" s="102" t="s">
        <v>3485</v>
      </c>
      <c r="AO308" s="119"/>
      <c r="AP308" s="119"/>
      <c r="AQ308" s="119"/>
      <c r="AR308" s="119" t="str">
        <f>NL!$AR$18</f>
        <v>CHỦ CƠ SỞ</v>
      </c>
      <c r="AS308" s="119"/>
      <c r="AT308" s="119"/>
      <c r="AU308" s="119"/>
      <c r="AV308" s="119"/>
      <c r="AW308" s="119"/>
      <c r="AX308" s="119"/>
      <c r="AY308" s="119"/>
      <c r="AZ308" s="119"/>
      <c r="BA308" s="119"/>
      <c r="BB308" s="119"/>
      <c r="BC308" s="722" t="s">
        <v>4694</v>
      </c>
      <c r="BE308" s="133"/>
      <c r="BF308" s="134"/>
      <c r="BG308" s="134"/>
      <c r="BH308" s="122"/>
      <c r="BI308" s="85"/>
    </row>
    <row r="309" spans="2:110" ht="18" hidden="1" customHeight="1">
      <c r="D309" s="2173" t="s">
        <v>3486</v>
      </c>
      <c r="E309" s="2173"/>
      <c r="F309" s="2173"/>
      <c r="G309" s="2173"/>
      <c r="H309" s="2173"/>
      <c r="I309" s="2173"/>
      <c r="J309" s="2173"/>
      <c r="K309" s="2173"/>
      <c r="L309" s="2173"/>
      <c r="M309" s="2173"/>
      <c r="N309" s="2173"/>
      <c r="O309" s="2173"/>
      <c r="P309" s="2173"/>
      <c r="Q309" s="2173"/>
      <c r="R309" s="2173"/>
      <c r="S309" s="2173"/>
      <c r="T309" s="2173"/>
      <c r="U309" s="2173"/>
      <c r="V309" s="2173"/>
      <c r="W309" s="2173"/>
      <c r="X309" s="2173"/>
      <c r="Y309" s="2173"/>
      <c r="Z309" s="2173"/>
      <c r="AA309" s="2173"/>
      <c r="AB309" s="2173"/>
      <c r="AC309" s="2173"/>
      <c r="AD309" s="2173"/>
      <c r="AE309" s="2173"/>
      <c r="AF309" s="2173"/>
      <c r="AG309" s="2173"/>
      <c r="AH309" s="2173"/>
      <c r="AI309" s="2173"/>
      <c r="AJ309" s="2173"/>
      <c r="AK309" s="2173"/>
      <c r="AL309" s="2173"/>
      <c r="AM309" s="2173"/>
      <c r="AN309" s="2173"/>
      <c r="AO309" s="2173"/>
      <c r="AP309" s="2173"/>
      <c r="AQ309" s="2173"/>
      <c r="AR309" s="2173"/>
      <c r="AS309" s="2173"/>
      <c r="AT309" s="2173"/>
      <c r="AU309" s="2173"/>
      <c r="AV309" s="2173"/>
      <c r="AW309" s="2173"/>
      <c r="AX309" s="2173"/>
      <c r="AY309" s="2173"/>
      <c r="AZ309" s="2173"/>
      <c r="BA309" s="2173"/>
      <c r="BB309" s="2173"/>
      <c r="BC309" s="722" t="s">
        <v>4694</v>
      </c>
      <c r="BJ309" s="100"/>
      <c r="BO309" s="100"/>
    </row>
    <row r="310" spans="2:110" ht="18" hidden="1" customHeight="1">
      <c r="F310" s="102" t="s">
        <v>6344</v>
      </c>
      <c r="G310" s="2171" t="s">
        <v>2068</v>
      </c>
      <c r="H310" s="2171"/>
      <c r="I310" s="2171"/>
      <c r="J310" s="2171"/>
      <c r="K310" s="2171"/>
      <c r="L310" s="2171"/>
      <c r="M310" s="2171"/>
      <c r="N310" s="2171"/>
      <c r="O310" s="2171"/>
      <c r="P310" s="2171"/>
      <c r="Q310" s="91" t="s">
        <v>944</v>
      </c>
      <c r="R310" s="2173" t="s">
        <v>318</v>
      </c>
      <c r="S310" s="2173"/>
      <c r="T310" s="2173"/>
      <c r="U310" s="2173"/>
      <c r="V310" s="2173"/>
      <c r="W310" s="2173"/>
      <c r="X310" s="2173"/>
      <c r="Y310" s="2173"/>
      <c r="Z310" s="2173"/>
      <c r="AA310" s="2173"/>
      <c r="AB310" s="2173"/>
      <c r="AC310" s="2173"/>
      <c r="AD310" s="2173"/>
      <c r="AE310" s="2173"/>
      <c r="AF310" s="2173"/>
      <c r="AG310" s="2173"/>
      <c r="AH310" s="2173"/>
      <c r="AI310" s="2173"/>
      <c r="AJ310" s="2173"/>
      <c r="AK310" s="2173"/>
      <c r="AL310" s="2173"/>
      <c r="AM310" s="2173"/>
      <c r="AN310" s="2173"/>
      <c r="AO310" s="2173"/>
      <c r="AP310" s="2173"/>
      <c r="AQ310" s="2173"/>
      <c r="AR310" s="2173"/>
      <c r="AS310" s="2173"/>
      <c r="AT310" s="2173"/>
      <c r="AU310" s="2173"/>
      <c r="AV310" s="2173"/>
      <c r="AW310" s="2173"/>
      <c r="AX310" s="2173"/>
      <c r="AY310" s="2173"/>
      <c r="AZ310" s="2173"/>
      <c r="BA310" s="2173"/>
      <c r="BB310" s="2173"/>
      <c r="BC310" s="722" t="s">
        <v>4694</v>
      </c>
      <c r="BJ310" s="100"/>
      <c r="BK310" s="100"/>
      <c r="BL310" s="101"/>
      <c r="BM310" s="101"/>
      <c r="BN310" s="101"/>
      <c r="BO310" s="101"/>
    </row>
    <row r="311" spans="2:110" ht="18" hidden="1" customHeight="1">
      <c r="F311" s="102" t="s">
        <v>6344</v>
      </c>
      <c r="G311" s="2171" t="s">
        <v>2069</v>
      </c>
      <c r="H311" s="2171"/>
      <c r="I311" s="2171"/>
      <c r="J311" s="2171"/>
      <c r="K311" s="2171"/>
      <c r="L311" s="2171"/>
      <c r="M311" s="2171"/>
      <c r="N311" s="2171"/>
      <c r="O311" s="2171"/>
      <c r="P311" s="2171"/>
      <c r="Q311" s="91" t="s">
        <v>944</v>
      </c>
      <c r="R311" s="2171" t="s">
        <v>6032</v>
      </c>
      <c r="S311" s="2171"/>
      <c r="T311" s="2171"/>
      <c r="U311" s="2171"/>
      <c r="V311" s="2171"/>
      <c r="W311" s="2171"/>
      <c r="X311" s="2171"/>
      <c r="Y311" s="2171"/>
      <c r="Z311" s="2171"/>
      <c r="AA311" s="2171"/>
      <c r="AB311" s="2171"/>
      <c r="AC311" s="2171"/>
      <c r="AD311" s="2171"/>
      <c r="AE311" s="2171"/>
      <c r="AF311" s="2171"/>
      <c r="AG311" s="2171"/>
      <c r="AH311" s="2171"/>
      <c r="AI311" s="2171"/>
      <c r="AJ311" s="2171"/>
      <c r="AK311" s="2171"/>
      <c r="AL311" s="2171"/>
      <c r="AM311" s="2171"/>
      <c r="AN311" s="2171"/>
      <c r="AO311" s="2171"/>
      <c r="AP311" s="2171"/>
      <c r="AQ311" s="2171"/>
      <c r="AR311" s="2171"/>
      <c r="AS311" s="2171"/>
      <c r="AT311" s="2171"/>
      <c r="AU311" s="2171"/>
      <c r="AV311" s="2171"/>
      <c r="AW311" s="2171"/>
      <c r="AX311" s="2171"/>
      <c r="AY311" s="2171"/>
      <c r="AZ311" s="2171"/>
      <c r="BA311" s="2171"/>
      <c r="BB311" s="2171"/>
      <c r="BC311" s="722" t="s">
        <v>4694</v>
      </c>
      <c r="BE311" s="85"/>
      <c r="BF311" s="100"/>
      <c r="BG311" s="100"/>
      <c r="BH311" s="100"/>
      <c r="BI311" s="100"/>
      <c r="BJ311" s="100"/>
      <c r="BK311" s="100"/>
    </row>
    <row r="312" spans="2:110" ht="18" hidden="1" customHeight="1">
      <c r="F312" s="102" t="s">
        <v>6344</v>
      </c>
      <c r="G312" s="2171" t="s">
        <v>2070</v>
      </c>
      <c r="H312" s="2171"/>
      <c r="I312" s="2171"/>
      <c r="J312" s="2171"/>
      <c r="K312" s="2171"/>
      <c r="L312" s="2171"/>
      <c r="M312" s="2171"/>
      <c r="N312" s="2171"/>
      <c r="O312" s="2171"/>
      <c r="P312" s="2171"/>
      <c r="Q312" s="91" t="s">
        <v>944</v>
      </c>
      <c r="R312" s="2176" t="s">
        <v>355</v>
      </c>
      <c r="S312" s="2176"/>
      <c r="T312" s="2176"/>
      <c r="U312" s="2176"/>
      <c r="V312" s="2176"/>
      <c r="W312" s="2176"/>
      <c r="X312" s="2176"/>
      <c r="Y312" s="2176"/>
      <c r="Z312" s="2176"/>
      <c r="AA312" s="2176"/>
      <c r="AB312" s="2171" t="s">
        <v>2885</v>
      </c>
      <c r="AC312" s="2171"/>
      <c r="AD312" s="2171"/>
      <c r="AE312" s="2171"/>
      <c r="AF312" s="2171"/>
      <c r="AG312" s="2172" t="s">
        <v>356</v>
      </c>
      <c r="AH312" s="2172"/>
      <c r="AI312" s="2172"/>
      <c r="AJ312" s="2172"/>
      <c r="AK312" s="2172"/>
      <c r="AL312" s="2172"/>
      <c r="AM312" s="2172"/>
      <c r="AN312" s="2172"/>
      <c r="AO312" s="2172"/>
      <c r="AP312" s="2172"/>
      <c r="AQ312" s="2172"/>
      <c r="AR312" s="2172"/>
      <c r="AS312" s="2172"/>
      <c r="AT312" s="2172"/>
      <c r="AU312" s="2172"/>
      <c r="AV312" s="2172"/>
      <c r="AW312" s="2172"/>
      <c r="AX312" s="2172"/>
      <c r="AY312" s="2172"/>
      <c r="AZ312" s="2172"/>
      <c r="BA312" s="2172"/>
      <c r="BB312" s="2172"/>
      <c r="BC312" s="722" t="s">
        <v>4694</v>
      </c>
      <c r="BE312" s="85"/>
      <c r="BF312" s="101"/>
    </row>
    <row r="313" spans="2:110" ht="18" hidden="1" customHeight="1">
      <c r="F313" s="102" t="s">
        <v>6344</v>
      </c>
      <c r="G313" s="2171" t="s">
        <v>2071</v>
      </c>
      <c r="H313" s="2171"/>
      <c r="I313" s="2171"/>
      <c r="J313" s="2171"/>
      <c r="K313" s="2171"/>
      <c r="L313" s="2171"/>
      <c r="M313" s="2171"/>
      <c r="N313" s="2171"/>
      <c r="O313" s="2171"/>
      <c r="P313" s="2171"/>
      <c r="Q313" s="91" t="s">
        <v>944</v>
      </c>
      <c r="R313" s="2176" t="s">
        <v>4630</v>
      </c>
      <c r="S313" s="2176"/>
      <c r="T313" s="2176"/>
      <c r="U313" s="2176"/>
      <c r="V313" s="2176"/>
      <c r="W313" s="2176"/>
      <c r="X313" s="2176"/>
      <c r="Y313" s="2176"/>
      <c r="Z313" s="2176"/>
      <c r="AA313" s="2176"/>
      <c r="AB313" s="2171" t="s">
        <v>2072</v>
      </c>
      <c r="AC313" s="2171"/>
      <c r="AD313" s="2171"/>
      <c r="AE313" s="2171"/>
      <c r="AF313" s="2171"/>
      <c r="AG313" s="2171" t="s">
        <v>1746</v>
      </c>
      <c r="AH313" s="2171"/>
      <c r="AI313" s="2171"/>
      <c r="AJ313" s="2171"/>
      <c r="AK313" s="2171"/>
      <c r="AL313" s="2171"/>
      <c r="AM313" s="2171"/>
      <c r="AN313" s="2171"/>
      <c r="AO313" s="2171"/>
      <c r="AP313" s="2171"/>
      <c r="AQ313" s="2171"/>
      <c r="AR313" s="2171"/>
      <c r="AS313" s="2171"/>
      <c r="AT313" s="2171"/>
      <c r="AU313" s="2171"/>
      <c r="AV313" s="2171"/>
      <c r="AW313" s="2171"/>
      <c r="AX313" s="2171"/>
      <c r="AY313" s="2171"/>
      <c r="AZ313" s="2171"/>
      <c r="BA313" s="2171"/>
      <c r="BB313" s="2171"/>
      <c r="BC313" s="722" t="s">
        <v>4694</v>
      </c>
    </row>
    <row r="314" spans="2:110" ht="18" hidden="1" customHeight="1">
      <c r="F314" s="102" t="s">
        <v>6344</v>
      </c>
      <c r="G314" s="2171" t="s">
        <v>2073</v>
      </c>
      <c r="H314" s="2171"/>
      <c r="I314" s="2171"/>
      <c r="J314" s="2171"/>
      <c r="K314" s="2171"/>
      <c r="L314" s="2171"/>
      <c r="M314" s="2171"/>
      <c r="N314" s="2171"/>
      <c r="O314" s="2171"/>
      <c r="P314" s="2171"/>
      <c r="Q314" s="91" t="s">
        <v>944</v>
      </c>
      <c r="R314" s="2171" t="s">
        <v>4863</v>
      </c>
      <c r="S314" s="2171"/>
      <c r="T314" s="2171"/>
      <c r="U314" s="2171"/>
      <c r="V314" s="2171"/>
      <c r="W314" s="2171"/>
      <c r="X314" s="2171"/>
      <c r="Y314" s="2171"/>
      <c r="Z314" s="2171"/>
      <c r="AA314" s="2171"/>
      <c r="AB314" s="2171"/>
      <c r="AC314" s="2171"/>
      <c r="AD314" s="2171"/>
      <c r="AE314" s="2171"/>
      <c r="AF314" s="2171"/>
      <c r="AG314" s="2171"/>
      <c r="AH314" s="2171"/>
      <c r="AI314" s="2171"/>
      <c r="AJ314" s="2171"/>
      <c r="AK314" s="2171"/>
      <c r="AL314" s="2171"/>
      <c r="AM314" s="2171"/>
      <c r="AN314" s="2171"/>
      <c r="AO314" s="2171"/>
      <c r="AP314" s="2171"/>
      <c r="AQ314" s="2171"/>
      <c r="AR314" s="2171"/>
      <c r="AS314" s="2171"/>
      <c r="AT314" s="2171"/>
      <c r="AU314" s="2171"/>
      <c r="AV314" s="2171"/>
      <c r="AW314" s="2171"/>
      <c r="AX314" s="2171"/>
      <c r="AY314" s="2171"/>
      <c r="AZ314" s="2171"/>
      <c r="BA314" s="2171"/>
      <c r="BB314" s="2171"/>
      <c r="BC314" s="722" t="s">
        <v>4694</v>
      </c>
    </row>
    <row r="315" spans="2:110" ht="18" hidden="1" customHeight="1">
      <c r="F315" s="102" t="s">
        <v>6344</v>
      </c>
      <c r="G315" s="2171" t="s">
        <v>3484</v>
      </c>
      <c r="H315" s="2171"/>
      <c r="I315" s="2171"/>
      <c r="J315" s="2171"/>
      <c r="K315" s="2171"/>
      <c r="L315" s="2171"/>
      <c r="M315" s="2171"/>
      <c r="N315" s="2171"/>
      <c r="O315" s="2171"/>
      <c r="P315" s="2171"/>
      <c r="Q315" s="91" t="s">
        <v>944</v>
      </c>
      <c r="R315" s="2002" t="s">
        <v>5940</v>
      </c>
      <c r="S315" s="2002"/>
      <c r="T315" s="2030" t="s">
        <v>3488</v>
      </c>
      <c r="U315" s="2030"/>
      <c r="V315" s="2030"/>
      <c r="W315" s="2030"/>
      <c r="X315" s="2030"/>
      <c r="Y315" s="2030"/>
      <c r="Z315" s="2030"/>
      <c r="AA315" s="2030"/>
      <c r="AB315" s="2030"/>
      <c r="AC315" s="2030"/>
      <c r="AD315" s="2030"/>
      <c r="AE315" s="2030"/>
      <c r="AF315" s="2030"/>
      <c r="AG315" s="2030"/>
      <c r="AH315" s="2030"/>
      <c r="AI315" s="2030"/>
      <c r="AJ315" s="2030"/>
      <c r="AK315" s="2030"/>
      <c r="AL315" s="102" t="s">
        <v>3485</v>
      </c>
      <c r="AO315" s="119"/>
      <c r="AP315" s="119"/>
      <c r="AQ315" s="119"/>
      <c r="AR315" s="119" t="s">
        <v>5941</v>
      </c>
      <c r="AS315" s="119"/>
      <c r="AT315" s="119"/>
      <c r="AU315" s="119"/>
      <c r="AV315" s="119"/>
      <c r="AW315" s="119"/>
      <c r="AX315" s="119"/>
      <c r="AY315" s="119"/>
      <c r="AZ315" s="119"/>
      <c r="BA315" s="119"/>
      <c r="BB315" s="119"/>
      <c r="BC315" s="722" t="s">
        <v>4694</v>
      </c>
    </row>
    <row r="316" spans="2:110" ht="18" hidden="1" customHeight="1">
      <c r="G316" s="107"/>
      <c r="H316" s="107"/>
      <c r="I316" s="107"/>
      <c r="J316" s="107"/>
      <c r="K316" s="107"/>
      <c r="L316" s="107"/>
      <c r="M316" s="107"/>
      <c r="N316" s="107"/>
      <c r="O316" s="107"/>
      <c r="P316" s="107"/>
      <c r="Q316" s="91"/>
      <c r="R316" s="91"/>
      <c r="S316" s="91"/>
      <c r="T316" s="105"/>
      <c r="U316" s="105"/>
      <c r="V316" s="105"/>
      <c r="W316" s="105"/>
      <c r="X316" s="105"/>
      <c r="Y316" s="105"/>
      <c r="Z316" s="105"/>
      <c r="AA316" s="105"/>
      <c r="AB316" s="105"/>
      <c r="AC316" s="105"/>
      <c r="AD316" s="105"/>
      <c r="AE316" s="105"/>
      <c r="AF316" s="105"/>
      <c r="AG316" s="105"/>
      <c r="AH316" s="105"/>
      <c r="AI316" s="105"/>
      <c r="AJ316" s="105"/>
      <c r="AK316" s="105"/>
      <c r="AO316" s="119"/>
      <c r="AP316" s="119"/>
      <c r="AQ316" s="119"/>
      <c r="AR316" s="119"/>
      <c r="AS316" s="119"/>
      <c r="AT316" s="119"/>
      <c r="AU316" s="119"/>
      <c r="AV316" s="119"/>
      <c r="AW316" s="119"/>
      <c r="AX316" s="119"/>
      <c r="AY316" s="119"/>
      <c r="AZ316" s="119"/>
      <c r="BA316" s="119"/>
      <c r="BB316" s="119"/>
      <c r="BC316" s="722" t="s">
        <v>4694</v>
      </c>
    </row>
    <row r="317" spans="2:110" ht="18" hidden="1" customHeight="1">
      <c r="G317" s="107"/>
      <c r="H317" s="107"/>
      <c r="I317" s="107"/>
      <c r="J317" s="107"/>
      <c r="K317" s="107"/>
      <c r="L317" s="107"/>
      <c r="M317" s="107"/>
      <c r="N317" s="107"/>
      <c r="O317" s="107"/>
      <c r="P317" s="107"/>
      <c r="Q317" s="91"/>
      <c r="R317" s="91"/>
      <c r="S317" s="91"/>
      <c r="T317" s="105"/>
      <c r="U317" s="105"/>
      <c r="V317" s="105"/>
      <c r="W317" s="105"/>
      <c r="X317" s="105"/>
      <c r="Y317" s="105"/>
      <c r="Z317" s="105"/>
      <c r="AA317" s="105"/>
      <c r="AB317" s="105"/>
      <c r="AC317" s="105"/>
      <c r="AD317" s="105"/>
      <c r="AE317" s="105"/>
      <c r="AF317" s="105"/>
      <c r="AG317" s="105"/>
      <c r="AH317" s="105"/>
      <c r="AI317" s="105"/>
      <c r="AJ317" s="105"/>
      <c r="AK317" s="105"/>
      <c r="AO317" s="119"/>
      <c r="AP317" s="119"/>
      <c r="AQ317" s="119"/>
      <c r="AR317" s="119"/>
      <c r="AS317" s="119"/>
      <c r="AT317" s="119"/>
      <c r="AU317" s="119"/>
      <c r="AV317" s="119"/>
      <c r="AW317" s="119"/>
      <c r="AX317" s="119"/>
      <c r="AY317" s="119"/>
      <c r="AZ317" s="119"/>
      <c r="BA317" s="119"/>
      <c r="BB317" s="119"/>
      <c r="BC317" s="722" t="s">
        <v>4694</v>
      </c>
    </row>
    <row r="318" spans="2:110" ht="18" hidden="1" customHeight="1">
      <c r="G318" s="107"/>
      <c r="H318" s="107"/>
      <c r="I318" s="107"/>
      <c r="J318" s="107"/>
      <c r="K318" s="107"/>
      <c r="L318" s="107"/>
      <c r="M318" s="107"/>
      <c r="N318" s="107"/>
      <c r="O318" s="107"/>
      <c r="P318" s="107"/>
      <c r="Q318" s="91"/>
      <c r="R318" s="91"/>
      <c r="S318" s="91"/>
      <c r="T318" s="105"/>
      <c r="U318" s="105"/>
      <c r="V318" s="105"/>
      <c r="W318" s="105"/>
      <c r="X318" s="105"/>
      <c r="Y318" s="105"/>
      <c r="Z318" s="105"/>
      <c r="AA318" s="105"/>
      <c r="AB318" s="105"/>
      <c r="AC318" s="105"/>
      <c r="AD318" s="105"/>
      <c r="AE318" s="105"/>
      <c r="AF318" s="105"/>
      <c r="AG318" s="105"/>
      <c r="AH318" s="105"/>
      <c r="AI318" s="105"/>
      <c r="AJ318" s="105"/>
      <c r="AK318" s="105"/>
      <c r="AO318" s="119"/>
      <c r="AP318" s="119"/>
      <c r="AQ318" s="119"/>
      <c r="AR318" s="119"/>
      <c r="AS318" s="119"/>
      <c r="AT318" s="119"/>
      <c r="AU318" s="119"/>
      <c r="AV318" s="119"/>
      <c r="AW318" s="119"/>
      <c r="AX318" s="119"/>
      <c r="AY318" s="119"/>
      <c r="AZ318" s="119"/>
      <c r="BA318" s="119"/>
      <c r="BB318" s="119"/>
      <c r="BC318" s="722" t="s">
        <v>4694</v>
      </c>
    </row>
    <row r="319" spans="2:110" ht="15.75" hidden="1" customHeight="1">
      <c r="G319" s="107"/>
      <c r="H319" s="107"/>
      <c r="I319" s="107"/>
      <c r="J319" s="107"/>
      <c r="K319" s="107"/>
      <c r="L319" s="107"/>
      <c r="M319" s="107"/>
      <c r="N319" s="107"/>
      <c r="O319" s="107"/>
      <c r="P319" s="107"/>
      <c r="Q319" s="91"/>
      <c r="R319" s="91"/>
      <c r="S319" s="91"/>
      <c r="T319" s="105"/>
      <c r="U319" s="105"/>
      <c r="V319" s="105"/>
      <c r="W319" s="105"/>
      <c r="X319" s="105"/>
      <c r="Y319" s="105"/>
      <c r="Z319" s="105"/>
      <c r="AA319" s="105"/>
      <c r="AB319" s="105"/>
      <c r="AC319" s="105"/>
      <c r="AD319" s="105"/>
      <c r="AE319" s="105"/>
      <c r="AF319" s="105"/>
      <c r="AG319" s="105"/>
      <c r="AH319" s="105"/>
      <c r="AI319" s="105"/>
      <c r="AJ319" s="107"/>
      <c r="AK319" s="107"/>
      <c r="AL319" s="107"/>
      <c r="AM319" s="107"/>
      <c r="AN319" s="107"/>
      <c r="AO319" s="106"/>
      <c r="AP319" s="106"/>
      <c r="AQ319" s="106"/>
      <c r="AR319" s="106"/>
      <c r="AS319" s="106"/>
      <c r="AT319" s="106"/>
      <c r="AU319" s="106"/>
      <c r="AV319" s="106"/>
      <c r="AW319" s="106"/>
      <c r="AX319" s="106"/>
      <c r="AY319" s="106"/>
      <c r="AZ319" s="106"/>
      <c r="BA319" s="106"/>
      <c r="BB319" s="106"/>
      <c r="BC319" s="722" t="s">
        <v>4694</v>
      </c>
      <c r="BD319" s="721"/>
      <c r="BJ319" s="107"/>
      <c r="BK319" s="107"/>
      <c r="BL319" s="107"/>
      <c r="BM319" s="107"/>
      <c r="BN319" s="107"/>
      <c r="BO319" s="107"/>
      <c r="BP319" s="107"/>
      <c r="BQ319" s="107"/>
      <c r="BR319" s="107"/>
      <c r="BS319" s="107"/>
      <c r="BT319" s="91"/>
      <c r="BU319" s="91"/>
      <c r="BV319" s="91"/>
      <c r="BW319" s="105"/>
      <c r="BX319" s="105"/>
      <c r="BY319" s="105"/>
      <c r="BZ319" s="105"/>
      <c r="CA319" s="105"/>
      <c r="CB319" s="105"/>
      <c r="CC319" s="105"/>
      <c r="CD319" s="105"/>
      <c r="CE319" s="105"/>
      <c r="CF319" s="105"/>
      <c r="CG319" s="105"/>
      <c r="CH319" s="105"/>
      <c r="CI319" s="105"/>
      <c r="CJ319" s="105"/>
      <c r="CK319" s="105"/>
      <c r="CL319" s="105"/>
      <c r="CM319" s="107"/>
      <c r="CN319" s="107"/>
      <c r="CO319" s="107"/>
      <c r="CP319" s="107"/>
      <c r="CQ319" s="107"/>
      <c r="CR319" s="106"/>
      <c r="CS319" s="106"/>
      <c r="CT319" s="106"/>
      <c r="CU319" s="106"/>
      <c r="CV319" s="106"/>
      <c r="CW319" s="106"/>
      <c r="CX319" s="106"/>
      <c r="CY319" s="106"/>
      <c r="CZ319" s="106"/>
      <c r="DA319" s="106"/>
      <c r="DB319" s="106"/>
      <c r="DC319" s="106"/>
      <c r="DD319" s="106"/>
      <c r="DE319" s="106"/>
      <c r="DF319" s="722" t="s">
        <v>4694</v>
      </c>
    </row>
    <row r="320" spans="2:110" ht="15.75" hidden="1">
      <c r="B320" s="2030" t="s">
        <v>3489</v>
      </c>
      <c r="C320" s="2030"/>
      <c r="D320" s="2030"/>
      <c r="E320" s="2030"/>
      <c r="F320" s="2030"/>
      <c r="G320" s="2030"/>
      <c r="H320" s="2030"/>
      <c r="I320" s="2030"/>
      <c r="J320" s="2030"/>
      <c r="K320" s="2030"/>
      <c r="L320" s="2030"/>
      <c r="M320" s="2030"/>
      <c r="N320" s="2030"/>
      <c r="O320" s="2030"/>
      <c r="P320" s="2030"/>
      <c r="Q320" s="2030"/>
      <c r="R320" s="2030"/>
      <c r="S320" s="2030"/>
      <c r="T320" s="2030"/>
      <c r="U320" s="2030"/>
      <c r="V320" s="2030"/>
      <c r="W320" s="2030"/>
      <c r="X320" s="2030"/>
      <c r="Y320" s="2030"/>
      <c r="Z320" s="2030"/>
      <c r="AA320" s="2030"/>
      <c r="AB320" s="2030"/>
      <c r="AC320" s="2030"/>
      <c r="AD320" s="2030"/>
      <c r="AE320" s="2030"/>
      <c r="AF320" s="2030"/>
      <c r="AG320" s="2030"/>
      <c r="AH320" s="2030"/>
      <c r="AI320" s="2030"/>
      <c r="AJ320" s="2030"/>
      <c r="AK320" s="2030"/>
      <c r="AL320" s="2030"/>
      <c r="AM320" s="2030"/>
      <c r="AN320" s="2030"/>
      <c r="AO320" s="2030"/>
      <c r="AP320" s="2030"/>
      <c r="AQ320" s="2030"/>
      <c r="AR320" s="2030"/>
      <c r="AS320" s="2030"/>
      <c r="AT320" s="2030"/>
      <c r="AU320" s="2030"/>
      <c r="AV320" s="2030"/>
      <c r="AW320" s="2030"/>
      <c r="AX320" s="2030"/>
      <c r="AY320" s="2030"/>
      <c r="AZ320" s="2030"/>
      <c r="BA320" s="2030"/>
      <c r="BB320" s="2030"/>
      <c r="BC320" s="722" t="s">
        <v>4694</v>
      </c>
      <c r="BD320" s="721"/>
      <c r="BE320" s="2030" t="s">
        <v>3489</v>
      </c>
      <c r="BF320" s="2030"/>
      <c r="BG320" s="2030"/>
      <c r="BH320" s="2030"/>
      <c r="BI320" s="2030"/>
      <c r="BJ320" s="2030"/>
      <c r="BK320" s="2030"/>
      <c r="BL320" s="2030"/>
      <c r="BM320" s="2030"/>
      <c r="BN320" s="2030"/>
      <c r="BO320" s="2030"/>
      <c r="BP320" s="2030"/>
      <c r="BQ320" s="2030"/>
      <c r="BR320" s="2030"/>
      <c r="BS320" s="2030"/>
      <c r="BT320" s="2030"/>
      <c r="BU320" s="2030"/>
      <c r="BV320" s="2030"/>
      <c r="BW320" s="2030"/>
      <c r="BX320" s="2030"/>
      <c r="BY320" s="2030"/>
      <c r="BZ320" s="2030"/>
      <c r="CA320" s="2030"/>
      <c r="CB320" s="2030"/>
      <c r="CC320" s="2030"/>
      <c r="CD320" s="2030"/>
      <c r="CE320" s="2030"/>
      <c r="CF320" s="2030"/>
      <c r="CG320" s="2030"/>
      <c r="CH320" s="2030"/>
      <c r="CI320" s="2030"/>
      <c r="CJ320" s="2030"/>
      <c r="CK320" s="2030"/>
      <c r="CL320" s="2030"/>
      <c r="CM320" s="2030"/>
      <c r="CN320" s="2030"/>
      <c r="CO320" s="2030"/>
      <c r="CP320" s="2030"/>
      <c r="CQ320" s="2030"/>
      <c r="CR320" s="2030"/>
      <c r="CS320" s="2030"/>
      <c r="CT320" s="2030"/>
      <c r="CU320" s="2030"/>
      <c r="CV320" s="2030"/>
      <c r="CW320" s="2030"/>
      <c r="CX320" s="2030"/>
      <c r="CY320" s="2030"/>
      <c r="CZ320" s="2030"/>
      <c r="DA320" s="2030"/>
      <c r="DB320" s="2030"/>
      <c r="DC320" s="2030"/>
      <c r="DD320" s="2030"/>
      <c r="DE320" s="2030"/>
      <c r="DF320" s="722" t="s">
        <v>4694</v>
      </c>
    </row>
    <row r="321" spans="2:110" ht="18" hidden="1" customHeight="1">
      <c r="B321" s="2030" t="s">
        <v>6323</v>
      </c>
      <c r="C321" s="2030"/>
      <c r="D321" s="2030"/>
      <c r="E321" s="2030"/>
      <c r="F321" s="2030"/>
      <c r="G321" s="2030"/>
      <c r="H321" s="2030"/>
      <c r="I321" s="2030"/>
      <c r="J321" s="2030"/>
      <c r="K321" s="2030"/>
      <c r="L321" s="2030"/>
      <c r="M321" s="2030"/>
      <c r="N321" s="2030"/>
      <c r="O321" s="2030"/>
      <c r="P321" s="2030"/>
      <c r="Q321" s="2030"/>
      <c r="R321" s="2030"/>
      <c r="S321" s="2030"/>
      <c r="T321" s="2030"/>
      <c r="U321" s="2030"/>
      <c r="V321" s="2030"/>
      <c r="W321" s="2030"/>
      <c r="X321" s="2030"/>
      <c r="Y321" s="2030"/>
      <c r="Z321" s="2030"/>
      <c r="AA321" s="2030"/>
      <c r="AB321" s="2030"/>
      <c r="AC321" s="2030"/>
      <c r="AD321" s="2030"/>
      <c r="AE321" s="2030"/>
      <c r="AF321" s="2030"/>
      <c r="AG321" s="2030"/>
      <c r="AH321" s="2030"/>
      <c r="AI321" s="2030"/>
      <c r="AJ321" s="2030"/>
      <c r="AK321" s="2030"/>
      <c r="AL321" s="2030"/>
      <c r="AM321" s="2030"/>
      <c r="AN321" s="2030"/>
      <c r="AO321" s="2030"/>
      <c r="AP321" s="2030"/>
      <c r="AQ321" s="2030"/>
      <c r="AR321" s="2030"/>
      <c r="AS321" s="2030"/>
      <c r="AT321" s="2030"/>
      <c r="AU321" s="2030"/>
      <c r="AV321" s="2030"/>
      <c r="AW321" s="2030"/>
      <c r="AX321" s="2030"/>
      <c r="AY321" s="2030"/>
      <c r="AZ321" s="2030"/>
      <c r="BA321" s="2030"/>
      <c r="BB321" s="2030"/>
      <c r="BC321" s="722" t="s">
        <v>4694</v>
      </c>
      <c r="BD321" s="721"/>
      <c r="BE321" s="2030" t="s">
        <v>6323</v>
      </c>
      <c r="BF321" s="2030"/>
      <c r="BG321" s="2030"/>
      <c r="BH321" s="2030"/>
      <c r="BI321" s="2030"/>
      <c r="BJ321" s="2030"/>
      <c r="BK321" s="2030"/>
      <c r="BL321" s="2030"/>
      <c r="BM321" s="2030"/>
      <c r="BN321" s="2030"/>
      <c r="BO321" s="2030"/>
      <c r="BP321" s="2030"/>
      <c r="BQ321" s="2030"/>
      <c r="BR321" s="2030"/>
      <c r="BS321" s="2030"/>
      <c r="BT321" s="2030"/>
      <c r="BU321" s="2030"/>
      <c r="BV321" s="2030"/>
      <c r="BW321" s="2030"/>
      <c r="BX321" s="2030"/>
      <c r="BY321" s="2030"/>
      <c r="BZ321" s="2030"/>
      <c r="CA321" s="2030"/>
      <c r="CB321" s="2030"/>
      <c r="CC321" s="2030"/>
      <c r="CD321" s="2030"/>
      <c r="CE321" s="2030"/>
      <c r="CF321" s="2030"/>
      <c r="CG321" s="2030"/>
      <c r="CH321" s="2030"/>
      <c r="CI321" s="2030"/>
      <c r="CJ321" s="2030"/>
      <c r="CK321" s="2030"/>
      <c r="CL321" s="2030"/>
      <c r="CM321" s="2030"/>
      <c r="CN321" s="2030"/>
      <c r="CO321" s="2030"/>
      <c r="CP321" s="2030"/>
      <c r="CQ321" s="2030"/>
      <c r="CR321" s="2030"/>
      <c r="CS321" s="2030"/>
      <c r="CT321" s="2030"/>
      <c r="CU321" s="2030"/>
      <c r="CV321" s="2030"/>
      <c r="CW321" s="2030"/>
      <c r="CX321" s="2030"/>
      <c r="CY321" s="2030"/>
      <c r="CZ321" s="2030"/>
      <c r="DA321" s="2030"/>
      <c r="DB321" s="2030"/>
      <c r="DC321" s="2030"/>
      <c r="DD321" s="2030"/>
      <c r="DE321" s="2030"/>
      <c r="DF321" s="722" t="s">
        <v>4694</v>
      </c>
    </row>
    <row r="322" spans="2:110" ht="18" hidden="1" customHeight="1">
      <c r="D322" s="2173" t="s">
        <v>3105</v>
      </c>
      <c r="E322" s="2173"/>
      <c r="F322" s="2173"/>
      <c r="G322" s="2173"/>
      <c r="H322" s="2173"/>
      <c r="I322" s="2173"/>
      <c r="J322" s="2173"/>
      <c r="K322" s="2173"/>
      <c r="L322" s="2173"/>
      <c r="M322" s="2173"/>
      <c r="N322" s="2173"/>
      <c r="O322" s="2173"/>
      <c r="P322" s="2173"/>
      <c r="Q322" s="2173"/>
      <c r="R322" s="2173"/>
      <c r="S322" s="2173"/>
      <c r="T322" s="2173"/>
      <c r="U322" s="2173"/>
      <c r="V322" s="2173"/>
      <c r="W322" s="2173"/>
      <c r="X322" s="2173"/>
      <c r="Y322" s="2173"/>
      <c r="Z322" s="2173"/>
      <c r="AA322" s="2173"/>
      <c r="AB322" s="2173"/>
      <c r="AC322" s="2173"/>
      <c r="AD322" s="2173"/>
      <c r="AE322" s="2173"/>
      <c r="AF322" s="2173"/>
      <c r="AG322" s="2173"/>
      <c r="AH322" s="2173"/>
      <c r="AI322" s="2173"/>
      <c r="AJ322" s="2173"/>
      <c r="AK322" s="2173"/>
      <c r="AL322" s="2173"/>
      <c r="AM322" s="2173"/>
      <c r="AN322" s="2173"/>
      <c r="AO322" s="2173"/>
      <c r="AP322" s="2173"/>
      <c r="AQ322" s="2173"/>
      <c r="AR322" s="2173"/>
      <c r="AS322" s="2173"/>
      <c r="AT322" s="2173"/>
      <c r="AU322" s="2173"/>
      <c r="AV322" s="2173"/>
      <c r="AW322" s="2173"/>
      <c r="AX322" s="2173"/>
      <c r="AY322" s="2173"/>
      <c r="AZ322" s="2173"/>
      <c r="BA322" s="2173"/>
      <c r="BB322" s="2173"/>
      <c r="BC322" s="722" t="s">
        <v>4694</v>
      </c>
      <c r="BD322" s="721"/>
      <c r="BG322" s="2173" t="s">
        <v>3105</v>
      </c>
      <c r="BH322" s="2173"/>
      <c r="BI322" s="2173"/>
      <c r="BJ322" s="2173"/>
      <c r="BK322" s="2173"/>
      <c r="BL322" s="2173"/>
      <c r="BM322" s="2173"/>
      <c r="BN322" s="2173"/>
      <c r="BO322" s="2173"/>
      <c r="BP322" s="2173"/>
      <c r="BQ322" s="2173"/>
      <c r="BR322" s="2173"/>
      <c r="BS322" s="2173"/>
      <c r="BT322" s="2173"/>
      <c r="BU322" s="2173"/>
      <c r="BV322" s="2173"/>
      <c r="BW322" s="2173"/>
      <c r="BX322" s="2173"/>
      <c r="BY322" s="2173"/>
      <c r="BZ322" s="2173"/>
      <c r="CA322" s="2173"/>
      <c r="CB322" s="2173"/>
      <c r="CC322" s="2173"/>
      <c r="CD322" s="2173"/>
      <c r="CE322" s="2173"/>
      <c r="CF322" s="2173"/>
      <c r="CG322" s="2173"/>
      <c r="CH322" s="2173"/>
      <c r="CI322" s="2173"/>
      <c r="CJ322" s="2173"/>
      <c r="CK322" s="2173"/>
      <c r="CL322" s="2173"/>
      <c r="CM322" s="2173"/>
      <c r="CN322" s="2173"/>
      <c r="CO322" s="2173"/>
      <c r="CP322" s="2173"/>
      <c r="CQ322" s="2173"/>
      <c r="CR322" s="2173"/>
      <c r="CS322" s="2173"/>
      <c r="CT322" s="2173"/>
      <c r="CU322" s="2173"/>
      <c r="CV322" s="2173"/>
      <c r="CW322" s="2173"/>
      <c r="CX322" s="2173"/>
      <c r="CY322" s="2173"/>
      <c r="CZ322" s="2173"/>
      <c r="DA322" s="2173"/>
      <c r="DB322" s="2173"/>
      <c r="DC322" s="2173"/>
      <c r="DD322" s="2173"/>
      <c r="DE322" s="2173"/>
      <c r="DF322" s="722" t="s">
        <v>4694</v>
      </c>
    </row>
    <row r="323" spans="2:110" ht="18" hidden="1" customHeight="1">
      <c r="E323" s="2171" t="s">
        <v>992</v>
      </c>
      <c r="F323" s="2171"/>
      <c r="G323" s="2171"/>
      <c r="H323" s="2171"/>
      <c r="I323" s="2171"/>
      <c r="J323" s="2171"/>
      <c r="K323" s="2171"/>
      <c r="L323" s="2171"/>
      <c r="M323" s="2171"/>
      <c r="N323" s="2171"/>
      <c r="O323" s="2171"/>
      <c r="P323" s="2171"/>
      <c r="Q323" s="2171"/>
      <c r="R323" s="2171"/>
      <c r="S323" s="2171"/>
      <c r="T323" s="2171"/>
      <c r="U323" s="2171"/>
      <c r="V323" s="2171"/>
      <c r="W323" s="2171"/>
      <c r="X323" s="2171"/>
      <c r="Y323" s="2171"/>
      <c r="Z323" s="2171"/>
      <c r="AA323" s="2171"/>
      <c r="AB323" s="2171"/>
      <c r="AC323" s="2171"/>
      <c r="AD323" s="2171"/>
      <c r="AE323" s="2171"/>
      <c r="AF323" s="2171"/>
      <c r="AG323" s="2171"/>
      <c r="AH323" s="2171"/>
      <c r="AI323" s="2171"/>
      <c r="AJ323" s="2171"/>
      <c r="AK323" s="2171"/>
      <c r="AL323" s="2171"/>
      <c r="AM323" s="2171"/>
      <c r="AN323" s="2171"/>
      <c r="AO323" s="2171"/>
      <c r="AP323" s="2171"/>
      <c r="AQ323" s="2171"/>
      <c r="AR323" s="2171"/>
      <c r="AS323" s="2171"/>
      <c r="AT323" s="2171"/>
      <c r="AU323" s="2171"/>
      <c r="AV323" s="2171"/>
      <c r="AW323" s="2171"/>
      <c r="AX323" s="2171"/>
      <c r="AY323" s="2171"/>
      <c r="AZ323" s="2171"/>
      <c r="BA323" s="2171"/>
      <c r="BB323" s="2171"/>
      <c r="BC323" s="722" t="s">
        <v>4694</v>
      </c>
    </row>
    <row r="324" spans="2:110" ht="18" hidden="1" customHeight="1">
      <c r="B324" s="2030" t="str">
        <f>+"Công trình: "&amp;NL!$U$3</f>
        <v>Công trình: XÂY DỰNG ĐƯỜNG DÂY TRUNG HẠ ÁP &amp; TRẠM BIẾN ÁP</v>
      </c>
      <c r="C324" s="2030"/>
      <c r="D324" s="2030"/>
      <c r="E324" s="2030"/>
      <c r="F324" s="2030"/>
      <c r="G324" s="2030"/>
      <c r="H324" s="2030"/>
      <c r="I324" s="2030"/>
      <c r="J324" s="2030"/>
      <c r="K324" s="2030"/>
      <c r="L324" s="2030"/>
      <c r="M324" s="2030"/>
      <c r="N324" s="2030"/>
      <c r="O324" s="2030"/>
      <c r="P324" s="2030"/>
      <c r="Q324" s="2030"/>
      <c r="R324" s="2030"/>
      <c r="S324" s="2030"/>
      <c r="T324" s="2030"/>
      <c r="U324" s="2030"/>
      <c r="V324" s="2030"/>
      <c r="W324" s="2030"/>
      <c r="X324" s="2030"/>
      <c r="Y324" s="2030"/>
      <c r="Z324" s="2030"/>
      <c r="AA324" s="2030"/>
      <c r="AB324" s="2030"/>
      <c r="AC324" s="2030"/>
      <c r="AD324" s="2030"/>
      <c r="AE324" s="2030"/>
      <c r="AF324" s="2030"/>
      <c r="AG324" s="2030"/>
      <c r="AH324" s="2030"/>
      <c r="AI324" s="2030"/>
      <c r="AJ324" s="2030"/>
      <c r="AK324" s="2030"/>
      <c r="AL324" s="2030"/>
      <c r="AM324" s="2030"/>
      <c r="AN324" s="2030"/>
      <c r="AO324" s="2030"/>
      <c r="AP324" s="2030"/>
      <c r="AQ324" s="2030"/>
      <c r="AR324" s="2030"/>
      <c r="AS324" s="2030"/>
      <c r="AT324" s="2030"/>
      <c r="AU324" s="2030"/>
      <c r="AV324" s="2030"/>
      <c r="AW324" s="2030"/>
      <c r="AX324" s="2030"/>
      <c r="AY324" s="2030"/>
      <c r="AZ324" s="2030"/>
      <c r="BA324" s="2030"/>
      <c r="BB324" s="2030"/>
      <c r="BC324" s="722" t="s">
        <v>4694</v>
      </c>
    </row>
    <row r="325" spans="2:110" ht="18" hidden="1" customHeight="1">
      <c r="B325" s="2030" t="str">
        <f>NL!$U$4</f>
        <v>HUYỆN CHÂU THÀNH, TX NGÃ BẢY</v>
      </c>
      <c r="C325" s="2030"/>
      <c r="D325" s="2030"/>
      <c r="E325" s="2030"/>
      <c r="F325" s="2030"/>
      <c r="G325" s="2030"/>
      <c r="H325" s="2030"/>
      <c r="I325" s="2030"/>
      <c r="J325" s="2030"/>
      <c r="K325" s="2030"/>
      <c r="L325" s="2030"/>
      <c r="M325" s="2030"/>
      <c r="N325" s="2030"/>
      <c r="O325" s="2030"/>
      <c r="P325" s="2030"/>
      <c r="Q325" s="2030"/>
      <c r="R325" s="2030"/>
      <c r="S325" s="2030"/>
      <c r="T325" s="2030"/>
      <c r="U325" s="2030"/>
      <c r="V325" s="2030"/>
      <c r="W325" s="2030"/>
      <c r="X325" s="2030"/>
      <c r="Y325" s="2030"/>
      <c r="Z325" s="2030"/>
      <c r="AA325" s="2030"/>
      <c r="AB325" s="2030"/>
      <c r="AC325" s="2030"/>
      <c r="AD325" s="2030"/>
      <c r="AE325" s="2030"/>
      <c r="AF325" s="2030"/>
      <c r="AG325" s="2030"/>
      <c r="AH325" s="2030"/>
      <c r="AI325" s="2030"/>
      <c r="AJ325" s="2030"/>
      <c r="AK325" s="2030"/>
      <c r="AL325" s="2030"/>
      <c r="AM325" s="2030"/>
      <c r="AN325" s="2030"/>
      <c r="AO325" s="2030"/>
      <c r="AP325" s="2030"/>
      <c r="AQ325" s="2030"/>
      <c r="AR325" s="2030"/>
      <c r="AS325" s="2030"/>
      <c r="AT325" s="2030"/>
      <c r="AU325" s="2030"/>
      <c r="AV325" s="2030"/>
      <c r="AW325" s="2030"/>
      <c r="AX325" s="2030"/>
      <c r="AY325" s="2030"/>
      <c r="AZ325" s="2030"/>
      <c r="BA325" s="2030"/>
      <c r="BB325" s="2030"/>
      <c r="BC325" s="722" t="s">
        <v>4694</v>
      </c>
    </row>
    <row r="326" spans="2:110" ht="18" hidden="1" customHeight="1">
      <c r="B326" s="2030" t="str">
        <f>+"Địa điểm: "&amp;NL!$U$5</f>
        <v>Địa điểm: Huyện Châu Thành &amp; Tx.Ngã Bảy, tỉnh Hậu Giang</v>
      </c>
      <c r="C326" s="2030"/>
      <c r="D326" s="2030"/>
      <c r="E326" s="2030"/>
      <c r="F326" s="2030"/>
      <c r="G326" s="2030"/>
      <c r="H326" s="2030"/>
      <c r="I326" s="2030"/>
      <c r="J326" s="2030"/>
      <c r="K326" s="2030"/>
      <c r="L326" s="2030"/>
      <c r="M326" s="2030"/>
      <c r="N326" s="2030"/>
      <c r="O326" s="2030"/>
      <c r="P326" s="2030"/>
      <c r="Q326" s="2030"/>
      <c r="R326" s="2030"/>
      <c r="S326" s="2030"/>
      <c r="T326" s="2030"/>
      <c r="U326" s="2030"/>
      <c r="V326" s="2030"/>
      <c r="W326" s="2030"/>
      <c r="X326" s="2030"/>
      <c r="Y326" s="2030"/>
      <c r="Z326" s="2030"/>
      <c r="AA326" s="2030"/>
      <c r="AB326" s="2030"/>
      <c r="AC326" s="2030"/>
      <c r="AD326" s="2030"/>
      <c r="AE326" s="2030"/>
      <c r="AF326" s="2030"/>
      <c r="AG326" s="2030"/>
      <c r="AH326" s="2030"/>
      <c r="AI326" s="2030"/>
      <c r="AJ326" s="2030"/>
      <c r="AK326" s="2030"/>
      <c r="AL326" s="2030"/>
      <c r="AM326" s="2030"/>
      <c r="AN326" s="2030"/>
      <c r="AO326" s="2030"/>
      <c r="AP326" s="2030"/>
      <c r="AQ326" s="2030"/>
      <c r="AR326" s="2030"/>
      <c r="AS326" s="2030"/>
      <c r="AT326" s="2030"/>
      <c r="AU326" s="2030"/>
      <c r="AV326" s="2030"/>
      <c r="AW326" s="2030"/>
      <c r="AX326" s="2030"/>
      <c r="AY326" s="2030"/>
      <c r="AZ326" s="2030"/>
      <c r="BA326" s="2030"/>
      <c r="BB326" s="2030"/>
      <c r="BC326" s="722" t="s">
        <v>4694</v>
      </c>
    </row>
    <row r="327" spans="2:110" ht="18" hidden="1" customHeight="1">
      <c r="F327" s="2171" t="s">
        <v>991</v>
      </c>
      <c r="G327" s="2171"/>
      <c r="H327" s="2171"/>
      <c r="I327" s="2171"/>
      <c r="J327" s="2171"/>
      <c r="K327" s="2171"/>
      <c r="L327" s="2171"/>
      <c r="M327" s="2171"/>
      <c r="N327" s="2171"/>
      <c r="O327" s="2171"/>
      <c r="P327" s="2171"/>
      <c r="Q327" s="2171"/>
      <c r="R327" s="2171"/>
      <c r="S327" s="2171"/>
      <c r="T327" s="2171"/>
      <c r="U327" s="2171"/>
      <c r="V327" s="2171"/>
      <c r="W327" s="2171"/>
      <c r="X327" s="2171"/>
      <c r="Y327" s="2171"/>
      <c r="Z327" s="2171"/>
      <c r="AA327" s="2171"/>
      <c r="AB327" s="2171"/>
      <c r="AC327" s="2171"/>
      <c r="AD327" s="2171"/>
      <c r="AE327" s="2171"/>
      <c r="AF327" s="2171"/>
      <c r="AG327" s="2171"/>
      <c r="AH327" s="2171"/>
      <c r="AI327" s="2171"/>
      <c r="AJ327" s="2171"/>
      <c r="AK327" s="2171"/>
      <c r="AL327" s="2171"/>
      <c r="AM327" s="2171"/>
      <c r="AN327" s="2171"/>
      <c r="AO327" s="2171"/>
      <c r="AP327" s="2171"/>
      <c r="AQ327" s="2171"/>
      <c r="AR327" s="2171"/>
      <c r="AS327" s="2171"/>
      <c r="AT327" s="2171"/>
      <c r="AU327" s="2171"/>
      <c r="AV327" s="2171"/>
      <c r="AW327" s="2171"/>
      <c r="AX327" s="2171"/>
      <c r="AY327" s="2171"/>
      <c r="AZ327" s="2171"/>
      <c r="BA327" s="2171"/>
      <c r="BB327" s="2171"/>
      <c r="BC327" s="722" t="s">
        <v>4694</v>
      </c>
    </row>
    <row r="328" spans="2:110" ht="18" hidden="1" customHeight="1">
      <c r="F328" s="102" t="s">
        <v>6344</v>
      </c>
      <c r="G328" s="2171" t="s">
        <v>6324</v>
      </c>
      <c r="H328" s="2171"/>
      <c r="I328" s="2171"/>
      <c r="J328" s="2171"/>
      <c r="K328" s="2171"/>
      <c r="L328" s="2171"/>
      <c r="M328" s="2171"/>
      <c r="N328" s="2171"/>
      <c r="O328" s="2171"/>
      <c r="P328" s="2171"/>
      <c r="Q328" s="2171"/>
      <c r="R328" s="2171"/>
      <c r="S328" s="2171"/>
      <c r="T328" s="2171"/>
      <c r="U328" s="2171"/>
      <c r="V328" s="2171"/>
      <c r="W328" s="2171"/>
      <c r="X328" s="2171"/>
      <c r="Y328" s="2171"/>
      <c r="Z328" s="2171"/>
      <c r="AA328" s="2171"/>
      <c r="AB328" s="2171"/>
      <c r="AC328" s="2171"/>
      <c r="AD328" s="2171"/>
      <c r="AE328" s="2171"/>
      <c r="AF328" s="2171"/>
      <c r="AG328" s="2171"/>
      <c r="AH328" s="2171"/>
      <c r="AI328" s="2171"/>
      <c r="AJ328" s="2171"/>
      <c r="AK328" s="2171"/>
      <c r="AL328" s="2171"/>
      <c r="AM328" s="2171"/>
      <c r="AN328" s="2171"/>
      <c r="AO328" s="2171"/>
      <c r="AP328" s="2171"/>
      <c r="AQ328" s="2171"/>
      <c r="AR328" s="2171"/>
      <c r="AS328" s="2171"/>
      <c r="AT328" s="2171"/>
      <c r="AU328" s="2171"/>
      <c r="AV328" s="2171"/>
      <c r="AW328" s="2171"/>
      <c r="AX328" s="2171"/>
      <c r="AY328" s="2171"/>
      <c r="AZ328" s="2171"/>
      <c r="BA328" s="2171"/>
      <c r="BB328" s="2171"/>
      <c r="BC328" s="722" t="s">
        <v>4694</v>
      </c>
    </row>
    <row r="329" spans="2:110" ht="18" hidden="1" customHeight="1">
      <c r="B329" s="2171" t="s">
        <v>5522</v>
      </c>
      <c r="C329" s="2171"/>
      <c r="D329" s="2171"/>
      <c r="E329" s="2171"/>
      <c r="F329" s="2171"/>
      <c r="G329" s="2171"/>
      <c r="H329" s="2171"/>
      <c r="I329" s="2171"/>
      <c r="J329" s="2171"/>
      <c r="K329" s="2171"/>
      <c r="L329" s="2171"/>
      <c r="M329" s="2171"/>
      <c r="N329" s="2171"/>
      <c r="O329" s="2171"/>
      <c r="P329" s="2171"/>
      <c r="Q329" s="2171"/>
      <c r="R329" s="2171"/>
      <c r="S329" s="2171"/>
      <c r="T329" s="2171"/>
      <c r="U329" s="2171"/>
      <c r="V329" s="2171"/>
      <c r="W329" s="2171"/>
      <c r="X329" s="2171"/>
      <c r="Y329" s="2171"/>
      <c r="Z329" s="2171"/>
      <c r="AA329" s="2171"/>
      <c r="AB329" s="2171"/>
      <c r="AC329" s="2171"/>
      <c r="AD329" s="2171"/>
      <c r="AE329" s="2171"/>
      <c r="AF329" s="2171"/>
      <c r="AG329" s="2171"/>
      <c r="AH329" s="2171"/>
      <c r="AI329" s="2171"/>
      <c r="AJ329" s="2171"/>
      <c r="AK329" s="2171"/>
      <c r="AL329" s="2171"/>
      <c r="AM329" s="2171"/>
      <c r="AN329" s="2171"/>
      <c r="AO329" s="2171"/>
      <c r="AP329" s="2171"/>
      <c r="AQ329" s="2171"/>
      <c r="AR329" s="2171"/>
      <c r="AS329" s="2171"/>
      <c r="AT329" s="2171"/>
      <c r="AU329" s="2171"/>
      <c r="AV329" s="2171"/>
      <c r="AW329" s="2171"/>
      <c r="AX329" s="2171"/>
      <c r="AY329" s="2171"/>
      <c r="AZ329" s="2171"/>
      <c r="BA329" s="2171"/>
      <c r="BB329" s="2171"/>
      <c r="BC329" s="722" t="s">
        <v>4694</v>
      </c>
    </row>
    <row r="330" spans="2:110" ht="18" hidden="1" customHeight="1">
      <c r="B330" s="2171" t="s">
        <v>5523</v>
      </c>
      <c r="C330" s="2171"/>
      <c r="D330" s="2171"/>
      <c r="E330" s="2171"/>
      <c r="F330" s="2171"/>
      <c r="G330" s="2171"/>
      <c r="H330" s="2171"/>
      <c r="I330" s="2171"/>
      <c r="J330" s="2171"/>
      <c r="K330" s="2171"/>
      <c r="L330" s="2171"/>
      <c r="M330" s="2171"/>
      <c r="N330" s="2171"/>
      <c r="O330" s="2171"/>
      <c r="P330" s="2171"/>
      <c r="Q330" s="2171"/>
      <c r="R330" s="2171"/>
      <c r="S330" s="2171"/>
      <c r="T330" s="2171"/>
      <c r="U330" s="2171"/>
      <c r="V330" s="2171"/>
      <c r="W330" s="2171"/>
      <c r="X330" s="2171"/>
      <c r="Y330" s="2171"/>
      <c r="Z330" s="2171"/>
      <c r="AA330" s="2171"/>
      <c r="AB330" s="2171"/>
      <c r="AC330" s="2171"/>
      <c r="AD330" s="2171"/>
      <c r="AE330" s="2171"/>
      <c r="AF330" s="2171"/>
      <c r="AG330" s="2171"/>
      <c r="AH330" s="2171"/>
      <c r="AI330" s="2171"/>
      <c r="AJ330" s="2171"/>
      <c r="AK330" s="2171"/>
      <c r="AL330" s="2171"/>
      <c r="AM330" s="2171"/>
      <c r="AN330" s="2171"/>
      <c r="AO330" s="2171"/>
      <c r="AP330" s="2171"/>
      <c r="AQ330" s="2171"/>
      <c r="AR330" s="2171"/>
      <c r="AS330" s="2171"/>
      <c r="AT330" s="2171"/>
      <c r="AU330" s="2171"/>
      <c r="AV330" s="2171"/>
      <c r="AW330" s="2171"/>
      <c r="AX330" s="2171"/>
      <c r="AY330" s="2171"/>
      <c r="AZ330" s="2171"/>
      <c r="BA330" s="2171"/>
      <c r="BB330" s="2171"/>
      <c r="BC330" s="722" t="s">
        <v>4694</v>
      </c>
    </row>
    <row r="331" spans="2:110" ht="18" hidden="1" customHeight="1">
      <c r="B331" s="2171" t="s">
        <v>5299</v>
      </c>
      <c r="C331" s="2171"/>
      <c r="D331" s="2171"/>
      <c r="E331" s="2171"/>
      <c r="F331" s="2171"/>
      <c r="G331" s="2171"/>
      <c r="H331" s="2171"/>
      <c r="I331" s="2171"/>
      <c r="J331" s="2171"/>
      <c r="K331" s="2171"/>
      <c r="L331" s="2171"/>
      <c r="M331" s="2171"/>
      <c r="N331" s="2171"/>
      <c r="O331" s="2171"/>
      <c r="P331" s="2171"/>
      <c r="Q331" s="2171"/>
      <c r="R331" s="2171"/>
      <c r="S331" s="2171"/>
      <c r="T331" s="2171"/>
      <c r="U331" s="2171"/>
      <c r="V331" s="2171"/>
      <c r="W331" s="2171"/>
      <c r="X331" s="2171"/>
      <c r="Y331" s="2171"/>
      <c r="Z331" s="2171"/>
      <c r="AA331" s="2171"/>
      <c r="AB331" s="2171"/>
      <c r="AC331" s="2171"/>
      <c r="AD331" s="2171"/>
      <c r="AE331" s="2171"/>
      <c r="AF331" s="2171"/>
      <c r="AG331" s="2171"/>
      <c r="AH331" s="2171"/>
      <c r="AI331" s="2171"/>
      <c r="AJ331" s="2171"/>
      <c r="AK331" s="2171"/>
      <c r="AL331" s="2171"/>
      <c r="AM331" s="2171"/>
      <c r="AN331" s="2171"/>
      <c r="AO331" s="2171"/>
      <c r="AP331" s="2171"/>
      <c r="AQ331" s="2171"/>
      <c r="AR331" s="2171"/>
      <c r="AS331" s="2171"/>
      <c r="AT331" s="2171"/>
      <c r="AU331" s="2171"/>
      <c r="AV331" s="2171"/>
      <c r="AW331" s="2171"/>
      <c r="AX331" s="2171"/>
      <c r="AY331" s="2171"/>
      <c r="AZ331" s="2171"/>
      <c r="BA331" s="2171"/>
      <c r="BB331" s="2171"/>
      <c r="BC331" s="722" t="s">
        <v>4694</v>
      </c>
    </row>
    <row r="332" spans="2:110" ht="18" hidden="1" customHeight="1">
      <c r="B332" s="2171" t="s">
        <v>5300</v>
      </c>
      <c r="C332" s="2171"/>
      <c r="D332" s="2171"/>
      <c r="E332" s="2171"/>
      <c r="F332" s="2171"/>
      <c r="G332" s="2171"/>
      <c r="H332" s="2171"/>
      <c r="I332" s="2171"/>
      <c r="J332" s="2171"/>
      <c r="K332" s="2171"/>
      <c r="L332" s="2171"/>
      <c r="M332" s="2171"/>
      <c r="N332" s="2171"/>
      <c r="O332" s="2171"/>
      <c r="P332" s="2171"/>
      <c r="Q332" s="2171"/>
      <c r="R332" s="2171"/>
      <c r="S332" s="2171"/>
      <c r="T332" s="2171"/>
      <c r="U332" s="2171"/>
      <c r="V332" s="2171"/>
      <c r="W332" s="2171"/>
      <c r="X332" s="2171"/>
      <c r="Y332" s="2171"/>
      <c r="Z332" s="2171"/>
      <c r="AA332" s="2171"/>
      <c r="AB332" s="2171"/>
      <c r="AC332" s="2171"/>
      <c r="AD332" s="2171"/>
      <c r="AE332" s="2171"/>
      <c r="AF332" s="2171"/>
      <c r="AG332" s="2171"/>
      <c r="AH332" s="2171"/>
      <c r="AI332" s="2171"/>
      <c r="AJ332" s="2171"/>
      <c r="AK332" s="2171"/>
      <c r="AL332" s="2171"/>
      <c r="AM332" s="2171"/>
      <c r="AN332" s="2171"/>
      <c r="AO332" s="2171"/>
      <c r="AP332" s="2171"/>
      <c r="AQ332" s="2171"/>
      <c r="AR332" s="2171"/>
      <c r="AS332" s="2171"/>
      <c r="AT332" s="2171"/>
      <c r="AU332" s="2171"/>
      <c r="AV332" s="2171"/>
      <c r="AW332" s="2171"/>
      <c r="AX332" s="2171"/>
      <c r="AY332" s="2171"/>
      <c r="AZ332" s="2171"/>
      <c r="BA332" s="2171"/>
      <c r="BB332" s="2171"/>
      <c r="BC332" s="722" t="s">
        <v>4694</v>
      </c>
    </row>
    <row r="333" spans="2:110" ht="18" hidden="1" customHeight="1">
      <c r="D333" s="2173" t="s">
        <v>6096</v>
      </c>
      <c r="E333" s="2173"/>
      <c r="F333" s="2173"/>
      <c r="G333" s="2173"/>
      <c r="H333" s="2173"/>
      <c r="I333" s="2173"/>
      <c r="J333" s="2173"/>
      <c r="K333" s="2173"/>
      <c r="L333" s="2173"/>
      <c r="M333" s="2173"/>
      <c r="N333" s="2173"/>
      <c r="O333" s="2173"/>
      <c r="P333" s="2173"/>
      <c r="Q333" s="2173"/>
      <c r="R333" s="2173"/>
      <c r="S333" s="2173"/>
      <c r="T333" s="2173"/>
      <c r="U333" s="2173"/>
      <c r="V333" s="2173"/>
      <c r="W333" s="2173"/>
      <c r="X333" s="2173"/>
      <c r="Y333" s="2173"/>
      <c r="Z333" s="2173"/>
      <c r="AA333" s="2173"/>
      <c r="AB333" s="2173"/>
      <c r="AC333" s="2173"/>
      <c r="AD333" s="2173"/>
      <c r="AE333" s="2173"/>
      <c r="AF333" s="2173"/>
      <c r="AG333" s="2173"/>
      <c r="AH333" s="2173"/>
      <c r="AI333" s="2173"/>
      <c r="AJ333" s="2173"/>
      <c r="AK333" s="2173"/>
      <c r="AL333" s="2173"/>
      <c r="AM333" s="2173"/>
      <c r="AN333" s="2173"/>
      <c r="AO333" s="2173"/>
      <c r="AP333" s="2173"/>
      <c r="AQ333" s="2173"/>
      <c r="AR333" s="2173"/>
      <c r="AS333" s="2173"/>
      <c r="AT333" s="2173"/>
      <c r="AU333" s="2173"/>
      <c r="AV333" s="2173"/>
      <c r="AW333" s="2173"/>
      <c r="AX333" s="2173"/>
      <c r="AY333" s="2173"/>
      <c r="AZ333" s="2173"/>
      <c r="BA333" s="2173"/>
      <c r="BB333" s="2173"/>
      <c r="BC333" s="722" t="s">
        <v>4694</v>
      </c>
    </row>
    <row r="334" spans="2:110" ht="18" hidden="1" customHeight="1">
      <c r="E334" s="2171" t="s">
        <v>2176</v>
      </c>
      <c r="F334" s="2171"/>
      <c r="G334" s="2171"/>
      <c r="H334" s="2171"/>
      <c r="I334" s="2171"/>
      <c r="J334" s="2171"/>
      <c r="K334" s="2171"/>
      <c r="L334" s="2171"/>
      <c r="M334" s="2171"/>
      <c r="N334" s="2171"/>
      <c r="O334" s="2171"/>
      <c r="P334" s="2171"/>
      <c r="Q334" s="2171"/>
      <c r="R334" s="2171"/>
      <c r="S334" s="2171"/>
      <c r="T334" s="2171"/>
      <c r="U334" s="2171"/>
      <c r="V334" s="2171"/>
      <c r="W334" s="2171"/>
      <c r="X334" s="2171"/>
      <c r="Y334" s="2171"/>
      <c r="Z334" s="2171"/>
      <c r="AA334" s="2171"/>
      <c r="AB334" s="2171"/>
      <c r="AC334" s="2171"/>
      <c r="AD334" s="2171"/>
      <c r="AE334" s="2171"/>
      <c r="AF334" s="2171"/>
      <c r="AG334" s="2171"/>
      <c r="AH334" s="2171"/>
      <c r="AI334" s="2171"/>
      <c r="AJ334" s="2171"/>
      <c r="AK334" s="2171"/>
      <c r="AL334" s="2171"/>
      <c r="AM334" s="2171"/>
      <c r="AN334" s="2171"/>
      <c r="AO334" s="2171"/>
      <c r="AP334" s="2171"/>
      <c r="AQ334" s="2171"/>
      <c r="AR334" s="2171"/>
      <c r="AS334" s="2171"/>
      <c r="AT334" s="2171"/>
      <c r="AU334" s="2171"/>
      <c r="AV334" s="2171"/>
      <c r="AW334" s="2171"/>
      <c r="AX334" s="2171"/>
      <c r="AY334" s="2171"/>
      <c r="AZ334" s="2171"/>
      <c r="BA334" s="2171"/>
      <c r="BB334" s="2171"/>
      <c r="BC334" s="722" t="s">
        <v>4694</v>
      </c>
    </row>
    <row r="335" spans="2:110" ht="18" hidden="1" customHeight="1">
      <c r="B335" s="2171" t="s">
        <v>1745</v>
      </c>
      <c r="C335" s="2171"/>
      <c r="D335" s="2171"/>
      <c r="E335" s="2171"/>
      <c r="F335" s="2171"/>
      <c r="G335" s="2171"/>
      <c r="H335" s="2171"/>
      <c r="I335" s="2171"/>
      <c r="J335" s="2171"/>
      <c r="K335" s="2171"/>
      <c r="L335" s="2171"/>
      <c r="M335" s="2171"/>
      <c r="N335" s="2171"/>
      <c r="O335" s="2171"/>
      <c r="P335" s="2171"/>
      <c r="Q335" s="2171"/>
      <c r="R335" s="2171"/>
      <c r="S335" s="2171"/>
      <c r="T335" s="2171"/>
      <c r="U335" s="2171"/>
      <c r="V335" s="2171"/>
      <c r="W335" s="2171"/>
      <c r="X335" s="2171"/>
      <c r="Y335" s="2171"/>
      <c r="Z335" s="2171"/>
      <c r="AA335" s="2171"/>
      <c r="AB335" s="2171"/>
      <c r="AC335" s="2171"/>
      <c r="AD335" s="2171"/>
      <c r="AE335" s="2171"/>
      <c r="AF335" s="2171"/>
      <c r="AG335" s="2171"/>
      <c r="AH335" s="2171"/>
      <c r="AI335" s="2171"/>
      <c r="AJ335" s="2171"/>
      <c r="AK335" s="2171"/>
      <c r="AL335" s="2171"/>
      <c r="AM335" s="2171"/>
      <c r="AN335" s="2171"/>
      <c r="AO335" s="2171"/>
      <c r="AP335" s="2171"/>
      <c r="AQ335" s="2171"/>
      <c r="AR335" s="2171"/>
      <c r="AS335" s="2171"/>
      <c r="AT335" s="2171"/>
      <c r="AU335" s="2171"/>
      <c r="AV335" s="2171"/>
      <c r="AW335" s="2171"/>
      <c r="AX335" s="2171"/>
      <c r="AY335" s="2171"/>
      <c r="AZ335" s="2171"/>
      <c r="BA335" s="2171"/>
      <c r="BB335" s="2171"/>
      <c r="BC335" s="722" t="s">
        <v>4694</v>
      </c>
    </row>
    <row r="336" spans="2:110" ht="18" hidden="1" customHeight="1">
      <c r="D336" s="2173" t="s">
        <v>5272</v>
      </c>
      <c r="E336" s="2173"/>
      <c r="F336" s="2173"/>
      <c r="G336" s="2173"/>
      <c r="H336" s="2173"/>
      <c r="I336" s="2173"/>
      <c r="J336" s="2173"/>
      <c r="K336" s="2173"/>
      <c r="L336" s="2173"/>
      <c r="M336" s="2173"/>
      <c r="N336" s="2173"/>
      <c r="O336" s="2173"/>
      <c r="P336" s="2173"/>
      <c r="Q336" s="2173"/>
      <c r="R336" s="2173"/>
      <c r="S336" s="2173"/>
      <c r="T336" s="2173"/>
      <c r="U336" s="2173"/>
      <c r="V336" s="2173"/>
      <c r="W336" s="2173"/>
      <c r="X336" s="2173"/>
      <c r="Y336" s="2173"/>
      <c r="Z336" s="2173"/>
      <c r="AA336" s="2173"/>
      <c r="AB336" s="2173"/>
      <c r="AC336" s="2173"/>
      <c r="AD336" s="2173"/>
      <c r="AE336" s="2173"/>
      <c r="AF336" s="2173"/>
      <c r="AG336" s="2173"/>
      <c r="AH336" s="2173"/>
      <c r="AI336" s="2173"/>
      <c r="AJ336" s="2173"/>
      <c r="AK336" s="2173"/>
      <c r="AL336" s="2173"/>
      <c r="AM336" s="2173"/>
      <c r="AN336" s="2173"/>
      <c r="AO336" s="2173"/>
      <c r="AP336" s="2173"/>
      <c r="AQ336" s="2173"/>
      <c r="AR336" s="2173"/>
      <c r="AS336" s="2173"/>
      <c r="AT336" s="2173"/>
      <c r="AU336" s="2173"/>
      <c r="AV336" s="2173"/>
      <c r="AW336" s="2173"/>
      <c r="AX336" s="2173"/>
      <c r="AY336" s="2173"/>
      <c r="AZ336" s="2173"/>
      <c r="BA336" s="2173"/>
      <c r="BB336" s="2173"/>
      <c r="BC336" s="722" t="s">
        <v>4694</v>
      </c>
    </row>
    <row r="337" spans="2:61" ht="18" hidden="1" customHeight="1">
      <c r="E337" s="2171" t="s">
        <v>6219</v>
      </c>
      <c r="F337" s="2171"/>
      <c r="G337" s="2171"/>
      <c r="H337" s="2171"/>
      <c r="I337" s="2171"/>
      <c r="J337" s="2171"/>
      <c r="K337" s="2171"/>
      <c r="L337" s="2171"/>
      <c r="M337" s="2171"/>
      <c r="N337" s="2171"/>
      <c r="O337" s="2171"/>
      <c r="P337" s="2171"/>
      <c r="Q337" s="2171"/>
      <c r="R337" s="2171"/>
      <c r="S337" s="2171"/>
      <c r="T337" s="2171"/>
      <c r="U337" s="2171"/>
      <c r="V337" s="2171"/>
      <c r="W337" s="2171"/>
      <c r="X337" s="2171"/>
      <c r="Y337" s="2171"/>
      <c r="Z337" s="2171"/>
      <c r="AA337" s="2171"/>
      <c r="AB337" s="2171"/>
      <c r="AC337" s="2171"/>
      <c r="AD337" s="2171"/>
      <c r="AE337" s="2171"/>
      <c r="AF337" s="2171"/>
      <c r="AG337" s="2171"/>
      <c r="AH337" s="2171"/>
      <c r="AI337" s="2171"/>
      <c r="AJ337" s="2171"/>
      <c r="AK337" s="2171"/>
      <c r="AL337" s="2171"/>
      <c r="AM337" s="2171"/>
      <c r="AN337" s="2171"/>
      <c r="AO337" s="2171"/>
      <c r="AP337" s="2171"/>
      <c r="AQ337" s="2171"/>
      <c r="AR337" s="2171"/>
      <c r="AS337" s="2171"/>
      <c r="AT337" s="2171"/>
      <c r="AU337" s="2171"/>
      <c r="AV337" s="2171"/>
      <c r="AW337" s="2171"/>
      <c r="AX337" s="2171"/>
      <c r="AY337" s="2171"/>
      <c r="AZ337" s="2171"/>
      <c r="BA337" s="2171"/>
      <c r="BB337" s="2171"/>
      <c r="BC337" s="722" t="s">
        <v>4694</v>
      </c>
    </row>
    <row r="338" spans="2:61" ht="18" hidden="1" customHeight="1">
      <c r="F338" s="2171" t="s">
        <v>4507</v>
      </c>
      <c r="G338" s="2172"/>
      <c r="H338" s="2172"/>
      <c r="I338" s="2172"/>
      <c r="J338" s="2172"/>
      <c r="K338" s="2172"/>
      <c r="L338" s="2172"/>
      <c r="M338" s="2172"/>
      <c r="N338" s="2172"/>
      <c r="O338" s="2172"/>
      <c r="P338" s="2172"/>
      <c r="Q338" s="2172"/>
      <c r="R338" s="2172"/>
      <c r="S338" s="2172"/>
      <c r="T338" s="2172"/>
      <c r="U338" s="2172"/>
      <c r="V338" s="2172"/>
      <c r="W338" s="2172"/>
      <c r="X338" s="2172"/>
      <c r="Y338" s="2172"/>
      <c r="Z338" s="2172"/>
      <c r="AA338" s="2172"/>
      <c r="AB338" s="2172"/>
      <c r="AC338" s="2172"/>
      <c r="AD338" s="2172"/>
      <c r="AE338" s="2172"/>
      <c r="AF338" s="2172"/>
      <c r="AG338" s="2172"/>
      <c r="AH338" s="2172"/>
      <c r="AI338" s="2172"/>
      <c r="AJ338" s="2172"/>
      <c r="AK338" s="2172"/>
      <c r="AL338" s="2172"/>
      <c r="AM338" s="2172"/>
      <c r="AN338" s="2172"/>
      <c r="AO338" s="2172"/>
      <c r="AP338" s="2172"/>
      <c r="AQ338" s="2172"/>
      <c r="AR338" s="2172"/>
      <c r="AS338" s="2172"/>
      <c r="AT338" s="2172"/>
      <c r="AU338" s="2172"/>
      <c r="AV338" s="2172"/>
      <c r="AW338" s="2172"/>
      <c r="AX338" s="2172"/>
      <c r="AY338" s="2172"/>
      <c r="AZ338" s="2172"/>
      <c r="BA338" s="2172"/>
      <c r="BB338" s="2172"/>
      <c r="BC338" s="722" t="s">
        <v>4694</v>
      </c>
    </row>
    <row r="339" spans="2:61" ht="18" hidden="1" customHeight="1">
      <c r="F339" s="2171" t="s">
        <v>5105</v>
      </c>
      <c r="G339" s="2172"/>
      <c r="H339" s="2172"/>
      <c r="I339" s="2172"/>
      <c r="J339" s="2172"/>
      <c r="K339" s="2172"/>
      <c r="L339" s="2172"/>
      <c r="M339" s="2172"/>
      <c r="N339" s="2172"/>
      <c r="O339" s="2172"/>
      <c r="P339" s="2172"/>
      <c r="Q339" s="2172"/>
      <c r="R339" s="2172"/>
      <c r="S339" s="2172"/>
      <c r="T339" s="2172"/>
      <c r="U339" s="2172"/>
      <c r="V339" s="2172"/>
      <c r="W339" s="2172"/>
      <c r="X339" s="2172"/>
      <c r="Y339" s="2172"/>
      <c r="Z339" s="2172"/>
      <c r="AA339" s="2172"/>
      <c r="AB339" s="2172"/>
      <c r="AC339" s="2172"/>
      <c r="AD339" s="2172"/>
      <c r="AE339" s="2172"/>
      <c r="AF339" s="2172"/>
      <c r="AG339" s="2172"/>
      <c r="AH339" s="2172"/>
      <c r="AI339" s="2172"/>
      <c r="AJ339" s="2172"/>
      <c r="AK339" s="2172"/>
      <c r="AL339" s="2172"/>
      <c r="AM339" s="2172"/>
      <c r="AN339" s="2172"/>
      <c r="AO339" s="2172"/>
      <c r="AP339" s="2172"/>
      <c r="AQ339" s="2172"/>
      <c r="AR339" s="2172"/>
      <c r="AS339" s="2172"/>
      <c r="AT339" s="2172"/>
      <c r="AU339" s="2172"/>
      <c r="AV339" s="2172"/>
      <c r="AW339" s="2172"/>
      <c r="AX339" s="2172"/>
      <c r="AY339" s="2172"/>
      <c r="AZ339" s="2172"/>
      <c r="BA339" s="2172"/>
      <c r="BB339" s="2172"/>
      <c r="BC339" s="722" t="s">
        <v>4694</v>
      </c>
    </row>
    <row r="340" spans="2:61" ht="18" hidden="1" customHeight="1">
      <c r="F340" s="2171" t="s">
        <v>3962</v>
      </c>
      <c r="G340" s="2171"/>
      <c r="H340" s="2171"/>
      <c r="I340" s="2171"/>
      <c r="J340" s="2171"/>
      <c r="K340" s="2171"/>
      <c r="L340" s="2171"/>
      <c r="M340" s="2171"/>
      <c r="N340" s="2171"/>
      <c r="O340" s="2171"/>
      <c r="P340" s="2171"/>
      <c r="Q340" s="2171"/>
      <c r="R340" s="2171"/>
      <c r="S340" s="2171"/>
      <c r="T340" s="2171"/>
      <c r="U340" s="2171"/>
      <c r="V340" s="2171"/>
      <c r="W340" s="2171"/>
      <c r="X340" s="2171"/>
      <c r="Y340" s="2171"/>
      <c r="Z340" s="2171"/>
      <c r="AA340" s="2171"/>
      <c r="AB340" s="2171"/>
      <c r="AC340" s="2171"/>
      <c r="AD340" s="2171"/>
      <c r="AE340" s="2171"/>
      <c r="AF340" s="2171"/>
      <c r="AG340" s="2171"/>
      <c r="AH340" s="2171"/>
      <c r="AI340" s="2171"/>
      <c r="AJ340" s="2171"/>
      <c r="AK340" s="2171"/>
      <c r="AL340" s="2171"/>
      <c r="AM340" s="2171"/>
      <c r="AN340" s="2171"/>
      <c r="AO340" s="2171"/>
      <c r="AP340" s="2171"/>
      <c r="AQ340" s="2171"/>
      <c r="AR340" s="2171"/>
      <c r="AS340" s="2171"/>
      <c r="AT340" s="2171"/>
      <c r="AU340" s="2171"/>
      <c r="AV340" s="2171"/>
      <c r="AW340" s="2171"/>
      <c r="AX340" s="2171"/>
      <c r="AY340" s="2171"/>
      <c r="AZ340" s="2171"/>
      <c r="BA340" s="2171"/>
      <c r="BB340" s="2171"/>
      <c r="BC340" s="722" t="s">
        <v>4694</v>
      </c>
    </row>
    <row r="341" spans="2:61" ht="18" hidden="1" customHeight="1">
      <c r="B341" s="2171" t="s">
        <v>3963</v>
      </c>
      <c r="C341" s="2171"/>
      <c r="D341" s="2171"/>
      <c r="E341" s="2171"/>
      <c r="F341" s="2171"/>
      <c r="G341" s="2171"/>
      <c r="H341" s="2171"/>
      <c r="I341" s="2171"/>
      <c r="J341" s="2171"/>
      <c r="K341" s="2171"/>
      <c r="L341" s="2171"/>
      <c r="M341" s="2171"/>
      <c r="N341" s="2171"/>
      <c r="O341" s="2171"/>
      <c r="P341" s="2171"/>
      <c r="Q341" s="2171"/>
      <c r="R341" s="2171"/>
      <c r="S341" s="2171"/>
      <c r="T341" s="2171"/>
      <c r="U341" s="2171"/>
      <c r="V341" s="2171"/>
      <c r="W341" s="2171"/>
      <c r="X341" s="2171"/>
      <c r="Y341" s="2171"/>
      <c r="Z341" s="2171"/>
      <c r="AA341" s="2171"/>
      <c r="AB341" s="2171"/>
      <c r="AC341" s="2171"/>
      <c r="AD341" s="2171"/>
      <c r="AE341" s="2171"/>
      <c r="AF341" s="2171"/>
      <c r="AG341" s="2171"/>
      <c r="AH341" s="2171"/>
      <c r="AI341" s="2171"/>
      <c r="AJ341" s="2171"/>
      <c r="AK341" s="2171"/>
      <c r="AL341" s="2171"/>
      <c r="AM341" s="2171"/>
      <c r="AN341" s="2171"/>
      <c r="AO341" s="2171"/>
      <c r="AP341" s="2171"/>
      <c r="AQ341" s="2171"/>
      <c r="AR341" s="2171"/>
      <c r="AS341" s="2171"/>
      <c r="AT341" s="2171"/>
      <c r="AU341" s="2171"/>
      <c r="AV341" s="2171"/>
      <c r="AW341" s="2171"/>
      <c r="AX341" s="2171"/>
      <c r="AY341" s="2171"/>
      <c r="AZ341" s="2171"/>
      <c r="BA341" s="2171"/>
      <c r="BB341" s="2171"/>
      <c r="BC341" s="722" t="s">
        <v>4694</v>
      </c>
      <c r="BE341" s="130" t="s">
        <v>5147</v>
      </c>
      <c r="BF341" s="131"/>
      <c r="BG341" s="131"/>
      <c r="BH341" s="112">
        <f>'II.ThopXD,TB,A,DP'!E5</f>
        <v>5009742822</v>
      </c>
      <c r="BI341" s="88" t="s">
        <v>4160</v>
      </c>
    </row>
    <row r="342" spans="2:61" ht="18" hidden="1" customHeight="1">
      <c r="E342" s="2171" t="s">
        <v>3964</v>
      </c>
      <c r="F342" s="2171"/>
      <c r="G342" s="2171"/>
      <c r="H342" s="2171"/>
      <c r="I342" s="2171"/>
      <c r="J342" s="2171"/>
      <c r="K342" s="2171"/>
      <c r="L342" s="2171"/>
      <c r="M342" s="2171"/>
      <c r="N342" s="2171"/>
      <c r="O342" s="2171"/>
      <c r="P342" s="2171"/>
      <c r="Q342" s="2171"/>
      <c r="R342" s="2171"/>
      <c r="S342" s="2171"/>
      <c r="T342" s="2171"/>
      <c r="U342" s="2171"/>
      <c r="V342" s="2171"/>
      <c r="W342" s="2171"/>
      <c r="X342" s="2171"/>
      <c r="Y342" s="2171"/>
      <c r="Z342" s="2171"/>
      <c r="AA342" s="2171"/>
      <c r="AB342" s="2171"/>
      <c r="AC342" s="2171"/>
      <c r="AD342" s="2171"/>
      <c r="AE342" s="2171"/>
      <c r="AF342" s="2171"/>
      <c r="AG342" s="2171"/>
      <c r="AH342" s="2171"/>
      <c r="AI342" s="2171"/>
      <c r="AJ342" s="2171"/>
      <c r="AK342" s="2171"/>
      <c r="AL342" s="2171"/>
      <c r="AM342" s="2171"/>
      <c r="AN342" s="2171"/>
      <c r="AO342" s="2171"/>
      <c r="AP342" s="2171"/>
      <c r="AQ342" s="2171"/>
      <c r="AR342" s="2171"/>
      <c r="AS342" s="2171"/>
      <c r="AT342" s="2171"/>
      <c r="AU342" s="2171"/>
      <c r="AV342" s="2171"/>
      <c r="AW342" s="2171"/>
      <c r="AX342" s="2171"/>
      <c r="AY342" s="2171"/>
      <c r="AZ342" s="2171"/>
      <c r="BA342" s="2171"/>
      <c r="BB342" s="2171"/>
      <c r="BC342" s="722" t="s">
        <v>4694</v>
      </c>
      <c r="BE342" s="130" t="s">
        <v>5962</v>
      </c>
      <c r="BF342" s="131"/>
      <c r="BG342" s="131"/>
      <c r="BH342" s="112">
        <f>'II.ThopXD,TB,A,DP'!E8</f>
        <v>550082859</v>
      </c>
      <c r="BI342" s="88" t="s">
        <v>4160</v>
      </c>
    </row>
    <row r="343" spans="2:61" ht="15.75" hidden="1">
      <c r="D343" s="2173" t="s">
        <v>6097</v>
      </c>
      <c r="E343" s="2173"/>
      <c r="F343" s="2173"/>
      <c r="G343" s="2173"/>
      <c r="H343" s="2173"/>
      <c r="I343" s="2173"/>
      <c r="J343" s="2173"/>
      <c r="K343" s="2173"/>
      <c r="L343" s="2173"/>
      <c r="M343" s="2173"/>
      <c r="N343" s="2173"/>
      <c r="O343" s="2173"/>
      <c r="P343" s="2173"/>
      <c r="Q343" s="2173"/>
      <c r="R343" s="2173"/>
      <c r="S343" s="2173"/>
      <c r="T343" s="2173"/>
      <c r="U343" s="2173"/>
      <c r="V343" s="2173"/>
      <c r="W343" s="2173"/>
      <c r="X343" s="2173"/>
      <c r="Y343" s="2173"/>
      <c r="Z343" s="2173"/>
      <c r="AA343" s="2173"/>
      <c r="AB343" s="2173"/>
      <c r="AC343" s="2173"/>
      <c r="AD343" s="2173"/>
      <c r="AE343" s="2173"/>
      <c r="AF343" s="2173"/>
      <c r="AG343" s="2173"/>
      <c r="AH343" s="2173"/>
      <c r="AI343" s="2173"/>
      <c r="AJ343" s="2173"/>
      <c r="AK343" s="2173"/>
      <c r="AL343" s="2173"/>
      <c r="AM343" s="2173"/>
      <c r="AN343" s="2173"/>
      <c r="AO343" s="2173"/>
      <c r="AP343" s="2173"/>
      <c r="AQ343" s="2173"/>
      <c r="AR343" s="2173"/>
      <c r="AS343" s="2173"/>
      <c r="AT343" s="2173"/>
      <c r="AU343" s="2173"/>
      <c r="AV343" s="2173"/>
      <c r="AW343" s="2173"/>
      <c r="AX343" s="2173"/>
      <c r="AY343" s="2173"/>
      <c r="AZ343" s="2173"/>
      <c r="BA343" s="2173"/>
      <c r="BB343" s="2173"/>
      <c r="BC343" s="722" t="s">
        <v>4694</v>
      </c>
    </row>
    <row r="344" spans="2:61" ht="15.75" hidden="1">
      <c r="E344" s="102" t="s">
        <v>4695</v>
      </c>
      <c r="F344" s="109"/>
      <c r="G344" s="109"/>
      <c r="H344" s="109"/>
      <c r="I344" s="109"/>
      <c r="J344" s="109"/>
      <c r="K344" s="109"/>
      <c r="L344" s="109"/>
      <c r="M344" s="109"/>
      <c r="N344" s="109"/>
      <c r="O344" s="109"/>
      <c r="P344" s="91" t="s">
        <v>944</v>
      </c>
      <c r="Q344" s="2187" t="str">
        <f>BH341&amp;"đ x "&amp;BH344&amp;" x 1.1"</f>
        <v>5009742822đ x 3,508 x 1.1</v>
      </c>
      <c r="R344" s="2187"/>
      <c r="S344" s="2187"/>
      <c r="T344" s="2187"/>
      <c r="U344" s="2187"/>
      <c r="V344" s="2187"/>
      <c r="W344" s="2187"/>
      <c r="X344" s="2187"/>
      <c r="Y344" s="2187"/>
      <c r="Z344" s="2187"/>
      <c r="AA344" s="2187"/>
      <c r="AB344" s="2187"/>
      <c r="AC344" s="2187"/>
      <c r="AD344" s="2187"/>
      <c r="AE344" s="2187"/>
      <c r="AF344" s="2187"/>
      <c r="AG344" s="2187"/>
      <c r="AH344" s="2187"/>
      <c r="AI344" s="2187"/>
      <c r="AJ344" s="2187"/>
      <c r="AK344" s="2187"/>
      <c r="AL344" s="2187"/>
      <c r="AM344" s="2187"/>
      <c r="AN344" s="2187"/>
      <c r="AO344" s="91" t="s">
        <v>3306</v>
      </c>
      <c r="AP344" s="2188">
        <f>ROUND(BH341*BH344%*1.1,0)</f>
        <v>193315956</v>
      </c>
      <c r="AQ344" s="2188"/>
      <c r="AR344" s="2188"/>
      <c r="AS344" s="2188"/>
      <c r="AT344" s="2188"/>
      <c r="AU344" s="2188"/>
      <c r="AV344" s="2188"/>
      <c r="AW344" s="2188"/>
      <c r="AX344" s="2188"/>
      <c r="AY344" s="2188"/>
      <c r="AZ344" s="102" t="s">
        <v>4160</v>
      </c>
      <c r="BC344" s="722" t="str">
        <f>+IF(AP344=0,"","GS")</f>
        <v>GS</v>
      </c>
      <c r="BE344" s="1236" t="s">
        <v>5095</v>
      </c>
      <c r="BF344" s="1237"/>
      <c r="BG344" s="1237"/>
      <c r="BH344" s="1238">
        <f>'II.ThopXD,TB,A,DP'!K24</f>
        <v>3.508</v>
      </c>
      <c r="BI344" s="1237"/>
    </row>
    <row r="345" spans="2:61" ht="15.75" hidden="1">
      <c r="E345" s="102" t="s">
        <v>4696</v>
      </c>
      <c r="F345" s="109"/>
      <c r="G345" s="109"/>
      <c r="H345" s="109"/>
      <c r="I345" s="109"/>
      <c r="J345" s="109"/>
      <c r="K345" s="109"/>
      <c r="L345" s="109"/>
      <c r="M345" s="109"/>
      <c r="N345" s="109"/>
      <c r="O345" s="109"/>
      <c r="P345" s="91" t="s">
        <v>944</v>
      </c>
      <c r="Q345" s="2187" t="str">
        <f>BH342&amp;"đ x "&amp;BH345&amp;" x 1.1"</f>
        <v>550082859đ x 1,147 x 1.1</v>
      </c>
      <c r="R345" s="2187"/>
      <c r="S345" s="2187"/>
      <c r="T345" s="2187"/>
      <c r="U345" s="2187"/>
      <c r="V345" s="2187"/>
      <c r="W345" s="2187"/>
      <c r="X345" s="2187"/>
      <c r="Y345" s="2187"/>
      <c r="Z345" s="2187"/>
      <c r="AA345" s="2187"/>
      <c r="AB345" s="2187"/>
      <c r="AC345" s="2187"/>
      <c r="AD345" s="2187"/>
      <c r="AE345" s="2187"/>
      <c r="AF345" s="2187"/>
      <c r="AG345" s="2187"/>
      <c r="AH345" s="2187"/>
      <c r="AI345" s="2187"/>
      <c r="AJ345" s="2187"/>
      <c r="AK345" s="2187"/>
      <c r="AL345" s="2187"/>
      <c r="AM345" s="2187"/>
      <c r="AN345" s="2187"/>
      <c r="AO345" s="91" t="s">
        <v>3306</v>
      </c>
      <c r="AP345" s="2188">
        <f>ROUND(BH342*BH345%*1.1,0)</f>
        <v>6940395</v>
      </c>
      <c r="AQ345" s="2188"/>
      <c r="AR345" s="2188"/>
      <c r="AS345" s="2188"/>
      <c r="AT345" s="2188"/>
      <c r="AU345" s="2188"/>
      <c r="AV345" s="2188"/>
      <c r="AW345" s="2188"/>
      <c r="AX345" s="2188"/>
      <c r="AY345" s="2188"/>
      <c r="AZ345" s="102" t="s">
        <v>4160</v>
      </c>
      <c r="BC345" s="722" t="str">
        <f>+IF(AP345=0,"","GS")</f>
        <v>GS</v>
      </c>
      <c r="BE345" s="1236" t="s">
        <v>5096</v>
      </c>
      <c r="BF345" s="1237"/>
      <c r="BG345" s="1237"/>
      <c r="BH345" s="1238">
        <f>'II.ThopXD,TB,A,DP'!K25</f>
        <v>1.147</v>
      </c>
      <c r="BI345" s="1237"/>
    </row>
    <row r="346" spans="2:61" ht="15.75" hidden="1">
      <c r="D346" s="109" t="s">
        <v>54</v>
      </c>
      <c r="F346" s="109"/>
      <c r="G346" s="109"/>
      <c r="H346" s="109"/>
      <c r="I346" s="109"/>
      <c r="J346" s="109"/>
      <c r="K346" s="109"/>
      <c r="L346" s="109"/>
      <c r="M346" s="109"/>
      <c r="N346" s="109"/>
      <c r="O346" s="109"/>
      <c r="P346" s="91"/>
      <c r="Q346" s="132"/>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11"/>
      <c r="AO346" s="91" t="s">
        <v>3306</v>
      </c>
      <c r="AP346" s="2174">
        <f>SUM(AP344:AY345)</f>
        <v>200256351</v>
      </c>
      <c r="AQ346" s="2174"/>
      <c r="AR346" s="2174"/>
      <c r="AS346" s="2174"/>
      <c r="AT346" s="2174"/>
      <c r="AU346" s="2174"/>
      <c r="AV346" s="2174"/>
      <c r="AW346" s="2174"/>
      <c r="AX346" s="2174"/>
      <c r="AY346" s="2174"/>
      <c r="AZ346" s="119" t="s">
        <v>4160</v>
      </c>
      <c r="BC346" s="722" t="s">
        <v>4694</v>
      </c>
    </row>
    <row r="347" spans="2:61" ht="18" hidden="1" customHeight="1">
      <c r="F347" s="2183" t="e">
        <v>#NAME?</v>
      </c>
      <c r="G347" s="2183"/>
      <c r="H347" s="2183"/>
      <c r="I347" s="2183"/>
      <c r="J347" s="2183"/>
      <c r="K347" s="2183"/>
      <c r="L347" s="2183"/>
      <c r="M347" s="2183"/>
      <c r="N347" s="2183"/>
      <c r="O347" s="2183"/>
      <c r="P347" s="2183"/>
      <c r="Q347" s="2183"/>
      <c r="R347" s="2183"/>
      <c r="S347" s="2183"/>
      <c r="T347" s="2183"/>
      <c r="U347" s="2183"/>
      <c r="V347" s="2183"/>
      <c r="W347" s="2183"/>
      <c r="X347" s="2183"/>
      <c r="Y347" s="2183"/>
      <c r="Z347" s="2183"/>
      <c r="AA347" s="2183"/>
      <c r="AB347" s="2183"/>
      <c r="AC347" s="2183"/>
      <c r="AD347" s="2183"/>
      <c r="AE347" s="2183"/>
      <c r="AF347" s="2183"/>
      <c r="AG347" s="2183"/>
      <c r="AH347" s="2183"/>
      <c r="AI347" s="2183"/>
      <c r="AJ347" s="2183"/>
      <c r="AK347" s="2183"/>
      <c r="AL347" s="2183"/>
      <c r="AM347" s="2183"/>
      <c r="AN347" s="2183"/>
      <c r="AO347" s="2183"/>
      <c r="AP347" s="2183"/>
      <c r="AQ347" s="2183"/>
      <c r="AR347" s="2183"/>
      <c r="AS347" s="2183"/>
      <c r="AT347" s="2183"/>
      <c r="AU347" s="2183"/>
      <c r="AV347" s="2183"/>
      <c r="AW347" s="2183"/>
      <c r="AX347" s="2183"/>
      <c r="AY347" s="2183"/>
      <c r="AZ347" s="2183"/>
      <c r="BA347" s="2183"/>
      <c r="BB347" s="2183"/>
      <c r="BC347" s="722" t="s">
        <v>4694</v>
      </c>
    </row>
    <row r="348" spans="2:61" ht="18" hidden="1" customHeight="1">
      <c r="F348" s="2171" t="s">
        <v>1882</v>
      </c>
      <c r="G348" s="2171"/>
      <c r="H348" s="2171"/>
      <c r="I348" s="2171"/>
      <c r="J348" s="2171"/>
      <c r="K348" s="2171"/>
      <c r="L348" s="2171"/>
      <c r="M348" s="2171"/>
      <c r="N348" s="2171"/>
      <c r="O348" s="2171"/>
      <c r="P348" s="2171"/>
      <c r="Q348" s="2171"/>
      <c r="R348" s="2171"/>
      <c r="S348" s="2171"/>
      <c r="T348" s="2171"/>
      <c r="U348" s="2171"/>
      <c r="V348" s="2171"/>
      <c r="W348" s="2171"/>
      <c r="X348" s="2171"/>
      <c r="Y348" s="2171"/>
      <c r="Z348" s="2171"/>
      <c r="AA348" s="2171"/>
      <c r="AB348" s="2171"/>
      <c r="AC348" s="2171"/>
      <c r="AD348" s="2171"/>
      <c r="AE348" s="2171"/>
      <c r="AF348" s="2171"/>
      <c r="AG348" s="2171"/>
      <c r="AH348" s="2171"/>
      <c r="AI348" s="2171"/>
      <c r="AJ348" s="2171"/>
      <c r="AK348" s="2171"/>
      <c r="AL348" s="2171"/>
      <c r="AM348" s="2171"/>
      <c r="AN348" s="2171"/>
      <c r="AO348" s="2171"/>
      <c r="AP348" s="2171"/>
      <c r="AQ348" s="2171"/>
      <c r="AR348" s="2171"/>
      <c r="AS348" s="2171"/>
      <c r="AT348" s="2171"/>
      <c r="AU348" s="2171"/>
      <c r="AV348" s="2171"/>
      <c r="AW348" s="2171"/>
      <c r="AX348" s="2171"/>
      <c r="AY348" s="2171"/>
      <c r="AZ348" s="2171"/>
      <c r="BA348" s="2171"/>
      <c r="BB348" s="2171"/>
      <c r="BC348" s="722" t="s">
        <v>4694</v>
      </c>
    </row>
    <row r="349" spans="2:61" ht="18" hidden="1" customHeight="1">
      <c r="F349" s="2171" t="s">
        <v>1883</v>
      </c>
      <c r="G349" s="2172"/>
      <c r="H349" s="2172"/>
      <c r="I349" s="2172"/>
      <c r="J349" s="2172"/>
      <c r="K349" s="2172"/>
      <c r="L349" s="2172"/>
      <c r="M349" s="2172"/>
      <c r="N349" s="2172"/>
      <c r="O349" s="2172"/>
      <c r="P349" s="2172"/>
      <c r="Q349" s="2172"/>
      <c r="R349" s="2172"/>
      <c r="S349" s="2172"/>
      <c r="T349" s="2172"/>
      <c r="U349" s="2172"/>
      <c r="V349" s="2172"/>
      <c r="W349" s="2172"/>
      <c r="X349" s="2172"/>
      <c r="Y349" s="2172"/>
      <c r="Z349" s="2172"/>
      <c r="AA349" s="2172"/>
      <c r="AB349" s="2172"/>
      <c r="AC349" s="2172"/>
      <c r="AD349" s="2172"/>
      <c r="AE349" s="2172"/>
      <c r="AF349" s="2172"/>
      <c r="AG349" s="2172"/>
      <c r="AH349" s="2172"/>
      <c r="AI349" s="2172"/>
      <c r="AJ349" s="2172"/>
      <c r="AK349" s="2172"/>
      <c r="AL349" s="2172"/>
      <c r="AM349" s="2172"/>
      <c r="AN349" s="2172"/>
      <c r="AO349" s="2172"/>
      <c r="AP349" s="2172"/>
      <c r="AQ349" s="2172"/>
      <c r="AR349" s="2172"/>
      <c r="AS349" s="2172"/>
      <c r="AT349" s="2172"/>
      <c r="AU349" s="2172"/>
      <c r="AV349" s="2172"/>
      <c r="AW349" s="2172"/>
      <c r="AX349" s="2172"/>
      <c r="AY349" s="2172"/>
      <c r="AZ349" s="2172"/>
      <c r="BA349" s="2172"/>
      <c r="BB349" s="2172"/>
      <c r="BC349" s="722" t="s">
        <v>4694</v>
      </c>
    </row>
    <row r="350" spans="2:61" ht="18" hidden="1" customHeight="1">
      <c r="F350" s="2171" t="s">
        <v>4711</v>
      </c>
      <c r="G350" s="2172"/>
      <c r="H350" s="2172"/>
      <c r="I350" s="2172"/>
      <c r="J350" s="2172"/>
      <c r="K350" s="2172"/>
      <c r="L350" s="2172"/>
      <c r="M350" s="2172"/>
      <c r="N350" s="2172"/>
      <c r="O350" s="2172"/>
      <c r="P350" s="2172"/>
      <c r="Q350" s="2172"/>
      <c r="R350" s="2172"/>
      <c r="S350" s="2172"/>
      <c r="T350" s="2172"/>
      <c r="U350" s="2172"/>
      <c r="V350" s="2172"/>
      <c r="W350" s="2172"/>
      <c r="X350" s="2172"/>
      <c r="Y350" s="2172"/>
      <c r="Z350" s="2172"/>
      <c r="AA350" s="2172"/>
      <c r="AB350" s="2172"/>
      <c r="AC350" s="2172"/>
      <c r="AD350" s="2172"/>
      <c r="AE350" s="2172"/>
      <c r="AF350" s="2172"/>
      <c r="AG350" s="2172"/>
      <c r="AH350" s="2172"/>
      <c r="AI350" s="2172"/>
      <c r="AJ350" s="2172"/>
      <c r="AK350" s="2172"/>
      <c r="AL350" s="2172"/>
      <c r="AM350" s="2172"/>
      <c r="AN350" s="2172"/>
      <c r="AO350" s="2172"/>
      <c r="AP350" s="2172"/>
      <c r="AQ350" s="2172"/>
      <c r="AR350" s="2172"/>
      <c r="AS350" s="2172"/>
      <c r="AT350" s="2172"/>
      <c r="AU350" s="2172"/>
      <c r="AV350" s="2172"/>
      <c r="AW350" s="2172"/>
      <c r="AX350" s="2172"/>
      <c r="AY350" s="2172"/>
      <c r="AZ350" s="2172"/>
      <c r="BA350" s="2172"/>
      <c r="BB350" s="2172"/>
      <c r="BC350" s="722" t="s">
        <v>4694</v>
      </c>
    </row>
    <row r="351" spans="2:61" ht="18" hidden="1" customHeight="1">
      <c r="B351" s="2171" t="s">
        <v>2171</v>
      </c>
      <c r="C351" s="2171"/>
      <c r="D351" s="2171"/>
      <c r="E351" s="2171"/>
      <c r="F351" s="2171"/>
      <c r="G351" s="2171"/>
      <c r="H351" s="2171"/>
      <c r="I351" s="2171"/>
      <c r="J351" s="2171"/>
      <c r="K351" s="2171"/>
      <c r="L351" s="2171"/>
      <c r="M351" s="2171"/>
      <c r="N351" s="2171"/>
      <c r="O351" s="2171"/>
      <c r="P351" s="2171"/>
      <c r="Q351" s="2171"/>
      <c r="R351" s="2171"/>
      <c r="S351" s="2171"/>
      <c r="T351" s="2171"/>
      <c r="U351" s="2171"/>
      <c r="V351" s="2171"/>
      <c r="W351" s="2171"/>
      <c r="X351" s="2171"/>
      <c r="Y351" s="2171"/>
      <c r="Z351" s="2171"/>
      <c r="AA351" s="2171"/>
      <c r="AB351" s="2171"/>
      <c r="AC351" s="2171"/>
      <c r="AD351" s="2171"/>
      <c r="AE351" s="2171"/>
      <c r="AF351" s="2171"/>
      <c r="AG351" s="2171"/>
      <c r="AH351" s="2171"/>
      <c r="AI351" s="2171"/>
      <c r="AJ351" s="2171"/>
      <c r="AK351" s="2171"/>
      <c r="AL351" s="2171"/>
      <c r="AM351" s="2171"/>
      <c r="AN351" s="2171"/>
      <c r="AO351" s="2171"/>
      <c r="AP351" s="2171"/>
      <c r="AQ351" s="2171"/>
      <c r="AR351" s="2171"/>
      <c r="AS351" s="2171"/>
      <c r="AT351" s="2171"/>
      <c r="AU351" s="2171"/>
      <c r="AV351" s="2171"/>
      <c r="AW351" s="2171"/>
      <c r="AX351" s="2171"/>
      <c r="AY351" s="2171"/>
      <c r="AZ351" s="2171"/>
      <c r="BA351" s="2171"/>
      <c r="BB351" s="2171"/>
      <c r="BC351" s="722" t="s">
        <v>4694</v>
      </c>
    </row>
    <row r="352" spans="2:61" ht="18" hidden="1" customHeight="1">
      <c r="F352" s="2171" t="s">
        <v>2352</v>
      </c>
      <c r="G352" s="2171"/>
      <c r="H352" s="2171"/>
      <c r="I352" s="2171"/>
      <c r="J352" s="2171"/>
      <c r="K352" s="2171"/>
      <c r="L352" s="2171"/>
      <c r="M352" s="2171"/>
      <c r="N352" s="2171"/>
      <c r="O352" s="2171"/>
      <c r="P352" s="2171"/>
      <c r="Q352" s="2171"/>
      <c r="R352" s="2171"/>
      <c r="S352" s="2171"/>
      <c r="T352" s="2171"/>
      <c r="U352" s="2171"/>
      <c r="V352" s="2171"/>
      <c r="W352" s="2171"/>
      <c r="X352" s="2171"/>
      <c r="Y352" s="2171"/>
      <c r="Z352" s="2171"/>
      <c r="AA352" s="2171"/>
      <c r="AB352" s="2171"/>
      <c r="AC352" s="2171"/>
      <c r="AD352" s="2171"/>
      <c r="AE352" s="2171"/>
      <c r="AF352" s="2171"/>
      <c r="AG352" s="2171"/>
      <c r="AH352" s="2171"/>
      <c r="AI352" s="2171"/>
      <c r="AJ352" s="2171"/>
      <c r="AK352" s="2171"/>
      <c r="AL352" s="2171"/>
      <c r="AM352" s="2171"/>
      <c r="AN352" s="2171"/>
      <c r="AO352" s="2171"/>
      <c r="AP352" s="2171"/>
      <c r="AQ352" s="2171"/>
      <c r="AR352" s="2171"/>
      <c r="AS352" s="2171"/>
      <c r="AT352" s="2171"/>
      <c r="AU352" s="2171"/>
      <c r="AV352" s="2171"/>
      <c r="AW352" s="2171"/>
      <c r="AX352" s="2171"/>
      <c r="AY352" s="2171"/>
      <c r="AZ352" s="2171"/>
      <c r="BA352" s="2171"/>
      <c r="BB352" s="2171"/>
      <c r="BC352" s="722" t="s">
        <v>4694</v>
      </c>
    </row>
    <row r="353" spans="2:55" ht="20.100000000000001" hidden="1" customHeight="1">
      <c r="B353" s="2171" t="s">
        <v>2172</v>
      </c>
      <c r="C353" s="2171"/>
      <c r="D353" s="2171"/>
      <c r="E353" s="2171"/>
      <c r="F353" s="2171"/>
      <c r="G353" s="2171"/>
      <c r="H353" s="2171"/>
      <c r="I353" s="2171"/>
      <c r="J353" s="2171"/>
      <c r="K353" s="2171"/>
      <c r="L353" s="2171"/>
      <c r="M353" s="2171"/>
      <c r="N353" s="2171"/>
      <c r="O353" s="2171"/>
      <c r="P353" s="2171"/>
      <c r="Q353" s="2171"/>
      <c r="R353" s="2171"/>
      <c r="S353" s="2171"/>
      <c r="T353" s="2171"/>
      <c r="U353" s="2171"/>
      <c r="V353" s="2171"/>
      <c r="W353" s="2171"/>
      <c r="X353" s="2171"/>
      <c r="Y353" s="2171"/>
      <c r="Z353" s="2171"/>
      <c r="AA353" s="2171"/>
      <c r="AB353" s="2171"/>
      <c r="AC353" s="2171"/>
      <c r="AD353" s="2171"/>
      <c r="AE353" s="2171"/>
      <c r="AF353" s="2171"/>
      <c r="AG353" s="2171"/>
      <c r="AH353" s="2171"/>
      <c r="AI353" s="2171"/>
      <c r="AJ353" s="2171"/>
      <c r="AK353" s="2171"/>
      <c r="AL353" s="2171"/>
      <c r="AM353" s="2171"/>
      <c r="AN353" s="2171"/>
      <c r="AO353" s="2171"/>
      <c r="AP353" s="2171"/>
      <c r="AQ353" s="2171"/>
      <c r="AR353" s="2171"/>
      <c r="AS353" s="2171"/>
      <c r="AT353" s="2171"/>
      <c r="AU353" s="2171"/>
      <c r="AV353" s="2171"/>
      <c r="AW353" s="2171"/>
      <c r="AX353" s="2171"/>
      <c r="AY353" s="2171"/>
      <c r="AZ353" s="2171"/>
      <c r="BA353" s="2171"/>
      <c r="BB353" s="2171"/>
      <c r="BC353" s="722" t="s">
        <v>4694</v>
      </c>
    </row>
    <row r="354" spans="2:55" ht="15.75" hidden="1">
      <c r="D354" s="2173" t="s">
        <v>6098</v>
      </c>
      <c r="E354" s="2173"/>
      <c r="F354" s="2173"/>
      <c r="G354" s="2173"/>
      <c r="H354" s="2173"/>
      <c r="I354" s="2173"/>
      <c r="J354" s="2173"/>
      <c r="K354" s="2173"/>
      <c r="L354" s="2173"/>
      <c r="M354" s="2173"/>
      <c r="N354" s="2173"/>
      <c r="O354" s="2173"/>
      <c r="P354" s="2173"/>
      <c r="Q354" s="2173"/>
      <c r="R354" s="2173"/>
      <c r="S354" s="2173"/>
      <c r="T354" s="2173"/>
      <c r="U354" s="2173"/>
      <c r="V354" s="2173"/>
      <c r="W354" s="2173"/>
      <c r="X354" s="2173"/>
      <c r="Y354" s="2173"/>
      <c r="Z354" s="2173"/>
      <c r="AA354" s="2173"/>
      <c r="AB354" s="2173"/>
      <c r="AC354" s="2173"/>
      <c r="AD354" s="2173"/>
      <c r="AE354" s="2173"/>
      <c r="AF354" s="2173"/>
      <c r="AG354" s="2173"/>
      <c r="AH354" s="2173"/>
      <c r="AI354" s="2173"/>
      <c r="AJ354" s="2173"/>
      <c r="AK354" s="2173"/>
      <c r="AL354" s="2173"/>
      <c r="AM354" s="2173"/>
      <c r="AN354" s="2173"/>
      <c r="AO354" s="2173"/>
      <c r="AP354" s="2173"/>
      <c r="AQ354" s="2173"/>
      <c r="AR354" s="2173"/>
      <c r="AS354" s="2173"/>
      <c r="AT354" s="2173"/>
      <c r="AU354" s="2173"/>
      <c r="AV354" s="2173"/>
      <c r="AW354" s="2173"/>
      <c r="AX354" s="2173"/>
      <c r="AY354" s="2173"/>
      <c r="AZ354" s="2173"/>
      <c r="BA354" s="2173"/>
      <c r="BB354" s="2173"/>
      <c r="BC354" s="722" t="s">
        <v>4694</v>
      </c>
    </row>
    <row r="355" spans="2:55" ht="15.75" hidden="1">
      <c r="E355" s="2171" t="s">
        <v>2173</v>
      </c>
      <c r="F355" s="2171"/>
      <c r="G355" s="2171"/>
      <c r="H355" s="2171"/>
      <c r="I355" s="2171"/>
      <c r="J355" s="2171"/>
      <c r="K355" s="2171"/>
      <c r="L355" s="2171"/>
      <c r="M355" s="2171"/>
      <c r="N355" s="2171"/>
      <c r="O355" s="2171"/>
      <c r="P355" s="2171"/>
      <c r="Q355" s="2171"/>
      <c r="R355" s="2171"/>
      <c r="S355" s="2171"/>
      <c r="T355" s="2171"/>
      <c r="U355" s="2171"/>
      <c r="V355" s="2171"/>
      <c r="W355" s="2171"/>
      <c r="X355" s="2171"/>
      <c r="Y355" s="2171"/>
      <c r="Z355" s="2171"/>
      <c r="AA355" s="2171"/>
      <c r="AB355" s="2171"/>
      <c r="AC355" s="2171"/>
      <c r="AD355" s="2171"/>
      <c r="AE355" s="2171"/>
      <c r="AF355" s="2171"/>
      <c r="AG355" s="2171"/>
      <c r="AH355" s="2171"/>
      <c r="AI355" s="2171"/>
      <c r="AJ355" s="2171"/>
      <c r="AK355" s="2171"/>
      <c r="AL355" s="2171"/>
      <c r="AM355" s="2171"/>
      <c r="AN355" s="2171"/>
      <c r="AO355" s="2171"/>
      <c r="AP355" s="2171"/>
      <c r="AQ355" s="2171"/>
      <c r="AR355" s="2171"/>
      <c r="AS355" s="2171"/>
      <c r="AT355" s="2171"/>
      <c r="AU355" s="2171"/>
      <c r="AV355" s="2171"/>
      <c r="AW355" s="2171"/>
      <c r="AX355" s="2171"/>
      <c r="AY355" s="2171"/>
      <c r="AZ355" s="2171"/>
      <c r="BA355" s="2171"/>
      <c r="BB355" s="2171"/>
      <c r="BC355" s="722" t="str">
        <f>IF(NL!U12=1,"","GS")</f>
        <v/>
      </c>
    </row>
    <row r="356" spans="2:55" ht="15.75" hidden="1">
      <c r="F356" s="2171" t="s">
        <v>2174</v>
      </c>
      <c r="G356" s="2172"/>
      <c r="H356" s="2172"/>
      <c r="I356" s="2172"/>
      <c r="J356" s="2172"/>
      <c r="K356" s="2172"/>
      <c r="L356" s="2172"/>
      <c r="M356" s="2172"/>
      <c r="N356" s="2172"/>
      <c r="O356" s="2172"/>
      <c r="P356" s="2172"/>
      <c r="Q356" s="2172"/>
      <c r="R356" s="2172"/>
      <c r="S356" s="2172"/>
      <c r="T356" s="2172"/>
      <c r="U356" s="2172"/>
      <c r="V356" s="2172"/>
      <c r="W356" s="2172"/>
      <c r="X356" s="2172"/>
      <c r="Y356" s="2172"/>
      <c r="Z356" s="2172"/>
      <c r="AA356" s="2172"/>
      <c r="AB356" s="2172"/>
      <c r="AC356" s="2172"/>
      <c r="AD356" s="2172"/>
      <c r="AE356" s="2172"/>
      <c r="AF356" s="2172"/>
      <c r="AG356" s="2172"/>
      <c r="AH356" s="2172"/>
      <c r="AI356" s="2172"/>
      <c r="AJ356" s="2172"/>
      <c r="AK356" s="2172"/>
      <c r="AL356" s="2172"/>
      <c r="AM356" s="2172"/>
      <c r="AN356" s="2172"/>
      <c r="AO356" s="2172"/>
      <c r="AP356" s="2172"/>
      <c r="AQ356" s="2172"/>
      <c r="AR356" s="2172"/>
      <c r="AS356" s="2172"/>
      <c r="AT356" s="2172"/>
      <c r="AU356" s="2172"/>
      <c r="AV356" s="2172"/>
      <c r="AW356" s="2172"/>
      <c r="AX356" s="2172"/>
      <c r="AY356" s="2172"/>
      <c r="AZ356" s="2172"/>
      <c r="BA356" s="2172"/>
      <c r="BB356" s="2172"/>
      <c r="BC356" s="722" t="str">
        <f>IF(NL!U12=1,"","GS")</f>
        <v/>
      </c>
    </row>
    <row r="357" spans="2:55" ht="15.75" hidden="1">
      <c r="G357" s="102" t="s">
        <v>2175</v>
      </c>
      <c r="AP357" s="102" t="s">
        <v>3306</v>
      </c>
      <c r="AQ357" s="2174">
        <f>IF(NL!U12=1,0,ROUND(AP346*50%,0))</f>
        <v>0</v>
      </c>
      <c r="AR357" s="2174"/>
      <c r="AS357" s="2174"/>
      <c r="AT357" s="2174"/>
      <c r="AU357" s="2174"/>
      <c r="AV357" s="2174"/>
      <c r="AW357" s="2174"/>
      <c r="AX357" s="2174"/>
      <c r="AY357" s="2174"/>
      <c r="AZ357" s="119" t="s">
        <v>4160</v>
      </c>
      <c r="BC357" s="722" t="str">
        <f>IF(NL!U12=1,"","GS")</f>
        <v/>
      </c>
    </row>
    <row r="358" spans="2:55" ht="15.75" hidden="1">
      <c r="E358" s="2171" t="str">
        <f>IF(NL!U12=1,"5.1.","5.2.")&amp;"  Thanh toán hợp đồng:"</f>
        <v>5.1.  Thanh toán hợp đồng:</v>
      </c>
      <c r="F358" s="2171"/>
      <c r="G358" s="2171"/>
      <c r="H358" s="2171"/>
      <c r="I358" s="2171"/>
      <c r="J358" s="2171"/>
      <c r="K358" s="2171"/>
      <c r="L358" s="2171"/>
      <c r="M358" s="2171"/>
      <c r="N358" s="2171"/>
      <c r="O358" s="2171"/>
      <c r="P358" s="2171"/>
      <c r="Q358" s="2171"/>
      <c r="R358" s="2171"/>
      <c r="S358" s="2171"/>
      <c r="T358" s="2171"/>
      <c r="U358" s="2171"/>
      <c r="V358" s="2171"/>
      <c r="W358" s="2171"/>
      <c r="X358" s="2171"/>
      <c r="Y358" s="2171"/>
      <c r="Z358" s="2171"/>
      <c r="AA358" s="2171"/>
      <c r="AB358" s="2171"/>
      <c r="AC358" s="2171"/>
      <c r="AD358" s="2171"/>
      <c r="AE358" s="2171"/>
      <c r="AF358" s="2171"/>
      <c r="AG358" s="2171"/>
      <c r="AH358" s="2171"/>
      <c r="AI358" s="2171"/>
      <c r="AJ358" s="2171"/>
      <c r="AK358" s="2171"/>
      <c r="AL358" s="2171"/>
      <c r="AM358" s="2171"/>
      <c r="AN358" s="2171"/>
      <c r="AO358" s="2171"/>
      <c r="AP358" s="2171"/>
      <c r="AQ358" s="2171"/>
      <c r="AR358" s="2171"/>
      <c r="AS358" s="2171"/>
      <c r="AT358" s="2171"/>
      <c r="AU358" s="2171"/>
      <c r="AV358" s="2171"/>
      <c r="AW358" s="2171"/>
      <c r="AX358" s="2171"/>
      <c r="AY358" s="2171"/>
      <c r="AZ358" s="2171"/>
      <c r="BA358" s="2171"/>
      <c r="BB358" s="2171"/>
      <c r="BC358" s="722" t="s">
        <v>4694</v>
      </c>
    </row>
    <row r="359" spans="2:55" ht="18" hidden="1" customHeight="1">
      <c r="F359" s="2171" t="s">
        <v>2568</v>
      </c>
      <c r="G359" s="2172"/>
      <c r="H359" s="2172"/>
      <c r="I359" s="2172"/>
      <c r="J359" s="2172"/>
      <c r="K359" s="2172"/>
      <c r="L359" s="2172"/>
      <c r="M359" s="2172"/>
      <c r="N359" s="2172"/>
      <c r="O359" s="2172"/>
      <c r="P359" s="2172"/>
      <c r="Q359" s="2172"/>
      <c r="R359" s="2172"/>
      <c r="S359" s="2172"/>
      <c r="T359" s="2172"/>
      <c r="U359" s="2172"/>
      <c r="V359" s="2172"/>
      <c r="W359" s="2172"/>
      <c r="X359" s="2172"/>
      <c r="Y359" s="2172"/>
      <c r="Z359" s="2172"/>
      <c r="AA359" s="2172"/>
      <c r="AB359" s="2172"/>
      <c r="AC359" s="2172"/>
      <c r="AD359" s="2172"/>
      <c r="AE359" s="2172"/>
      <c r="AF359" s="2172"/>
      <c r="AG359" s="2172"/>
      <c r="AH359" s="2172"/>
      <c r="AI359" s="2172"/>
      <c r="AJ359" s="2172"/>
      <c r="AK359" s="2172"/>
      <c r="AL359" s="2172"/>
      <c r="AM359" s="2172"/>
      <c r="AN359" s="2172"/>
      <c r="AO359" s="2172"/>
      <c r="AP359" s="2172"/>
      <c r="AQ359" s="2172"/>
      <c r="AR359" s="2172"/>
      <c r="AS359" s="2172"/>
      <c r="AT359" s="2172"/>
      <c r="AU359" s="2172"/>
      <c r="AV359" s="2172"/>
      <c r="AW359" s="2172"/>
      <c r="AX359" s="2172"/>
      <c r="AY359" s="2172"/>
      <c r="AZ359" s="2172"/>
      <c r="BA359" s="2172"/>
      <c r="BB359" s="2172"/>
      <c r="BC359" s="722" t="s">
        <v>4694</v>
      </c>
    </row>
    <row r="360" spans="2:55" ht="18" hidden="1" customHeight="1">
      <c r="B360" s="2171" t="s">
        <v>2249</v>
      </c>
      <c r="C360" s="2171"/>
      <c r="D360" s="2171"/>
      <c r="E360" s="2171"/>
      <c r="F360" s="2171"/>
      <c r="G360" s="2171"/>
      <c r="H360" s="2171"/>
      <c r="I360" s="2171"/>
      <c r="J360" s="2171"/>
      <c r="K360" s="2171"/>
      <c r="L360" s="2171"/>
      <c r="M360" s="2171"/>
      <c r="N360" s="2171"/>
      <c r="O360" s="2171"/>
      <c r="P360" s="2171"/>
      <c r="Q360" s="2171"/>
      <c r="R360" s="2171"/>
      <c r="S360" s="2171"/>
      <c r="T360" s="2171"/>
      <c r="U360" s="2171"/>
      <c r="V360" s="2171"/>
      <c r="W360" s="2171"/>
      <c r="X360" s="2171"/>
      <c r="Y360" s="2171"/>
      <c r="Z360" s="2171"/>
      <c r="AA360" s="2171"/>
      <c r="AB360" s="2171"/>
      <c r="AC360" s="2171"/>
      <c r="AD360" s="2171"/>
      <c r="AE360" s="2171"/>
      <c r="AF360" s="2171"/>
      <c r="AG360" s="2171"/>
      <c r="AH360" s="2171"/>
      <c r="AI360" s="2171"/>
      <c r="AJ360" s="2171"/>
      <c r="AK360" s="2171"/>
      <c r="AL360" s="2171"/>
      <c r="AM360" s="2171"/>
      <c r="AN360" s="2171"/>
      <c r="AO360" s="2171"/>
      <c r="AP360" s="2171"/>
      <c r="AQ360" s="2171"/>
      <c r="AR360" s="2171"/>
      <c r="AS360" s="2171"/>
      <c r="AT360" s="2171"/>
      <c r="AU360" s="2171"/>
      <c r="AV360" s="2171"/>
      <c r="AW360" s="2171"/>
      <c r="AX360" s="2171"/>
      <c r="AY360" s="2171"/>
      <c r="AZ360" s="2171"/>
      <c r="BA360" s="2171"/>
      <c r="BB360" s="2171"/>
      <c r="BC360" s="722" t="s">
        <v>4694</v>
      </c>
    </row>
    <row r="361" spans="2:55" ht="18" hidden="1" customHeight="1">
      <c r="F361" s="102" t="s">
        <v>3283</v>
      </c>
      <c r="AP361" s="102" t="s">
        <v>3306</v>
      </c>
      <c r="AQ361" s="2174">
        <f>IF(AQ357=0,ROUND(AP346,0),ROUND(AP346*50%,0))</f>
        <v>200256351</v>
      </c>
      <c r="AR361" s="2174"/>
      <c r="AS361" s="2174"/>
      <c r="AT361" s="2174"/>
      <c r="AU361" s="2174"/>
      <c r="AV361" s="2174"/>
      <c r="AW361" s="2174"/>
      <c r="AX361" s="2174"/>
      <c r="AY361" s="2174"/>
      <c r="AZ361" s="119" t="s">
        <v>4160</v>
      </c>
      <c r="BC361" s="722" t="s">
        <v>4694</v>
      </c>
    </row>
    <row r="362" spans="2:55" ht="18" hidden="1" customHeight="1">
      <c r="E362" s="102" t="str">
        <f>IF(NL!U12=1,"5.2.","5.3.")&amp;"  Hình thức thanh toán"</f>
        <v>5.2.  Hình thức thanh toán</v>
      </c>
      <c r="U362" s="102" t="s">
        <v>3182</v>
      </c>
      <c r="BC362" s="722" t="s">
        <v>4694</v>
      </c>
    </row>
    <row r="363" spans="2:55" ht="15.75" hidden="1">
      <c r="E363" s="102" t="str">
        <f>IF(NL!U12=1,"5.3.","5.4.")&amp;"  Đồng tiền thanh toán"</f>
        <v>5.3.  Đồng tiền thanh toán</v>
      </c>
      <c r="U363" s="102" t="s">
        <v>3183</v>
      </c>
      <c r="BC363" s="722" t="s">
        <v>4694</v>
      </c>
    </row>
    <row r="364" spans="2:55" ht="15.75" hidden="1">
      <c r="BC364" s="722" t="s">
        <v>4694</v>
      </c>
    </row>
    <row r="365" spans="2:55" ht="15.75" hidden="1">
      <c r="BC365" s="722" t="s">
        <v>4694</v>
      </c>
    </row>
    <row r="366" spans="2:55" ht="15.75" hidden="1">
      <c r="D366" s="2173" t="s">
        <v>485</v>
      </c>
      <c r="E366" s="2173"/>
      <c r="F366" s="2173"/>
      <c r="G366" s="2173"/>
      <c r="H366" s="2173"/>
      <c r="I366" s="2173"/>
      <c r="J366" s="2173"/>
      <c r="K366" s="2173"/>
      <c r="L366" s="2173"/>
      <c r="M366" s="2173"/>
      <c r="N366" s="2173"/>
      <c r="O366" s="2173"/>
      <c r="P366" s="2173"/>
      <c r="Q366" s="2173"/>
      <c r="R366" s="2173"/>
      <c r="S366" s="2173"/>
      <c r="T366" s="2173"/>
      <c r="U366" s="2173"/>
      <c r="V366" s="2173"/>
      <c r="W366" s="2173"/>
      <c r="X366" s="2173"/>
      <c r="Y366" s="2173"/>
      <c r="Z366" s="2173"/>
      <c r="AA366" s="2173"/>
      <c r="AB366" s="2173"/>
      <c r="AC366" s="2173"/>
      <c r="AD366" s="2173"/>
      <c r="AE366" s="2173"/>
      <c r="AF366" s="2173"/>
      <c r="AG366" s="2173"/>
      <c r="AH366" s="2173"/>
      <c r="AI366" s="2173"/>
      <c r="AJ366" s="2173"/>
      <c r="AK366" s="2173"/>
      <c r="AL366" s="2173"/>
      <c r="AM366" s="2173"/>
      <c r="AN366" s="2173"/>
      <c r="AO366" s="2173"/>
      <c r="AP366" s="2173"/>
      <c r="AQ366" s="2173"/>
      <c r="AR366" s="2173"/>
      <c r="AS366" s="2173"/>
      <c r="AT366" s="2173"/>
      <c r="AU366" s="2173"/>
      <c r="AV366" s="2173"/>
      <c r="AW366" s="2173"/>
      <c r="AX366" s="2173"/>
      <c r="AY366" s="2173"/>
      <c r="AZ366" s="2173"/>
      <c r="BA366" s="2173"/>
      <c r="BB366" s="2173"/>
      <c r="BC366" s="722" t="s">
        <v>4694</v>
      </c>
    </row>
    <row r="367" spans="2:55" ht="18" hidden="1" customHeight="1">
      <c r="F367" s="2171" t="s">
        <v>486</v>
      </c>
      <c r="G367" s="2172"/>
      <c r="H367" s="2172"/>
      <c r="I367" s="2172"/>
      <c r="J367" s="2172"/>
      <c r="K367" s="2172"/>
      <c r="L367" s="2172"/>
      <c r="M367" s="2172"/>
      <c r="N367" s="2172"/>
      <c r="O367" s="2172"/>
      <c r="P367" s="2172"/>
      <c r="Q367" s="2172"/>
      <c r="R367" s="2172"/>
      <c r="S367" s="2172"/>
      <c r="T367" s="2172"/>
      <c r="U367" s="2172"/>
      <c r="V367" s="2172"/>
      <c r="W367" s="2172"/>
      <c r="X367" s="2172"/>
      <c r="Y367" s="2172"/>
      <c r="Z367" s="2172"/>
      <c r="AA367" s="2172"/>
      <c r="AB367" s="2172"/>
      <c r="AC367" s="2172"/>
      <c r="AD367" s="2172"/>
      <c r="AE367" s="2172"/>
      <c r="AF367" s="2172"/>
      <c r="AG367" s="2172"/>
      <c r="AH367" s="2172"/>
      <c r="AI367" s="2172"/>
      <c r="AJ367" s="2172"/>
      <c r="AK367" s="2172"/>
      <c r="AL367" s="2172"/>
      <c r="AM367" s="2172"/>
      <c r="AN367" s="2172"/>
      <c r="AO367" s="2172"/>
      <c r="AP367" s="2172"/>
      <c r="AQ367" s="2172"/>
      <c r="AR367" s="2172"/>
      <c r="AS367" s="2172"/>
      <c r="AT367" s="2172"/>
      <c r="AU367" s="2172"/>
      <c r="AV367" s="2172"/>
      <c r="AW367" s="2172"/>
      <c r="AX367" s="2172"/>
      <c r="AY367" s="2172"/>
      <c r="AZ367" s="2172"/>
      <c r="BA367" s="2172"/>
      <c r="BB367" s="2172"/>
      <c r="BC367" s="722" t="s">
        <v>4694</v>
      </c>
    </row>
    <row r="368" spans="2:55" ht="18" hidden="1" customHeight="1">
      <c r="F368" s="2171" t="s">
        <v>3211</v>
      </c>
      <c r="G368" s="2172"/>
      <c r="H368" s="2172"/>
      <c r="I368" s="2172"/>
      <c r="J368" s="2172"/>
      <c r="K368" s="2172"/>
      <c r="L368" s="2172"/>
      <c r="M368" s="2172"/>
      <c r="N368" s="2172"/>
      <c r="O368" s="2172"/>
      <c r="P368" s="2172"/>
      <c r="Q368" s="2172"/>
      <c r="R368" s="2172"/>
      <c r="S368" s="2172"/>
      <c r="T368" s="2172"/>
      <c r="U368" s="2172"/>
      <c r="V368" s="2172"/>
      <c r="W368" s="2172"/>
      <c r="X368" s="2172"/>
      <c r="Y368" s="2172"/>
      <c r="Z368" s="2172"/>
      <c r="AA368" s="2172"/>
      <c r="AB368" s="2172"/>
      <c r="AC368" s="2172"/>
      <c r="AD368" s="2172"/>
      <c r="AE368" s="2172"/>
      <c r="AF368" s="2172"/>
      <c r="AG368" s="2172"/>
      <c r="AH368" s="2172"/>
      <c r="AI368" s="2172"/>
      <c r="AJ368" s="2172"/>
      <c r="AK368" s="2172"/>
      <c r="AL368" s="2172"/>
      <c r="AM368" s="2172"/>
      <c r="AN368" s="2172"/>
      <c r="AO368" s="2172"/>
      <c r="AP368" s="2172"/>
      <c r="AQ368" s="2172"/>
      <c r="AR368" s="2172"/>
      <c r="AS368" s="2172"/>
      <c r="AT368" s="2172"/>
      <c r="AU368" s="2172"/>
      <c r="AV368" s="2172"/>
      <c r="AW368" s="2172"/>
      <c r="AX368" s="2172"/>
      <c r="AY368" s="2172"/>
      <c r="AZ368" s="2172"/>
      <c r="BA368" s="2172"/>
      <c r="BB368" s="2172"/>
      <c r="BC368" s="722" t="s">
        <v>4694</v>
      </c>
    </row>
    <row r="369" spans="2:55" ht="18" hidden="1" customHeight="1">
      <c r="B369" s="2171" t="s">
        <v>1744</v>
      </c>
      <c r="C369" s="2171"/>
      <c r="D369" s="2171"/>
      <c r="E369" s="2171"/>
      <c r="F369" s="2171"/>
      <c r="G369" s="2171"/>
      <c r="H369" s="2171"/>
      <c r="I369" s="2171"/>
      <c r="J369" s="2171"/>
      <c r="K369" s="2171"/>
      <c r="L369" s="2171"/>
      <c r="M369" s="2171"/>
      <c r="N369" s="2171"/>
      <c r="O369" s="2171"/>
      <c r="P369" s="2171"/>
      <c r="Q369" s="2171"/>
      <c r="R369" s="2171"/>
      <c r="S369" s="2171"/>
      <c r="T369" s="2171"/>
      <c r="U369" s="2171"/>
      <c r="V369" s="2171"/>
      <c r="W369" s="2171"/>
      <c r="X369" s="2171"/>
      <c r="Y369" s="2171"/>
      <c r="Z369" s="2171"/>
      <c r="AA369" s="2171"/>
      <c r="AB369" s="2171"/>
      <c r="AC369" s="2171"/>
      <c r="AD369" s="2171"/>
      <c r="AE369" s="2171"/>
      <c r="AF369" s="2171"/>
      <c r="AG369" s="2171"/>
      <c r="AH369" s="2171"/>
      <c r="AI369" s="2171"/>
      <c r="AJ369" s="2171"/>
      <c r="AK369" s="2171"/>
      <c r="AL369" s="2171"/>
      <c r="AM369" s="2171"/>
      <c r="AN369" s="2171"/>
      <c r="AO369" s="2171"/>
      <c r="AP369" s="2171"/>
      <c r="AQ369" s="2171"/>
      <c r="AR369" s="2171"/>
      <c r="AS369" s="2171"/>
      <c r="AT369" s="2171"/>
      <c r="AU369" s="2171"/>
      <c r="AV369" s="2171"/>
      <c r="AW369" s="2171"/>
      <c r="AX369" s="2171"/>
      <c r="AY369" s="2171"/>
      <c r="AZ369" s="2171"/>
      <c r="BA369" s="2171"/>
      <c r="BB369" s="2171"/>
      <c r="BC369" s="722" t="s">
        <v>4694</v>
      </c>
    </row>
    <row r="370" spans="2:55" ht="18" hidden="1" customHeight="1">
      <c r="D370" s="2173" t="s">
        <v>3093</v>
      </c>
      <c r="E370" s="2173"/>
      <c r="F370" s="2173"/>
      <c r="G370" s="2173"/>
      <c r="H370" s="2173"/>
      <c r="I370" s="2173"/>
      <c r="J370" s="2173"/>
      <c r="K370" s="2173"/>
      <c r="L370" s="2173"/>
      <c r="M370" s="2173"/>
      <c r="N370" s="2173"/>
      <c r="O370" s="2173"/>
      <c r="P370" s="2173"/>
      <c r="Q370" s="2173"/>
      <c r="R370" s="2173"/>
      <c r="S370" s="2173"/>
      <c r="T370" s="2173"/>
      <c r="U370" s="2173"/>
      <c r="V370" s="2173"/>
      <c r="W370" s="2173"/>
      <c r="X370" s="2173"/>
      <c r="Y370" s="2173"/>
      <c r="Z370" s="2173"/>
      <c r="AA370" s="2173"/>
      <c r="AB370" s="2173"/>
      <c r="AC370" s="2173"/>
      <c r="AD370" s="2173"/>
      <c r="AE370" s="2173"/>
      <c r="AF370" s="2173"/>
      <c r="AG370" s="2173"/>
      <c r="AH370" s="2173"/>
      <c r="AI370" s="2173"/>
      <c r="AJ370" s="2173"/>
      <c r="AK370" s="2173"/>
      <c r="AL370" s="2173"/>
      <c r="AM370" s="2173"/>
      <c r="AN370" s="2173"/>
      <c r="AO370" s="2173"/>
      <c r="AP370" s="2173"/>
      <c r="AQ370" s="2173"/>
      <c r="AR370" s="2173"/>
      <c r="AS370" s="2173"/>
      <c r="AT370" s="2173"/>
      <c r="AU370" s="2173"/>
      <c r="AV370" s="2173"/>
      <c r="AW370" s="2173"/>
      <c r="AX370" s="2173"/>
      <c r="AY370" s="2173"/>
      <c r="AZ370" s="2173"/>
      <c r="BA370" s="2173"/>
      <c r="BB370" s="2173"/>
      <c r="BC370" s="722" t="s">
        <v>4694</v>
      </c>
    </row>
    <row r="371" spans="2:55" ht="18" hidden="1" customHeight="1">
      <c r="E371" s="2171" t="s">
        <v>5769</v>
      </c>
      <c r="F371" s="2171"/>
      <c r="G371" s="2171"/>
      <c r="H371" s="2171"/>
      <c r="I371" s="2171"/>
      <c r="J371" s="2171"/>
      <c r="K371" s="2171"/>
      <c r="L371" s="2171"/>
      <c r="M371" s="2171"/>
      <c r="N371" s="2171"/>
      <c r="O371" s="2171"/>
      <c r="P371" s="2171"/>
      <c r="Q371" s="2171"/>
      <c r="R371" s="2171"/>
      <c r="S371" s="2171"/>
      <c r="T371" s="2171"/>
      <c r="U371" s="2171"/>
      <c r="V371" s="2171"/>
      <c r="W371" s="2171"/>
      <c r="X371" s="2171"/>
      <c r="Y371" s="2171"/>
      <c r="Z371" s="2171"/>
      <c r="AA371" s="2171"/>
      <c r="AB371" s="2171"/>
      <c r="AC371" s="2171"/>
      <c r="AD371" s="2171"/>
      <c r="AE371" s="2171"/>
      <c r="AF371" s="2171"/>
      <c r="AG371" s="2171"/>
      <c r="AH371" s="2171"/>
      <c r="AI371" s="2171"/>
      <c r="AJ371" s="2171"/>
      <c r="AK371" s="2171"/>
      <c r="AL371" s="2171"/>
      <c r="AM371" s="2171"/>
      <c r="AN371" s="2171"/>
      <c r="AO371" s="2171"/>
      <c r="AP371" s="2171"/>
      <c r="AQ371" s="2171"/>
      <c r="AR371" s="2171"/>
      <c r="AS371" s="2171"/>
      <c r="AT371" s="2171"/>
      <c r="AU371" s="2171"/>
      <c r="AV371" s="2171"/>
      <c r="AW371" s="2171"/>
      <c r="AX371" s="2171"/>
      <c r="AY371" s="2171"/>
      <c r="AZ371" s="2171"/>
      <c r="BA371" s="2171"/>
      <c r="BB371" s="2171"/>
      <c r="BC371" s="722" t="s">
        <v>4694</v>
      </c>
    </row>
    <row r="372" spans="2:55" ht="18" hidden="1" customHeight="1">
      <c r="F372" s="2171" t="s">
        <v>5770</v>
      </c>
      <c r="G372" s="2172"/>
      <c r="H372" s="2172"/>
      <c r="I372" s="2172"/>
      <c r="J372" s="2172"/>
      <c r="K372" s="2172"/>
      <c r="L372" s="2172"/>
      <c r="M372" s="2172"/>
      <c r="N372" s="2172"/>
      <c r="O372" s="2172"/>
      <c r="P372" s="2172"/>
      <c r="Q372" s="2172"/>
      <c r="R372" s="2172"/>
      <c r="S372" s="2172"/>
      <c r="T372" s="2172"/>
      <c r="U372" s="2172"/>
      <c r="V372" s="2172"/>
      <c r="W372" s="2172"/>
      <c r="X372" s="2172"/>
      <c r="Y372" s="2172"/>
      <c r="Z372" s="2172"/>
      <c r="AA372" s="2172"/>
      <c r="AB372" s="2172"/>
      <c r="AC372" s="2172"/>
      <c r="AD372" s="2172"/>
      <c r="AE372" s="2172"/>
      <c r="AF372" s="2172"/>
      <c r="AG372" s="2172"/>
      <c r="AH372" s="2172"/>
      <c r="AI372" s="2172"/>
      <c r="AJ372" s="2172"/>
      <c r="AK372" s="2172"/>
      <c r="AL372" s="2172"/>
      <c r="AM372" s="2172"/>
      <c r="AN372" s="2172"/>
      <c r="AO372" s="2172"/>
      <c r="AP372" s="2172"/>
      <c r="AQ372" s="2172"/>
      <c r="AR372" s="2172"/>
      <c r="AS372" s="2172"/>
      <c r="AT372" s="2172"/>
      <c r="AU372" s="2172"/>
      <c r="AV372" s="2172"/>
      <c r="AW372" s="2172"/>
      <c r="AX372" s="2172"/>
      <c r="AY372" s="2172"/>
      <c r="AZ372" s="2172"/>
      <c r="BA372" s="2172"/>
      <c r="BB372" s="2172"/>
      <c r="BC372" s="722" t="s">
        <v>4694</v>
      </c>
    </row>
    <row r="373" spans="2:55" ht="18" hidden="1" customHeight="1">
      <c r="F373" s="2171" t="s">
        <v>785</v>
      </c>
      <c r="G373" s="2172"/>
      <c r="H373" s="2172"/>
      <c r="I373" s="2172"/>
      <c r="J373" s="2172"/>
      <c r="K373" s="2172"/>
      <c r="L373" s="2172"/>
      <c r="M373" s="2172"/>
      <c r="N373" s="2172"/>
      <c r="O373" s="2172"/>
      <c r="P373" s="2172"/>
      <c r="Q373" s="2172"/>
      <c r="R373" s="2172"/>
      <c r="S373" s="2172"/>
      <c r="T373" s="2172"/>
      <c r="U373" s="2172"/>
      <c r="V373" s="2172"/>
      <c r="W373" s="2172"/>
      <c r="X373" s="2172"/>
      <c r="Y373" s="2172"/>
      <c r="Z373" s="2172"/>
      <c r="AA373" s="2172"/>
      <c r="AB373" s="2172"/>
      <c r="AC373" s="2172"/>
      <c r="AD373" s="2172"/>
      <c r="AE373" s="2172"/>
      <c r="AF373" s="2172"/>
      <c r="AG373" s="2172"/>
      <c r="AH373" s="2172"/>
      <c r="AI373" s="2172"/>
      <c r="AJ373" s="2172"/>
      <c r="AK373" s="2172"/>
      <c r="AL373" s="2172"/>
      <c r="AM373" s="2172"/>
      <c r="AN373" s="2172"/>
      <c r="AO373" s="2172"/>
      <c r="AP373" s="2172"/>
      <c r="AQ373" s="2172"/>
      <c r="AR373" s="2172"/>
      <c r="AS373" s="2172"/>
      <c r="AT373" s="2172"/>
      <c r="AU373" s="2172"/>
      <c r="AV373" s="2172"/>
      <c r="AW373" s="2172"/>
      <c r="AX373" s="2172"/>
      <c r="AY373" s="2172"/>
      <c r="AZ373" s="2172"/>
      <c r="BA373" s="2172"/>
      <c r="BB373" s="2172"/>
      <c r="BC373" s="722" t="s">
        <v>4694</v>
      </c>
    </row>
    <row r="374" spans="2:55" ht="18" hidden="1" customHeight="1">
      <c r="F374" s="2171" t="s">
        <v>5934</v>
      </c>
      <c r="G374" s="2172"/>
      <c r="H374" s="2172"/>
      <c r="I374" s="2172"/>
      <c r="J374" s="2172"/>
      <c r="K374" s="2172"/>
      <c r="L374" s="2172"/>
      <c r="M374" s="2172"/>
      <c r="N374" s="2172"/>
      <c r="O374" s="2172"/>
      <c r="P374" s="2172"/>
      <c r="Q374" s="2172"/>
      <c r="R374" s="2172"/>
      <c r="S374" s="2172"/>
      <c r="T374" s="2172"/>
      <c r="U374" s="2172"/>
      <c r="V374" s="2172"/>
      <c r="W374" s="2172"/>
      <c r="X374" s="2172"/>
      <c r="Y374" s="2172"/>
      <c r="Z374" s="2172"/>
      <c r="AA374" s="2172"/>
      <c r="AB374" s="2172"/>
      <c r="AC374" s="2172"/>
      <c r="AD374" s="2172"/>
      <c r="AE374" s="2172"/>
      <c r="AF374" s="2172"/>
      <c r="AG374" s="2172"/>
      <c r="AH374" s="2172"/>
      <c r="AI374" s="2172"/>
      <c r="AJ374" s="2172"/>
      <c r="AK374" s="2172"/>
      <c r="AL374" s="2172"/>
      <c r="AM374" s="2172"/>
      <c r="AN374" s="2172"/>
      <c r="AO374" s="2172"/>
      <c r="AP374" s="2172"/>
      <c r="AQ374" s="2172"/>
      <c r="AR374" s="2172"/>
      <c r="AS374" s="2172"/>
      <c r="AT374" s="2172"/>
      <c r="AU374" s="2172"/>
      <c r="AV374" s="2172"/>
      <c r="AW374" s="2172"/>
      <c r="AX374" s="2172"/>
      <c r="AY374" s="2172"/>
      <c r="AZ374" s="2172"/>
      <c r="BA374" s="2172"/>
      <c r="BB374" s="2172"/>
      <c r="BC374" s="722" t="s">
        <v>4694</v>
      </c>
    </row>
    <row r="375" spans="2:55" ht="18" hidden="1" customHeight="1">
      <c r="E375" s="2171" t="s">
        <v>65</v>
      </c>
      <c r="F375" s="2172"/>
      <c r="G375" s="2172"/>
      <c r="H375" s="2172"/>
      <c r="I375" s="2172"/>
      <c r="J375" s="2172"/>
      <c r="K375" s="2172"/>
      <c r="L375" s="2172"/>
      <c r="M375" s="2172"/>
      <c r="N375" s="2172"/>
      <c r="O375" s="2172"/>
      <c r="P375" s="2172"/>
      <c r="Q375" s="2172"/>
      <c r="R375" s="2172"/>
      <c r="S375" s="2172"/>
      <c r="T375" s="2172"/>
      <c r="U375" s="2172"/>
      <c r="V375" s="2172"/>
      <c r="W375" s="2172"/>
      <c r="X375" s="2172"/>
      <c r="Y375" s="2172"/>
      <c r="Z375" s="2172"/>
      <c r="AA375" s="2172"/>
      <c r="AB375" s="2172"/>
      <c r="AC375" s="2172"/>
      <c r="AD375" s="2172"/>
      <c r="AE375" s="2172"/>
      <c r="AF375" s="2172"/>
      <c r="AG375" s="2172"/>
      <c r="AH375" s="2172"/>
      <c r="AI375" s="2172"/>
      <c r="AJ375" s="2172"/>
      <c r="AK375" s="2172"/>
      <c r="AL375" s="2172"/>
      <c r="AM375" s="2172"/>
      <c r="AN375" s="2172"/>
      <c r="AO375" s="2172"/>
      <c r="AP375" s="2172"/>
      <c r="AQ375" s="2172"/>
      <c r="AR375" s="2172"/>
      <c r="AS375" s="2172"/>
      <c r="AT375" s="2172"/>
      <c r="AU375" s="2172"/>
      <c r="AV375" s="2172"/>
      <c r="AW375" s="2172"/>
      <c r="AX375" s="2172"/>
      <c r="AY375" s="2172"/>
      <c r="AZ375" s="2172"/>
      <c r="BA375" s="2172"/>
      <c r="BB375" s="2172"/>
      <c r="BC375" s="722" t="s">
        <v>4694</v>
      </c>
    </row>
    <row r="376" spans="2:55" ht="18" hidden="1" customHeight="1">
      <c r="B376" s="2171" t="s">
        <v>66</v>
      </c>
      <c r="C376" s="2171"/>
      <c r="D376" s="2171"/>
      <c r="E376" s="2171"/>
      <c r="F376" s="2171"/>
      <c r="G376" s="2171"/>
      <c r="H376" s="2171"/>
      <c r="I376" s="2171"/>
      <c r="J376" s="2171"/>
      <c r="K376" s="2171"/>
      <c r="L376" s="2171"/>
      <c r="M376" s="2171"/>
      <c r="N376" s="2171"/>
      <c r="O376" s="2171"/>
      <c r="P376" s="2171"/>
      <c r="Q376" s="2171"/>
      <c r="R376" s="2171"/>
      <c r="S376" s="2171"/>
      <c r="T376" s="2171"/>
      <c r="U376" s="2171"/>
      <c r="V376" s="2171"/>
      <c r="W376" s="2171"/>
      <c r="X376" s="2171"/>
      <c r="Y376" s="2171"/>
      <c r="Z376" s="2171"/>
      <c r="AA376" s="2171"/>
      <c r="AB376" s="2171"/>
      <c r="AC376" s="2171"/>
      <c r="AD376" s="2171"/>
      <c r="AE376" s="2171"/>
      <c r="AF376" s="2171"/>
      <c r="AG376" s="2171"/>
      <c r="AH376" s="2171"/>
      <c r="AI376" s="2171"/>
      <c r="AJ376" s="2171"/>
      <c r="AK376" s="2171"/>
      <c r="AL376" s="2171"/>
      <c r="AM376" s="2171"/>
      <c r="AN376" s="2171"/>
      <c r="AO376" s="2171"/>
      <c r="AP376" s="2171"/>
      <c r="AQ376" s="2171"/>
      <c r="AR376" s="2171"/>
      <c r="AS376" s="2171"/>
      <c r="AT376" s="2171"/>
      <c r="AU376" s="2171"/>
      <c r="AV376" s="2171"/>
      <c r="AW376" s="2171"/>
      <c r="AX376" s="2171"/>
      <c r="AY376" s="2171"/>
      <c r="AZ376" s="2171"/>
      <c r="BA376" s="2171"/>
      <c r="BB376" s="2171"/>
      <c r="BC376" s="722" t="s">
        <v>4694</v>
      </c>
    </row>
    <row r="377" spans="2:55" ht="18" hidden="1" customHeight="1">
      <c r="B377" s="2171" t="s">
        <v>67</v>
      </c>
      <c r="C377" s="2171"/>
      <c r="D377" s="2171"/>
      <c r="E377" s="2171"/>
      <c r="F377" s="2171"/>
      <c r="G377" s="2171"/>
      <c r="H377" s="2171"/>
      <c r="I377" s="2171"/>
      <c r="J377" s="2171"/>
      <c r="K377" s="2171"/>
      <c r="L377" s="2171"/>
      <c r="M377" s="2171"/>
      <c r="N377" s="2171"/>
      <c r="O377" s="2171"/>
      <c r="P377" s="2171"/>
      <c r="Q377" s="2171"/>
      <c r="R377" s="2171"/>
      <c r="S377" s="2171"/>
      <c r="T377" s="2171"/>
      <c r="U377" s="2171"/>
      <c r="V377" s="2171"/>
      <c r="W377" s="2171"/>
      <c r="X377" s="2171"/>
      <c r="Y377" s="2171"/>
      <c r="Z377" s="2171"/>
      <c r="AA377" s="2171"/>
      <c r="AB377" s="2171"/>
      <c r="AC377" s="2171"/>
      <c r="AD377" s="2171"/>
      <c r="AE377" s="2171"/>
      <c r="AF377" s="2171"/>
      <c r="AG377" s="2171"/>
      <c r="AH377" s="2171"/>
      <c r="AI377" s="2171"/>
      <c r="AJ377" s="2171"/>
      <c r="AK377" s="2171"/>
      <c r="AL377" s="2171"/>
      <c r="AM377" s="2171"/>
      <c r="AN377" s="2171"/>
      <c r="AO377" s="2171"/>
      <c r="AP377" s="2171"/>
      <c r="AQ377" s="2171"/>
      <c r="AR377" s="2171"/>
      <c r="AS377" s="2171"/>
      <c r="AT377" s="2171"/>
      <c r="AU377" s="2171"/>
      <c r="AV377" s="2171"/>
      <c r="AW377" s="2171"/>
      <c r="AX377" s="2171"/>
      <c r="AY377" s="2171"/>
      <c r="AZ377" s="2171"/>
      <c r="BA377" s="2171"/>
      <c r="BB377" s="2171"/>
      <c r="BC377" s="722" t="s">
        <v>4694</v>
      </c>
    </row>
    <row r="378" spans="2:55" ht="18" hidden="1" customHeight="1">
      <c r="E378" s="2171" t="s">
        <v>4031</v>
      </c>
      <c r="F378" s="2172"/>
      <c r="G378" s="2172"/>
      <c r="H378" s="2172"/>
      <c r="I378" s="2172"/>
      <c r="J378" s="2172"/>
      <c r="K378" s="2172"/>
      <c r="L378" s="2172"/>
      <c r="M378" s="2172"/>
      <c r="N378" s="2172"/>
      <c r="O378" s="2172"/>
      <c r="P378" s="2172"/>
      <c r="Q378" s="2172"/>
      <c r="R378" s="2172"/>
      <c r="S378" s="2172"/>
      <c r="T378" s="2172"/>
      <c r="U378" s="2172"/>
      <c r="V378" s="2172"/>
      <c r="W378" s="2172"/>
      <c r="X378" s="2172"/>
      <c r="Y378" s="2172"/>
      <c r="Z378" s="2172"/>
      <c r="AA378" s="2172"/>
      <c r="AB378" s="2172"/>
      <c r="AC378" s="2172"/>
      <c r="AD378" s="2172"/>
      <c r="AE378" s="2172"/>
      <c r="AF378" s="2172"/>
      <c r="AG378" s="2172"/>
      <c r="AH378" s="2172"/>
      <c r="AI378" s="2172"/>
      <c r="AJ378" s="2172"/>
      <c r="AK378" s="2172"/>
      <c r="AL378" s="2172"/>
      <c r="AM378" s="2172"/>
      <c r="AN378" s="2172"/>
      <c r="AO378" s="2172"/>
      <c r="AP378" s="2172"/>
      <c r="AQ378" s="2172"/>
      <c r="AR378" s="2172"/>
      <c r="AS378" s="2172"/>
      <c r="AT378" s="2172"/>
      <c r="AU378" s="2172"/>
      <c r="AV378" s="2172"/>
      <c r="AW378" s="2172"/>
      <c r="AX378" s="2172"/>
      <c r="AY378" s="2172"/>
      <c r="AZ378" s="2172"/>
      <c r="BA378" s="2172"/>
      <c r="BB378" s="2172"/>
      <c r="BC378" s="722" t="s">
        <v>4694</v>
      </c>
    </row>
    <row r="379" spans="2:55" ht="18" hidden="1" customHeight="1">
      <c r="E379" s="2171" t="s">
        <v>4032</v>
      </c>
      <c r="F379" s="2171"/>
      <c r="G379" s="2171"/>
      <c r="H379" s="2171"/>
      <c r="I379" s="2171"/>
      <c r="J379" s="2171"/>
      <c r="K379" s="2171"/>
      <c r="L379" s="2171"/>
      <c r="M379" s="2171"/>
      <c r="N379" s="2171"/>
      <c r="O379" s="2171"/>
      <c r="P379" s="2171"/>
      <c r="Q379" s="2171"/>
      <c r="R379" s="2171"/>
      <c r="S379" s="2171"/>
      <c r="T379" s="2171"/>
      <c r="U379" s="2171"/>
      <c r="V379" s="2171"/>
      <c r="W379" s="2171"/>
      <c r="X379" s="2171"/>
      <c r="Y379" s="2171"/>
      <c r="Z379" s="2171"/>
      <c r="AA379" s="2171"/>
      <c r="AB379" s="2171"/>
      <c r="AC379" s="2171"/>
      <c r="AD379" s="2171"/>
      <c r="AE379" s="2171"/>
      <c r="AF379" s="2171"/>
      <c r="AG379" s="2171"/>
      <c r="AH379" s="2171"/>
      <c r="AI379" s="2171"/>
      <c r="AJ379" s="2171"/>
      <c r="AK379" s="2171"/>
      <c r="AL379" s="2171"/>
      <c r="AM379" s="2171"/>
      <c r="AN379" s="2171"/>
      <c r="AO379" s="2171"/>
      <c r="AP379" s="2171"/>
      <c r="AQ379" s="2171"/>
      <c r="AR379" s="2171"/>
      <c r="AS379" s="2171"/>
      <c r="AT379" s="2171"/>
      <c r="AU379" s="2171"/>
      <c r="AV379" s="2171"/>
      <c r="AW379" s="2171"/>
      <c r="AX379" s="2171"/>
      <c r="AY379" s="2171"/>
      <c r="AZ379" s="2171"/>
      <c r="BA379" s="2171"/>
      <c r="BB379" s="2171"/>
      <c r="BC379" s="722" t="s">
        <v>4694</v>
      </c>
    </row>
    <row r="380" spans="2:55" ht="18" hidden="1" customHeight="1">
      <c r="E380" s="2171" t="s">
        <v>2353</v>
      </c>
      <c r="F380" s="2172"/>
      <c r="G380" s="2172"/>
      <c r="H380" s="2172"/>
      <c r="I380" s="2172"/>
      <c r="J380" s="2172"/>
      <c r="K380" s="2172"/>
      <c r="L380" s="2172"/>
      <c r="M380" s="2172"/>
      <c r="N380" s="2172"/>
      <c r="O380" s="2172"/>
      <c r="P380" s="2172"/>
      <c r="Q380" s="2172"/>
      <c r="R380" s="2172"/>
      <c r="S380" s="2172"/>
      <c r="T380" s="2172"/>
      <c r="U380" s="2172"/>
      <c r="V380" s="2172"/>
      <c r="W380" s="2172"/>
      <c r="X380" s="2172"/>
      <c r="Y380" s="2172"/>
      <c r="Z380" s="2172"/>
      <c r="AA380" s="2172"/>
      <c r="AB380" s="2172"/>
      <c r="AC380" s="2172"/>
      <c r="AD380" s="2172"/>
      <c r="AE380" s="2172"/>
      <c r="AF380" s="2172"/>
      <c r="AG380" s="2172"/>
      <c r="AH380" s="2172"/>
      <c r="AI380" s="2172"/>
      <c r="AJ380" s="2172"/>
      <c r="AK380" s="2172"/>
      <c r="AL380" s="2172"/>
      <c r="AM380" s="2172"/>
      <c r="AN380" s="2172"/>
      <c r="AO380" s="2172"/>
      <c r="AP380" s="2172"/>
      <c r="AQ380" s="2172"/>
      <c r="AR380" s="2172"/>
      <c r="AS380" s="2172"/>
      <c r="AT380" s="2172"/>
      <c r="AU380" s="2172"/>
      <c r="AV380" s="2172"/>
      <c r="AW380" s="2172"/>
      <c r="AX380" s="2172"/>
      <c r="AY380" s="2172"/>
      <c r="AZ380" s="2172"/>
      <c r="BA380" s="2172"/>
      <c r="BB380" s="2172"/>
      <c r="BC380" s="722" t="s">
        <v>4694</v>
      </c>
    </row>
    <row r="381" spans="2:55" ht="18" hidden="1" customHeight="1">
      <c r="B381" s="2171" t="s">
        <v>1659</v>
      </c>
      <c r="C381" s="2171"/>
      <c r="D381" s="2171"/>
      <c r="E381" s="2171"/>
      <c r="F381" s="2171"/>
      <c r="G381" s="2171"/>
      <c r="H381" s="2171"/>
      <c r="I381" s="2171"/>
      <c r="J381" s="2171"/>
      <c r="K381" s="2171"/>
      <c r="L381" s="2171"/>
      <c r="M381" s="2171"/>
      <c r="N381" s="2171"/>
      <c r="O381" s="2171"/>
      <c r="P381" s="2171"/>
      <c r="Q381" s="2171"/>
      <c r="R381" s="2171"/>
      <c r="S381" s="2171"/>
      <c r="T381" s="2171"/>
      <c r="U381" s="2171"/>
      <c r="V381" s="2171"/>
      <c r="W381" s="2171"/>
      <c r="X381" s="2171"/>
      <c r="Y381" s="2171"/>
      <c r="Z381" s="2171"/>
      <c r="AA381" s="2171"/>
      <c r="AB381" s="2171"/>
      <c r="AC381" s="2171"/>
      <c r="AD381" s="2171"/>
      <c r="AE381" s="2171"/>
      <c r="AF381" s="2171"/>
      <c r="AG381" s="2171"/>
      <c r="AH381" s="2171"/>
      <c r="AI381" s="2171"/>
      <c r="AJ381" s="2171"/>
      <c r="AK381" s="2171"/>
      <c r="AL381" s="2171"/>
      <c r="AM381" s="2171"/>
      <c r="AN381" s="2171"/>
      <c r="AO381" s="2171"/>
      <c r="AP381" s="2171"/>
      <c r="AQ381" s="2171"/>
      <c r="AR381" s="2171"/>
      <c r="AS381" s="2171"/>
      <c r="AT381" s="2171"/>
      <c r="AU381" s="2171"/>
      <c r="AV381" s="2171"/>
      <c r="AW381" s="2171"/>
      <c r="AX381" s="2171"/>
      <c r="AY381" s="2171"/>
      <c r="AZ381" s="2171"/>
      <c r="BA381" s="2171"/>
      <c r="BB381" s="2171"/>
      <c r="BC381" s="722" t="s">
        <v>4694</v>
      </c>
    </row>
    <row r="382" spans="2:55" ht="18" hidden="1" customHeight="1">
      <c r="B382" s="2171" t="s">
        <v>1660</v>
      </c>
      <c r="C382" s="2171"/>
      <c r="D382" s="2171"/>
      <c r="E382" s="2171"/>
      <c r="F382" s="2171"/>
      <c r="G382" s="2171"/>
      <c r="H382" s="2171"/>
      <c r="I382" s="2171"/>
      <c r="J382" s="2171"/>
      <c r="K382" s="2171"/>
      <c r="L382" s="2171"/>
      <c r="M382" s="2171"/>
      <c r="N382" s="2171"/>
      <c r="O382" s="2171"/>
      <c r="P382" s="2171"/>
      <c r="Q382" s="2171"/>
      <c r="R382" s="2171"/>
      <c r="S382" s="2171"/>
      <c r="T382" s="2171"/>
      <c r="U382" s="2171"/>
      <c r="V382" s="2171"/>
      <c r="W382" s="2171"/>
      <c r="X382" s="2171"/>
      <c r="Y382" s="2171"/>
      <c r="Z382" s="2171"/>
      <c r="AA382" s="2171"/>
      <c r="AB382" s="2171"/>
      <c r="AC382" s="2171"/>
      <c r="AD382" s="2171"/>
      <c r="AE382" s="2171"/>
      <c r="AF382" s="2171"/>
      <c r="AG382" s="2171"/>
      <c r="AH382" s="2171"/>
      <c r="AI382" s="2171"/>
      <c r="AJ382" s="2171"/>
      <c r="AK382" s="2171"/>
      <c r="AL382" s="2171"/>
      <c r="AM382" s="2171"/>
      <c r="AN382" s="2171"/>
      <c r="AO382" s="2171"/>
      <c r="AP382" s="2171"/>
      <c r="AQ382" s="2171"/>
      <c r="AR382" s="2171"/>
      <c r="AS382" s="2171"/>
      <c r="AT382" s="2171"/>
      <c r="AU382" s="2171"/>
      <c r="AV382" s="2171"/>
      <c r="AW382" s="2171"/>
      <c r="AX382" s="2171"/>
      <c r="AY382" s="2171"/>
      <c r="AZ382" s="2171"/>
      <c r="BA382" s="2171"/>
      <c r="BB382" s="2171"/>
      <c r="BC382" s="722" t="s">
        <v>4694</v>
      </c>
    </row>
    <row r="383" spans="2:55" ht="18" hidden="1" customHeight="1">
      <c r="E383" s="2171" t="s">
        <v>3717</v>
      </c>
      <c r="F383" s="2172"/>
      <c r="G383" s="2172"/>
      <c r="H383" s="2172"/>
      <c r="I383" s="2172"/>
      <c r="J383" s="2172"/>
      <c r="K383" s="2172"/>
      <c r="L383" s="2172"/>
      <c r="M383" s="2172"/>
      <c r="N383" s="2172"/>
      <c r="O383" s="2172"/>
      <c r="P383" s="2172"/>
      <c r="Q383" s="2172"/>
      <c r="R383" s="2172"/>
      <c r="S383" s="2172"/>
      <c r="T383" s="2172"/>
      <c r="U383" s="2172"/>
      <c r="V383" s="2172"/>
      <c r="W383" s="2172"/>
      <c r="X383" s="2172"/>
      <c r="Y383" s="2172"/>
      <c r="Z383" s="2172"/>
      <c r="AA383" s="2172"/>
      <c r="AB383" s="2172"/>
      <c r="AC383" s="2172"/>
      <c r="AD383" s="2172"/>
      <c r="AE383" s="2172"/>
      <c r="AF383" s="2172"/>
      <c r="AG383" s="2172"/>
      <c r="AH383" s="2172"/>
      <c r="AI383" s="2172"/>
      <c r="AJ383" s="2172"/>
      <c r="AK383" s="2172"/>
      <c r="AL383" s="2172"/>
      <c r="AM383" s="2172"/>
      <c r="AN383" s="2172"/>
      <c r="AO383" s="2172"/>
      <c r="AP383" s="2172"/>
      <c r="AQ383" s="2172"/>
      <c r="AR383" s="2172"/>
      <c r="AS383" s="2172"/>
      <c r="AT383" s="2172"/>
      <c r="AU383" s="2172"/>
      <c r="AV383" s="2172"/>
      <c r="AW383" s="2172"/>
      <c r="AX383" s="2172"/>
      <c r="AY383" s="2172"/>
      <c r="AZ383" s="2172"/>
      <c r="BA383" s="2172"/>
      <c r="BB383" s="2172"/>
      <c r="BC383" s="722" t="s">
        <v>4694</v>
      </c>
    </row>
    <row r="384" spans="2:55" ht="18" hidden="1" customHeight="1">
      <c r="B384" s="2171" t="s">
        <v>948</v>
      </c>
      <c r="C384" s="2171"/>
      <c r="D384" s="2171"/>
      <c r="E384" s="2171"/>
      <c r="F384" s="2171"/>
      <c r="G384" s="2171"/>
      <c r="H384" s="2171"/>
      <c r="I384" s="2171"/>
      <c r="J384" s="2171"/>
      <c r="K384" s="2171"/>
      <c r="L384" s="2171"/>
      <c r="M384" s="2171"/>
      <c r="N384" s="2171"/>
      <c r="O384" s="2171"/>
      <c r="P384" s="2171"/>
      <c r="Q384" s="2171"/>
      <c r="R384" s="2171"/>
      <c r="S384" s="2171"/>
      <c r="T384" s="2171"/>
      <c r="U384" s="2171"/>
      <c r="V384" s="2171"/>
      <c r="W384" s="2171"/>
      <c r="X384" s="2171"/>
      <c r="Y384" s="2171"/>
      <c r="Z384" s="2171"/>
      <c r="AA384" s="2171"/>
      <c r="AB384" s="2171"/>
      <c r="AC384" s="2171"/>
      <c r="AD384" s="2171"/>
      <c r="AE384" s="2171"/>
      <c r="AF384" s="2171"/>
      <c r="AG384" s="2171"/>
      <c r="AH384" s="2171"/>
      <c r="AI384" s="2171"/>
      <c r="AJ384" s="2171"/>
      <c r="AK384" s="2171"/>
      <c r="AL384" s="2171"/>
      <c r="AM384" s="2171"/>
      <c r="AN384" s="2171"/>
      <c r="AO384" s="2171"/>
      <c r="AP384" s="2171"/>
      <c r="AQ384" s="2171"/>
      <c r="AR384" s="2171"/>
      <c r="AS384" s="2171"/>
      <c r="AT384" s="2171"/>
      <c r="AU384" s="2171"/>
      <c r="AV384" s="2171"/>
      <c r="AW384" s="2171"/>
      <c r="AX384" s="2171"/>
      <c r="AY384" s="2171"/>
      <c r="AZ384" s="2171"/>
      <c r="BA384" s="2171"/>
      <c r="BB384" s="2171"/>
      <c r="BC384" s="722" t="s">
        <v>4694</v>
      </c>
    </row>
    <row r="385" spans="2:55" ht="18" hidden="1" customHeight="1">
      <c r="E385" s="2171" t="s">
        <v>950</v>
      </c>
      <c r="F385" s="2172"/>
      <c r="G385" s="2172"/>
      <c r="H385" s="2172"/>
      <c r="I385" s="2172"/>
      <c r="J385" s="2172"/>
      <c r="K385" s="2172"/>
      <c r="L385" s="2172"/>
      <c r="M385" s="2172"/>
      <c r="N385" s="2172"/>
      <c r="O385" s="2172"/>
      <c r="P385" s="2172"/>
      <c r="Q385" s="2172"/>
      <c r="R385" s="2172"/>
      <c r="S385" s="2172"/>
      <c r="T385" s="2172"/>
      <c r="U385" s="2172"/>
      <c r="V385" s="2172"/>
      <c r="W385" s="2172"/>
      <c r="X385" s="2172"/>
      <c r="Y385" s="2172"/>
      <c r="Z385" s="2172"/>
      <c r="AA385" s="2172"/>
      <c r="AB385" s="2172"/>
      <c r="AC385" s="2172"/>
      <c r="AD385" s="2172"/>
      <c r="AE385" s="2172"/>
      <c r="AF385" s="2172"/>
      <c r="AG385" s="2172"/>
      <c r="AH385" s="2172"/>
      <c r="AI385" s="2172"/>
      <c r="AJ385" s="2172"/>
      <c r="AK385" s="2172"/>
      <c r="AL385" s="2172"/>
      <c r="AM385" s="2172"/>
      <c r="AN385" s="2172"/>
      <c r="AO385" s="2172"/>
      <c r="AP385" s="2172"/>
      <c r="AQ385" s="2172"/>
      <c r="AR385" s="2172"/>
      <c r="AS385" s="2172"/>
      <c r="AT385" s="2172"/>
      <c r="AU385" s="2172"/>
      <c r="AV385" s="2172"/>
      <c r="AW385" s="2172"/>
      <c r="AX385" s="2172"/>
      <c r="AY385" s="2172"/>
      <c r="AZ385" s="2172"/>
      <c r="BA385" s="2172"/>
      <c r="BB385" s="2172"/>
      <c r="BC385" s="722" t="s">
        <v>4694</v>
      </c>
    </row>
    <row r="386" spans="2:55" ht="18" hidden="1" customHeight="1">
      <c r="B386" s="2171" t="s">
        <v>951</v>
      </c>
      <c r="C386" s="2171"/>
      <c r="D386" s="2171"/>
      <c r="E386" s="2171"/>
      <c r="F386" s="2171"/>
      <c r="G386" s="2171"/>
      <c r="H386" s="2171"/>
      <c r="I386" s="2171"/>
      <c r="J386" s="2171"/>
      <c r="K386" s="2171"/>
      <c r="L386" s="2171"/>
      <c r="M386" s="2171"/>
      <c r="N386" s="2171"/>
      <c r="O386" s="2171"/>
      <c r="P386" s="2171"/>
      <c r="Q386" s="2171"/>
      <c r="R386" s="2171"/>
      <c r="S386" s="2171"/>
      <c r="T386" s="2171"/>
      <c r="U386" s="2171"/>
      <c r="V386" s="2171"/>
      <c r="W386" s="2171"/>
      <c r="X386" s="2171"/>
      <c r="Y386" s="2171"/>
      <c r="Z386" s="2171"/>
      <c r="AA386" s="2171"/>
      <c r="AB386" s="2171"/>
      <c r="AC386" s="2171"/>
      <c r="AD386" s="2171"/>
      <c r="AE386" s="2171"/>
      <c r="AF386" s="2171"/>
      <c r="AG386" s="2171"/>
      <c r="AH386" s="2171"/>
      <c r="AI386" s="2171"/>
      <c r="AJ386" s="2171"/>
      <c r="AK386" s="2171"/>
      <c r="AL386" s="2171"/>
      <c r="AM386" s="2171"/>
      <c r="AN386" s="2171"/>
      <c r="AO386" s="2171"/>
      <c r="AP386" s="2171"/>
      <c r="AQ386" s="2171"/>
      <c r="AR386" s="2171"/>
      <c r="AS386" s="2171"/>
      <c r="AT386" s="2171"/>
      <c r="AU386" s="2171"/>
      <c r="AV386" s="2171"/>
      <c r="AW386" s="2171"/>
      <c r="AX386" s="2171"/>
      <c r="AY386" s="2171"/>
      <c r="AZ386" s="2171"/>
      <c r="BA386" s="2171"/>
      <c r="BB386" s="2171"/>
      <c r="BC386" s="722" t="s">
        <v>4694</v>
      </c>
    </row>
    <row r="387" spans="2:55" ht="18" hidden="1" customHeight="1">
      <c r="D387" s="2173" t="s">
        <v>6100</v>
      </c>
      <c r="E387" s="2173"/>
      <c r="F387" s="2173"/>
      <c r="G387" s="2173"/>
      <c r="H387" s="2173"/>
      <c r="I387" s="2173"/>
      <c r="J387" s="2173"/>
      <c r="K387" s="2173"/>
      <c r="L387" s="2173"/>
      <c r="M387" s="2173"/>
      <c r="N387" s="2173"/>
      <c r="O387" s="2173"/>
      <c r="P387" s="2173"/>
      <c r="Q387" s="2173"/>
      <c r="R387" s="2173"/>
      <c r="S387" s="2173"/>
      <c r="T387" s="2173"/>
      <c r="U387" s="2173"/>
      <c r="V387" s="2173"/>
      <c r="W387" s="2173"/>
      <c r="X387" s="2173"/>
      <c r="Y387" s="2173"/>
      <c r="Z387" s="2173"/>
      <c r="AA387" s="2173"/>
      <c r="AB387" s="2173"/>
      <c r="AC387" s="2173"/>
      <c r="AD387" s="2173"/>
      <c r="AE387" s="2173"/>
      <c r="AF387" s="2173"/>
      <c r="AG387" s="2173"/>
      <c r="AH387" s="2173"/>
      <c r="AI387" s="2173"/>
      <c r="AJ387" s="2173"/>
      <c r="AK387" s="2173"/>
      <c r="AL387" s="2173"/>
      <c r="AM387" s="2173"/>
      <c r="AN387" s="2173"/>
      <c r="AO387" s="2173"/>
      <c r="AP387" s="2173"/>
      <c r="AQ387" s="2173"/>
      <c r="AR387" s="2173"/>
      <c r="AS387" s="2173"/>
      <c r="AT387" s="2173"/>
      <c r="AU387" s="2173"/>
      <c r="AV387" s="2173"/>
      <c r="AW387" s="2173"/>
      <c r="AX387" s="2173"/>
      <c r="AY387" s="2173"/>
      <c r="AZ387" s="2173"/>
      <c r="BA387" s="2173"/>
      <c r="BB387" s="2173"/>
      <c r="BC387" s="722" t="s">
        <v>4694</v>
      </c>
    </row>
    <row r="388" spans="2:55" ht="18" hidden="1" customHeight="1">
      <c r="E388" s="2171" t="s">
        <v>5530</v>
      </c>
      <c r="F388" s="2172"/>
      <c r="G388" s="2172"/>
      <c r="H388" s="2172"/>
      <c r="I388" s="2172"/>
      <c r="J388" s="2172"/>
      <c r="K388" s="2172"/>
      <c r="L388" s="2172"/>
      <c r="M388" s="2172"/>
      <c r="N388" s="2172"/>
      <c r="O388" s="2172"/>
      <c r="P388" s="2172"/>
      <c r="Q388" s="2172"/>
      <c r="R388" s="2172"/>
      <c r="S388" s="2172"/>
      <c r="T388" s="2172"/>
      <c r="U388" s="2172"/>
      <c r="V388" s="2172"/>
      <c r="W388" s="2172"/>
      <c r="X388" s="2172"/>
      <c r="Y388" s="2172"/>
      <c r="Z388" s="2172"/>
      <c r="AA388" s="2172"/>
      <c r="AB388" s="2172"/>
      <c r="AC388" s="2172"/>
      <c r="AD388" s="2172"/>
      <c r="AE388" s="2172"/>
      <c r="AF388" s="2172"/>
      <c r="AG388" s="2172"/>
      <c r="AH388" s="2172"/>
      <c r="AI388" s="2172"/>
      <c r="AJ388" s="2172"/>
      <c r="AK388" s="2172"/>
      <c r="AL388" s="2172"/>
      <c r="AM388" s="2172"/>
      <c r="AN388" s="2172"/>
      <c r="AO388" s="2172"/>
      <c r="AP388" s="2172"/>
      <c r="AQ388" s="2172"/>
      <c r="AR388" s="2172"/>
      <c r="AS388" s="2172"/>
      <c r="AT388" s="2172"/>
      <c r="AU388" s="2172"/>
      <c r="AV388" s="2172"/>
      <c r="AW388" s="2172"/>
      <c r="AX388" s="2172"/>
      <c r="AY388" s="2172"/>
      <c r="AZ388" s="2172"/>
      <c r="BA388" s="2172"/>
      <c r="BB388" s="2172"/>
      <c r="BC388" s="722" t="s">
        <v>4694</v>
      </c>
    </row>
    <row r="389" spans="2:55" ht="18" hidden="1" customHeight="1">
      <c r="B389" s="2171" t="s">
        <v>1422</v>
      </c>
      <c r="C389" s="2171"/>
      <c r="D389" s="2171"/>
      <c r="E389" s="2171"/>
      <c r="F389" s="2171"/>
      <c r="G389" s="2171"/>
      <c r="H389" s="2171"/>
      <c r="I389" s="2171"/>
      <c r="J389" s="2171"/>
      <c r="K389" s="2171"/>
      <c r="L389" s="2171"/>
      <c r="M389" s="2171"/>
      <c r="N389" s="2171"/>
      <c r="O389" s="2171"/>
      <c r="P389" s="2171"/>
      <c r="Q389" s="2171"/>
      <c r="R389" s="2171"/>
      <c r="S389" s="2171"/>
      <c r="T389" s="2171"/>
      <c r="U389" s="2171"/>
      <c r="V389" s="2171"/>
      <c r="W389" s="2171"/>
      <c r="X389" s="2171"/>
      <c r="Y389" s="2171"/>
      <c r="Z389" s="2171"/>
      <c r="AA389" s="2171"/>
      <c r="AB389" s="2171"/>
      <c r="AC389" s="2171"/>
      <c r="AD389" s="2171"/>
      <c r="AE389" s="2171"/>
      <c r="AF389" s="2171"/>
      <c r="AG389" s="2171"/>
      <c r="AH389" s="2171"/>
      <c r="AI389" s="2171"/>
      <c r="AJ389" s="2171"/>
      <c r="AK389" s="2171"/>
      <c r="AL389" s="2171"/>
      <c r="AM389" s="2171"/>
      <c r="AN389" s="2171"/>
      <c r="AO389" s="2171"/>
      <c r="AP389" s="2171"/>
      <c r="AQ389" s="2171"/>
      <c r="AR389" s="2171"/>
      <c r="AS389" s="2171"/>
      <c r="AT389" s="2171"/>
      <c r="AU389" s="2171"/>
      <c r="AV389" s="2171"/>
      <c r="AW389" s="2171"/>
      <c r="AX389" s="2171"/>
      <c r="AY389" s="2171"/>
      <c r="AZ389" s="2171"/>
      <c r="BA389" s="2171"/>
      <c r="BB389" s="2171"/>
      <c r="BC389" s="722" t="s">
        <v>4694</v>
      </c>
    </row>
    <row r="390" spans="2:55" ht="18" hidden="1" customHeight="1">
      <c r="B390" s="2171" t="s">
        <v>4299</v>
      </c>
      <c r="C390" s="2171"/>
      <c r="D390" s="2171"/>
      <c r="E390" s="2171"/>
      <c r="F390" s="2171"/>
      <c r="G390" s="2171"/>
      <c r="H390" s="2171"/>
      <c r="I390" s="2171"/>
      <c r="J390" s="2171"/>
      <c r="K390" s="2171"/>
      <c r="L390" s="2171"/>
      <c r="M390" s="2171"/>
      <c r="N390" s="2171"/>
      <c r="O390" s="2171"/>
      <c r="P390" s="2171"/>
      <c r="Q390" s="2171"/>
      <c r="R390" s="2171"/>
      <c r="S390" s="2171"/>
      <c r="T390" s="2171"/>
      <c r="U390" s="2171"/>
      <c r="V390" s="2171"/>
      <c r="W390" s="2171"/>
      <c r="X390" s="2171"/>
      <c r="Y390" s="2171"/>
      <c r="Z390" s="2171"/>
      <c r="AA390" s="2171"/>
      <c r="AB390" s="2171"/>
      <c r="AC390" s="2171"/>
      <c r="AD390" s="2171"/>
      <c r="AE390" s="2171"/>
      <c r="AF390" s="2171"/>
      <c r="AG390" s="2171"/>
      <c r="AH390" s="2171"/>
      <c r="AI390" s="2171"/>
      <c r="AJ390" s="2171"/>
      <c r="AK390" s="2171"/>
      <c r="AL390" s="2171"/>
      <c r="AM390" s="2171"/>
      <c r="AN390" s="2171"/>
      <c r="AO390" s="2171"/>
      <c r="AP390" s="2171"/>
      <c r="AQ390" s="2171"/>
      <c r="AR390" s="2171"/>
      <c r="AS390" s="2171"/>
      <c r="AT390" s="2171"/>
      <c r="AU390" s="2171"/>
      <c r="AV390" s="2171"/>
      <c r="AW390" s="2171"/>
      <c r="AX390" s="2171"/>
      <c r="AY390" s="2171"/>
      <c r="AZ390" s="2171"/>
      <c r="BA390" s="2171"/>
      <c r="BB390" s="2171"/>
      <c r="BC390" s="722" t="s">
        <v>4694</v>
      </c>
    </row>
    <row r="391" spans="2:55" ht="18" hidden="1" customHeight="1">
      <c r="E391" s="2171" t="s">
        <v>4300</v>
      </c>
      <c r="F391" s="2172"/>
      <c r="G391" s="2172"/>
      <c r="H391" s="2172"/>
      <c r="I391" s="2172"/>
      <c r="J391" s="2172"/>
      <c r="K391" s="2172"/>
      <c r="L391" s="2172"/>
      <c r="M391" s="2172"/>
      <c r="N391" s="2172"/>
      <c r="O391" s="2172"/>
      <c r="P391" s="2172"/>
      <c r="Q391" s="2172"/>
      <c r="R391" s="2172"/>
      <c r="S391" s="2172"/>
      <c r="T391" s="2172"/>
      <c r="U391" s="2172"/>
      <c r="V391" s="2172"/>
      <c r="W391" s="2172"/>
      <c r="X391" s="2172"/>
      <c r="Y391" s="2172"/>
      <c r="Z391" s="2172"/>
      <c r="AA391" s="2172"/>
      <c r="AB391" s="2172"/>
      <c r="AC391" s="2172"/>
      <c r="AD391" s="2172"/>
      <c r="AE391" s="2172"/>
      <c r="AF391" s="2172"/>
      <c r="AG391" s="2172"/>
      <c r="AH391" s="2172"/>
      <c r="AI391" s="2172"/>
      <c r="AJ391" s="2172"/>
      <c r="AK391" s="2172"/>
      <c r="AL391" s="2172"/>
      <c r="AM391" s="2172"/>
      <c r="AN391" s="2172"/>
      <c r="AO391" s="2172"/>
      <c r="AP391" s="2172"/>
      <c r="AQ391" s="2172"/>
      <c r="AR391" s="2172"/>
      <c r="AS391" s="2172"/>
      <c r="AT391" s="2172"/>
      <c r="AU391" s="2172"/>
      <c r="AV391" s="2172"/>
      <c r="AW391" s="2172"/>
      <c r="AX391" s="2172"/>
      <c r="AY391" s="2172"/>
      <c r="AZ391" s="2172"/>
      <c r="BA391" s="2172"/>
      <c r="BB391" s="2172"/>
      <c r="BC391" s="722" t="s">
        <v>4694</v>
      </c>
    </row>
    <row r="392" spans="2:55" ht="18" hidden="1" customHeight="1">
      <c r="B392" s="2171" t="s">
        <v>4301</v>
      </c>
      <c r="C392" s="2171"/>
      <c r="D392" s="2171"/>
      <c r="E392" s="2171"/>
      <c r="F392" s="2171"/>
      <c r="G392" s="2171"/>
      <c r="H392" s="2171"/>
      <c r="I392" s="2171"/>
      <c r="J392" s="2171"/>
      <c r="K392" s="2171"/>
      <c r="L392" s="2171"/>
      <c r="M392" s="2171"/>
      <c r="N392" s="2171"/>
      <c r="O392" s="2171"/>
      <c r="P392" s="2171"/>
      <c r="Q392" s="2171"/>
      <c r="R392" s="2171"/>
      <c r="S392" s="2171"/>
      <c r="T392" s="2171"/>
      <c r="U392" s="2171"/>
      <c r="V392" s="2171"/>
      <c r="W392" s="2171"/>
      <c r="X392" s="2171"/>
      <c r="Y392" s="2171"/>
      <c r="Z392" s="2171"/>
      <c r="AA392" s="2171"/>
      <c r="AB392" s="2171"/>
      <c r="AC392" s="2171"/>
      <c r="AD392" s="2171"/>
      <c r="AE392" s="2171"/>
      <c r="AF392" s="2171"/>
      <c r="AG392" s="2171"/>
      <c r="AH392" s="2171"/>
      <c r="AI392" s="2171"/>
      <c r="AJ392" s="2171"/>
      <c r="AK392" s="2171"/>
      <c r="AL392" s="2171"/>
      <c r="AM392" s="2171"/>
      <c r="AN392" s="2171"/>
      <c r="AO392" s="2171"/>
      <c r="AP392" s="2171"/>
      <c r="AQ392" s="2171"/>
      <c r="AR392" s="2171"/>
      <c r="AS392" s="2171"/>
      <c r="AT392" s="2171"/>
      <c r="AU392" s="2171"/>
      <c r="AV392" s="2171"/>
      <c r="AW392" s="2171"/>
      <c r="AX392" s="2171"/>
      <c r="AY392" s="2171"/>
      <c r="AZ392" s="2171"/>
      <c r="BA392" s="2171"/>
      <c r="BB392" s="2171"/>
      <c r="BC392" s="722" t="s">
        <v>4694</v>
      </c>
    </row>
    <row r="393" spans="2:55" ht="18" hidden="1" customHeight="1">
      <c r="E393" s="2171" t="s">
        <v>5405</v>
      </c>
      <c r="F393" s="2171"/>
      <c r="G393" s="2171"/>
      <c r="H393" s="2171"/>
      <c r="I393" s="2171"/>
      <c r="J393" s="2171"/>
      <c r="K393" s="2171"/>
      <c r="L393" s="2171"/>
      <c r="M393" s="2171"/>
      <c r="N393" s="2171"/>
      <c r="O393" s="2171"/>
      <c r="P393" s="2171"/>
      <c r="Q393" s="2171"/>
      <c r="R393" s="2171"/>
      <c r="S393" s="2171"/>
      <c r="T393" s="2171"/>
      <c r="U393" s="2171"/>
      <c r="V393" s="2171"/>
      <c r="W393" s="2171"/>
      <c r="X393" s="2171"/>
      <c r="Y393" s="2171"/>
      <c r="Z393" s="2171"/>
      <c r="AA393" s="2171"/>
      <c r="AB393" s="2171"/>
      <c r="AC393" s="2171"/>
      <c r="AD393" s="2171"/>
      <c r="AE393" s="2171"/>
      <c r="AF393" s="2171"/>
      <c r="AG393" s="2171"/>
      <c r="AH393" s="2171"/>
      <c r="AI393" s="2171"/>
      <c r="AJ393" s="2171"/>
      <c r="AK393" s="2171"/>
      <c r="AL393" s="2171"/>
      <c r="AM393" s="2171"/>
      <c r="AN393" s="2171"/>
      <c r="AO393" s="2171"/>
      <c r="AP393" s="2171"/>
      <c r="AQ393" s="2171"/>
      <c r="AR393" s="2171"/>
      <c r="AS393" s="2171"/>
      <c r="AT393" s="2171"/>
      <c r="AU393" s="2171"/>
      <c r="AV393" s="2171"/>
      <c r="AW393" s="2171"/>
      <c r="AX393" s="2171"/>
      <c r="AY393" s="2171"/>
      <c r="AZ393" s="2171"/>
      <c r="BA393" s="2171"/>
      <c r="BB393" s="2171"/>
      <c r="BC393" s="722" t="s">
        <v>4694</v>
      </c>
    </row>
    <row r="394" spans="2:55" ht="18" hidden="1" customHeight="1">
      <c r="B394" s="2171" t="s">
        <v>5404</v>
      </c>
      <c r="C394" s="2171"/>
      <c r="D394" s="2171"/>
      <c r="E394" s="2171"/>
      <c r="F394" s="2171"/>
      <c r="G394" s="2171"/>
      <c r="H394" s="2171"/>
      <c r="I394" s="2171"/>
      <c r="J394" s="2171"/>
      <c r="K394" s="2171"/>
      <c r="L394" s="2171"/>
      <c r="M394" s="2171"/>
      <c r="N394" s="2171"/>
      <c r="O394" s="2171"/>
      <c r="P394" s="2171"/>
      <c r="Q394" s="2171"/>
      <c r="R394" s="2171"/>
      <c r="S394" s="2171"/>
      <c r="T394" s="2171"/>
      <c r="U394" s="2171"/>
      <c r="V394" s="2171"/>
      <c r="W394" s="2171"/>
      <c r="X394" s="2171"/>
      <c r="Y394" s="2171"/>
      <c r="Z394" s="2171"/>
      <c r="AA394" s="2171"/>
      <c r="AB394" s="2171"/>
      <c r="AC394" s="2171"/>
      <c r="AD394" s="2171"/>
      <c r="AE394" s="2171"/>
      <c r="AF394" s="2171"/>
      <c r="AG394" s="2171"/>
      <c r="AH394" s="2171"/>
      <c r="AI394" s="2171"/>
      <c r="AJ394" s="2171"/>
      <c r="AK394" s="2171"/>
      <c r="AL394" s="2171"/>
      <c r="AM394" s="2171"/>
      <c r="AN394" s="2171"/>
      <c r="AO394" s="2171"/>
      <c r="AP394" s="2171"/>
      <c r="AQ394" s="2171"/>
      <c r="AR394" s="2171"/>
      <c r="AS394" s="2171"/>
      <c r="AT394" s="2171"/>
      <c r="AU394" s="2171"/>
      <c r="AV394" s="2171"/>
      <c r="AW394" s="2171"/>
      <c r="AX394" s="2171"/>
      <c r="AY394" s="2171"/>
      <c r="AZ394" s="2171"/>
      <c r="BA394" s="2171"/>
      <c r="BB394" s="2171"/>
      <c r="BC394" s="722" t="s">
        <v>4694</v>
      </c>
    </row>
    <row r="395" spans="2:55" ht="18" hidden="1" customHeight="1">
      <c r="E395" s="2171" t="s">
        <v>5326</v>
      </c>
      <c r="F395" s="2172"/>
      <c r="G395" s="2172"/>
      <c r="H395" s="2172"/>
      <c r="I395" s="2172"/>
      <c r="J395" s="2172"/>
      <c r="K395" s="2172"/>
      <c r="L395" s="2172"/>
      <c r="M395" s="2172"/>
      <c r="N395" s="2172"/>
      <c r="O395" s="2172"/>
      <c r="P395" s="2172"/>
      <c r="Q395" s="2172"/>
      <c r="R395" s="2172"/>
      <c r="S395" s="2172"/>
      <c r="T395" s="2172"/>
      <c r="U395" s="2172"/>
      <c r="V395" s="2172"/>
      <c r="W395" s="2172"/>
      <c r="X395" s="2172"/>
      <c r="Y395" s="2172"/>
      <c r="Z395" s="2172"/>
      <c r="AA395" s="2172"/>
      <c r="AB395" s="2172"/>
      <c r="AC395" s="2172"/>
      <c r="AD395" s="2172"/>
      <c r="AE395" s="2172"/>
      <c r="AF395" s="2172"/>
      <c r="AG395" s="2172"/>
      <c r="AH395" s="2172"/>
      <c r="AI395" s="2172"/>
      <c r="AJ395" s="2172"/>
      <c r="AK395" s="2172"/>
      <c r="AL395" s="2172"/>
      <c r="AM395" s="2172"/>
      <c r="AN395" s="2172"/>
      <c r="AO395" s="2172"/>
      <c r="AP395" s="2172"/>
      <c r="AQ395" s="2172"/>
      <c r="AR395" s="2172"/>
      <c r="AS395" s="2172"/>
      <c r="AT395" s="2172"/>
      <c r="AU395" s="2172"/>
      <c r="AV395" s="2172"/>
      <c r="AW395" s="2172"/>
      <c r="AX395" s="2172"/>
      <c r="AY395" s="2172"/>
      <c r="AZ395" s="2172"/>
      <c r="BA395" s="2172"/>
      <c r="BB395" s="2172"/>
      <c r="BC395" s="722" t="s">
        <v>4694</v>
      </c>
    </row>
    <row r="396" spans="2:55" ht="18" hidden="1" customHeight="1">
      <c r="B396" s="2171" t="s">
        <v>5311</v>
      </c>
      <c r="C396" s="2171"/>
      <c r="D396" s="2171"/>
      <c r="E396" s="2171"/>
      <c r="F396" s="2171"/>
      <c r="G396" s="2171"/>
      <c r="H396" s="2171"/>
      <c r="I396" s="2171"/>
      <c r="J396" s="2171"/>
      <c r="K396" s="2171"/>
      <c r="L396" s="2171"/>
      <c r="M396" s="2171"/>
      <c r="N396" s="2171"/>
      <c r="O396" s="2171"/>
      <c r="P396" s="2171"/>
      <c r="Q396" s="2171"/>
      <c r="R396" s="2171"/>
      <c r="S396" s="2171"/>
      <c r="T396" s="2171"/>
      <c r="U396" s="2171"/>
      <c r="V396" s="2171"/>
      <c r="W396" s="2171"/>
      <c r="X396" s="2171"/>
      <c r="Y396" s="2171"/>
      <c r="Z396" s="2171"/>
      <c r="AA396" s="2171"/>
      <c r="AB396" s="2171"/>
      <c r="AC396" s="2171"/>
      <c r="AD396" s="2171"/>
      <c r="AE396" s="2171"/>
      <c r="AF396" s="2171"/>
      <c r="AG396" s="2171"/>
      <c r="AH396" s="2171"/>
      <c r="AI396" s="2171"/>
      <c r="AJ396" s="2171"/>
      <c r="AK396" s="2171"/>
      <c r="AL396" s="2171"/>
      <c r="AM396" s="2171"/>
      <c r="AN396" s="2171"/>
      <c r="AO396" s="2171"/>
      <c r="AP396" s="2171"/>
      <c r="AQ396" s="2171"/>
      <c r="AR396" s="2171"/>
      <c r="AS396" s="2171"/>
      <c r="AT396" s="2171"/>
      <c r="AU396" s="2171"/>
      <c r="AV396" s="2171"/>
      <c r="AW396" s="2171"/>
      <c r="AX396" s="2171"/>
      <c r="AY396" s="2171"/>
      <c r="AZ396" s="2171"/>
      <c r="BA396" s="2171"/>
      <c r="BB396" s="2171"/>
      <c r="BC396" s="722" t="s">
        <v>4694</v>
      </c>
    </row>
    <row r="397" spans="2:55" ht="18" hidden="1" customHeight="1">
      <c r="D397" s="2173" t="s">
        <v>3095</v>
      </c>
      <c r="E397" s="2173"/>
      <c r="F397" s="2173"/>
      <c r="G397" s="2173"/>
      <c r="H397" s="2173"/>
      <c r="I397" s="2173"/>
      <c r="J397" s="2173"/>
      <c r="K397" s="2173"/>
      <c r="L397" s="2173"/>
      <c r="M397" s="2173"/>
      <c r="N397" s="2173"/>
      <c r="O397" s="2173"/>
      <c r="P397" s="2173"/>
      <c r="Q397" s="2173"/>
      <c r="R397" s="2173"/>
      <c r="S397" s="2173"/>
      <c r="T397" s="2173"/>
      <c r="U397" s="2173"/>
      <c r="V397" s="2173"/>
      <c r="W397" s="2173"/>
      <c r="X397" s="2173"/>
      <c r="Y397" s="2173"/>
      <c r="Z397" s="2173"/>
      <c r="AA397" s="2173"/>
      <c r="AB397" s="2173"/>
      <c r="AC397" s="2173"/>
      <c r="AD397" s="2173"/>
      <c r="AE397" s="2173"/>
      <c r="AF397" s="2173"/>
      <c r="AG397" s="2173"/>
      <c r="AH397" s="2173"/>
      <c r="AI397" s="2173"/>
      <c r="AJ397" s="2173"/>
      <c r="AK397" s="2173"/>
      <c r="AL397" s="2173"/>
      <c r="AM397" s="2173"/>
      <c r="AN397" s="2173"/>
      <c r="AO397" s="2173"/>
      <c r="AP397" s="2173"/>
      <c r="AQ397" s="2173"/>
      <c r="AR397" s="2173"/>
      <c r="AS397" s="2173"/>
      <c r="AT397" s="2173"/>
      <c r="AU397" s="2173"/>
      <c r="AV397" s="2173"/>
      <c r="AW397" s="2173"/>
      <c r="AX397" s="2173"/>
      <c r="AY397" s="2173"/>
      <c r="AZ397" s="2173"/>
      <c r="BA397" s="2173"/>
      <c r="BB397" s="2173"/>
      <c r="BC397" s="722" t="s">
        <v>4694</v>
      </c>
    </row>
    <row r="398" spans="2:55" ht="18" hidden="1" customHeight="1">
      <c r="F398" s="2171" t="s">
        <v>3648</v>
      </c>
      <c r="G398" s="2172"/>
      <c r="H398" s="2172"/>
      <c r="I398" s="2172"/>
      <c r="J398" s="2172"/>
      <c r="K398" s="2172"/>
      <c r="L398" s="2172"/>
      <c r="M398" s="2172"/>
      <c r="N398" s="2172"/>
      <c r="O398" s="2172"/>
      <c r="P398" s="2172"/>
      <c r="Q398" s="2172"/>
      <c r="R398" s="2172"/>
      <c r="S398" s="2172"/>
      <c r="T398" s="2172"/>
      <c r="U398" s="2172"/>
      <c r="V398" s="2172"/>
      <c r="W398" s="2172"/>
      <c r="X398" s="2172"/>
      <c r="Y398" s="2172"/>
      <c r="Z398" s="2172"/>
      <c r="AA398" s="2172"/>
      <c r="AB398" s="2172"/>
      <c r="AC398" s="2172"/>
      <c r="AD398" s="2172"/>
      <c r="AE398" s="2172"/>
      <c r="AF398" s="2172"/>
      <c r="AG398" s="2172"/>
      <c r="AH398" s="2172"/>
      <c r="AI398" s="2172"/>
      <c r="AJ398" s="2172"/>
      <c r="AK398" s="2172"/>
      <c r="AL398" s="2172"/>
      <c r="AM398" s="2172"/>
      <c r="AN398" s="2172"/>
      <c r="AO398" s="2172"/>
      <c r="AP398" s="2172"/>
      <c r="AQ398" s="2172"/>
      <c r="AR398" s="2172"/>
      <c r="AS398" s="2172"/>
      <c r="AT398" s="2172"/>
      <c r="AU398" s="2172"/>
      <c r="AV398" s="2172"/>
      <c r="AW398" s="2172"/>
      <c r="AX398" s="2172"/>
      <c r="AY398" s="2172"/>
      <c r="AZ398" s="2172"/>
      <c r="BA398" s="2172"/>
      <c r="BB398" s="2172"/>
      <c r="BC398" s="722" t="s">
        <v>4694</v>
      </c>
    </row>
    <row r="399" spans="2:55" ht="18" hidden="1" customHeight="1">
      <c r="G399" s="102" t="s">
        <v>6344</v>
      </c>
      <c r="H399" s="2171" t="s">
        <v>3649</v>
      </c>
      <c r="I399" s="2171"/>
      <c r="J399" s="2171"/>
      <c r="K399" s="2171"/>
      <c r="L399" s="2171"/>
      <c r="M399" s="2171"/>
      <c r="N399" s="2171"/>
      <c r="O399" s="2171"/>
      <c r="P399" s="2171"/>
      <c r="Q399" s="2171"/>
      <c r="R399" s="2171"/>
      <c r="S399" s="2171"/>
      <c r="T399" s="2171"/>
      <c r="U399" s="2171"/>
      <c r="V399" s="2171"/>
      <c r="W399" s="2171"/>
      <c r="X399" s="2171"/>
      <c r="Y399" s="2171"/>
      <c r="Z399" s="2171"/>
      <c r="AA399" s="2171"/>
      <c r="AB399" s="2171"/>
      <c r="AC399" s="2171"/>
      <c r="AD399" s="2171"/>
      <c r="AE399" s="2171"/>
      <c r="AF399" s="2171"/>
      <c r="AG399" s="2171"/>
      <c r="AH399" s="2171"/>
      <c r="AI399" s="2171"/>
      <c r="AJ399" s="2171"/>
      <c r="AK399" s="2171"/>
      <c r="AL399" s="2171"/>
      <c r="AM399" s="2171"/>
      <c r="AN399" s="2171"/>
      <c r="AO399" s="2171"/>
      <c r="AP399" s="2171"/>
      <c r="AQ399" s="2171"/>
      <c r="AR399" s="2171"/>
      <c r="AS399" s="2171"/>
      <c r="AT399" s="2171"/>
      <c r="AU399" s="2171"/>
      <c r="AV399" s="2171"/>
      <c r="AW399" s="2171"/>
      <c r="AX399" s="2171"/>
      <c r="AY399" s="2171"/>
      <c r="AZ399" s="2171"/>
      <c r="BA399" s="2171"/>
      <c r="BB399" s="2171"/>
      <c r="BC399" s="722" t="s">
        <v>4694</v>
      </c>
    </row>
    <row r="400" spans="2:55" ht="18" hidden="1" customHeight="1">
      <c r="F400" s="108"/>
      <c r="G400" s="102" t="s">
        <v>6344</v>
      </c>
      <c r="H400" s="2171" t="s">
        <v>3977</v>
      </c>
      <c r="I400" s="2171"/>
      <c r="J400" s="2171"/>
      <c r="K400" s="2171"/>
      <c r="L400" s="2171"/>
      <c r="M400" s="2171"/>
      <c r="N400" s="2171"/>
      <c r="O400" s="2171"/>
      <c r="P400" s="2171"/>
      <c r="Q400" s="2171"/>
      <c r="R400" s="2171"/>
      <c r="S400" s="2171"/>
      <c r="T400" s="2171"/>
      <c r="U400" s="2171"/>
      <c r="V400" s="2171"/>
      <c r="W400" s="2171"/>
      <c r="X400" s="2171"/>
      <c r="Y400" s="2171"/>
      <c r="Z400" s="2171"/>
      <c r="AA400" s="2171"/>
      <c r="AB400" s="2171"/>
      <c r="AC400" s="2171"/>
      <c r="AD400" s="2171"/>
      <c r="AE400" s="2171"/>
      <c r="AF400" s="2171"/>
      <c r="AG400" s="2171"/>
      <c r="AH400" s="2171"/>
      <c r="AI400" s="2171"/>
      <c r="AJ400" s="2171"/>
      <c r="AK400" s="2171"/>
      <c r="AL400" s="2171"/>
      <c r="AM400" s="2171"/>
      <c r="AN400" s="2171"/>
      <c r="AO400" s="2171"/>
      <c r="AP400" s="2171"/>
      <c r="AQ400" s="2171"/>
      <c r="AR400" s="2171"/>
      <c r="AS400" s="2171"/>
      <c r="AT400" s="2171"/>
      <c r="AU400" s="2171"/>
      <c r="AV400" s="2171"/>
      <c r="AW400" s="2171"/>
      <c r="AX400" s="2171"/>
      <c r="AY400" s="2171"/>
      <c r="AZ400" s="2171"/>
      <c r="BA400" s="2171"/>
      <c r="BB400" s="2171"/>
      <c r="BC400" s="722" t="s">
        <v>4694</v>
      </c>
    </row>
    <row r="401" spans="2:55" ht="18" hidden="1" customHeight="1">
      <c r="F401" s="108"/>
      <c r="G401" s="102" t="s">
        <v>6344</v>
      </c>
      <c r="H401" s="2171" t="s">
        <v>3979</v>
      </c>
      <c r="I401" s="2171"/>
      <c r="J401" s="2171"/>
      <c r="K401" s="2171"/>
      <c r="L401" s="2171"/>
      <c r="M401" s="2171"/>
      <c r="N401" s="2171"/>
      <c r="O401" s="2171"/>
      <c r="P401" s="2171"/>
      <c r="Q401" s="2171"/>
      <c r="R401" s="2171"/>
      <c r="S401" s="2171"/>
      <c r="T401" s="2171"/>
      <c r="U401" s="2171"/>
      <c r="V401" s="2171"/>
      <c r="W401" s="2171"/>
      <c r="X401" s="2171"/>
      <c r="Y401" s="2171"/>
      <c r="Z401" s="2171"/>
      <c r="AA401" s="2171"/>
      <c r="AB401" s="2171"/>
      <c r="AC401" s="2171"/>
      <c r="AD401" s="2171"/>
      <c r="AE401" s="2171"/>
      <c r="AF401" s="2171"/>
      <c r="AG401" s="2171"/>
      <c r="AH401" s="2171"/>
      <c r="AI401" s="2171"/>
      <c r="AJ401" s="2171"/>
      <c r="AK401" s="2171"/>
      <c r="AL401" s="2171"/>
      <c r="AM401" s="2171"/>
      <c r="AN401" s="2171"/>
      <c r="AO401" s="2171"/>
      <c r="AP401" s="2171"/>
      <c r="AQ401" s="2171"/>
      <c r="AR401" s="2171"/>
      <c r="AS401" s="2171"/>
      <c r="AT401" s="2171"/>
      <c r="AU401" s="2171"/>
      <c r="AV401" s="2171"/>
      <c r="AW401" s="2171"/>
      <c r="AX401" s="2171"/>
      <c r="AY401" s="2171"/>
      <c r="AZ401" s="2171"/>
      <c r="BA401" s="2171"/>
      <c r="BB401" s="2171"/>
      <c r="BC401" s="722" t="s">
        <v>4694</v>
      </c>
    </row>
    <row r="402" spans="2:55" ht="18" hidden="1" customHeight="1">
      <c r="F402" s="108"/>
      <c r="G402" s="102" t="s">
        <v>6344</v>
      </c>
      <c r="H402" s="2171" t="s">
        <v>3980</v>
      </c>
      <c r="I402" s="2171"/>
      <c r="J402" s="2171"/>
      <c r="K402" s="2171"/>
      <c r="L402" s="2171"/>
      <c r="M402" s="2171"/>
      <c r="N402" s="2171"/>
      <c r="O402" s="2171"/>
      <c r="P402" s="2171"/>
      <c r="Q402" s="2171"/>
      <c r="R402" s="2171"/>
      <c r="S402" s="2171"/>
      <c r="T402" s="2171"/>
      <c r="U402" s="2171"/>
      <c r="V402" s="2171"/>
      <c r="W402" s="2171"/>
      <c r="X402" s="2171"/>
      <c r="Y402" s="2171"/>
      <c r="Z402" s="2171"/>
      <c r="AA402" s="2171"/>
      <c r="AB402" s="2171"/>
      <c r="AC402" s="2171"/>
      <c r="AD402" s="2171"/>
      <c r="AE402" s="2171"/>
      <c r="AF402" s="2171"/>
      <c r="AG402" s="2171"/>
      <c r="AH402" s="2171"/>
      <c r="AI402" s="2171"/>
      <c r="AJ402" s="2171"/>
      <c r="AK402" s="2171"/>
      <c r="AL402" s="2171"/>
      <c r="AM402" s="2171"/>
      <c r="AN402" s="2171"/>
      <c r="AO402" s="2171"/>
      <c r="AP402" s="2171"/>
      <c r="AQ402" s="2171"/>
      <c r="AR402" s="2171"/>
      <c r="AS402" s="2171"/>
      <c r="AT402" s="2171"/>
      <c r="AU402" s="2171"/>
      <c r="AV402" s="2171"/>
      <c r="AW402" s="2171"/>
      <c r="AX402" s="2171"/>
      <c r="AY402" s="2171"/>
      <c r="AZ402" s="2171"/>
      <c r="BA402" s="2171"/>
      <c r="BB402" s="2171"/>
      <c r="BC402" s="722" t="s">
        <v>4694</v>
      </c>
    </row>
    <row r="403" spans="2:55" ht="18" hidden="1" customHeight="1">
      <c r="F403" s="108"/>
      <c r="G403" s="102" t="s">
        <v>6344</v>
      </c>
      <c r="H403" s="2171" t="s">
        <v>171</v>
      </c>
      <c r="I403" s="2171"/>
      <c r="J403" s="2171"/>
      <c r="K403" s="2171"/>
      <c r="L403" s="2171"/>
      <c r="M403" s="2171"/>
      <c r="N403" s="2171"/>
      <c r="O403" s="2171"/>
      <c r="P403" s="2171"/>
      <c r="Q403" s="2171"/>
      <c r="R403" s="2171"/>
      <c r="S403" s="2171"/>
      <c r="T403" s="2171"/>
      <c r="U403" s="2171"/>
      <c r="V403" s="2171"/>
      <c r="W403" s="2171"/>
      <c r="X403" s="2171"/>
      <c r="Y403" s="2171"/>
      <c r="Z403" s="2171"/>
      <c r="AA403" s="2171"/>
      <c r="AB403" s="2171"/>
      <c r="AC403" s="2171"/>
      <c r="AD403" s="2171"/>
      <c r="AE403" s="2171"/>
      <c r="AF403" s="2171"/>
      <c r="AG403" s="2171"/>
      <c r="AH403" s="2171"/>
      <c r="AI403" s="2171"/>
      <c r="AJ403" s="2171"/>
      <c r="AK403" s="2171"/>
      <c r="AL403" s="2171"/>
      <c r="AM403" s="2171"/>
      <c r="AN403" s="2171"/>
      <c r="AO403" s="2171"/>
      <c r="AP403" s="2171"/>
      <c r="AQ403" s="2171"/>
      <c r="AR403" s="2171"/>
      <c r="AS403" s="2171"/>
      <c r="AT403" s="2171"/>
      <c r="AU403" s="2171"/>
      <c r="AV403" s="2171"/>
      <c r="AW403" s="2171"/>
      <c r="AX403" s="2171"/>
      <c r="AY403" s="2171"/>
      <c r="AZ403" s="2171"/>
      <c r="BA403" s="2171"/>
      <c r="BB403" s="2171"/>
      <c r="BC403" s="722" t="s">
        <v>4694</v>
      </c>
    </row>
    <row r="404" spans="2:55" ht="18" hidden="1" customHeight="1">
      <c r="F404" s="108"/>
      <c r="G404" s="102" t="s">
        <v>6344</v>
      </c>
      <c r="H404" s="2171" t="s">
        <v>4898</v>
      </c>
      <c r="I404" s="2171"/>
      <c r="J404" s="2171"/>
      <c r="K404" s="2171"/>
      <c r="L404" s="2171"/>
      <c r="M404" s="2171"/>
      <c r="N404" s="2171"/>
      <c r="O404" s="2171"/>
      <c r="P404" s="2171"/>
      <c r="Q404" s="2171"/>
      <c r="R404" s="2171"/>
      <c r="S404" s="2171"/>
      <c r="T404" s="2171"/>
      <c r="U404" s="2171"/>
      <c r="V404" s="2171"/>
      <c r="W404" s="2171"/>
      <c r="X404" s="2171"/>
      <c r="Y404" s="2171"/>
      <c r="Z404" s="2171"/>
      <c r="AA404" s="2171"/>
      <c r="AB404" s="2171"/>
      <c r="AC404" s="2171"/>
      <c r="AD404" s="2171"/>
      <c r="AE404" s="2171"/>
      <c r="AF404" s="2171"/>
      <c r="AG404" s="2171"/>
      <c r="AH404" s="2171"/>
      <c r="AI404" s="2171"/>
      <c r="AJ404" s="2171"/>
      <c r="AK404" s="2171"/>
      <c r="AL404" s="2171"/>
      <c r="AM404" s="2171"/>
      <c r="AN404" s="2171"/>
      <c r="AO404" s="2171"/>
      <c r="AP404" s="2171"/>
      <c r="AQ404" s="2171"/>
      <c r="AR404" s="2171"/>
      <c r="AS404" s="2171"/>
      <c r="AT404" s="2171"/>
      <c r="AU404" s="2171"/>
      <c r="AV404" s="2171"/>
      <c r="AW404" s="2171"/>
      <c r="AX404" s="2171"/>
      <c r="AY404" s="2171"/>
      <c r="AZ404" s="2171"/>
      <c r="BA404" s="2171"/>
      <c r="BB404" s="2171"/>
      <c r="BC404" s="722" t="s">
        <v>4694</v>
      </c>
    </row>
    <row r="405" spans="2:55" ht="18" hidden="1" customHeight="1">
      <c r="B405" s="2171" t="s">
        <v>4354</v>
      </c>
      <c r="C405" s="2171"/>
      <c r="D405" s="2171"/>
      <c r="E405" s="2171"/>
      <c r="F405" s="2171"/>
      <c r="G405" s="2171"/>
      <c r="H405" s="2171"/>
      <c r="I405" s="2171"/>
      <c r="J405" s="2171"/>
      <c r="K405" s="2171"/>
      <c r="L405" s="2171"/>
      <c r="M405" s="2171"/>
      <c r="N405" s="2171"/>
      <c r="O405" s="2171"/>
      <c r="P405" s="2171"/>
      <c r="Q405" s="2171"/>
      <c r="R405" s="2171"/>
      <c r="S405" s="2171"/>
      <c r="T405" s="2171"/>
      <c r="U405" s="2171"/>
      <c r="V405" s="2171"/>
      <c r="W405" s="2171"/>
      <c r="X405" s="2171"/>
      <c r="Y405" s="2171"/>
      <c r="Z405" s="2171"/>
      <c r="AA405" s="2171"/>
      <c r="AB405" s="2171"/>
      <c r="AC405" s="2171"/>
      <c r="AD405" s="2171"/>
      <c r="AE405" s="2171"/>
      <c r="AF405" s="2171"/>
      <c r="AG405" s="2171"/>
      <c r="AH405" s="2171"/>
      <c r="AI405" s="2171"/>
      <c r="AJ405" s="2171"/>
      <c r="AK405" s="2171"/>
      <c r="AL405" s="2171"/>
      <c r="AM405" s="2171"/>
      <c r="AN405" s="2171"/>
      <c r="AO405" s="2171"/>
      <c r="AP405" s="2171"/>
      <c r="AQ405" s="2171"/>
      <c r="AR405" s="2171"/>
      <c r="AS405" s="2171"/>
      <c r="AT405" s="2171"/>
      <c r="AU405" s="2171"/>
      <c r="AV405" s="2171"/>
      <c r="AW405" s="2171"/>
      <c r="AX405" s="2171"/>
      <c r="AY405" s="2171"/>
      <c r="AZ405" s="2171"/>
      <c r="BA405" s="2171"/>
      <c r="BB405" s="2171"/>
      <c r="BC405" s="722" t="s">
        <v>4694</v>
      </c>
    </row>
    <row r="406" spans="2:55" ht="18" hidden="1" customHeight="1">
      <c r="F406" s="108"/>
      <c r="G406" s="102" t="s">
        <v>6344</v>
      </c>
      <c r="H406" s="2171" t="s">
        <v>5675</v>
      </c>
      <c r="I406" s="2171"/>
      <c r="J406" s="2171"/>
      <c r="K406" s="2171"/>
      <c r="L406" s="2171"/>
      <c r="M406" s="2171"/>
      <c r="N406" s="2171"/>
      <c r="O406" s="2171"/>
      <c r="P406" s="2171"/>
      <c r="Q406" s="2171"/>
      <c r="R406" s="2171"/>
      <c r="S406" s="2171"/>
      <c r="T406" s="2171"/>
      <c r="U406" s="2171"/>
      <c r="V406" s="2171"/>
      <c r="W406" s="2171"/>
      <c r="X406" s="2171"/>
      <c r="Y406" s="2171"/>
      <c r="Z406" s="2171"/>
      <c r="AA406" s="2171"/>
      <c r="AB406" s="2171"/>
      <c r="AC406" s="2171"/>
      <c r="AD406" s="2171"/>
      <c r="AE406" s="2171"/>
      <c r="AF406" s="2171"/>
      <c r="AG406" s="2171"/>
      <c r="AH406" s="2171"/>
      <c r="AI406" s="2171"/>
      <c r="AJ406" s="2171"/>
      <c r="AK406" s="2171"/>
      <c r="AL406" s="2171"/>
      <c r="AM406" s="2171"/>
      <c r="AN406" s="2171"/>
      <c r="AO406" s="2171"/>
      <c r="AP406" s="2171"/>
      <c r="AQ406" s="2171"/>
      <c r="AR406" s="2171"/>
      <c r="AS406" s="2171"/>
      <c r="AT406" s="2171"/>
      <c r="AU406" s="2171"/>
      <c r="AV406" s="2171"/>
      <c r="AW406" s="2171"/>
      <c r="AX406" s="2171"/>
      <c r="AY406" s="2171"/>
      <c r="AZ406" s="2171"/>
      <c r="BA406" s="2171"/>
      <c r="BB406" s="2171"/>
      <c r="BC406" s="722" t="s">
        <v>4694</v>
      </c>
    </row>
    <row r="407" spans="2:55" ht="18" hidden="1" customHeight="1">
      <c r="F407" s="108"/>
      <c r="G407" s="102" t="s">
        <v>6344</v>
      </c>
      <c r="H407" s="2171" t="s">
        <v>6272</v>
      </c>
      <c r="I407" s="2171"/>
      <c r="J407" s="2171"/>
      <c r="K407" s="2171"/>
      <c r="L407" s="2171"/>
      <c r="M407" s="2171"/>
      <c r="N407" s="2171"/>
      <c r="O407" s="2171"/>
      <c r="P407" s="2171"/>
      <c r="Q407" s="2171"/>
      <c r="R407" s="2171"/>
      <c r="S407" s="2171"/>
      <c r="T407" s="2171"/>
      <c r="U407" s="2171"/>
      <c r="V407" s="2171"/>
      <c r="W407" s="2171"/>
      <c r="X407" s="2171"/>
      <c r="Y407" s="2171"/>
      <c r="Z407" s="2171"/>
      <c r="AA407" s="2171"/>
      <c r="AB407" s="2171"/>
      <c r="AC407" s="2171"/>
      <c r="AD407" s="2171"/>
      <c r="AE407" s="2171"/>
      <c r="AF407" s="2171"/>
      <c r="AG407" s="2171"/>
      <c r="AH407" s="2171"/>
      <c r="AI407" s="2171"/>
      <c r="AJ407" s="2171"/>
      <c r="AK407" s="2171"/>
      <c r="AL407" s="2171"/>
      <c r="AM407" s="2171"/>
      <c r="AN407" s="2171"/>
      <c r="AO407" s="2171"/>
      <c r="AP407" s="2171"/>
      <c r="AQ407" s="2171"/>
      <c r="AR407" s="2171"/>
      <c r="AS407" s="2171"/>
      <c r="AT407" s="2171"/>
      <c r="AU407" s="2171"/>
      <c r="AV407" s="2171"/>
      <c r="AW407" s="2171"/>
      <c r="AX407" s="2171"/>
      <c r="AY407" s="2171"/>
      <c r="AZ407" s="2171"/>
      <c r="BA407" s="2171"/>
      <c r="BB407" s="2171"/>
      <c r="BC407" s="722" t="s">
        <v>4694</v>
      </c>
    </row>
    <row r="408" spans="2:55" ht="18" hidden="1" customHeight="1">
      <c r="B408" s="2171" t="s">
        <v>6273</v>
      </c>
      <c r="C408" s="2171"/>
      <c r="D408" s="2171"/>
      <c r="E408" s="2171"/>
      <c r="F408" s="2171"/>
      <c r="G408" s="2171"/>
      <c r="H408" s="2171"/>
      <c r="I408" s="2171"/>
      <c r="J408" s="2171"/>
      <c r="K408" s="2171"/>
      <c r="L408" s="2171"/>
      <c r="M408" s="2171"/>
      <c r="N408" s="2171"/>
      <c r="O408" s="2171"/>
      <c r="P408" s="2171"/>
      <c r="Q408" s="2171"/>
      <c r="R408" s="2171"/>
      <c r="S408" s="2171"/>
      <c r="T408" s="2171"/>
      <c r="U408" s="2171"/>
      <c r="V408" s="2171"/>
      <c r="W408" s="2171"/>
      <c r="X408" s="2171"/>
      <c r="Y408" s="2171"/>
      <c r="Z408" s="2171"/>
      <c r="AA408" s="2171"/>
      <c r="AB408" s="2171"/>
      <c r="AC408" s="2171"/>
      <c r="AD408" s="2171"/>
      <c r="AE408" s="2171"/>
      <c r="AF408" s="2171"/>
      <c r="AG408" s="2171"/>
      <c r="AH408" s="2171"/>
      <c r="AI408" s="2171"/>
      <c r="AJ408" s="2171"/>
      <c r="AK408" s="2171"/>
      <c r="AL408" s="2171"/>
      <c r="AM408" s="2171"/>
      <c r="AN408" s="2171"/>
      <c r="AO408" s="2171"/>
      <c r="AP408" s="2171"/>
      <c r="AQ408" s="2171"/>
      <c r="AR408" s="2171"/>
      <c r="AS408" s="2171"/>
      <c r="AT408" s="2171"/>
      <c r="AU408" s="2171"/>
      <c r="AV408" s="2171"/>
      <c r="AW408" s="2171"/>
      <c r="AX408" s="2171"/>
      <c r="AY408" s="2171"/>
      <c r="AZ408" s="2171"/>
      <c r="BA408" s="2171"/>
      <c r="BB408" s="2171"/>
      <c r="BC408" s="722" t="s">
        <v>4694</v>
      </c>
    </row>
    <row r="409" spans="2:55" ht="18" hidden="1" customHeight="1">
      <c r="F409" s="2171" t="s">
        <v>2205</v>
      </c>
      <c r="G409" s="2172"/>
      <c r="H409" s="2172"/>
      <c r="I409" s="2172"/>
      <c r="J409" s="2172"/>
      <c r="K409" s="2172"/>
      <c r="L409" s="2172"/>
      <c r="M409" s="2172"/>
      <c r="N409" s="2172"/>
      <c r="O409" s="2172"/>
      <c r="P409" s="2172"/>
      <c r="Q409" s="2172"/>
      <c r="R409" s="2172"/>
      <c r="S409" s="2172"/>
      <c r="T409" s="2172"/>
      <c r="U409" s="2172"/>
      <c r="V409" s="2172"/>
      <c r="W409" s="2172"/>
      <c r="X409" s="2172"/>
      <c r="Y409" s="2172"/>
      <c r="Z409" s="2172"/>
      <c r="AA409" s="2172"/>
      <c r="AB409" s="2172"/>
      <c r="AC409" s="2172"/>
      <c r="AD409" s="2172"/>
      <c r="AE409" s="2172"/>
      <c r="AF409" s="2172"/>
      <c r="AG409" s="2172"/>
      <c r="AH409" s="2172"/>
      <c r="AI409" s="2172"/>
      <c r="AJ409" s="2172"/>
      <c r="AK409" s="2172"/>
      <c r="AL409" s="2172"/>
      <c r="AM409" s="2172"/>
      <c r="AN409" s="2172"/>
      <c r="AO409" s="2172"/>
      <c r="AP409" s="2172"/>
      <c r="AQ409" s="2172"/>
      <c r="AR409" s="2172"/>
      <c r="AS409" s="2172"/>
      <c r="AT409" s="2172"/>
      <c r="AU409" s="2172"/>
      <c r="AV409" s="2172"/>
      <c r="AW409" s="2172"/>
      <c r="AX409" s="2172"/>
      <c r="AY409" s="2172"/>
      <c r="AZ409" s="2172"/>
      <c r="BA409" s="2172"/>
      <c r="BB409" s="2172"/>
      <c r="BC409" s="722" t="s">
        <v>4694</v>
      </c>
    </row>
    <row r="410" spans="2:55" ht="18" hidden="1" customHeight="1">
      <c r="H410" s="2171" t="s">
        <v>2430</v>
      </c>
      <c r="I410" s="2171"/>
      <c r="J410" s="2171"/>
      <c r="K410" s="2171"/>
      <c r="L410" s="2171"/>
      <c r="M410" s="2171"/>
      <c r="N410" s="2171"/>
      <c r="O410" s="2171"/>
      <c r="P410" s="2171"/>
      <c r="Q410" s="2171"/>
      <c r="R410" s="2171"/>
      <c r="S410" s="2171"/>
      <c r="T410" s="2171"/>
      <c r="U410" s="2171"/>
      <c r="V410" s="2171"/>
      <c r="W410" s="2171"/>
      <c r="X410" s="2171"/>
      <c r="Y410" s="2171"/>
      <c r="Z410" s="2171"/>
      <c r="AA410" s="2171"/>
      <c r="AB410" s="2171"/>
      <c r="AC410" s="2171"/>
      <c r="AD410" s="2171"/>
      <c r="AE410" s="2171"/>
      <c r="AF410" s="2171"/>
      <c r="AG410" s="2171"/>
      <c r="AH410" s="2171"/>
      <c r="AI410" s="2171"/>
      <c r="AJ410" s="2171"/>
      <c r="AK410" s="2171"/>
      <c r="AL410" s="2171"/>
      <c r="AM410" s="2171"/>
      <c r="AN410" s="2171"/>
      <c r="AO410" s="2171"/>
      <c r="AP410" s="2171"/>
      <c r="AQ410" s="2171"/>
      <c r="AR410" s="2171"/>
      <c r="AS410" s="2171"/>
      <c r="AT410" s="2171"/>
      <c r="AU410" s="2171"/>
      <c r="AV410" s="2171"/>
      <c r="AW410" s="2171"/>
      <c r="AX410" s="2171"/>
      <c r="AY410" s="2171"/>
      <c r="AZ410" s="2171"/>
      <c r="BA410" s="2171"/>
      <c r="BB410" s="2171"/>
      <c r="BC410" s="722" t="s">
        <v>4694</v>
      </c>
    </row>
    <row r="411" spans="2:55" ht="18" hidden="1" customHeight="1">
      <c r="B411" s="2171" t="s">
        <v>3633</v>
      </c>
      <c r="C411" s="2171"/>
      <c r="D411" s="2171"/>
      <c r="E411" s="2171"/>
      <c r="F411" s="2171"/>
      <c r="G411" s="2171"/>
      <c r="H411" s="2171"/>
      <c r="I411" s="2171"/>
      <c r="J411" s="2171"/>
      <c r="K411" s="2171"/>
      <c r="L411" s="2171"/>
      <c r="M411" s="2171"/>
      <c r="N411" s="2171"/>
      <c r="O411" s="2171"/>
      <c r="P411" s="2171"/>
      <c r="Q411" s="2171"/>
      <c r="R411" s="2171"/>
      <c r="S411" s="2171"/>
      <c r="T411" s="2171"/>
      <c r="U411" s="2171"/>
      <c r="V411" s="2171"/>
      <c r="W411" s="2171"/>
      <c r="X411" s="2171"/>
      <c r="Y411" s="2171"/>
      <c r="Z411" s="2171"/>
      <c r="AA411" s="2171"/>
      <c r="AB411" s="2171"/>
      <c r="AC411" s="2171"/>
      <c r="AD411" s="2171"/>
      <c r="AE411" s="2171"/>
      <c r="AF411" s="2171"/>
      <c r="AG411" s="2171"/>
      <c r="AH411" s="2171"/>
      <c r="AI411" s="2171"/>
      <c r="AJ411" s="2171"/>
      <c r="AK411" s="2171"/>
      <c r="AL411" s="2171"/>
      <c r="AM411" s="2171"/>
      <c r="AN411" s="2171"/>
      <c r="AO411" s="2171"/>
      <c r="AP411" s="2171"/>
      <c r="AQ411" s="2171"/>
      <c r="AR411" s="2171"/>
      <c r="AS411" s="2171"/>
      <c r="AT411" s="2171"/>
      <c r="AU411" s="2171"/>
      <c r="AV411" s="2171"/>
      <c r="AW411" s="2171"/>
      <c r="AX411" s="2171"/>
      <c r="AY411" s="2171"/>
      <c r="AZ411" s="2171"/>
      <c r="BA411" s="2171"/>
      <c r="BB411" s="2171"/>
      <c r="BC411" s="722" t="s">
        <v>4694</v>
      </c>
    </row>
    <row r="412" spans="2:55" ht="18" hidden="1" customHeight="1">
      <c r="D412" s="2173" t="s">
        <v>3096</v>
      </c>
      <c r="E412" s="2173"/>
      <c r="F412" s="2173"/>
      <c r="G412" s="2173"/>
      <c r="H412" s="2173"/>
      <c r="I412" s="2173"/>
      <c r="J412" s="2173"/>
      <c r="K412" s="2173"/>
      <c r="L412" s="2173"/>
      <c r="M412" s="2173"/>
      <c r="N412" s="2173"/>
      <c r="O412" s="2173"/>
      <c r="P412" s="2173"/>
      <c r="Q412" s="2173"/>
      <c r="R412" s="2173"/>
      <c r="S412" s="2173"/>
      <c r="T412" s="2173"/>
      <c r="U412" s="2173"/>
      <c r="V412" s="2173"/>
      <c r="W412" s="2173"/>
      <c r="X412" s="2173"/>
      <c r="Y412" s="2173"/>
      <c r="Z412" s="2173"/>
      <c r="AA412" s="2173"/>
      <c r="AB412" s="2173"/>
      <c r="AC412" s="2173"/>
      <c r="AD412" s="2173"/>
      <c r="AE412" s="2173"/>
      <c r="AF412" s="2173"/>
      <c r="AG412" s="2173"/>
      <c r="AH412" s="2173"/>
      <c r="AI412" s="2173"/>
      <c r="AJ412" s="2173"/>
      <c r="AK412" s="2173"/>
      <c r="AL412" s="2173"/>
      <c r="AM412" s="2173"/>
      <c r="AN412" s="2173"/>
      <c r="AO412" s="2173"/>
      <c r="AP412" s="2173"/>
      <c r="AQ412" s="2173"/>
      <c r="AR412" s="2173"/>
      <c r="AS412" s="2173"/>
      <c r="AT412" s="2173"/>
      <c r="AU412" s="2173"/>
      <c r="AV412" s="2173"/>
      <c r="AW412" s="2173"/>
      <c r="AX412" s="2173"/>
      <c r="AY412" s="2173"/>
      <c r="AZ412" s="2173"/>
      <c r="BA412" s="2173"/>
      <c r="BB412" s="2173"/>
      <c r="BC412" s="722" t="s">
        <v>4694</v>
      </c>
    </row>
    <row r="413" spans="2:55" ht="18" hidden="1" customHeight="1">
      <c r="E413" s="2171" t="s">
        <v>640</v>
      </c>
      <c r="F413" s="2171"/>
      <c r="G413" s="2171"/>
      <c r="H413" s="2171" t="s">
        <v>2479</v>
      </c>
      <c r="I413" s="2171"/>
      <c r="J413" s="2171"/>
      <c r="K413" s="2171"/>
      <c r="L413" s="2171"/>
      <c r="M413" s="2171"/>
      <c r="N413" s="2171"/>
      <c r="O413" s="2171"/>
      <c r="P413" s="2171"/>
      <c r="Q413" s="2171"/>
      <c r="R413" s="2171"/>
      <c r="S413" s="2171"/>
      <c r="T413" s="2171"/>
      <c r="U413" s="2171"/>
      <c r="V413" s="2171"/>
      <c r="W413" s="2171"/>
      <c r="X413" s="2171"/>
      <c r="Y413" s="2171"/>
      <c r="Z413" s="2171"/>
      <c r="AA413" s="2171"/>
      <c r="AB413" s="2171"/>
      <c r="AC413" s="2171"/>
      <c r="AD413" s="2171"/>
      <c r="AE413" s="2171"/>
      <c r="AF413" s="2171"/>
      <c r="AG413" s="2171"/>
      <c r="AH413" s="2171"/>
      <c r="AI413" s="2171"/>
      <c r="AJ413" s="2171"/>
      <c r="AK413" s="2171"/>
      <c r="AL413" s="2171"/>
      <c r="AM413" s="2171"/>
      <c r="AN413" s="2171"/>
      <c r="AO413" s="2171"/>
      <c r="AP413" s="2171"/>
      <c r="AQ413" s="2171"/>
      <c r="AR413" s="2171"/>
      <c r="AS413" s="2171"/>
      <c r="AT413" s="2171"/>
      <c r="AU413" s="2171"/>
      <c r="AV413" s="2171"/>
      <c r="AW413" s="2171"/>
      <c r="AX413" s="2171"/>
      <c r="AY413" s="2171"/>
      <c r="AZ413" s="2171"/>
      <c r="BA413" s="2171"/>
      <c r="BB413" s="2171"/>
      <c r="BC413" s="722" t="s">
        <v>4694</v>
      </c>
    </row>
    <row r="414" spans="2:55" ht="18" hidden="1" customHeight="1">
      <c r="B414" s="2171" t="s">
        <v>2480</v>
      </c>
      <c r="C414" s="2171"/>
      <c r="D414" s="2171"/>
      <c r="E414" s="2171"/>
      <c r="F414" s="2171"/>
      <c r="G414" s="2171"/>
      <c r="H414" s="2171"/>
      <c r="I414" s="2171"/>
      <c r="J414" s="2171"/>
      <c r="K414" s="2171"/>
      <c r="L414" s="2171"/>
      <c r="M414" s="2171"/>
      <c r="N414" s="2171"/>
      <c r="O414" s="2171"/>
      <c r="P414" s="2171"/>
      <c r="Q414" s="2171"/>
      <c r="R414" s="2171"/>
      <c r="S414" s="2171"/>
      <c r="T414" s="2171"/>
      <c r="U414" s="2171"/>
      <c r="V414" s="2171"/>
      <c r="W414" s="2171"/>
      <c r="X414" s="2171"/>
      <c r="Y414" s="2171"/>
      <c r="Z414" s="2171"/>
      <c r="AA414" s="2171"/>
      <c r="AB414" s="2171"/>
      <c r="AC414" s="2171"/>
      <c r="AD414" s="2171"/>
      <c r="AE414" s="2171"/>
      <c r="AF414" s="2171"/>
      <c r="AG414" s="2171"/>
      <c r="AH414" s="2171"/>
      <c r="AI414" s="2171"/>
      <c r="AJ414" s="2171"/>
      <c r="AK414" s="2171"/>
      <c r="AL414" s="2171"/>
      <c r="AM414" s="2171"/>
      <c r="AN414" s="2171"/>
      <c r="AO414" s="2171"/>
      <c r="AP414" s="2171"/>
      <c r="AQ414" s="2171"/>
      <c r="AR414" s="2171"/>
      <c r="AS414" s="2171"/>
      <c r="AT414" s="2171"/>
      <c r="AU414" s="2171"/>
      <c r="AV414" s="2171"/>
      <c r="AW414" s="2171"/>
      <c r="AX414" s="2171"/>
      <c r="AY414" s="2171"/>
      <c r="AZ414" s="2171"/>
      <c r="BA414" s="2171"/>
      <c r="BB414" s="2171"/>
      <c r="BC414" s="722" t="s">
        <v>4694</v>
      </c>
    </row>
    <row r="415" spans="2:55" ht="18" hidden="1" customHeight="1">
      <c r="E415" s="2171" t="s">
        <v>641</v>
      </c>
      <c r="F415" s="2171"/>
      <c r="G415" s="2171"/>
      <c r="H415" s="2171" t="s">
        <v>555</v>
      </c>
      <c r="I415" s="2171"/>
      <c r="J415" s="2171"/>
      <c r="K415" s="2171"/>
      <c r="L415" s="2171"/>
      <c r="M415" s="2171"/>
      <c r="N415" s="2171"/>
      <c r="O415" s="2171"/>
      <c r="P415" s="2171"/>
      <c r="Q415" s="2171"/>
      <c r="R415" s="2171"/>
      <c r="S415" s="2171"/>
      <c r="T415" s="2171"/>
      <c r="U415" s="2171"/>
      <c r="V415" s="2171"/>
      <c r="W415" s="2171"/>
      <c r="X415" s="2171"/>
      <c r="Y415" s="2171"/>
      <c r="Z415" s="2171"/>
      <c r="AA415" s="2171"/>
      <c r="AB415" s="2171"/>
      <c r="AC415" s="2171"/>
      <c r="AD415" s="2171"/>
      <c r="AE415" s="2171"/>
      <c r="AF415" s="2171"/>
      <c r="AG415" s="2171"/>
      <c r="AH415" s="2171"/>
      <c r="AI415" s="2171"/>
      <c r="AJ415" s="2171"/>
      <c r="AK415" s="2171"/>
      <c r="AL415" s="2171"/>
      <c r="AM415" s="2171"/>
      <c r="AN415" s="2171"/>
      <c r="AO415" s="2171"/>
      <c r="AP415" s="2171"/>
      <c r="AQ415" s="2171"/>
      <c r="AR415" s="2171"/>
      <c r="AS415" s="2171"/>
      <c r="AT415" s="2171"/>
      <c r="AU415" s="2171"/>
      <c r="AV415" s="2171"/>
      <c r="AW415" s="2171"/>
      <c r="AX415" s="2171"/>
      <c r="AY415" s="2171"/>
      <c r="AZ415" s="2171"/>
      <c r="BA415" s="2171"/>
      <c r="BB415" s="2171"/>
      <c r="BC415" s="722" t="s">
        <v>4694</v>
      </c>
    </row>
    <row r="416" spans="2:55" ht="18" hidden="1" customHeight="1">
      <c r="E416" s="2171" t="s">
        <v>556</v>
      </c>
      <c r="F416" s="2171"/>
      <c r="G416" s="2171"/>
      <c r="H416" s="2171" t="s">
        <v>2185</v>
      </c>
      <c r="I416" s="2171"/>
      <c r="J416" s="2171"/>
      <c r="K416" s="2171"/>
      <c r="L416" s="2171"/>
      <c r="M416" s="2171"/>
      <c r="N416" s="2171"/>
      <c r="O416" s="2171"/>
      <c r="P416" s="2171"/>
      <c r="Q416" s="2171"/>
      <c r="R416" s="2171"/>
      <c r="S416" s="2171"/>
      <c r="T416" s="2171"/>
      <c r="U416" s="2171"/>
      <c r="V416" s="2171"/>
      <c r="W416" s="2171"/>
      <c r="X416" s="2171"/>
      <c r="Y416" s="2171"/>
      <c r="Z416" s="2171"/>
      <c r="AA416" s="2171"/>
      <c r="AB416" s="2171"/>
      <c r="AC416" s="2171"/>
      <c r="AD416" s="2171"/>
      <c r="AE416" s="2171"/>
      <c r="AF416" s="2171"/>
      <c r="AG416" s="2171"/>
      <c r="AH416" s="2171"/>
      <c r="AI416" s="2171"/>
      <c r="AJ416" s="2171"/>
      <c r="AK416" s="2171"/>
      <c r="AL416" s="2171"/>
      <c r="AM416" s="2171"/>
      <c r="AN416" s="2171"/>
      <c r="AO416" s="2171"/>
      <c r="AP416" s="2171"/>
      <c r="AQ416" s="2171"/>
      <c r="AR416" s="2171"/>
      <c r="AS416" s="2171"/>
      <c r="AT416" s="2171"/>
      <c r="AU416" s="2171"/>
      <c r="AV416" s="2171"/>
      <c r="AW416" s="2171"/>
      <c r="AX416" s="2171"/>
      <c r="AY416" s="2171"/>
      <c r="AZ416" s="2171"/>
      <c r="BA416" s="2171"/>
      <c r="BB416" s="2171"/>
      <c r="BC416" s="722" t="s">
        <v>4694</v>
      </c>
    </row>
    <row r="417" spans="2:55" ht="18" hidden="1" customHeight="1">
      <c r="E417" s="2171" t="s">
        <v>2186</v>
      </c>
      <c r="F417" s="2171"/>
      <c r="G417" s="2171"/>
      <c r="H417" s="2171" t="s">
        <v>2187</v>
      </c>
      <c r="I417" s="2171"/>
      <c r="J417" s="2171"/>
      <c r="K417" s="2171"/>
      <c r="L417" s="2171"/>
      <c r="M417" s="2171"/>
      <c r="N417" s="2171"/>
      <c r="O417" s="2171"/>
      <c r="P417" s="2171"/>
      <c r="Q417" s="2171"/>
      <c r="R417" s="2171"/>
      <c r="S417" s="2171"/>
      <c r="T417" s="2171"/>
      <c r="U417" s="2171"/>
      <c r="V417" s="2171"/>
      <c r="W417" s="2171"/>
      <c r="X417" s="2171"/>
      <c r="Y417" s="2171"/>
      <c r="Z417" s="2171"/>
      <c r="AA417" s="2171"/>
      <c r="AB417" s="2171"/>
      <c r="AC417" s="2171"/>
      <c r="AD417" s="2171"/>
      <c r="AE417" s="2171"/>
      <c r="AF417" s="2171"/>
      <c r="AG417" s="2171"/>
      <c r="AH417" s="2171"/>
      <c r="AI417" s="2171"/>
      <c r="AJ417" s="2171"/>
      <c r="AK417" s="2171"/>
      <c r="AL417" s="2171"/>
      <c r="AM417" s="2171"/>
      <c r="AN417" s="2171"/>
      <c r="AO417" s="2171"/>
      <c r="AP417" s="2171"/>
      <c r="AQ417" s="2171"/>
      <c r="AR417" s="2171"/>
      <c r="AS417" s="2171"/>
      <c r="AT417" s="2171"/>
      <c r="AU417" s="2171"/>
      <c r="AV417" s="2171"/>
      <c r="AW417" s="2171"/>
      <c r="AX417" s="2171"/>
      <c r="AY417" s="2171"/>
      <c r="AZ417" s="2171"/>
      <c r="BA417" s="2171"/>
      <c r="BB417" s="2171"/>
      <c r="BC417" s="722" t="s">
        <v>4694</v>
      </c>
    </row>
    <row r="418" spans="2:55" ht="18" hidden="1" customHeight="1">
      <c r="B418" s="2171" t="s">
        <v>2188</v>
      </c>
      <c r="C418" s="2171"/>
      <c r="D418" s="2171"/>
      <c r="E418" s="2171"/>
      <c r="F418" s="2171"/>
      <c r="G418" s="2171"/>
      <c r="H418" s="2171"/>
      <c r="I418" s="2171"/>
      <c r="J418" s="2171"/>
      <c r="K418" s="2171"/>
      <c r="L418" s="2171"/>
      <c r="M418" s="2171"/>
      <c r="N418" s="2171"/>
      <c r="O418" s="2171"/>
      <c r="P418" s="2171"/>
      <c r="Q418" s="2171"/>
      <c r="R418" s="2171"/>
      <c r="S418" s="2171"/>
      <c r="T418" s="2171"/>
      <c r="U418" s="2171"/>
      <c r="V418" s="2171"/>
      <c r="W418" s="2171"/>
      <c r="X418" s="2171"/>
      <c r="Y418" s="2171"/>
      <c r="Z418" s="2171"/>
      <c r="AA418" s="2171"/>
      <c r="AB418" s="2171"/>
      <c r="AC418" s="2171"/>
      <c r="AD418" s="2171"/>
      <c r="AE418" s="2171"/>
      <c r="AF418" s="2171"/>
      <c r="AG418" s="2171"/>
      <c r="AH418" s="2171"/>
      <c r="AI418" s="2171"/>
      <c r="AJ418" s="2171"/>
      <c r="AK418" s="2171"/>
      <c r="AL418" s="2171"/>
      <c r="AM418" s="2171"/>
      <c r="AN418" s="2171"/>
      <c r="AO418" s="2171"/>
      <c r="AP418" s="2171"/>
      <c r="AQ418" s="2171"/>
      <c r="AR418" s="2171"/>
      <c r="AS418" s="2171"/>
      <c r="AT418" s="2171"/>
      <c r="AU418" s="2171"/>
      <c r="AV418" s="2171"/>
      <c r="AW418" s="2171"/>
      <c r="AX418" s="2171"/>
      <c r="AY418" s="2171"/>
      <c r="AZ418" s="2171"/>
      <c r="BA418" s="2171"/>
      <c r="BB418" s="2171"/>
      <c r="BC418" s="722" t="s">
        <v>4694</v>
      </c>
    </row>
    <row r="419" spans="2:55" ht="18" hidden="1" customHeight="1">
      <c r="E419" s="2171" t="s">
        <v>2189</v>
      </c>
      <c r="F419" s="2171"/>
      <c r="G419" s="2171"/>
      <c r="H419" s="2172" t="s">
        <v>2324</v>
      </c>
      <c r="I419" s="2171"/>
      <c r="J419" s="2171"/>
      <c r="K419" s="2171"/>
      <c r="L419" s="2171"/>
      <c r="M419" s="2171"/>
      <c r="N419" s="2171"/>
      <c r="O419" s="2171"/>
      <c r="P419" s="2171"/>
      <c r="Q419" s="2171"/>
      <c r="R419" s="2171"/>
      <c r="S419" s="2171"/>
      <c r="T419" s="2171"/>
      <c r="U419" s="2171"/>
      <c r="V419" s="2171"/>
      <c r="W419" s="2171"/>
      <c r="X419" s="2171"/>
      <c r="Y419" s="2171"/>
      <c r="Z419" s="2171"/>
      <c r="AA419" s="2171"/>
      <c r="AB419" s="2171"/>
      <c r="AC419" s="2171"/>
      <c r="AD419" s="2171"/>
      <c r="AE419" s="2171"/>
      <c r="AF419" s="2171"/>
      <c r="AG419" s="2171"/>
      <c r="AH419" s="2171"/>
      <c r="AI419" s="2171"/>
      <c r="AJ419" s="2171"/>
      <c r="AK419" s="2171"/>
      <c r="AL419" s="2171"/>
      <c r="AM419" s="2171"/>
      <c r="AN419" s="2171"/>
      <c r="AO419" s="2171"/>
      <c r="AP419" s="2171"/>
      <c r="AQ419" s="2171"/>
      <c r="AR419" s="2171"/>
      <c r="AS419" s="2171"/>
      <c r="AT419" s="2171"/>
      <c r="AU419" s="2171"/>
      <c r="AV419" s="2171"/>
      <c r="AW419" s="2171"/>
      <c r="AX419" s="2171"/>
      <c r="AY419" s="2171"/>
      <c r="AZ419" s="2171"/>
      <c r="BA419" s="2171"/>
      <c r="BB419" s="2171"/>
      <c r="BC419" s="722" t="s">
        <v>4694</v>
      </c>
    </row>
    <row r="420" spans="2:55" ht="17.100000000000001" hidden="1" customHeight="1">
      <c r="B420" s="2171" t="s">
        <v>2325</v>
      </c>
      <c r="C420" s="2171"/>
      <c r="D420" s="2171"/>
      <c r="E420" s="2171"/>
      <c r="F420" s="2171"/>
      <c r="G420" s="2171"/>
      <c r="H420" s="2171"/>
      <c r="I420" s="2171"/>
      <c r="J420" s="2171"/>
      <c r="K420" s="2171"/>
      <c r="L420" s="2171"/>
      <c r="M420" s="2171"/>
      <c r="N420" s="2171"/>
      <c r="O420" s="2171"/>
      <c r="P420" s="2171"/>
      <c r="Q420" s="2171"/>
      <c r="R420" s="2171"/>
      <c r="S420" s="2171"/>
      <c r="T420" s="2171"/>
      <c r="U420" s="2171"/>
      <c r="V420" s="2171"/>
      <c r="W420" s="2171"/>
      <c r="X420" s="2171"/>
      <c r="Y420" s="2171"/>
      <c r="Z420" s="2171"/>
      <c r="AA420" s="2171"/>
      <c r="AB420" s="2171"/>
      <c r="AC420" s="2171"/>
      <c r="AD420" s="2171"/>
      <c r="AE420" s="2171"/>
      <c r="AF420" s="2171"/>
      <c r="AG420" s="2171"/>
      <c r="AH420" s="2171"/>
      <c r="AI420" s="2171"/>
      <c r="AJ420" s="2171"/>
      <c r="AK420" s="2171"/>
      <c r="AL420" s="2171"/>
      <c r="AM420" s="2171"/>
      <c r="AN420" s="2171"/>
      <c r="AO420" s="2171"/>
      <c r="AP420" s="2171"/>
      <c r="AQ420" s="2171"/>
      <c r="AR420" s="2171"/>
      <c r="AS420" s="2171"/>
      <c r="AT420" s="2171"/>
      <c r="AU420" s="2171"/>
      <c r="AV420" s="2171"/>
      <c r="AW420" s="2171"/>
      <c r="AX420" s="2171"/>
      <c r="AY420" s="2171"/>
      <c r="AZ420" s="2171"/>
      <c r="BA420" s="2171"/>
      <c r="BB420" s="2171"/>
      <c r="BC420" s="722" t="s">
        <v>4694</v>
      </c>
    </row>
    <row r="421" spans="2:55" ht="17.100000000000001" hidden="1" customHeight="1">
      <c r="BC421" s="722" t="s">
        <v>4694</v>
      </c>
    </row>
    <row r="422" spans="2:55" ht="17.100000000000001" hidden="1" customHeight="1">
      <c r="C422" s="2030" t="s">
        <v>4479</v>
      </c>
      <c r="D422" s="2030"/>
      <c r="E422" s="2030"/>
      <c r="F422" s="2030"/>
      <c r="G422" s="2030"/>
      <c r="H422" s="2030"/>
      <c r="I422" s="2030"/>
      <c r="J422" s="2030"/>
      <c r="K422" s="2030"/>
      <c r="L422" s="2030"/>
      <c r="M422" s="2030"/>
      <c r="N422" s="2030"/>
      <c r="O422" s="2030"/>
      <c r="P422" s="2030"/>
      <c r="Q422" s="2030"/>
      <c r="R422" s="2030"/>
      <c r="S422" s="2030"/>
      <c r="T422" s="2030"/>
      <c r="U422" s="2030"/>
      <c r="V422" s="2030"/>
      <c r="W422" s="2030"/>
      <c r="X422" s="2030"/>
      <c r="Y422" s="2030"/>
      <c r="Z422" s="2030"/>
      <c r="AA422" s="2030"/>
      <c r="AB422" s="2030"/>
      <c r="AC422" s="2030" t="s">
        <v>543</v>
      </c>
      <c r="AD422" s="2030"/>
      <c r="AE422" s="2030"/>
      <c r="AF422" s="2030"/>
      <c r="AG422" s="2030"/>
      <c r="AH422" s="2030"/>
      <c r="AI422" s="2030"/>
      <c r="AJ422" s="2030"/>
      <c r="AK422" s="2030"/>
      <c r="AL422" s="2030"/>
      <c r="AM422" s="2030"/>
      <c r="AN422" s="2030"/>
      <c r="AO422" s="2030"/>
      <c r="AP422" s="2030"/>
      <c r="AQ422" s="2030"/>
      <c r="AR422" s="2030"/>
      <c r="AS422" s="2030"/>
      <c r="AT422" s="2030"/>
      <c r="AU422" s="2030"/>
      <c r="AV422" s="2030"/>
      <c r="AW422" s="2030"/>
      <c r="AX422" s="2030"/>
      <c r="AY422" s="2030"/>
      <c r="AZ422" s="2030"/>
      <c r="BA422" s="2030"/>
      <c r="BB422" s="2030"/>
      <c r="BC422" s="722" t="s">
        <v>4694</v>
      </c>
    </row>
    <row r="423" spans="2:55" ht="18" hidden="1" customHeight="1">
      <c r="AC423" s="2030" t="s">
        <v>5941</v>
      </c>
      <c r="AD423" s="2030"/>
      <c r="AE423" s="2030"/>
      <c r="AF423" s="2030"/>
      <c r="AG423" s="2030"/>
      <c r="AH423" s="2030"/>
      <c r="AI423" s="2030"/>
      <c r="AJ423" s="2030"/>
      <c r="AK423" s="2030"/>
      <c r="AL423" s="2030"/>
      <c r="AM423" s="2030"/>
      <c r="AN423" s="2030"/>
      <c r="AO423" s="2030"/>
      <c r="AP423" s="2030"/>
      <c r="AQ423" s="2030"/>
      <c r="AR423" s="2030"/>
      <c r="AS423" s="2030"/>
      <c r="AT423" s="2030"/>
      <c r="AU423" s="2030"/>
      <c r="AV423" s="2030"/>
      <c r="AW423" s="2030"/>
      <c r="AX423" s="2030"/>
      <c r="AY423" s="2030"/>
      <c r="AZ423" s="2030"/>
      <c r="BA423" s="2030"/>
      <c r="BB423" s="2030"/>
      <c r="BC423" s="722" t="s">
        <v>4694</v>
      </c>
    </row>
    <row r="424" spans="2:55" ht="18" hidden="1" customHeight="1">
      <c r="BC424" s="722" t="s">
        <v>4694</v>
      </c>
    </row>
    <row r="425" spans="2:55" ht="18" hidden="1" customHeight="1">
      <c r="BC425" s="722" t="s">
        <v>4694</v>
      </c>
    </row>
    <row r="426" spans="2:55" ht="18" hidden="1" customHeight="1">
      <c r="BC426" s="722" t="s">
        <v>4694</v>
      </c>
    </row>
    <row r="427" spans="2:55" ht="18" hidden="1" customHeight="1">
      <c r="BC427" s="722" t="s">
        <v>4694</v>
      </c>
    </row>
    <row r="428" spans="2:55" ht="18" hidden="1" customHeight="1">
      <c r="AC428" s="2030" t="s">
        <v>502</v>
      </c>
      <c r="AD428" s="2030"/>
      <c r="AE428" s="2030"/>
      <c r="AF428" s="2030"/>
      <c r="AG428" s="2030"/>
      <c r="AH428" s="2030"/>
      <c r="AI428" s="2030"/>
      <c r="AJ428" s="2030"/>
      <c r="AK428" s="2030"/>
      <c r="AL428" s="2030"/>
      <c r="AM428" s="2030"/>
      <c r="AN428" s="2030"/>
      <c r="AO428" s="2030"/>
      <c r="AP428" s="2030"/>
      <c r="AQ428" s="2030"/>
      <c r="AR428" s="2030"/>
      <c r="AS428" s="2030"/>
      <c r="AT428" s="2030"/>
      <c r="AU428" s="2030"/>
      <c r="AV428" s="2030"/>
      <c r="AW428" s="2030"/>
      <c r="AX428" s="2030"/>
      <c r="AY428" s="2030"/>
      <c r="AZ428" s="2030"/>
      <c r="BA428" s="2030"/>
      <c r="BB428" s="2030"/>
      <c r="BC428" s="722" t="s">
        <v>4694</v>
      </c>
    </row>
    <row r="429" spans="2:55" ht="18" hidden="1" customHeight="1">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722" t="s">
        <v>4694</v>
      </c>
    </row>
    <row r="430" spans="2:55" ht="18" hidden="1" customHeight="1">
      <c r="AC430" s="105"/>
      <c r="AD430" s="105"/>
      <c r="AE430" s="105"/>
      <c r="AF430" s="105"/>
      <c r="AG430" s="105"/>
      <c r="AH430" s="105"/>
      <c r="AI430" s="105"/>
      <c r="AJ430" s="105"/>
      <c r="AK430" s="105"/>
      <c r="AL430" s="105"/>
      <c r="AM430" s="105"/>
      <c r="AN430" s="105"/>
      <c r="AO430" s="105"/>
      <c r="AP430" s="105"/>
      <c r="AQ430" s="105"/>
      <c r="AR430" s="105"/>
      <c r="AS430" s="105"/>
      <c r="AT430" s="105"/>
      <c r="AU430" s="105"/>
      <c r="AV430" s="105"/>
      <c r="AW430" s="105"/>
      <c r="AX430" s="105"/>
      <c r="AY430" s="105"/>
      <c r="AZ430" s="105"/>
      <c r="BA430" s="105"/>
      <c r="BB430" s="105"/>
      <c r="BC430" s="722" t="s">
        <v>4694</v>
      </c>
    </row>
    <row r="431" spans="2:55" ht="18" hidden="1" customHeight="1">
      <c r="AC431" s="105"/>
      <c r="AD431" s="105"/>
      <c r="AE431" s="105"/>
      <c r="AF431" s="105"/>
      <c r="AG431" s="105"/>
      <c r="AH431" s="105"/>
      <c r="AI431" s="105"/>
      <c r="AJ431" s="105"/>
      <c r="AK431" s="105"/>
      <c r="AL431" s="105"/>
      <c r="AM431" s="105"/>
      <c r="AN431" s="105"/>
      <c r="AO431" s="105"/>
      <c r="AP431" s="105"/>
      <c r="AQ431" s="105"/>
      <c r="AR431" s="105"/>
      <c r="AS431" s="105"/>
      <c r="AT431" s="105"/>
      <c r="AU431" s="105"/>
      <c r="AV431" s="105"/>
      <c r="AW431" s="105"/>
      <c r="AX431" s="105"/>
      <c r="AY431" s="105"/>
      <c r="AZ431" s="105"/>
      <c r="BA431" s="105"/>
      <c r="BB431" s="105"/>
      <c r="BC431" s="722" t="s">
        <v>4694</v>
      </c>
    </row>
    <row r="432" spans="2:55" ht="18" hidden="1" customHeight="1">
      <c r="AC432" s="105"/>
      <c r="AD432" s="105"/>
      <c r="AE432" s="105"/>
      <c r="AF432" s="105"/>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722" t="s">
        <v>4694</v>
      </c>
    </row>
    <row r="433" spans="29:122" ht="18" hidden="1" customHeight="1">
      <c r="AC433" s="105"/>
      <c r="AD433" s="105"/>
      <c r="AE433" s="105"/>
      <c r="AF433" s="105"/>
      <c r="AG433" s="105"/>
      <c r="AH433" s="105"/>
      <c r="AI433" s="105"/>
      <c r="AJ433" s="105"/>
      <c r="AK433" s="105"/>
      <c r="AL433" s="105"/>
      <c r="AM433" s="105"/>
      <c r="AN433" s="105"/>
      <c r="AO433" s="105"/>
      <c r="AP433" s="105"/>
      <c r="AQ433" s="105"/>
      <c r="AR433" s="105"/>
      <c r="AS433" s="105"/>
      <c r="AT433" s="105"/>
      <c r="AU433" s="105"/>
      <c r="AV433" s="105"/>
      <c r="AW433" s="105"/>
      <c r="AX433" s="105"/>
      <c r="AY433" s="105"/>
      <c r="AZ433" s="105"/>
      <c r="BA433" s="105"/>
      <c r="BB433" s="105"/>
      <c r="BC433" s="722" t="s">
        <v>4694</v>
      </c>
    </row>
    <row r="434" spans="29:122" ht="18" hidden="1" customHeight="1">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W434" s="105"/>
      <c r="AX434" s="105"/>
      <c r="AY434" s="105"/>
      <c r="AZ434" s="105"/>
      <c r="BA434" s="105"/>
      <c r="BB434" s="105"/>
      <c r="BC434" s="722" t="s">
        <v>4694</v>
      </c>
    </row>
    <row r="435" spans="29:122" ht="18" hidden="1" customHeight="1">
      <c r="AC435" s="105"/>
      <c r="AD435" s="105"/>
      <c r="AE435" s="105"/>
      <c r="AF435" s="105"/>
      <c r="AG435" s="105"/>
      <c r="AH435" s="105"/>
      <c r="AI435" s="105"/>
      <c r="AJ435" s="105"/>
      <c r="AK435" s="105"/>
      <c r="AL435" s="105"/>
      <c r="AM435" s="105"/>
      <c r="AN435" s="105"/>
      <c r="AO435" s="105"/>
      <c r="AP435" s="105"/>
      <c r="AQ435" s="105"/>
      <c r="AR435" s="105"/>
      <c r="AS435" s="105"/>
      <c r="AT435" s="105"/>
      <c r="AU435" s="105"/>
      <c r="AV435" s="105"/>
      <c r="AW435" s="105"/>
      <c r="AX435" s="105"/>
      <c r="AY435" s="105"/>
      <c r="AZ435" s="105"/>
      <c r="BA435" s="105"/>
      <c r="BB435" s="105"/>
      <c r="BC435" s="722" t="s">
        <v>4694</v>
      </c>
    </row>
    <row r="436" spans="29:122" ht="18" hidden="1" customHeight="1">
      <c r="AC436" s="105"/>
      <c r="AD436" s="105"/>
      <c r="AE436" s="105"/>
      <c r="AF436" s="105"/>
      <c r="AG436" s="105"/>
      <c r="AH436" s="105"/>
      <c r="AI436" s="105"/>
      <c r="AJ436" s="105"/>
      <c r="AK436" s="105"/>
      <c r="AL436" s="105"/>
      <c r="AM436" s="105"/>
      <c r="AN436" s="105"/>
      <c r="AO436" s="105"/>
      <c r="AP436" s="105"/>
      <c r="AQ436" s="105"/>
      <c r="AR436" s="105"/>
      <c r="AS436" s="105"/>
      <c r="AT436" s="105"/>
      <c r="AU436" s="105"/>
      <c r="AV436" s="105"/>
      <c r="AW436" s="105"/>
      <c r="AX436" s="105"/>
      <c r="AY436" s="105"/>
      <c r="AZ436" s="105"/>
      <c r="BA436" s="105"/>
      <c r="BB436" s="105"/>
      <c r="BC436" s="722" t="s">
        <v>4694</v>
      </c>
    </row>
    <row r="437" spans="29:122" ht="18" hidden="1" customHeight="1">
      <c r="AC437" s="105"/>
      <c r="AD437" s="105"/>
      <c r="AE437" s="105"/>
      <c r="AF437" s="105"/>
      <c r="AG437" s="105"/>
      <c r="AH437" s="105"/>
      <c r="AI437" s="105"/>
      <c r="AJ437" s="105"/>
      <c r="AK437" s="105"/>
      <c r="AL437" s="105"/>
      <c r="AM437" s="105"/>
      <c r="AN437" s="105"/>
      <c r="AO437" s="105"/>
      <c r="AP437" s="105"/>
      <c r="AQ437" s="105"/>
      <c r="AR437" s="105"/>
      <c r="AS437" s="105"/>
      <c r="AT437" s="105"/>
      <c r="AU437" s="105"/>
      <c r="AV437" s="105"/>
      <c r="AW437" s="105"/>
      <c r="AX437" s="105"/>
      <c r="AY437" s="105"/>
      <c r="AZ437" s="105"/>
      <c r="BA437" s="105"/>
      <c r="BB437" s="105"/>
      <c r="BC437" s="722" t="s">
        <v>4694</v>
      </c>
    </row>
    <row r="438" spans="29:122" ht="18" hidden="1" customHeight="1">
      <c r="AC438" s="105"/>
      <c r="AD438" s="105"/>
      <c r="AE438" s="105"/>
      <c r="AF438" s="105"/>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722" t="s">
        <v>4694</v>
      </c>
    </row>
    <row r="439" spans="29:122" ht="18" hidden="1" customHeight="1">
      <c r="AC439" s="105"/>
      <c r="AD439" s="105"/>
      <c r="AE439" s="105"/>
      <c r="AF439" s="105"/>
      <c r="AG439" s="105"/>
      <c r="AH439" s="105"/>
      <c r="AI439" s="105"/>
      <c r="AJ439" s="105"/>
      <c r="AK439" s="105"/>
      <c r="AL439" s="105"/>
      <c r="AM439" s="105"/>
      <c r="AN439" s="105"/>
      <c r="AO439" s="105"/>
      <c r="AP439" s="105"/>
      <c r="AQ439" s="105"/>
      <c r="AR439" s="105"/>
      <c r="AS439" s="105"/>
      <c r="AT439" s="105"/>
      <c r="AU439" s="105"/>
      <c r="AV439" s="105"/>
      <c r="AW439" s="105"/>
      <c r="AX439" s="105"/>
      <c r="AY439" s="105"/>
      <c r="AZ439" s="105"/>
      <c r="BA439" s="105"/>
      <c r="BB439" s="105"/>
      <c r="BC439" s="722" t="s">
        <v>4694</v>
      </c>
    </row>
    <row r="440" spans="29:122" ht="18" hidden="1" customHeight="1">
      <c r="AC440" s="105"/>
      <c r="AD440" s="105"/>
      <c r="AE440" s="105"/>
      <c r="AF440" s="105"/>
      <c r="AG440" s="105"/>
      <c r="AH440" s="105"/>
      <c r="AI440" s="105"/>
      <c r="AJ440" s="105"/>
      <c r="AK440" s="105"/>
      <c r="AL440" s="105"/>
      <c r="AM440" s="105"/>
      <c r="AN440" s="105"/>
      <c r="AO440" s="105"/>
      <c r="AP440" s="105"/>
      <c r="AQ440" s="105"/>
      <c r="AR440" s="105"/>
      <c r="AS440" s="105"/>
      <c r="AT440" s="105"/>
      <c r="AU440" s="105"/>
      <c r="AV440" s="105"/>
      <c r="AW440" s="105"/>
      <c r="AX440" s="105"/>
      <c r="AY440" s="105"/>
      <c r="AZ440" s="105"/>
      <c r="BA440" s="105"/>
      <c r="BB440" s="105"/>
      <c r="BC440" s="722" t="s">
        <v>4694</v>
      </c>
    </row>
    <row r="441" spans="29:122" ht="18" hidden="1" customHeight="1">
      <c r="AC441" s="105"/>
      <c r="AD441" s="105"/>
      <c r="AE441" s="105"/>
      <c r="AF441" s="105"/>
      <c r="AG441" s="105"/>
      <c r="AH441" s="105"/>
      <c r="AI441" s="105"/>
      <c r="AJ441" s="105"/>
      <c r="AK441" s="105"/>
      <c r="AL441" s="105"/>
      <c r="AM441" s="105"/>
      <c r="AN441" s="105"/>
      <c r="AO441" s="105"/>
      <c r="AP441" s="105"/>
      <c r="AQ441" s="105"/>
      <c r="AR441" s="105"/>
      <c r="AS441" s="105"/>
      <c r="AT441" s="105"/>
      <c r="AU441" s="105"/>
      <c r="AV441" s="105"/>
      <c r="AW441" s="105"/>
      <c r="AX441" s="105"/>
      <c r="AY441" s="105"/>
      <c r="AZ441" s="105"/>
      <c r="BA441" s="105"/>
      <c r="BB441" s="105"/>
      <c r="BC441" s="722" t="s">
        <v>4694</v>
      </c>
    </row>
    <row r="442" spans="29:122" ht="15.75" hidden="1" customHeight="1">
      <c r="BC442" s="722" t="s">
        <v>4694</v>
      </c>
      <c r="BD442" s="721"/>
      <c r="DF442" s="722" t="s">
        <v>4694</v>
      </c>
    </row>
    <row r="443" spans="29:122" ht="15.75" hidden="1" customHeight="1">
      <c r="BC443" s="722" t="s">
        <v>4694</v>
      </c>
      <c r="BD443" s="721"/>
      <c r="DF443" s="722" t="s">
        <v>4694</v>
      </c>
    </row>
    <row r="444" spans="29:122" ht="15.75" hidden="1" customHeight="1">
      <c r="BC444" s="722" t="s">
        <v>4694</v>
      </c>
      <c r="BD444" s="721"/>
      <c r="DF444" s="722" t="s">
        <v>4694</v>
      </c>
    </row>
    <row r="445" spans="29:122" ht="15.75" hidden="1" customHeight="1">
      <c r="BC445" s="722" t="s">
        <v>4694</v>
      </c>
      <c r="BD445" s="721"/>
      <c r="DF445" s="722" t="s">
        <v>4694</v>
      </c>
    </row>
    <row r="446" spans="29:122" ht="15.75" hidden="1" customHeight="1">
      <c r="BC446" s="722" t="s">
        <v>4694</v>
      </c>
      <c r="BD446" s="721"/>
      <c r="DF446" s="722" t="s">
        <v>4694</v>
      </c>
    </row>
    <row r="447" spans="29:122" ht="15.75" hidden="1">
      <c r="BC447" s="722" t="s">
        <v>4694</v>
      </c>
      <c r="BD447" s="721"/>
      <c r="DF447" s="722" t="s">
        <v>4694</v>
      </c>
    </row>
    <row r="448" spans="29:122" ht="15.75" hidden="1">
      <c r="BC448" s="722" t="s">
        <v>4694</v>
      </c>
      <c r="BD448" s="721"/>
      <c r="DF448" s="722"/>
      <c r="DH448" s="85"/>
      <c r="DI448" s="100"/>
      <c r="DJ448" s="100"/>
      <c r="DK448" s="100"/>
      <c r="DL448" s="100"/>
      <c r="DM448" s="100"/>
      <c r="DN448" s="100"/>
      <c r="DO448" s="100"/>
      <c r="DP448" s="100"/>
      <c r="DQ448" s="100"/>
      <c r="DR448" s="100"/>
    </row>
    <row r="449" spans="2:122" ht="15.75" hidden="1">
      <c r="BC449" s="722" t="s">
        <v>4694</v>
      </c>
      <c r="BD449" s="721"/>
      <c r="DF449" s="722"/>
      <c r="DH449" s="85"/>
      <c r="DI449" s="100"/>
      <c r="DJ449" s="100"/>
      <c r="DK449" s="100"/>
      <c r="DL449" s="100"/>
      <c r="DM449" s="100"/>
      <c r="DN449" s="100"/>
      <c r="DO449" s="100"/>
      <c r="DP449" s="100"/>
      <c r="DQ449" s="100"/>
      <c r="DR449" s="100"/>
    </row>
    <row r="450" spans="2:122" ht="15.75" hidden="1">
      <c r="BC450" s="722" t="s">
        <v>4694</v>
      </c>
      <c r="BD450" s="721"/>
      <c r="DF450" s="722" t="s">
        <v>4694</v>
      </c>
      <c r="DH450" s="85"/>
      <c r="DI450" s="100"/>
      <c r="DJ450" s="100"/>
      <c r="DK450" s="100"/>
      <c r="DL450" s="100"/>
      <c r="DM450" s="100"/>
      <c r="DN450" s="100"/>
    </row>
    <row r="451" spans="2:122" ht="18" hidden="1" customHeight="1">
      <c r="B451" s="2030" t="s">
        <v>205</v>
      </c>
      <c r="C451" s="2030"/>
      <c r="D451" s="2030"/>
      <c r="E451" s="2030"/>
      <c r="F451" s="2030"/>
      <c r="G451" s="2030"/>
      <c r="H451" s="2030"/>
      <c r="I451" s="2030"/>
      <c r="J451" s="2030"/>
      <c r="K451" s="2030"/>
      <c r="L451" s="2030"/>
      <c r="M451" s="2030"/>
      <c r="N451" s="2030"/>
      <c r="O451" s="2030"/>
      <c r="P451" s="2030"/>
      <c r="Q451" s="2030"/>
      <c r="R451" s="2030"/>
      <c r="S451" s="2030"/>
      <c r="T451" s="2030"/>
      <c r="U451" s="2030"/>
      <c r="V451" s="2030"/>
      <c r="W451" s="2030"/>
      <c r="X451" s="2030"/>
      <c r="Y451" s="2030"/>
      <c r="Z451" s="2030"/>
      <c r="AA451" s="2030"/>
      <c r="AB451" s="2030"/>
      <c r="AC451" s="2030"/>
      <c r="AD451" s="2030"/>
      <c r="AE451" s="2030"/>
      <c r="AF451" s="2030"/>
      <c r="AG451" s="2030"/>
      <c r="AH451" s="2030"/>
      <c r="AI451" s="2030"/>
      <c r="AJ451" s="2030"/>
      <c r="AK451" s="2030"/>
      <c r="AL451" s="2030"/>
      <c r="AM451" s="2030"/>
      <c r="AN451" s="2030"/>
      <c r="AO451" s="2030"/>
      <c r="AP451" s="2030"/>
      <c r="AQ451" s="2030"/>
      <c r="AR451" s="2030"/>
      <c r="AS451" s="2030"/>
      <c r="AT451" s="2030"/>
      <c r="AU451" s="2030"/>
      <c r="AV451" s="2030"/>
      <c r="AW451" s="2030"/>
      <c r="AX451" s="2030"/>
      <c r="AY451" s="2030"/>
      <c r="AZ451" s="2030"/>
      <c r="BA451" s="2030"/>
      <c r="BB451" s="2030"/>
      <c r="BC451" s="722" t="s">
        <v>4694</v>
      </c>
      <c r="BE451" s="85"/>
      <c r="BF451" s="101"/>
    </row>
    <row r="452" spans="2:122" ht="18" hidden="1" customHeight="1">
      <c r="B452" s="2030" t="s">
        <v>206</v>
      </c>
      <c r="C452" s="2030"/>
      <c r="D452" s="2030"/>
      <c r="E452" s="2030"/>
      <c r="F452" s="2030"/>
      <c r="G452" s="2030"/>
      <c r="H452" s="2030"/>
      <c r="I452" s="2030"/>
      <c r="J452" s="2030"/>
      <c r="K452" s="2030"/>
      <c r="L452" s="2030"/>
      <c r="M452" s="2030"/>
      <c r="N452" s="2030"/>
      <c r="O452" s="2030"/>
      <c r="P452" s="2030"/>
      <c r="Q452" s="2030"/>
      <c r="R452" s="2030"/>
      <c r="S452" s="2030"/>
      <c r="T452" s="2030"/>
      <c r="U452" s="2030"/>
      <c r="V452" s="2030"/>
      <c r="W452" s="2030"/>
      <c r="X452" s="2030"/>
      <c r="Y452" s="2030"/>
      <c r="Z452" s="2030"/>
      <c r="AA452" s="2030"/>
      <c r="AB452" s="2030"/>
      <c r="AC452" s="2030"/>
      <c r="AD452" s="2030"/>
      <c r="AE452" s="2030"/>
      <c r="AF452" s="2030"/>
      <c r="AG452" s="2030"/>
      <c r="AH452" s="2030"/>
      <c r="AI452" s="2030"/>
      <c r="AJ452" s="2030"/>
      <c r="AK452" s="2030"/>
      <c r="AL452" s="2030"/>
      <c r="AM452" s="2030"/>
      <c r="AN452" s="2030"/>
      <c r="AO452" s="2030"/>
      <c r="AP452" s="2030"/>
      <c r="AQ452" s="2030"/>
      <c r="AR452" s="2030"/>
      <c r="AS452" s="2030"/>
      <c r="AT452" s="2030"/>
      <c r="AU452" s="2030"/>
      <c r="AV452" s="2030"/>
      <c r="AW452" s="2030"/>
      <c r="AX452" s="2030"/>
      <c r="AY452" s="2030"/>
      <c r="AZ452" s="2030"/>
      <c r="BA452" s="2030"/>
      <c r="BB452" s="2030"/>
      <c r="BC452" s="722" t="s">
        <v>4694</v>
      </c>
      <c r="BE452" s="85"/>
      <c r="BF452" s="101"/>
    </row>
    <row r="453" spans="2:122" ht="15.95" hidden="1" customHeight="1">
      <c r="B453" s="2002" t="s">
        <v>638</v>
      </c>
      <c r="C453" s="2176"/>
      <c r="D453" s="2176"/>
      <c r="E453" s="2176"/>
      <c r="F453" s="2176"/>
      <c r="G453" s="2176"/>
      <c r="H453" s="2176"/>
      <c r="I453" s="2176"/>
      <c r="J453" s="2176"/>
      <c r="K453" s="2176"/>
      <c r="L453" s="2176"/>
      <c r="M453" s="2176"/>
      <c r="N453" s="2176"/>
      <c r="O453" s="2176"/>
      <c r="P453" s="2176"/>
      <c r="Q453" s="2176"/>
      <c r="R453" s="2176"/>
      <c r="S453" s="2176"/>
      <c r="T453" s="2176"/>
      <c r="U453" s="2176"/>
      <c r="V453" s="2176"/>
      <c r="W453" s="2176"/>
      <c r="X453" s="2176"/>
      <c r="Y453" s="2176"/>
      <c r="Z453" s="2176"/>
      <c r="AA453" s="2176"/>
      <c r="AB453" s="2176"/>
      <c r="AC453" s="2176"/>
      <c r="AD453" s="2176"/>
      <c r="AE453" s="2176"/>
      <c r="AF453" s="2176"/>
      <c r="AG453" s="2176"/>
      <c r="AH453" s="2176"/>
      <c r="AI453" s="2176"/>
      <c r="AJ453" s="2176"/>
      <c r="AK453" s="2176"/>
      <c r="AL453" s="2176"/>
      <c r="AM453" s="2176"/>
      <c r="AN453" s="2176"/>
      <c r="AO453" s="2176"/>
      <c r="AP453" s="2176"/>
      <c r="AQ453" s="2176"/>
      <c r="AR453" s="2176"/>
      <c r="AS453" s="2176"/>
      <c r="AT453" s="2176"/>
      <c r="AU453" s="2176"/>
      <c r="AV453" s="2176"/>
      <c r="AW453" s="2176"/>
      <c r="AX453" s="2176"/>
      <c r="AY453" s="2176"/>
      <c r="AZ453" s="2176"/>
      <c r="BA453" s="2176"/>
      <c r="BB453" s="2176"/>
      <c r="BC453" s="722" t="s">
        <v>4694</v>
      </c>
      <c r="BE453" s="85"/>
      <c r="BF453" s="101"/>
    </row>
    <row r="454" spans="2:122" ht="20.100000000000001" hidden="1" customHeight="1">
      <c r="B454" s="2005" t="s">
        <v>6265</v>
      </c>
      <c r="C454" s="2005"/>
      <c r="D454" s="2005"/>
      <c r="E454" s="2005"/>
      <c r="F454" s="2005"/>
      <c r="G454" s="2005"/>
      <c r="H454" s="2005"/>
      <c r="I454" s="2005"/>
      <c r="J454" s="2005"/>
      <c r="K454" s="2005"/>
      <c r="L454" s="2005"/>
      <c r="M454" s="2005"/>
      <c r="N454" s="2005"/>
      <c r="O454" s="2005"/>
      <c r="P454" s="2005"/>
      <c r="Q454" s="2005"/>
      <c r="R454" s="2005"/>
      <c r="S454" s="2005"/>
      <c r="T454" s="2005"/>
      <c r="U454" s="2005"/>
      <c r="V454" s="2005"/>
      <c r="W454" s="2005"/>
      <c r="X454" s="2005"/>
      <c r="Y454" s="2005"/>
      <c r="Z454" s="2005"/>
      <c r="AA454" s="2005"/>
      <c r="AB454" s="2005"/>
      <c r="AC454" s="2005"/>
      <c r="AD454" s="2005"/>
      <c r="AE454" s="2005"/>
      <c r="AF454" s="2005"/>
      <c r="AG454" s="2005"/>
      <c r="AH454" s="2005"/>
      <c r="AI454" s="2005"/>
      <c r="AJ454" s="2005"/>
      <c r="AK454" s="2005"/>
      <c r="AL454" s="2005"/>
      <c r="AM454" s="2005"/>
      <c r="AN454" s="2005"/>
      <c r="AO454" s="2005"/>
      <c r="AP454" s="2005"/>
      <c r="AQ454" s="2005"/>
      <c r="AR454" s="2005"/>
      <c r="AS454" s="2005"/>
      <c r="AT454" s="2005"/>
      <c r="AU454" s="2005"/>
      <c r="AV454" s="2005"/>
      <c r="AW454" s="2005"/>
      <c r="AX454" s="2005"/>
      <c r="AY454" s="2005"/>
      <c r="AZ454" s="2005"/>
      <c r="BA454" s="2005"/>
      <c r="BB454" s="2005"/>
      <c r="BC454" s="722" t="s">
        <v>4694</v>
      </c>
    </row>
    <row r="455" spans="2:122" ht="9.9499999999999993" hidden="1" customHeight="1">
      <c r="B455" s="2005"/>
      <c r="C455" s="2005"/>
      <c r="D455" s="2005"/>
      <c r="E455" s="2005"/>
      <c r="F455" s="2005"/>
      <c r="G455" s="2005"/>
      <c r="H455" s="2005"/>
      <c r="I455" s="2005"/>
      <c r="J455" s="2005"/>
      <c r="K455" s="2005"/>
      <c r="L455" s="2005"/>
      <c r="M455" s="2005"/>
      <c r="N455" s="2005"/>
      <c r="O455" s="2005"/>
      <c r="P455" s="2005"/>
      <c r="Q455" s="2005"/>
      <c r="R455" s="2005"/>
      <c r="S455" s="2005"/>
      <c r="T455" s="2005"/>
      <c r="U455" s="2005"/>
      <c r="V455" s="2005"/>
      <c r="W455" s="2005"/>
      <c r="X455" s="2005"/>
      <c r="Y455" s="2005"/>
      <c r="Z455" s="2005"/>
      <c r="AA455" s="2005"/>
      <c r="AB455" s="2005"/>
      <c r="AC455" s="2005"/>
      <c r="AD455" s="2005"/>
      <c r="AE455" s="2005"/>
      <c r="AF455" s="2005"/>
      <c r="AG455" s="2005"/>
      <c r="AH455" s="2005"/>
      <c r="AI455" s="2005"/>
      <c r="AJ455" s="2005"/>
      <c r="AK455" s="2005"/>
      <c r="AL455" s="2005"/>
      <c r="AM455" s="2005"/>
      <c r="AN455" s="2005"/>
      <c r="AO455" s="2005"/>
      <c r="AP455" s="2005"/>
      <c r="AQ455" s="2005"/>
      <c r="AR455" s="2005"/>
      <c r="AS455" s="2005"/>
      <c r="AT455" s="2005"/>
      <c r="AU455" s="2005"/>
      <c r="AV455" s="2005"/>
      <c r="AW455" s="2005"/>
      <c r="AX455" s="2005"/>
      <c r="AY455" s="2005"/>
      <c r="AZ455" s="2005"/>
      <c r="BA455" s="2005"/>
      <c r="BB455" s="2005"/>
      <c r="BC455" s="722" t="s">
        <v>4694</v>
      </c>
    </row>
    <row r="456" spans="2:122" ht="26.1" hidden="1" customHeight="1">
      <c r="B456" s="2185" t="s">
        <v>511</v>
      </c>
      <c r="C456" s="2185"/>
      <c r="D456" s="2185"/>
      <c r="E456" s="2185"/>
      <c r="F456" s="2185"/>
      <c r="G456" s="2185"/>
      <c r="H456" s="2185"/>
      <c r="I456" s="2185"/>
      <c r="J456" s="2185"/>
      <c r="K456" s="2185"/>
      <c r="L456" s="2185"/>
      <c r="M456" s="2185"/>
      <c r="N456" s="2185"/>
      <c r="O456" s="2185"/>
      <c r="P456" s="2185"/>
      <c r="Q456" s="2185"/>
      <c r="R456" s="2185"/>
      <c r="S456" s="2185"/>
      <c r="T456" s="2185"/>
      <c r="U456" s="2185"/>
      <c r="V456" s="2185"/>
      <c r="W456" s="2185"/>
      <c r="X456" s="2185"/>
      <c r="Y456" s="2185"/>
      <c r="Z456" s="2185"/>
      <c r="AA456" s="2185"/>
      <c r="AB456" s="2185"/>
      <c r="AC456" s="2185"/>
      <c r="AD456" s="2185"/>
      <c r="AE456" s="2185"/>
      <c r="AF456" s="2185"/>
      <c r="AG456" s="2185"/>
      <c r="AH456" s="2185"/>
      <c r="AI456" s="2185"/>
      <c r="AJ456" s="2185"/>
      <c r="AK456" s="2185"/>
      <c r="AL456" s="2185"/>
      <c r="AM456" s="2185"/>
      <c r="AN456" s="2185"/>
      <c r="AO456" s="2185"/>
      <c r="AP456" s="2185"/>
      <c r="AQ456" s="2185"/>
      <c r="AR456" s="2185"/>
      <c r="AS456" s="2185"/>
      <c r="AT456" s="2185"/>
      <c r="AU456" s="2185"/>
      <c r="AV456" s="2185"/>
      <c r="AW456" s="2185"/>
      <c r="AX456" s="2185"/>
      <c r="AY456" s="2185"/>
      <c r="AZ456" s="2185"/>
      <c r="BA456" s="2185"/>
      <c r="BB456" s="2185"/>
      <c r="BC456" s="722" t="s">
        <v>4694</v>
      </c>
    </row>
    <row r="457" spans="2:122" ht="18" hidden="1" customHeight="1">
      <c r="B457" s="2002" t="str">
        <f>"Số: "&amp;NL!U2&amp;"/TLHĐGS-PCHG"</f>
        <v>Số: 01/TLHĐGS-PCHG</v>
      </c>
      <c r="C457" s="2002"/>
      <c r="D457" s="2002"/>
      <c r="E457" s="2002"/>
      <c r="F457" s="2002"/>
      <c r="G457" s="2002"/>
      <c r="H457" s="2002"/>
      <c r="I457" s="2002"/>
      <c r="J457" s="2002"/>
      <c r="K457" s="2002"/>
      <c r="L457" s="2002"/>
      <c r="M457" s="2002"/>
      <c r="N457" s="2002"/>
      <c r="O457" s="2002"/>
      <c r="P457" s="2002"/>
      <c r="Q457" s="2002"/>
      <c r="R457" s="2002"/>
      <c r="S457" s="2002"/>
      <c r="T457" s="2002"/>
      <c r="U457" s="2002"/>
      <c r="V457" s="2002"/>
      <c r="W457" s="2002"/>
      <c r="X457" s="2002"/>
      <c r="Y457" s="2002"/>
      <c r="Z457" s="2002"/>
      <c r="AA457" s="2002"/>
      <c r="AB457" s="2002"/>
      <c r="AC457" s="2002"/>
      <c r="AD457" s="2002"/>
      <c r="AE457" s="2002"/>
      <c r="AF457" s="2002"/>
      <c r="AG457" s="2002"/>
      <c r="AH457" s="2002"/>
      <c r="AI457" s="2002"/>
      <c r="AJ457" s="2002"/>
      <c r="AK457" s="2002"/>
      <c r="AL457" s="2002"/>
      <c r="AM457" s="2002"/>
      <c r="AN457" s="2002"/>
      <c r="AO457" s="2002"/>
      <c r="AP457" s="2002"/>
      <c r="AQ457" s="2002"/>
      <c r="AR457" s="2002"/>
      <c r="AS457" s="2002"/>
      <c r="AT457" s="2002"/>
      <c r="AU457" s="2002"/>
      <c r="AV457" s="2002"/>
      <c r="AW457" s="2002"/>
      <c r="AX457" s="2002"/>
      <c r="AY457" s="2002"/>
      <c r="AZ457" s="2002"/>
      <c r="BA457" s="2002"/>
      <c r="BB457" s="2002"/>
      <c r="BC457" s="722" t="s">
        <v>4694</v>
      </c>
    </row>
    <row r="458" spans="2:122" ht="18" hidden="1" customHeight="1">
      <c r="B458" s="91"/>
      <c r="C458" s="2186" t="s">
        <v>6101</v>
      </c>
      <c r="D458" s="2186"/>
      <c r="E458" s="2186"/>
      <c r="F458" s="2186"/>
      <c r="G458" s="2186"/>
      <c r="H458" s="2186"/>
      <c r="I458" s="2186"/>
      <c r="J458" s="2186"/>
      <c r="K458" s="2186"/>
      <c r="L458" s="2186"/>
      <c r="M458" s="2186"/>
      <c r="N458" s="2186"/>
      <c r="O458" s="2186"/>
      <c r="P458" s="2186"/>
      <c r="Q458" s="2186"/>
      <c r="R458" s="2186"/>
      <c r="S458" s="2186"/>
      <c r="T458" s="2186"/>
      <c r="U458" s="2186"/>
      <c r="V458" s="2186"/>
      <c r="W458" s="2186"/>
      <c r="X458" s="2186"/>
      <c r="Y458" s="2186"/>
      <c r="Z458" s="2186"/>
      <c r="AA458" s="2186"/>
      <c r="AB458" s="2186"/>
      <c r="AC458" s="2186"/>
      <c r="AD458" s="2186"/>
      <c r="AE458" s="2186"/>
      <c r="AF458" s="2186"/>
      <c r="AG458" s="2186"/>
      <c r="AH458" s="2186"/>
      <c r="AI458" s="2186"/>
      <c r="AJ458" s="2186"/>
      <c r="AK458" s="2186"/>
      <c r="AL458" s="2186"/>
      <c r="AM458" s="2186"/>
      <c r="AN458" s="2186"/>
      <c r="AO458" s="2186"/>
      <c r="AP458" s="2186"/>
      <c r="AQ458" s="2186"/>
      <c r="AR458" s="2186"/>
      <c r="AS458" s="2186"/>
      <c r="AT458" s="2186"/>
      <c r="AU458" s="2186"/>
      <c r="AV458" s="2186"/>
      <c r="AW458" s="2186"/>
      <c r="AX458" s="2186"/>
      <c r="AY458" s="2186"/>
      <c r="AZ458" s="2186"/>
      <c r="BA458" s="2186"/>
      <c r="BB458" s="2186"/>
      <c r="BC458" s="722" t="s">
        <v>4694</v>
      </c>
    </row>
    <row r="459" spans="2:122" ht="18" hidden="1" customHeight="1">
      <c r="C459" s="2172" t="str">
        <f>"       Căn cứ hợp đồng giám sát "&amp;B283&amp;" ngày "&amp;TEXT(NL!U9,"dd/mm/yyyy")&amp;" ký giữa Công ty"</f>
        <v xml:space="preserve">       Căn cứ hợp đồng giám sát Số: 01/HĐGS-PCHG ngày 07/12/2018 ký giữa Công ty</v>
      </c>
      <c r="D459" s="2171"/>
      <c r="E459" s="2171"/>
      <c r="F459" s="2171"/>
      <c r="G459" s="2171"/>
      <c r="H459" s="2171"/>
      <c r="I459" s="2171"/>
      <c r="J459" s="2171"/>
      <c r="K459" s="2171"/>
      <c r="L459" s="2171"/>
      <c r="M459" s="2171"/>
      <c r="N459" s="2171"/>
      <c r="O459" s="2171"/>
      <c r="P459" s="2171"/>
      <c r="Q459" s="2171"/>
      <c r="R459" s="2171"/>
      <c r="S459" s="2171"/>
      <c r="T459" s="2171"/>
      <c r="U459" s="2171"/>
      <c r="V459" s="2171"/>
      <c r="W459" s="2171"/>
      <c r="X459" s="2171"/>
      <c r="Y459" s="2171"/>
      <c r="Z459" s="2171"/>
      <c r="AA459" s="2171"/>
      <c r="AB459" s="2171"/>
      <c r="AC459" s="2171"/>
      <c r="AD459" s="2171"/>
      <c r="AE459" s="2171"/>
      <c r="AF459" s="2171"/>
      <c r="AG459" s="2171"/>
      <c r="AH459" s="2171"/>
      <c r="AI459" s="2171"/>
      <c r="AJ459" s="2171"/>
      <c r="AK459" s="2171"/>
      <c r="AL459" s="2171"/>
      <c r="AM459" s="2171"/>
      <c r="AN459" s="2171"/>
      <c r="AO459" s="2171"/>
      <c r="AP459" s="2171"/>
      <c r="AQ459" s="2171"/>
      <c r="AR459" s="2171"/>
      <c r="AS459" s="2171"/>
      <c r="AT459" s="2171"/>
      <c r="AU459" s="2171"/>
      <c r="AV459" s="2171"/>
      <c r="AW459" s="2171"/>
      <c r="AX459" s="2171"/>
      <c r="AY459" s="2171"/>
      <c r="AZ459" s="2171"/>
      <c r="BA459" s="2171"/>
      <c r="BB459" s="2171"/>
      <c r="BC459" s="722" t="s">
        <v>4694</v>
      </c>
    </row>
    <row r="460" spans="2:122" ht="18" hidden="1" customHeight="1">
      <c r="C460" s="2184" t="str">
        <f>"Điện lực Hậu Giang và đại diện "&amp;NL!U19&amp; ";"</f>
        <v>Điện lực Hậu Giang và đại diện Nhà máy xay xát Nguyễn Văn A;</v>
      </c>
      <c r="D460" s="1714"/>
      <c r="E460" s="1714"/>
      <c r="F460" s="1714"/>
      <c r="G460" s="1714"/>
      <c r="H460" s="1714"/>
      <c r="I460" s="1714"/>
      <c r="J460" s="1714"/>
      <c r="K460" s="1714"/>
      <c r="L460" s="1714"/>
      <c r="M460" s="1714"/>
      <c r="N460" s="1714"/>
      <c r="O460" s="1714"/>
      <c r="P460" s="1714"/>
      <c r="Q460" s="1714"/>
      <c r="R460" s="1714"/>
      <c r="S460" s="1714"/>
      <c r="T460" s="1714"/>
      <c r="U460" s="1714"/>
      <c r="V460" s="1714"/>
      <c r="W460" s="1714"/>
      <c r="X460" s="1714"/>
      <c r="Y460" s="1714"/>
      <c r="Z460" s="1714"/>
      <c r="AA460" s="1714"/>
      <c r="AB460" s="1714"/>
      <c r="AC460" s="1714"/>
      <c r="AD460" s="1714"/>
      <c r="AE460" s="1714"/>
      <c r="AF460" s="1714"/>
      <c r="AG460" s="1714"/>
      <c r="AH460" s="1714"/>
      <c r="AI460" s="1714"/>
      <c r="AJ460" s="1714"/>
      <c r="AK460" s="1714"/>
      <c r="AL460" s="1714"/>
      <c r="AM460" s="1714"/>
      <c r="AN460" s="1714"/>
      <c r="AO460" s="1714"/>
      <c r="AP460" s="1714"/>
      <c r="AQ460" s="1714"/>
      <c r="AR460" s="1714"/>
      <c r="AS460" s="1714"/>
      <c r="AT460" s="1714"/>
      <c r="AU460" s="1714"/>
      <c r="AV460" s="1714"/>
      <c r="AW460" s="1714"/>
      <c r="AX460" s="1714"/>
      <c r="AY460" s="1714"/>
      <c r="AZ460" s="1714"/>
      <c r="BA460" s="1714"/>
      <c r="BB460" s="1714"/>
      <c r="BC460" s="722" t="s">
        <v>4694</v>
      </c>
    </row>
    <row r="461" spans="2:122" ht="18" hidden="1" customHeight="1">
      <c r="C461" s="2184" t="str">
        <f>+"       Căn cứ BC KT-KT số: "&amp;NL!U2&amp;"/BCKTKT-PCHG"&amp;" ngày "&amp;TEXT(NL!U9,"dd/mm/yyyy")&amp;" đã được phê duyệt;"</f>
        <v xml:space="preserve">       Căn cứ BC KT-KT số: 01/BCKTKT-PCHG ngày 07/12/2018 đã được phê duyệt;</v>
      </c>
      <c r="D461" s="1714"/>
      <c r="E461" s="1714"/>
      <c r="F461" s="1714"/>
      <c r="G461" s="1714"/>
      <c r="H461" s="1714"/>
      <c r="I461" s="1714"/>
      <c r="J461" s="1714"/>
      <c r="K461" s="1714"/>
      <c r="L461" s="1714"/>
      <c r="M461" s="1714"/>
      <c r="N461" s="1714"/>
      <c r="O461" s="1714"/>
      <c r="P461" s="1714"/>
      <c r="Q461" s="1714"/>
      <c r="R461" s="1714"/>
      <c r="S461" s="1714"/>
      <c r="T461" s="1714"/>
      <c r="U461" s="1714"/>
      <c r="V461" s="1714"/>
      <c r="W461" s="1714"/>
      <c r="X461" s="1714"/>
      <c r="Y461" s="1714"/>
      <c r="Z461" s="1714"/>
      <c r="AA461" s="1714"/>
      <c r="AB461" s="1714"/>
      <c r="AC461" s="1714"/>
      <c r="AD461" s="1714"/>
      <c r="AE461" s="1714"/>
      <c r="AF461" s="1714"/>
      <c r="AG461" s="1714"/>
      <c r="AH461" s="1714"/>
      <c r="AI461" s="1714"/>
      <c r="AJ461" s="1714"/>
      <c r="AK461" s="1714"/>
      <c r="AL461" s="1714"/>
      <c r="AM461" s="1714"/>
      <c r="AN461" s="1714"/>
      <c r="AO461" s="1714"/>
      <c r="AP461" s="1714"/>
      <c r="AQ461" s="1714"/>
      <c r="AR461" s="1714"/>
      <c r="AS461" s="1714"/>
      <c r="AT461" s="1714"/>
      <c r="AU461" s="1714"/>
      <c r="AV461" s="1714"/>
      <c r="AW461" s="1714"/>
      <c r="AX461" s="1714"/>
      <c r="AY461" s="1714"/>
      <c r="AZ461" s="1714"/>
      <c r="BA461" s="1714"/>
      <c r="BB461" s="1714"/>
      <c r="BC461" s="722" t="s">
        <v>4694</v>
      </c>
    </row>
    <row r="462" spans="2:122" ht="18" hidden="1" customHeight="1">
      <c r="C462" s="1714" t="s">
        <v>3082</v>
      </c>
      <c r="D462" s="1714"/>
      <c r="E462" s="1714"/>
      <c r="F462" s="1714"/>
      <c r="G462" s="1714"/>
      <c r="H462" s="1714"/>
      <c r="I462" s="1714"/>
      <c r="J462" s="1714"/>
      <c r="K462" s="1714"/>
      <c r="L462" s="1714"/>
      <c r="M462" s="1714"/>
      <c r="N462" s="1714"/>
      <c r="O462" s="1714"/>
      <c r="P462" s="1714"/>
      <c r="Q462" s="1714"/>
      <c r="R462" s="1714"/>
      <c r="S462" s="1714"/>
      <c r="T462" s="1714"/>
      <c r="U462" s="1714"/>
      <c r="V462" s="1714"/>
      <c r="W462" s="1714"/>
      <c r="X462" s="1714"/>
      <c r="Y462" s="1714"/>
      <c r="Z462" s="1714"/>
      <c r="AA462" s="1714"/>
      <c r="AB462" s="1714"/>
      <c r="AC462" s="1714"/>
      <c r="AD462" s="1714"/>
      <c r="AE462" s="1714"/>
      <c r="AF462" s="1714"/>
      <c r="AG462" s="1714"/>
      <c r="AH462" s="1714"/>
      <c r="AI462" s="1714"/>
      <c r="AJ462" s="1714"/>
      <c r="AK462" s="1714"/>
      <c r="AL462" s="1714"/>
      <c r="AM462" s="1714"/>
      <c r="AN462" s="1714"/>
      <c r="AO462" s="1714"/>
      <c r="AP462" s="1714"/>
      <c r="AQ462" s="1714"/>
      <c r="AR462" s="1714"/>
      <c r="AS462" s="1714"/>
      <c r="AT462" s="1714"/>
      <c r="AU462" s="1714"/>
      <c r="AV462" s="1714"/>
      <c r="AW462" s="1714"/>
      <c r="AX462" s="1714"/>
      <c r="AY462" s="1714"/>
      <c r="AZ462" s="1714"/>
      <c r="BA462" s="1714"/>
      <c r="BB462" s="1714"/>
      <c r="BC462" s="722" t="s">
        <v>4694</v>
      </c>
    </row>
    <row r="463" spans="2:122" ht="18" hidden="1" customHeight="1">
      <c r="C463" s="1714" t="s">
        <v>2438</v>
      </c>
      <c r="D463" s="1714"/>
      <c r="E463" s="1714"/>
      <c r="F463" s="1714"/>
      <c r="G463" s="1714"/>
      <c r="H463" s="1714"/>
      <c r="I463" s="1714"/>
      <c r="J463" s="1714"/>
      <c r="K463" s="1714"/>
      <c r="L463" s="1714"/>
      <c r="M463" s="1714"/>
      <c r="N463" s="1714"/>
      <c r="O463" s="1714"/>
      <c r="P463" s="1714"/>
      <c r="Q463" s="1714"/>
      <c r="R463" s="1714"/>
      <c r="S463" s="1714"/>
      <c r="T463" s="1714"/>
      <c r="U463" s="1714"/>
      <c r="V463" s="1714"/>
      <c r="W463" s="1714"/>
      <c r="X463" s="1714"/>
      <c r="Y463" s="1714"/>
      <c r="Z463" s="1714"/>
      <c r="AA463" s="1714"/>
      <c r="AB463" s="1714"/>
      <c r="AC463" s="1714"/>
      <c r="AD463" s="1714"/>
      <c r="AE463" s="1714"/>
      <c r="AF463" s="1714"/>
      <c r="AG463" s="1714"/>
      <c r="AH463" s="1714"/>
      <c r="AI463" s="1714"/>
      <c r="AJ463" s="1714"/>
      <c r="AK463" s="1714"/>
      <c r="AL463" s="1714"/>
      <c r="AM463" s="1714"/>
      <c r="AN463" s="1714"/>
      <c r="AO463" s="1714"/>
      <c r="AP463" s="1714"/>
      <c r="AQ463" s="1714"/>
      <c r="AR463" s="1714"/>
      <c r="AS463" s="1714"/>
      <c r="AT463" s="1714"/>
      <c r="AU463" s="1714"/>
      <c r="AV463" s="1714"/>
      <c r="AW463" s="1714"/>
      <c r="AX463" s="1714"/>
      <c r="AY463" s="1714"/>
      <c r="AZ463" s="1714"/>
      <c r="BA463" s="1714"/>
      <c r="BB463" s="1714"/>
      <c r="BC463" s="722" t="s">
        <v>4694</v>
      </c>
    </row>
    <row r="464" spans="2:122" ht="17.100000000000001" hidden="1" customHeight="1">
      <c r="D464" s="2173" t="s">
        <v>3483</v>
      </c>
      <c r="E464" s="2173"/>
      <c r="F464" s="2173"/>
      <c r="G464" s="2173"/>
      <c r="H464" s="2173"/>
      <c r="I464" s="2173"/>
      <c r="J464" s="2173"/>
      <c r="K464" s="2173"/>
      <c r="L464" s="2173"/>
      <c r="M464" s="2173"/>
      <c r="N464" s="2173"/>
      <c r="O464" s="2173"/>
      <c r="P464" s="2173"/>
      <c r="Q464" s="2173"/>
      <c r="R464" s="2173"/>
      <c r="S464" s="2173"/>
      <c r="T464" s="2173"/>
      <c r="U464" s="2173"/>
      <c r="V464" s="2173"/>
      <c r="W464" s="2173"/>
      <c r="X464" s="2173"/>
      <c r="Y464" s="2173"/>
      <c r="Z464" s="2173"/>
      <c r="AA464" s="2173"/>
      <c r="AB464" s="2173"/>
      <c r="AC464" s="2173"/>
      <c r="AD464" s="2173"/>
      <c r="AE464" s="2173"/>
      <c r="AF464" s="2173"/>
      <c r="AG464" s="2173"/>
      <c r="AH464" s="2173"/>
      <c r="AI464" s="2173"/>
      <c r="AJ464" s="2173"/>
      <c r="AK464" s="2173"/>
      <c r="AL464" s="2173"/>
      <c r="AM464" s="2173"/>
      <c r="AN464" s="2173"/>
      <c r="AO464" s="2173"/>
      <c r="AP464" s="2173"/>
      <c r="AQ464" s="2173"/>
      <c r="AR464" s="2173"/>
      <c r="AS464" s="2173"/>
      <c r="AT464" s="2173"/>
      <c r="AU464" s="2173"/>
      <c r="AV464" s="2173"/>
      <c r="AW464" s="2173"/>
      <c r="AX464" s="2173"/>
      <c r="AY464" s="2173"/>
      <c r="AZ464" s="2173"/>
      <c r="BA464" s="2173"/>
      <c r="BB464" s="2173"/>
      <c r="BC464" s="722" t="s">
        <v>4694</v>
      </c>
    </row>
    <row r="465" spans="2:55" ht="17.100000000000001" hidden="1" customHeight="1">
      <c r="F465" s="102" t="s">
        <v>6344</v>
      </c>
      <c r="G465" s="2171" t="s">
        <v>2068</v>
      </c>
      <c r="H465" s="2171"/>
      <c r="I465" s="2171"/>
      <c r="J465" s="2171"/>
      <c r="K465" s="2171"/>
      <c r="L465" s="2171"/>
      <c r="M465" s="2171"/>
      <c r="N465" s="2171"/>
      <c r="O465" s="2171"/>
      <c r="P465" s="2171"/>
      <c r="Q465" s="91" t="s">
        <v>944</v>
      </c>
      <c r="R465" s="2173" t="str">
        <f>NL!$U$13</f>
        <v>TỔNG CÔNG TY ĐIỆN LỰC MIỀN NAM</v>
      </c>
      <c r="S465" s="2173"/>
      <c r="T465" s="2173"/>
      <c r="U465" s="2173"/>
      <c r="V465" s="2173"/>
      <c r="W465" s="2173"/>
      <c r="X465" s="2173"/>
      <c r="Y465" s="2173"/>
      <c r="Z465" s="2173"/>
      <c r="AA465" s="2173"/>
      <c r="AB465" s="2173"/>
      <c r="AC465" s="2173"/>
      <c r="AD465" s="2173"/>
      <c r="AE465" s="2173"/>
      <c r="AF465" s="2173"/>
      <c r="AG465" s="2173"/>
      <c r="AH465" s="2173"/>
      <c r="AI465" s="2173"/>
      <c r="AJ465" s="2173"/>
      <c r="AK465" s="2173"/>
      <c r="AL465" s="2173"/>
      <c r="AM465" s="2173"/>
      <c r="AN465" s="2173"/>
      <c r="AO465" s="2173"/>
      <c r="AP465" s="2173"/>
      <c r="AQ465" s="2173"/>
      <c r="AR465" s="2173"/>
      <c r="AS465" s="2173"/>
      <c r="AT465" s="2173"/>
      <c r="AU465" s="2173"/>
      <c r="AV465" s="2173"/>
      <c r="AW465" s="2173"/>
      <c r="AX465" s="2173"/>
      <c r="AY465" s="2173"/>
      <c r="AZ465" s="2173"/>
      <c r="BA465" s="2173"/>
      <c r="BB465" s="2173"/>
      <c r="BC465" s="722" t="s">
        <v>4694</v>
      </c>
    </row>
    <row r="466" spans="2:55" ht="17.100000000000001" hidden="1" customHeight="1">
      <c r="F466" s="102" t="s">
        <v>6344</v>
      </c>
      <c r="G466" s="2171" t="s">
        <v>3484</v>
      </c>
      <c r="H466" s="2171"/>
      <c r="I466" s="2171"/>
      <c r="J466" s="2171"/>
      <c r="K466" s="2171"/>
      <c r="L466" s="2171"/>
      <c r="M466" s="2171"/>
      <c r="N466" s="2171"/>
      <c r="O466" s="2171"/>
      <c r="P466" s="2171"/>
      <c r="Q466" s="91" t="s">
        <v>944</v>
      </c>
      <c r="R466" s="2002" t="str">
        <f>NL!$U$18</f>
        <v>ông</v>
      </c>
      <c r="S466" s="2002"/>
      <c r="T466" s="2030" t="str">
        <f>NL!$W$18</f>
        <v>NGUYỄN VĂN A</v>
      </c>
      <c r="U466" s="2030"/>
      <c r="V466" s="2030"/>
      <c r="W466" s="2030"/>
      <c r="X466" s="2030"/>
      <c r="Y466" s="2030"/>
      <c r="Z466" s="2030"/>
      <c r="AA466" s="2030"/>
      <c r="AB466" s="2030"/>
      <c r="AC466" s="2030"/>
      <c r="AD466" s="2030"/>
      <c r="AE466" s="2030"/>
      <c r="AF466" s="2030"/>
      <c r="AG466" s="2030"/>
      <c r="AH466" s="2030"/>
      <c r="AI466" s="2030"/>
      <c r="AJ466" s="2030"/>
      <c r="AK466" s="2030"/>
      <c r="AL466" s="102" t="s">
        <v>3485</v>
      </c>
      <c r="AO466" s="106"/>
      <c r="AR466" s="106" t="str">
        <f>NL!$AR$18</f>
        <v>CHỦ CƠ SỞ</v>
      </c>
      <c r="AT466" s="119"/>
      <c r="AU466" s="119"/>
      <c r="AV466" s="119"/>
      <c r="AW466" s="119"/>
      <c r="AX466" s="119"/>
      <c r="AY466" s="119"/>
      <c r="AZ466" s="119"/>
      <c r="BA466" s="119"/>
      <c r="BB466" s="119"/>
      <c r="BC466" s="722" t="s">
        <v>4694</v>
      </c>
    </row>
    <row r="467" spans="2:55" ht="17.100000000000001" hidden="1" customHeight="1">
      <c r="D467" s="2173" t="s">
        <v>3486</v>
      </c>
      <c r="E467" s="2173"/>
      <c r="F467" s="2173"/>
      <c r="G467" s="2173"/>
      <c r="H467" s="2173"/>
      <c r="I467" s="2173"/>
      <c r="J467" s="2173"/>
      <c r="K467" s="2173"/>
      <c r="L467" s="2173"/>
      <c r="M467" s="2173"/>
      <c r="N467" s="2173"/>
      <c r="O467" s="2173"/>
      <c r="P467" s="2173"/>
      <c r="Q467" s="2173"/>
      <c r="R467" s="2173"/>
      <c r="S467" s="2173"/>
      <c r="T467" s="2173"/>
      <c r="U467" s="2173"/>
      <c r="V467" s="2173"/>
      <c r="W467" s="2173"/>
      <c r="X467" s="2173"/>
      <c r="Y467" s="2173"/>
      <c r="Z467" s="2173"/>
      <c r="AA467" s="2173"/>
      <c r="AB467" s="2173"/>
      <c r="AC467" s="2173"/>
      <c r="AD467" s="2173"/>
      <c r="AE467" s="2173"/>
      <c r="AF467" s="2173"/>
      <c r="AG467" s="2173"/>
      <c r="AH467" s="2173"/>
      <c r="AI467" s="2173"/>
      <c r="AJ467" s="2173"/>
      <c r="AK467" s="2173"/>
      <c r="AL467" s="2173"/>
      <c r="AM467" s="2173"/>
      <c r="AN467" s="2173"/>
      <c r="AO467" s="2173"/>
      <c r="AP467" s="2173"/>
      <c r="AQ467" s="2173"/>
      <c r="AR467" s="2173"/>
      <c r="AS467" s="2173"/>
      <c r="AT467" s="2173"/>
      <c r="AU467" s="2173"/>
      <c r="AV467" s="2173"/>
      <c r="AW467" s="2173"/>
      <c r="AX467" s="2173"/>
      <c r="AY467" s="2173"/>
      <c r="AZ467" s="2173"/>
      <c r="BA467" s="2173"/>
      <c r="BB467" s="2173"/>
      <c r="BC467" s="722" t="s">
        <v>4694</v>
      </c>
    </row>
    <row r="468" spans="2:55" ht="17.100000000000001" hidden="1" customHeight="1">
      <c r="F468" s="102" t="s">
        <v>6344</v>
      </c>
      <c r="G468" s="2171" t="s">
        <v>2068</v>
      </c>
      <c r="H468" s="2171"/>
      <c r="I468" s="2171"/>
      <c r="J468" s="2171"/>
      <c r="K468" s="2171"/>
      <c r="L468" s="2171"/>
      <c r="M468" s="2171"/>
      <c r="N468" s="2171"/>
      <c r="O468" s="2171"/>
      <c r="P468" s="2171"/>
      <c r="Q468" s="91" t="s">
        <v>944</v>
      </c>
      <c r="R468" s="2173" t="s">
        <v>318</v>
      </c>
      <c r="S468" s="2173"/>
      <c r="T468" s="2173"/>
      <c r="U468" s="2173"/>
      <c r="V468" s="2173"/>
      <c r="W468" s="2173"/>
      <c r="X468" s="2173"/>
      <c r="Y468" s="2173"/>
      <c r="Z468" s="2173"/>
      <c r="AA468" s="2173"/>
      <c r="AB468" s="2173"/>
      <c r="AC468" s="2173"/>
      <c r="AD468" s="2173"/>
      <c r="AE468" s="2173"/>
      <c r="AF468" s="2173"/>
      <c r="AG468" s="2173"/>
      <c r="AH468" s="2173"/>
      <c r="AI468" s="2173"/>
      <c r="AJ468" s="2173"/>
      <c r="AK468" s="2173"/>
      <c r="AL468" s="2173"/>
      <c r="AM468" s="2173"/>
      <c r="AN468" s="2173"/>
      <c r="AO468" s="2173"/>
      <c r="AP468" s="2173"/>
      <c r="AQ468" s="2173"/>
      <c r="AR468" s="2173"/>
      <c r="AS468" s="2173"/>
      <c r="AT468" s="2173"/>
      <c r="AU468" s="2173"/>
      <c r="AV468" s="2173"/>
      <c r="AW468" s="2173"/>
      <c r="AX468" s="2173"/>
      <c r="AY468" s="2173"/>
      <c r="AZ468" s="2173"/>
      <c r="BA468" s="2173"/>
      <c r="BB468" s="2173"/>
      <c r="BC468" s="722" t="s">
        <v>4694</v>
      </c>
    </row>
    <row r="469" spans="2:55" ht="17.100000000000001" hidden="1" customHeight="1">
      <c r="F469" s="102" t="s">
        <v>6344</v>
      </c>
      <c r="G469" s="2171" t="s">
        <v>3484</v>
      </c>
      <c r="H469" s="2171"/>
      <c r="I469" s="2171"/>
      <c r="J469" s="2171"/>
      <c r="K469" s="2171"/>
      <c r="L469" s="2171"/>
      <c r="M469" s="2171"/>
      <c r="N469" s="2171"/>
      <c r="O469" s="2171"/>
      <c r="P469" s="2171"/>
      <c r="Q469" s="91" t="s">
        <v>944</v>
      </c>
      <c r="R469" s="2002" t="s">
        <v>5940</v>
      </c>
      <c r="S469" s="2002"/>
      <c r="T469" s="2030" t="s">
        <v>3488</v>
      </c>
      <c r="U469" s="2030"/>
      <c r="V469" s="2030"/>
      <c r="W469" s="2030"/>
      <c r="X469" s="2030"/>
      <c r="Y469" s="2030"/>
      <c r="Z469" s="2030"/>
      <c r="AA469" s="2030"/>
      <c r="AB469" s="2030"/>
      <c r="AC469" s="2030"/>
      <c r="AD469" s="2030"/>
      <c r="AE469" s="2030"/>
      <c r="AF469" s="2030"/>
      <c r="AG469" s="2030"/>
      <c r="AH469" s="2030"/>
      <c r="AI469" s="2030"/>
      <c r="AJ469" s="2030"/>
      <c r="AK469" s="2030"/>
      <c r="AL469" s="102" t="s">
        <v>3485</v>
      </c>
      <c r="AO469" s="119"/>
      <c r="AP469" s="119"/>
      <c r="AQ469" s="119"/>
      <c r="AR469" s="119" t="s">
        <v>5941</v>
      </c>
      <c r="AS469" s="119"/>
      <c r="AT469" s="119"/>
      <c r="AU469" s="119"/>
      <c r="AV469" s="119"/>
      <c r="AW469" s="119"/>
      <c r="AX469" s="119"/>
      <c r="BC469" s="722" t="s">
        <v>4694</v>
      </c>
    </row>
    <row r="470" spans="2:55" ht="17.100000000000001" hidden="1" customHeight="1">
      <c r="E470" s="2171" t="str">
        <f>"Cùng tiến hành thanh lý hợp đồng giám sát "&amp;B283&amp;" ngày "&amp;TEXT(NL!U9,"dd/mm/yyyy")&amp;" cho:"</f>
        <v>Cùng tiến hành thanh lý hợp đồng giám sát Số: 01/HĐGS-PCHG ngày 07/12/2018 cho:</v>
      </c>
      <c r="F470" s="2171"/>
      <c r="G470" s="2171"/>
      <c r="H470" s="2171"/>
      <c r="I470" s="2171"/>
      <c r="J470" s="2171"/>
      <c r="K470" s="2171"/>
      <c r="L470" s="2171"/>
      <c r="M470" s="2171"/>
      <c r="N470" s="2171"/>
      <c r="O470" s="2171"/>
      <c r="P470" s="2171"/>
      <c r="Q470" s="2171"/>
      <c r="R470" s="2171"/>
      <c r="S470" s="2171"/>
      <c r="T470" s="2171"/>
      <c r="U470" s="2171"/>
      <c r="V470" s="2171"/>
      <c r="W470" s="2171"/>
      <c r="X470" s="2171"/>
      <c r="Y470" s="2171"/>
      <c r="Z470" s="2171"/>
      <c r="AA470" s="2171"/>
      <c r="AB470" s="2171"/>
      <c r="AC470" s="2171"/>
      <c r="AD470" s="2171"/>
      <c r="AE470" s="2171"/>
      <c r="AF470" s="2171"/>
      <c r="AG470" s="2171"/>
      <c r="AH470" s="2171"/>
      <c r="AI470" s="2171"/>
      <c r="AJ470" s="2171"/>
      <c r="AK470" s="2171"/>
      <c r="AL470" s="2171"/>
      <c r="AM470" s="2171"/>
      <c r="AN470" s="2171"/>
      <c r="AO470" s="2171"/>
      <c r="AP470" s="2171"/>
      <c r="AQ470" s="2171"/>
      <c r="AR470" s="2171"/>
      <c r="AS470" s="2171"/>
      <c r="AT470" s="2171"/>
      <c r="AU470" s="2171"/>
      <c r="AV470" s="2171"/>
      <c r="AW470" s="2171"/>
      <c r="AX470" s="2171"/>
      <c r="AY470" s="2171"/>
      <c r="AZ470" s="2171"/>
      <c r="BA470" s="2171"/>
      <c r="BB470" s="2171"/>
      <c r="BC470" s="722" t="s">
        <v>4694</v>
      </c>
    </row>
    <row r="471" spans="2:55" ht="17.100000000000001" hidden="1" customHeight="1">
      <c r="B471" s="2030" t="str">
        <f>+"Công trình: "&amp;NL!$U$3</f>
        <v>Công trình: XÂY DỰNG ĐƯỜNG DÂY TRUNG HẠ ÁP &amp; TRẠM BIẾN ÁP</v>
      </c>
      <c r="C471" s="2030"/>
      <c r="D471" s="2030"/>
      <c r="E471" s="2030"/>
      <c r="F471" s="2030"/>
      <c r="G471" s="2030"/>
      <c r="H471" s="2030"/>
      <c r="I471" s="2030"/>
      <c r="J471" s="2030"/>
      <c r="K471" s="2030"/>
      <c r="L471" s="2030"/>
      <c r="M471" s="2030"/>
      <c r="N471" s="2030"/>
      <c r="O471" s="2030"/>
      <c r="P471" s="2030"/>
      <c r="Q471" s="2030"/>
      <c r="R471" s="2030"/>
      <c r="S471" s="2030"/>
      <c r="T471" s="2030"/>
      <c r="U471" s="2030"/>
      <c r="V471" s="2030"/>
      <c r="W471" s="2030"/>
      <c r="X471" s="2030"/>
      <c r="Y471" s="2030"/>
      <c r="Z471" s="2030"/>
      <c r="AA471" s="2030"/>
      <c r="AB471" s="2030"/>
      <c r="AC471" s="2030"/>
      <c r="AD471" s="2030"/>
      <c r="AE471" s="2030"/>
      <c r="AF471" s="2030"/>
      <c r="AG471" s="2030"/>
      <c r="AH471" s="2030"/>
      <c r="AI471" s="2030"/>
      <c r="AJ471" s="2030"/>
      <c r="AK471" s="2030"/>
      <c r="AL471" s="2030"/>
      <c r="AM471" s="2030"/>
      <c r="AN471" s="2030"/>
      <c r="AO471" s="2030"/>
      <c r="AP471" s="2030"/>
      <c r="AQ471" s="2030"/>
      <c r="AR471" s="2030"/>
      <c r="AS471" s="2030"/>
      <c r="AT471" s="2030"/>
      <c r="AU471" s="2030"/>
      <c r="AV471" s="2030"/>
      <c r="AW471" s="2030"/>
      <c r="AX471" s="2030"/>
      <c r="AY471" s="2030"/>
      <c r="AZ471" s="2030"/>
      <c r="BA471" s="2030"/>
      <c r="BB471" s="2030"/>
      <c r="BC471" s="722" t="s">
        <v>4694</v>
      </c>
    </row>
    <row r="472" spans="2:55" ht="17.100000000000001" hidden="1" customHeight="1">
      <c r="B472" s="2030" t="str">
        <f>NL!$U$4</f>
        <v>HUYỆN CHÂU THÀNH, TX NGÃ BẢY</v>
      </c>
      <c r="C472" s="2030"/>
      <c r="D472" s="2030"/>
      <c r="E472" s="2030"/>
      <c r="F472" s="2030"/>
      <c r="G472" s="2030"/>
      <c r="H472" s="2030"/>
      <c r="I472" s="2030"/>
      <c r="J472" s="2030"/>
      <c r="K472" s="2030"/>
      <c r="L472" s="2030"/>
      <c r="M472" s="2030"/>
      <c r="N472" s="2030"/>
      <c r="O472" s="2030"/>
      <c r="P472" s="2030"/>
      <c r="Q472" s="2030"/>
      <c r="R472" s="2030"/>
      <c r="S472" s="2030"/>
      <c r="T472" s="2030"/>
      <c r="U472" s="2030"/>
      <c r="V472" s="2030"/>
      <c r="W472" s="2030"/>
      <c r="X472" s="2030"/>
      <c r="Y472" s="2030"/>
      <c r="Z472" s="2030"/>
      <c r="AA472" s="2030"/>
      <c r="AB472" s="2030"/>
      <c r="AC472" s="2030"/>
      <c r="AD472" s="2030"/>
      <c r="AE472" s="2030"/>
      <c r="AF472" s="2030"/>
      <c r="AG472" s="2030"/>
      <c r="AH472" s="2030"/>
      <c r="AI472" s="2030"/>
      <c r="AJ472" s="2030"/>
      <c r="AK472" s="2030"/>
      <c r="AL472" s="2030"/>
      <c r="AM472" s="2030"/>
      <c r="AN472" s="2030"/>
      <c r="AO472" s="2030"/>
      <c r="AP472" s="2030"/>
      <c r="AQ472" s="2030"/>
      <c r="AR472" s="2030"/>
      <c r="AS472" s="2030"/>
      <c r="AT472" s="2030"/>
      <c r="AU472" s="2030"/>
      <c r="AV472" s="2030"/>
      <c r="AW472" s="2030"/>
      <c r="AX472" s="2030"/>
      <c r="AY472" s="2030"/>
      <c r="AZ472" s="2030"/>
      <c r="BA472" s="2030"/>
      <c r="BB472" s="2030"/>
      <c r="BC472" s="722" t="s">
        <v>4694</v>
      </c>
    </row>
    <row r="473" spans="2:55" ht="17.100000000000001" hidden="1" customHeight="1">
      <c r="B473" s="2030" t="str">
        <f>+"Địa điểm: "&amp;NL!$U$5</f>
        <v>Địa điểm: Huyện Châu Thành &amp; Tx.Ngã Bảy, tỉnh Hậu Giang</v>
      </c>
      <c r="C473" s="2030"/>
      <c r="D473" s="2030"/>
      <c r="E473" s="2030"/>
      <c r="F473" s="2030"/>
      <c r="G473" s="2030"/>
      <c r="H473" s="2030"/>
      <c r="I473" s="2030"/>
      <c r="J473" s="2030"/>
      <c r="K473" s="2030"/>
      <c r="L473" s="2030"/>
      <c r="M473" s="2030"/>
      <c r="N473" s="2030"/>
      <c r="O473" s="2030"/>
      <c r="P473" s="2030"/>
      <c r="Q473" s="2030"/>
      <c r="R473" s="2030"/>
      <c r="S473" s="2030"/>
      <c r="T473" s="2030"/>
      <c r="U473" s="2030"/>
      <c r="V473" s="2030"/>
      <c r="W473" s="2030"/>
      <c r="X473" s="2030"/>
      <c r="Y473" s="2030"/>
      <c r="Z473" s="2030"/>
      <c r="AA473" s="2030"/>
      <c r="AB473" s="2030"/>
      <c r="AC473" s="2030"/>
      <c r="AD473" s="2030"/>
      <c r="AE473" s="2030"/>
      <c r="AF473" s="2030"/>
      <c r="AG473" s="2030"/>
      <c r="AH473" s="2030"/>
      <c r="AI473" s="2030"/>
      <c r="AJ473" s="2030"/>
      <c r="AK473" s="2030"/>
      <c r="AL473" s="2030"/>
      <c r="AM473" s="2030"/>
      <c r="AN473" s="2030"/>
      <c r="AO473" s="2030"/>
      <c r="AP473" s="2030"/>
      <c r="AQ473" s="2030"/>
      <c r="AR473" s="2030"/>
      <c r="AS473" s="2030"/>
      <c r="AT473" s="2030"/>
      <c r="AU473" s="2030"/>
      <c r="AV473" s="2030"/>
      <c r="AW473" s="2030"/>
      <c r="AX473" s="2030"/>
      <c r="AY473" s="2030"/>
      <c r="AZ473" s="2030"/>
      <c r="BA473" s="2030"/>
      <c r="BB473" s="2030"/>
      <c r="BC473" s="722" t="s">
        <v>4694</v>
      </c>
    </row>
    <row r="474" spans="2:55" ht="17.100000000000001" hidden="1" customHeight="1">
      <c r="D474" s="2173" t="s">
        <v>3752</v>
      </c>
      <c r="E474" s="2173"/>
      <c r="F474" s="2173"/>
      <c r="G474" s="2173"/>
      <c r="H474" s="2173"/>
      <c r="I474" s="2173"/>
      <c r="J474" s="2173"/>
      <c r="K474" s="2173"/>
      <c r="L474" s="2173"/>
      <c r="M474" s="2173"/>
      <c r="N474" s="2173"/>
      <c r="O474" s="2173"/>
      <c r="P474" s="2173"/>
      <c r="Q474" s="2173"/>
      <c r="R474" s="2173"/>
      <c r="S474" s="2173"/>
      <c r="T474" s="2173"/>
      <c r="U474" s="2173"/>
      <c r="V474" s="2173"/>
      <c r="W474" s="2173"/>
      <c r="X474" s="2173"/>
      <c r="Y474" s="2173"/>
      <c r="Z474" s="2173"/>
      <c r="AA474" s="2173"/>
      <c r="AB474" s="2173"/>
      <c r="AC474" s="2173"/>
      <c r="AD474" s="2173"/>
      <c r="AE474" s="2173"/>
      <c r="AF474" s="2173"/>
      <c r="AG474" s="2173"/>
      <c r="AH474" s="2173"/>
      <c r="AI474" s="2173"/>
      <c r="AJ474" s="2173"/>
      <c r="AK474" s="2173"/>
      <c r="AL474" s="2173"/>
      <c r="AM474" s="2173"/>
      <c r="AN474" s="2173"/>
      <c r="AO474" s="2173"/>
      <c r="AP474" s="2173"/>
      <c r="AQ474" s="2173"/>
      <c r="AR474" s="2173"/>
      <c r="AS474" s="2173"/>
      <c r="AT474" s="2173"/>
      <c r="AU474" s="2173"/>
      <c r="AV474" s="2173"/>
      <c r="AW474" s="2173"/>
      <c r="AX474" s="2173"/>
      <c r="AY474" s="2173"/>
      <c r="AZ474" s="2173"/>
      <c r="BA474" s="2173"/>
      <c r="BB474" s="2173"/>
      <c r="BC474" s="722" t="s">
        <v>4694</v>
      </c>
    </row>
    <row r="475" spans="2:55" ht="17.100000000000001" hidden="1" customHeight="1">
      <c r="E475" s="2171" t="s">
        <v>5683</v>
      </c>
      <c r="F475" s="2171"/>
      <c r="G475" s="2171"/>
      <c r="H475" s="2171"/>
      <c r="I475" s="2171"/>
      <c r="J475" s="2171"/>
      <c r="K475" s="2171"/>
      <c r="L475" s="2171"/>
      <c r="M475" s="2171"/>
      <c r="N475" s="2171"/>
      <c r="O475" s="2171"/>
      <c r="P475" s="2171"/>
      <c r="Q475" s="2171"/>
      <c r="R475" s="2171"/>
      <c r="S475" s="2171"/>
      <c r="T475" s="2171"/>
      <c r="U475" s="2171"/>
      <c r="V475" s="2171"/>
      <c r="W475" s="2171"/>
      <c r="X475" s="2171"/>
      <c r="Y475" s="2171"/>
      <c r="Z475" s="2171"/>
      <c r="AA475" s="2171"/>
      <c r="AB475" s="2171"/>
      <c r="AC475" s="2171"/>
      <c r="AD475" s="2171"/>
      <c r="AE475" s="2171"/>
      <c r="AF475" s="2171"/>
      <c r="AG475" s="2171"/>
      <c r="AH475" s="2171"/>
      <c r="AI475" s="2171"/>
      <c r="AJ475" s="2171"/>
      <c r="AK475" s="2171"/>
      <c r="AL475" s="2171"/>
      <c r="AM475" s="2171"/>
      <c r="AN475" s="2171"/>
      <c r="AO475" s="2171"/>
      <c r="AP475" s="2171"/>
      <c r="AQ475" s="2171"/>
      <c r="AR475" s="2171"/>
      <c r="AS475" s="2171"/>
      <c r="AT475" s="2171"/>
      <c r="AU475" s="2171"/>
      <c r="AV475" s="2171"/>
      <c r="AW475" s="2171"/>
      <c r="AX475" s="2171"/>
      <c r="AY475" s="2171"/>
      <c r="AZ475" s="2171"/>
      <c r="BA475" s="2171"/>
      <c r="BB475" s="2171"/>
      <c r="BC475" s="722" t="s">
        <v>4694</v>
      </c>
    </row>
    <row r="476" spans="2:55" ht="18" hidden="1" customHeight="1">
      <c r="E476" s="2171" t="s">
        <v>5684</v>
      </c>
      <c r="F476" s="2171"/>
      <c r="G476" s="2171"/>
      <c r="H476" s="2171"/>
      <c r="I476" s="2171"/>
      <c r="J476" s="2171"/>
      <c r="K476" s="2171"/>
      <c r="L476" s="2171"/>
      <c r="M476" s="2171"/>
      <c r="N476" s="2171"/>
      <c r="O476" s="2171"/>
      <c r="P476" s="2171"/>
      <c r="Q476" s="2171"/>
      <c r="R476" s="2171"/>
      <c r="S476" s="2171"/>
      <c r="T476" s="2171"/>
      <c r="U476" s="2171"/>
      <c r="V476" s="2171"/>
      <c r="W476" s="2171"/>
      <c r="X476" s="2171"/>
      <c r="Y476" s="2171"/>
      <c r="Z476" s="2171"/>
      <c r="AA476" s="2171"/>
      <c r="AB476" s="2171"/>
      <c r="AC476" s="2171"/>
      <c r="AD476" s="2171"/>
      <c r="AE476" s="2171"/>
      <c r="AF476" s="2171"/>
      <c r="AG476" s="2171"/>
      <c r="AH476" s="2171"/>
      <c r="AI476" s="2171"/>
      <c r="AJ476" s="2171"/>
      <c r="AK476" s="2171"/>
      <c r="AL476" s="2171"/>
      <c r="AM476" s="2171"/>
      <c r="AN476" s="2171"/>
      <c r="AO476" s="2171"/>
      <c r="AP476" s="2171"/>
      <c r="AQ476" s="2171"/>
      <c r="AR476" s="2171"/>
      <c r="AS476" s="2171"/>
      <c r="AT476" s="2171"/>
      <c r="AU476" s="2171"/>
      <c r="AV476" s="2171"/>
      <c r="AW476" s="2171"/>
      <c r="AX476" s="2171"/>
      <c r="AY476" s="2171"/>
      <c r="AZ476" s="2171"/>
      <c r="BA476" s="2171"/>
      <c r="BB476" s="2171"/>
      <c r="BC476" s="722" t="s">
        <v>4694</v>
      </c>
    </row>
    <row r="477" spans="2:55" ht="18" hidden="1" customHeight="1">
      <c r="D477" s="2173" t="s">
        <v>660</v>
      </c>
      <c r="E477" s="2173"/>
      <c r="F477" s="2173"/>
      <c r="G477" s="2173"/>
      <c r="H477" s="2173"/>
      <c r="I477" s="2173"/>
      <c r="J477" s="2173"/>
      <c r="K477" s="2173"/>
      <c r="L477" s="2173"/>
      <c r="M477" s="2173"/>
      <c r="N477" s="2173"/>
      <c r="O477" s="2173"/>
      <c r="P477" s="2173"/>
      <c r="Q477" s="2173"/>
      <c r="R477" s="2173"/>
      <c r="S477" s="2173"/>
      <c r="T477" s="2173"/>
      <c r="U477" s="2173"/>
      <c r="V477" s="2173"/>
      <c r="W477" s="2173"/>
      <c r="X477" s="2173"/>
      <c r="Y477" s="2173"/>
      <c r="Z477" s="2173"/>
      <c r="AA477" s="2173"/>
      <c r="AB477" s="2173"/>
      <c r="AC477" s="2173"/>
      <c r="AD477" s="2173"/>
      <c r="AE477" s="2173"/>
      <c r="AF477" s="2173"/>
      <c r="AG477" s="2173"/>
      <c r="AH477" s="2173"/>
      <c r="AI477" s="2173"/>
      <c r="AJ477" s="2173"/>
      <c r="AK477" s="2173"/>
      <c r="AL477" s="2173"/>
      <c r="AM477" s="2173"/>
      <c r="AN477" s="2173"/>
      <c r="AO477" s="2173"/>
      <c r="AP477" s="2173"/>
      <c r="AQ477" s="2173"/>
      <c r="AR477" s="2173"/>
      <c r="AS477" s="2173"/>
      <c r="AT477" s="2173"/>
      <c r="AU477" s="2173"/>
      <c r="AV477" s="2173"/>
      <c r="AW477" s="2173"/>
      <c r="AX477" s="2173"/>
      <c r="AY477" s="2173"/>
      <c r="AZ477" s="2173"/>
      <c r="BA477" s="2173"/>
      <c r="BB477" s="2173"/>
      <c r="BC477" s="722" t="s">
        <v>4694</v>
      </c>
    </row>
    <row r="478" spans="2:55" ht="18" hidden="1" customHeight="1">
      <c r="I478" s="102" t="s">
        <v>661</v>
      </c>
      <c r="P478" s="91"/>
      <c r="AO478" s="105" t="s">
        <v>3306</v>
      </c>
      <c r="AP478" s="2174">
        <f>AP346</f>
        <v>200256351</v>
      </c>
      <c r="AQ478" s="2174"/>
      <c r="AR478" s="2174"/>
      <c r="AS478" s="2174"/>
      <c r="AT478" s="2174"/>
      <c r="AU478" s="2174"/>
      <c r="AV478" s="2174"/>
      <c r="AW478" s="2174"/>
      <c r="AX478" s="2174"/>
      <c r="AY478" s="2174"/>
      <c r="AZ478" s="125" t="s">
        <v>4160</v>
      </c>
      <c r="BC478" s="722" t="s">
        <v>4694</v>
      </c>
    </row>
    <row r="479" spans="2:55" ht="18" hidden="1" customHeight="1">
      <c r="E479" s="109"/>
      <c r="F479" s="109"/>
      <c r="G479" s="109"/>
      <c r="H479" s="109"/>
      <c r="I479" s="102" t="s">
        <v>662</v>
      </c>
      <c r="K479" s="109"/>
      <c r="L479" s="109"/>
      <c r="M479" s="109"/>
      <c r="N479" s="109"/>
      <c r="O479" s="109"/>
      <c r="P479" s="91"/>
      <c r="Q479" s="126"/>
      <c r="R479" s="126"/>
      <c r="S479" s="126"/>
      <c r="T479" s="126"/>
      <c r="U479" s="126"/>
      <c r="V479" s="126"/>
      <c r="W479" s="126"/>
      <c r="X479" s="126"/>
      <c r="Y479" s="126"/>
      <c r="Z479" s="126"/>
      <c r="AA479" s="126"/>
      <c r="AB479" s="126"/>
      <c r="AC479" s="126"/>
      <c r="AD479" s="126"/>
      <c r="AE479" s="126"/>
      <c r="AF479" s="126"/>
      <c r="AH479" s="125"/>
      <c r="AI479" s="119"/>
      <c r="AJ479" s="119"/>
      <c r="AK479" s="119"/>
      <c r="AL479" s="119"/>
      <c r="AM479" s="119"/>
      <c r="AN479" s="119"/>
      <c r="AO479" s="91" t="s">
        <v>3306</v>
      </c>
      <c r="AP479" s="2174">
        <f>AP478</f>
        <v>200256351</v>
      </c>
      <c r="AQ479" s="2174"/>
      <c r="AR479" s="2174"/>
      <c r="AS479" s="2174"/>
      <c r="AT479" s="2174"/>
      <c r="AU479" s="2174"/>
      <c r="AV479" s="2174"/>
      <c r="AW479" s="2174"/>
      <c r="AX479" s="2174"/>
      <c r="AY479" s="2174"/>
      <c r="AZ479" s="125" t="s">
        <v>4160</v>
      </c>
      <c r="BC479" s="722" t="s">
        <v>4694</v>
      </c>
    </row>
    <row r="480" spans="2:55" ht="18" hidden="1" customHeight="1">
      <c r="F480" s="109"/>
      <c r="G480" s="109"/>
      <c r="H480" s="109"/>
      <c r="I480" s="102" t="s">
        <v>429</v>
      </c>
      <c r="K480" s="109"/>
      <c r="L480" s="109"/>
      <c r="M480" s="109"/>
      <c r="N480" s="109"/>
      <c r="O480" s="109"/>
      <c r="P480" s="91"/>
      <c r="Q480" s="127"/>
      <c r="R480" s="127"/>
      <c r="S480" s="127"/>
      <c r="T480" s="127"/>
      <c r="U480" s="127"/>
      <c r="V480" s="127"/>
      <c r="W480" s="127"/>
      <c r="X480" s="127"/>
      <c r="Y480" s="127"/>
      <c r="Z480" s="127"/>
      <c r="AA480" s="127"/>
      <c r="AB480" s="127"/>
      <c r="AC480" s="127"/>
      <c r="AD480" s="127"/>
      <c r="AE480" s="127"/>
      <c r="AF480" s="127"/>
      <c r="AO480" s="91" t="s">
        <v>3306</v>
      </c>
      <c r="AP480" s="2174">
        <f>AQ357</f>
        <v>0</v>
      </c>
      <c r="AQ480" s="2174"/>
      <c r="AR480" s="2174"/>
      <c r="AS480" s="2174"/>
      <c r="AT480" s="2174"/>
      <c r="AU480" s="2174"/>
      <c r="AV480" s="2174"/>
      <c r="AW480" s="2174"/>
      <c r="AX480" s="2174"/>
      <c r="AY480" s="2174"/>
      <c r="AZ480" s="125" t="s">
        <v>4160</v>
      </c>
      <c r="BC480" s="722" t="s">
        <v>4694</v>
      </c>
    </row>
    <row r="481" spans="2:55" ht="18" hidden="1" customHeight="1">
      <c r="E481" s="109"/>
      <c r="F481" s="109"/>
      <c r="G481" s="109"/>
      <c r="H481" s="109"/>
      <c r="I481" s="102" t="s">
        <v>3973</v>
      </c>
      <c r="K481" s="109"/>
      <c r="L481" s="109"/>
      <c r="M481" s="109"/>
      <c r="N481" s="109"/>
      <c r="O481" s="109"/>
      <c r="P481" s="91"/>
      <c r="Q481" s="113"/>
      <c r="R481" s="113"/>
      <c r="S481" s="113"/>
      <c r="T481" s="113"/>
      <c r="U481" s="113"/>
      <c r="V481" s="113"/>
      <c r="W481" s="113"/>
      <c r="X481" s="113"/>
      <c r="Y481" s="113"/>
      <c r="Z481" s="113"/>
      <c r="AA481" s="113"/>
      <c r="AB481" s="113"/>
      <c r="AC481" s="113"/>
      <c r="AD481" s="113"/>
      <c r="AE481" s="113"/>
      <c r="AF481" s="113"/>
      <c r="AO481" s="91" t="s">
        <v>3306</v>
      </c>
      <c r="AP481" s="2174">
        <f>AQ361</f>
        <v>200256351</v>
      </c>
      <c r="AQ481" s="2174"/>
      <c r="AR481" s="2174"/>
      <c r="AS481" s="2174"/>
      <c r="AT481" s="2174"/>
      <c r="AU481" s="2174"/>
      <c r="AV481" s="2174"/>
      <c r="AW481" s="2174"/>
      <c r="AX481" s="2174"/>
      <c r="AY481" s="2174"/>
      <c r="AZ481" s="125" t="s">
        <v>4160</v>
      </c>
      <c r="BC481" s="722" t="s">
        <v>4694</v>
      </c>
    </row>
    <row r="482" spans="2:55" ht="18" hidden="1" customHeight="1">
      <c r="F482" s="2183" t="e">
        <v>#NAME?</v>
      </c>
      <c r="G482" s="2183"/>
      <c r="H482" s="2183"/>
      <c r="I482" s="2183"/>
      <c r="J482" s="2183"/>
      <c r="K482" s="2183"/>
      <c r="L482" s="2183"/>
      <c r="M482" s="2183"/>
      <c r="N482" s="2183"/>
      <c r="O482" s="2183"/>
      <c r="P482" s="2183"/>
      <c r="Q482" s="2183"/>
      <c r="R482" s="2183"/>
      <c r="S482" s="2183"/>
      <c r="T482" s="2183"/>
      <c r="U482" s="2183"/>
      <c r="V482" s="2183"/>
      <c r="W482" s="2183"/>
      <c r="X482" s="2183"/>
      <c r="Y482" s="2183"/>
      <c r="Z482" s="2183"/>
      <c r="AA482" s="2183"/>
      <c r="AB482" s="2183"/>
      <c r="AC482" s="2183"/>
      <c r="AD482" s="2183"/>
      <c r="AE482" s="2183"/>
      <c r="AF482" s="2183"/>
      <c r="AG482" s="2183"/>
      <c r="AH482" s="2183"/>
      <c r="AI482" s="2183"/>
      <c r="AJ482" s="2183"/>
      <c r="AK482" s="2183"/>
      <c r="AL482" s="2183"/>
      <c r="AM482" s="2183"/>
      <c r="AN482" s="2183"/>
      <c r="AO482" s="2183"/>
      <c r="AP482" s="2183"/>
      <c r="AQ482" s="2183"/>
      <c r="AR482" s="2183"/>
      <c r="AS482" s="2183"/>
      <c r="AT482" s="2183"/>
      <c r="AU482" s="2183"/>
      <c r="AV482" s="2183"/>
      <c r="AW482" s="2183"/>
      <c r="AX482" s="2183"/>
      <c r="AY482" s="2183"/>
      <c r="AZ482" s="2183"/>
      <c r="BA482" s="2183"/>
      <c r="BB482" s="2183"/>
      <c r="BC482" s="722" t="s">
        <v>4694</v>
      </c>
    </row>
    <row r="483" spans="2:55" ht="18" hidden="1" customHeight="1">
      <c r="F483" s="2171" t="str">
        <f>"Hai bên cùng thống nhất thanh lý hợp đồng "&amp;+B283&amp;" ngày "&amp;TEXT(NL!U9,"dd/mm/yyyy")&amp;" và "</f>
        <v xml:space="preserve">Hai bên cùng thống nhất thanh lý hợp đồng Số: 01/HĐGS-PCHG ngày 07/12/2018 và </v>
      </c>
      <c r="G483" s="2172"/>
      <c r="H483" s="2172"/>
      <c r="I483" s="2172"/>
      <c r="J483" s="2172"/>
      <c r="K483" s="2172"/>
      <c r="L483" s="2172"/>
      <c r="M483" s="2172"/>
      <c r="N483" s="2172"/>
      <c r="O483" s="2172"/>
      <c r="P483" s="2172"/>
      <c r="Q483" s="2172"/>
      <c r="R483" s="2172"/>
      <c r="S483" s="2172"/>
      <c r="T483" s="2172"/>
      <c r="U483" s="2172"/>
      <c r="V483" s="2172"/>
      <c r="W483" s="2172"/>
      <c r="X483" s="2172"/>
      <c r="Y483" s="2172"/>
      <c r="Z483" s="2172"/>
      <c r="AA483" s="2172"/>
      <c r="AB483" s="2172"/>
      <c r="AC483" s="2172"/>
      <c r="AD483" s="2172"/>
      <c r="AE483" s="2172"/>
      <c r="AF483" s="2172"/>
      <c r="AG483" s="2172"/>
      <c r="AH483" s="2172"/>
      <c r="AI483" s="2172"/>
      <c r="AJ483" s="2172"/>
      <c r="AK483" s="2172"/>
      <c r="AL483" s="2172"/>
      <c r="AM483" s="2172"/>
      <c r="AN483" s="2172"/>
      <c r="AO483" s="2172"/>
      <c r="AP483" s="2172"/>
      <c r="AQ483" s="2172"/>
      <c r="AR483" s="2172"/>
      <c r="AS483" s="2172"/>
      <c r="AT483" s="2172"/>
      <c r="AU483" s="2172"/>
      <c r="AV483" s="2172"/>
      <c r="AW483" s="2172"/>
      <c r="AX483" s="2172"/>
      <c r="AY483" s="2172"/>
      <c r="AZ483" s="2172"/>
      <c r="BA483" s="2172"/>
      <c r="BB483" s="2172"/>
      <c r="BC483" s="722" t="s">
        <v>4694</v>
      </c>
    </row>
    <row r="484" spans="2:55" ht="18" hidden="1" customHeight="1">
      <c r="B484" s="2171" t="s">
        <v>4783</v>
      </c>
      <c r="C484" s="2171"/>
      <c r="D484" s="2171"/>
      <c r="E484" s="2171"/>
      <c r="F484" s="2171"/>
      <c r="G484" s="2171"/>
      <c r="H484" s="2171"/>
      <c r="I484" s="2171"/>
      <c r="J484" s="2171"/>
      <c r="K484" s="2171"/>
      <c r="L484" s="2171"/>
      <c r="M484" s="2171"/>
      <c r="N484" s="2171"/>
      <c r="O484" s="2171"/>
      <c r="P484" s="2171"/>
      <c r="Q484" s="2171"/>
      <c r="R484" s="2171"/>
      <c r="S484" s="2171"/>
      <c r="T484" s="2171"/>
      <c r="U484" s="2171"/>
      <c r="V484" s="2171"/>
      <c r="W484" s="2171"/>
      <c r="X484" s="2171"/>
      <c r="Y484" s="2171"/>
      <c r="Z484" s="2171"/>
      <c r="AA484" s="2171"/>
      <c r="AB484" s="2171"/>
      <c r="AC484" s="2171"/>
      <c r="AD484" s="2171"/>
      <c r="AE484" s="2171"/>
      <c r="AF484" s="2171"/>
      <c r="AG484" s="2171"/>
      <c r="AH484" s="2171"/>
      <c r="AI484" s="2171"/>
      <c r="AJ484" s="2171"/>
      <c r="AK484" s="2171"/>
      <c r="AL484" s="2171"/>
      <c r="AM484" s="2171"/>
      <c r="AN484" s="2171"/>
      <c r="AO484" s="2171"/>
      <c r="AP484" s="2171"/>
      <c r="AQ484" s="2171"/>
      <c r="AR484" s="2171"/>
      <c r="AS484" s="2171"/>
      <c r="AT484" s="2171"/>
      <c r="AU484" s="2171"/>
      <c r="AV484" s="2171"/>
      <c r="AW484" s="2171"/>
      <c r="AX484" s="2171"/>
      <c r="AY484" s="2171"/>
      <c r="AZ484" s="2171"/>
      <c r="BA484" s="2171"/>
      <c r="BB484" s="2171"/>
      <c r="BC484" s="722" t="s">
        <v>4694</v>
      </c>
    </row>
    <row r="485" spans="2:55" ht="18" hidden="1" customHeight="1">
      <c r="F485" s="2171" t="s">
        <v>5935</v>
      </c>
      <c r="G485" s="2172"/>
      <c r="H485" s="2172"/>
      <c r="I485" s="2172"/>
      <c r="J485" s="2172"/>
      <c r="K485" s="2172"/>
      <c r="L485" s="2172"/>
      <c r="M485" s="2172"/>
      <c r="N485" s="2172"/>
      <c r="O485" s="2172"/>
      <c r="P485" s="2172"/>
      <c r="Q485" s="2172"/>
      <c r="R485" s="2172"/>
      <c r="S485" s="2172"/>
      <c r="T485" s="2172"/>
      <c r="U485" s="2172"/>
      <c r="V485" s="2172"/>
      <c r="W485" s="2172"/>
      <c r="X485" s="2172"/>
      <c r="Y485" s="2172"/>
      <c r="Z485" s="2172"/>
      <c r="AA485" s="2172"/>
      <c r="AB485" s="2172"/>
      <c r="AC485" s="2172"/>
      <c r="AD485" s="2172"/>
      <c r="AE485" s="2172"/>
      <c r="AF485" s="2172"/>
      <c r="AG485" s="2172"/>
      <c r="AH485" s="2172"/>
      <c r="AI485" s="2172"/>
      <c r="AJ485" s="2172"/>
      <c r="AK485" s="2172"/>
      <c r="AL485" s="2172"/>
      <c r="AM485" s="2172"/>
      <c r="AN485" s="2172"/>
      <c r="AO485" s="2172"/>
      <c r="AP485" s="2172"/>
      <c r="AQ485" s="2172"/>
      <c r="AR485" s="2172"/>
      <c r="AS485" s="2172"/>
      <c r="AT485" s="2172"/>
      <c r="AU485" s="2172"/>
      <c r="AV485" s="2172"/>
      <c r="AW485" s="2172"/>
      <c r="AX485" s="2172"/>
      <c r="AY485" s="2172"/>
      <c r="AZ485" s="2172"/>
      <c r="BA485" s="2172"/>
      <c r="BB485" s="2172"/>
      <c r="BC485" s="722" t="s">
        <v>4694</v>
      </c>
    </row>
    <row r="486" spans="2:55" ht="18" hidden="1" customHeight="1">
      <c r="C486" s="2030" t="s">
        <v>4479</v>
      </c>
      <c r="D486" s="2030"/>
      <c r="E486" s="2030"/>
      <c r="F486" s="2030"/>
      <c r="G486" s="2030"/>
      <c r="H486" s="2030"/>
      <c r="I486" s="2030"/>
      <c r="J486" s="2030"/>
      <c r="K486" s="2030"/>
      <c r="L486" s="2030"/>
      <c r="M486" s="2030"/>
      <c r="N486" s="2030"/>
      <c r="O486" s="2030"/>
      <c r="P486" s="2030"/>
      <c r="Q486" s="2030"/>
      <c r="R486" s="2030"/>
      <c r="S486" s="2030"/>
      <c r="T486" s="2030"/>
      <c r="U486" s="2030"/>
      <c r="V486" s="2030"/>
      <c r="W486" s="2030"/>
      <c r="X486" s="2030"/>
      <c r="Y486" s="2030"/>
      <c r="Z486" s="2030"/>
      <c r="AA486" s="2030"/>
      <c r="AB486" s="2030"/>
      <c r="AC486" s="2030" t="s">
        <v>543</v>
      </c>
      <c r="AD486" s="2030"/>
      <c r="AE486" s="2030"/>
      <c r="AF486" s="2030"/>
      <c r="AG486" s="2030"/>
      <c r="AH486" s="2030"/>
      <c r="AI486" s="2030"/>
      <c r="AJ486" s="2030"/>
      <c r="AK486" s="2030"/>
      <c r="AL486" s="2030"/>
      <c r="AM486" s="2030"/>
      <c r="AN486" s="2030"/>
      <c r="AO486" s="2030"/>
      <c r="AP486" s="2030"/>
      <c r="AQ486" s="2030"/>
      <c r="AR486" s="2030"/>
      <c r="AS486" s="2030"/>
      <c r="AT486" s="2030"/>
      <c r="AU486" s="2030"/>
      <c r="AV486" s="2030"/>
      <c r="AW486" s="2030"/>
      <c r="AX486" s="2030"/>
      <c r="AY486" s="2030"/>
      <c r="AZ486" s="2030"/>
      <c r="BA486" s="2030"/>
      <c r="BB486" s="2030"/>
      <c r="BC486" s="722" t="s">
        <v>4694</v>
      </c>
    </row>
    <row r="487" spans="2:55" ht="18" hidden="1" customHeight="1">
      <c r="AC487" s="2030" t="s">
        <v>5941</v>
      </c>
      <c r="AD487" s="2030"/>
      <c r="AE487" s="2030"/>
      <c r="AF487" s="2030"/>
      <c r="AG487" s="2030"/>
      <c r="AH487" s="2030"/>
      <c r="AI487" s="2030"/>
      <c r="AJ487" s="2030"/>
      <c r="AK487" s="2030"/>
      <c r="AL487" s="2030"/>
      <c r="AM487" s="2030"/>
      <c r="AN487" s="2030"/>
      <c r="AO487" s="2030"/>
      <c r="AP487" s="2030"/>
      <c r="AQ487" s="2030"/>
      <c r="AR487" s="2030"/>
      <c r="AS487" s="2030"/>
      <c r="AT487" s="2030"/>
      <c r="AU487" s="2030"/>
      <c r="AV487" s="2030"/>
      <c r="AW487" s="2030"/>
      <c r="AX487" s="2030"/>
      <c r="AY487" s="2030"/>
      <c r="AZ487" s="2030"/>
      <c r="BA487" s="2030"/>
      <c r="BB487" s="2030"/>
      <c r="BC487" s="722" t="s">
        <v>4694</v>
      </c>
    </row>
    <row r="488" spans="2:55" ht="18" hidden="1" customHeight="1">
      <c r="BC488" s="722" t="s">
        <v>4694</v>
      </c>
    </row>
    <row r="489" spans="2:55" ht="18" hidden="1" customHeight="1">
      <c r="BC489" s="722" t="s">
        <v>4694</v>
      </c>
    </row>
    <row r="490" spans="2:55" ht="18" hidden="1" customHeight="1">
      <c r="BC490" s="722" t="s">
        <v>4694</v>
      </c>
    </row>
    <row r="491" spans="2:55" ht="18" hidden="1" customHeight="1">
      <c r="BC491" s="722" t="s">
        <v>4694</v>
      </c>
    </row>
    <row r="492" spans="2:55" ht="18" hidden="1" customHeight="1">
      <c r="AC492" s="2030" t="s">
        <v>502</v>
      </c>
      <c r="AD492" s="2030"/>
      <c r="AE492" s="2030"/>
      <c r="AF492" s="2030"/>
      <c r="AG492" s="2030"/>
      <c r="AH492" s="2030"/>
      <c r="AI492" s="2030"/>
      <c r="AJ492" s="2030"/>
      <c r="AK492" s="2030"/>
      <c r="AL492" s="2030"/>
      <c r="AM492" s="2030"/>
      <c r="AN492" s="2030"/>
      <c r="AO492" s="2030"/>
      <c r="AP492" s="2030"/>
      <c r="AQ492" s="2030"/>
      <c r="AR492" s="2030"/>
      <c r="AS492" s="2030"/>
      <c r="AT492" s="2030"/>
      <c r="AU492" s="2030"/>
      <c r="AV492" s="2030"/>
      <c r="AW492" s="2030"/>
      <c r="AX492" s="2030"/>
      <c r="AY492" s="2030"/>
      <c r="AZ492" s="2030"/>
      <c r="BA492" s="2030"/>
      <c r="BB492" s="2030"/>
      <c r="BC492" s="722" t="s">
        <v>4694</v>
      </c>
    </row>
    <row r="493" spans="2:55" ht="15.75" customHeight="1">
      <c r="B493" s="2170" t="s">
        <v>319</v>
      </c>
      <c r="C493" s="2170"/>
      <c r="D493" s="2170"/>
      <c r="E493" s="2170"/>
      <c r="F493" s="2170"/>
      <c r="G493" s="2170"/>
      <c r="H493" s="2170"/>
      <c r="I493" s="2170"/>
      <c r="J493" s="2170"/>
      <c r="K493" s="2170"/>
      <c r="L493" s="2170"/>
      <c r="M493" s="2170"/>
      <c r="N493" s="2170"/>
      <c r="O493" s="2170"/>
      <c r="P493" s="2170"/>
      <c r="Q493" s="2170"/>
      <c r="R493" s="2170"/>
      <c r="S493" s="2170"/>
      <c r="T493" s="2170"/>
      <c r="U493" s="2170"/>
      <c r="V493" s="2170"/>
      <c r="W493" s="2170"/>
      <c r="X493" s="2160" t="s">
        <v>205</v>
      </c>
      <c r="Y493" s="2160"/>
      <c r="Z493" s="2160"/>
      <c r="AA493" s="2160"/>
      <c r="AB493" s="2160"/>
      <c r="AC493" s="2160"/>
      <c r="AD493" s="2160"/>
      <c r="AE493" s="2160"/>
      <c r="AF493" s="2160"/>
      <c r="AG493" s="2160"/>
      <c r="AH493" s="2160"/>
      <c r="AI493" s="2160"/>
      <c r="AJ493" s="2160"/>
      <c r="AK493" s="2160"/>
      <c r="AL493" s="2160"/>
      <c r="AM493" s="2160"/>
      <c r="AN493" s="2160"/>
      <c r="AO493" s="2160"/>
      <c r="AP493" s="2160"/>
      <c r="AQ493" s="2160"/>
      <c r="AR493" s="2160"/>
      <c r="AS493" s="2160"/>
      <c r="AT493" s="2160"/>
      <c r="AU493" s="2160"/>
      <c r="AV493" s="2160"/>
      <c r="AW493" s="2160"/>
      <c r="AX493" s="2160"/>
      <c r="AY493" s="2160"/>
      <c r="AZ493" s="2160"/>
      <c r="BA493" s="2160"/>
      <c r="BB493" s="2160"/>
      <c r="BC493" s="722" t="s">
        <v>196</v>
      </c>
    </row>
    <row r="494" spans="2:55" ht="15.75" customHeight="1">
      <c r="B494" s="2160" t="s">
        <v>318</v>
      </c>
      <c r="C494" s="2160"/>
      <c r="D494" s="2160"/>
      <c r="E494" s="2160"/>
      <c r="F494" s="2160"/>
      <c r="G494" s="2160"/>
      <c r="H494" s="2160"/>
      <c r="I494" s="2160"/>
      <c r="J494" s="2160"/>
      <c r="K494" s="2160"/>
      <c r="L494" s="2160"/>
      <c r="M494" s="2160"/>
      <c r="N494" s="2160"/>
      <c r="O494" s="2160"/>
      <c r="P494" s="2160"/>
      <c r="Q494" s="2160"/>
      <c r="R494" s="2160"/>
      <c r="S494" s="2160"/>
      <c r="T494" s="2160"/>
      <c r="U494" s="2160"/>
      <c r="V494" s="2160"/>
      <c r="W494" s="2160"/>
      <c r="X494" s="2160" t="s">
        <v>206</v>
      </c>
      <c r="Y494" s="2160"/>
      <c r="Z494" s="2160"/>
      <c r="AA494" s="2160"/>
      <c r="AB494" s="2160"/>
      <c r="AC494" s="2160"/>
      <c r="AD494" s="2160"/>
      <c r="AE494" s="2160"/>
      <c r="AF494" s="2160"/>
      <c r="AG494" s="2160"/>
      <c r="AH494" s="2160"/>
      <c r="AI494" s="2160"/>
      <c r="AJ494" s="2160"/>
      <c r="AK494" s="2160"/>
      <c r="AL494" s="2160"/>
      <c r="AM494" s="2160"/>
      <c r="AN494" s="2160"/>
      <c r="AO494" s="2160"/>
      <c r="AP494" s="2160"/>
      <c r="AQ494" s="2160"/>
      <c r="AR494" s="2160"/>
      <c r="AS494" s="2160"/>
      <c r="AT494" s="2160"/>
      <c r="AU494" s="2160"/>
      <c r="AV494" s="2160"/>
      <c r="AW494" s="2160"/>
      <c r="AX494" s="2160"/>
      <c r="AY494" s="2160"/>
      <c r="AZ494" s="2160"/>
      <c r="BA494" s="2160"/>
      <c r="BB494" s="2160"/>
      <c r="BC494" s="722" t="s">
        <v>196</v>
      </c>
    </row>
    <row r="495" spans="2:55" ht="15.75" customHeight="1">
      <c r="B495" s="2170" t="s">
        <v>638</v>
      </c>
      <c r="C495" s="2170"/>
      <c r="D495" s="2170"/>
      <c r="E495" s="2170"/>
      <c r="F495" s="2170"/>
      <c r="G495" s="2170"/>
      <c r="H495" s="2170"/>
      <c r="I495" s="2170"/>
      <c r="J495" s="2170"/>
      <c r="K495" s="2170"/>
      <c r="L495" s="2170"/>
      <c r="M495" s="2170"/>
      <c r="N495" s="2170"/>
      <c r="O495" s="2170"/>
      <c r="P495" s="2170"/>
      <c r="Q495" s="2170"/>
      <c r="R495" s="2170"/>
      <c r="S495" s="2170"/>
      <c r="T495" s="2170"/>
      <c r="U495" s="2170"/>
      <c r="V495" s="2170"/>
      <c r="W495" s="2170"/>
      <c r="X495" s="2170" t="s">
        <v>638</v>
      </c>
      <c r="Y495" s="2170"/>
      <c r="Z495" s="2170"/>
      <c r="AA495" s="2170"/>
      <c r="AB495" s="2170"/>
      <c r="AC495" s="2170"/>
      <c r="AD495" s="2170"/>
      <c r="AE495" s="2170"/>
      <c r="AF495" s="2170"/>
      <c r="AG495" s="2170"/>
      <c r="AH495" s="2170"/>
      <c r="AI495" s="2170"/>
      <c r="AJ495" s="2170"/>
      <c r="AK495" s="2170"/>
      <c r="AL495" s="2170"/>
      <c r="AM495" s="2170"/>
      <c r="AN495" s="2170"/>
      <c r="AO495" s="2170"/>
      <c r="AP495" s="2170"/>
      <c r="AQ495" s="2170"/>
      <c r="AR495" s="2170"/>
      <c r="AS495" s="2170"/>
      <c r="AT495" s="2170"/>
      <c r="AU495" s="2170"/>
      <c r="AV495" s="2170"/>
      <c r="AW495" s="2170"/>
      <c r="AX495" s="2170"/>
      <c r="AY495" s="2170"/>
      <c r="AZ495" s="2170"/>
      <c r="BA495" s="2170"/>
      <c r="BB495" s="2170"/>
      <c r="BC495" s="722" t="s">
        <v>196</v>
      </c>
    </row>
    <row r="496" spans="2:55" ht="15.75" customHeight="1">
      <c r="B496" s="2169" t="s">
        <v>2155</v>
      </c>
      <c r="C496" s="2169"/>
      <c r="D496" s="2169"/>
      <c r="E496" s="2169"/>
      <c r="F496" s="2169"/>
      <c r="G496" s="2169"/>
      <c r="H496" s="2169"/>
      <c r="I496" s="2169"/>
      <c r="J496" s="2169"/>
      <c r="K496" s="2169"/>
      <c r="L496" s="2169"/>
      <c r="M496" s="2169"/>
      <c r="N496" s="2169"/>
      <c r="O496" s="2169"/>
      <c r="P496" s="2169"/>
      <c r="Q496" s="2169"/>
      <c r="R496" s="2169"/>
      <c r="S496" s="2169"/>
      <c r="T496" s="2169"/>
      <c r="U496" s="2169"/>
      <c r="V496" s="2169"/>
      <c r="W496" s="2169"/>
      <c r="X496" s="2168" t="str">
        <f>IF(NL!U9="","Chưa nhập ngày","Hậu Giang, ngày "&amp;TEXT(NL!U9,"dd")&amp;" tháng "&amp;TEXT(NL!U9,"mm")&amp;" năm "&amp;TEXT(NL!U9,"yyyy"))</f>
        <v>Hậu Giang, ngày 07 tháng 12 năm 2018</v>
      </c>
      <c r="Y496" s="2168"/>
      <c r="Z496" s="2168"/>
      <c r="AA496" s="2168"/>
      <c r="AB496" s="2168"/>
      <c r="AC496" s="2168"/>
      <c r="AD496" s="2168"/>
      <c r="AE496" s="2168"/>
      <c r="AF496" s="2168"/>
      <c r="AG496" s="2168"/>
      <c r="AH496" s="2168"/>
      <c r="AI496" s="2168"/>
      <c r="AJ496" s="2168"/>
      <c r="AK496" s="2168"/>
      <c r="AL496" s="2168"/>
      <c r="AM496" s="2168"/>
      <c r="AN496" s="2168"/>
      <c r="AO496" s="2168"/>
      <c r="AP496" s="2168"/>
      <c r="AQ496" s="2168"/>
      <c r="AR496" s="2168"/>
      <c r="AS496" s="2168"/>
      <c r="AT496" s="2168"/>
      <c r="AU496" s="2168"/>
      <c r="AV496" s="2168"/>
      <c r="AW496" s="2168"/>
      <c r="AX496" s="2168"/>
      <c r="AY496" s="2168"/>
      <c r="AZ496" s="2168"/>
      <c r="BA496" s="2168"/>
      <c r="BB496" s="2168"/>
      <c r="BC496" s="722" t="s">
        <v>196</v>
      </c>
    </row>
    <row r="497" spans="2:55" ht="15.75" customHeight="1">
      <c r="B497" s="119"/>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c r="AB497" s="135"/>
      <c r="BC497" s="722" t="s">
        <v>196</v>
      </c>
    </row>
    <row r="498" spans="2:55" ht="20.25" customHeight="1">
      <c r="B498" s="136"/>
      <c r="C498" s="2182" t="s">
        <v>430</v>
      </c>
      <c r="D498" s="2182"/>
      <c r="E498" s="2182"/>
      <c r="F498" s="2182"/>
      <c r="G498" s="2182"/>
      <c r="H498" s="2182"/>
      <c r="I498" s="2182"/>
      <c r="J498" s="2182"/>
      <c r="K498" s="2182"/>
      <c r="L498" s="2182"/>
      <c r="M498" s="2182"/>
      <c r="N498" s="2182"/>
      <c r="O498" s="2182"/>
      <c r="P498" s="2182"/>
      <c r="Q498" s="2182"/>
      <c r="R498" s="2182"/>
      <c r="S498" s="2182"/>
      <c r="T498" s="2182"/>
      <c r="U498" s="2182"/>
      <c r="V498" s="2182"/>
      <c r="W498" s="2182"/>
      <c r="X498" s="2182"/>
      <c r="Y498" s="2182"/>
      <c r="Z498" s="2182"/>
      <c r="AA498" s="2182"/>
      <c r="AB498" s="2182"/>
      <c r="AC498" s="2182"/>
      <c r="AD498" s="2182"/>
      <c r="AE498" s="2182"/>
      <c r="AF498" s="2182"/>
      <c r="AG498" s="2182"/>
      <c r="AH498" s="2182"/>
      <c r="AI498" s="2182"/>
      <c r="AJ498" s="2182"/>
      <c r="AK498" s="2182"/>
      <c r="AL498" s="2182"/>
      <c r="AM498" s="2182"/>
      <c r="AN498" s="2182"/>
      <c r="AO498" s="2182"/>
      <c r="AP498" s="2182"/>
      <c r="AQ498" s="2182"/>
      <c r="AR498" s="2182"/>
      <c r="AS498" s="2182"/>
      <c r="AT498" s="2182"/>
      <c r="AU498" s="2182"/>
      <c r="AV498" s="2182"/>
      <c r="AW498" s="2182"/>
      <c r="AX498" s="2182"/>
      <c r="AY498" s="2182"/>
      <c r="AZ498" s="2182"/>
      <c r="BA498" s="2182"/>
      <c r="BB498" s="2182"/>
      <c r="BC498" s="722" t="s">
        <v>196</v>
      </c>
    </row>
    <row r="499" spans="2:55" ht="15.75" customHeight="1">
      <c r="B499" s="2030" t="s">
        <v>1587</v>
      </c>
      <c r="C499" s="2030"/>
      <c r="D499" s="2030"/>
      <c r="E499" s="2030"/>
      <c r="F499" s="2030"/>
      <c r="G499" s="2030"/>
      <c r="H499" s="2030"/>
      <c r="I499" s="2030"/>
      <c r="J499" s="2030"/>
      <c r="K499" s="2030"/>
      <c r="L499" s="2030"/>
      <c r="M499" s="2030"/>
      <c r="N499" s="2030"/>
      <c r="O499" s="2030"/>
      <c r="P499" s="2030"/>
      <c r="Q499" s="2030"/>
      <c r="R499" s="2030"/>
      <c r="S499" s="2030"/>
      <c r="T499" s="2030"/>
      <c r="U499" s="2030"/>
      <c r="V499" s="2030"/>
      <c r="W499" s="2030"/>
      <c r="X499" s="2030"/>
      <c r="Y499" s="2030"/>
      <c r="Z499" s="2030"/>
      <c r="AA499" s="2030"/>
      <c r="AB499" s="2030"/>
      <c r="AC499" s="2030"/>
      <c r="AD499" s="2030"/>
      <c r="AE499" s="2030"/>
      <c r="AF499" s="2030"/>
      <c r="AG499" s="2030"/>
      <c r="AH499" s="2030"/>
      <c r="AI499" s="2030"/>
      <c r="AJ499" s="2030"/>
      <c r="AK499" s="2030"/>
      <c r="AL499" s="2030"/>
      <c r="AM499" s="2030"/>
      <c r="AN499" s="2030"/>
      <c r="AO499" s="2030"/>
      <c r="AP499" s="2030"/>
      <c r="AQ499" s="2030"/>
      <c r="AR499" s="2030"/>
      <c r="AS499" s="2030"/>
      <c r="AT499" s="2030"/>
      <c r="AU499" s="2030"/>
      <c r="AV499" s="2030"/>
      <c r="AW499" s="2030"/>
      <c r="AX499" s="2030"/>
      <c r="AY499" s="2030"/>
      <c r="AZ499" s="2030"/>
      <c r="BA499" s="2030"/>
      <c r="BB499" s="2030"/>
      <c r="BC499" s="722" t="s">
        <v>196</v>
      </c>
    </row>
    <row r="500" spans="2:55" ht="15.75" customHeight="1">
      <c r="B500" s="2030" t="str">
        <f>+"Công trình: "&amp;NL!$U$3</f>
        <v>Công trình: XÂY DỰNG ĐƯỜNG DÂY TRUNG HẠ ÁP &amp; TRẠM BIẾN ÁP</v>
      </c>
      <c r="C500" s="2030"/>
      <c r="D500" s="2030"/>
      <c r="E500" s="2030"/>
      <c r="F500" s="2030"/>
      <c r="G500" s="2030"/>
      <c r="H500" s="2030"/>
      <c r="I500" s="2030"/>
      <c r="J500" s="2030"/>
      <c r="K500" s="2030"/>
      <c r="L500" s="2030"/>
      <c r="M500" s="2030"/>
      <c r="N500" s="2030"/>
      <c r="O500" s="2030"/>
      <c r="P500" s="2030"/>
      <c r="Q500" s="2030"/>
      <c r="R500" s="2030"/>
      <c r="S500" s="2030"/>
      <c r="T500" s="2030"/>
      <c r="U500" s="2030"/>
      <c r="V500" s="2030"/>
      <c r="W500" s="2030"/>
      <c r="X500" s="2030"/>
      <c r="Y500" s="2030"/>
      <c r="Z500" s="2030"/>
      <c r="AA500" s="2030"/>
      <c r="AB500" s="2030"/>
      <c r="AC500" s="2030"/>
      <c r="AD500" s="2030"/>
      <c r="AE500" s="2030"/>
      <c r="AF500" s="2030"/>
      <c r="AG500" s="2030"/>
      <c r="AH500" s="2030"/>
      <c r="AI500" s="2030"/>
      <c r="AJ500" s="2030"/>
      <c r="AK500" s="2030"/>
      <c r="AL500" s="2030"/>
      <c r="AM500" s="2030"/>
      <c r="AN500" s="2030"/>
      <c r="AO500" s="2030"/>
      <c r="AP500" s="2030"/>
      <c r="AQ500" s="2030"/>
      <c r="AR500" s="2030"/>
      <c r="AS500" s="2030"/>
      <c r="AT500" s="2030"/>
      <c r="AU500" s="2030"/>
      <c r="AV500" s="2030"/>
      <c r="AW500" s="2030"/>
      <c r="AX500" s="2030"/>
      <c r="AY500" s="2030"/>
      <c r="AZ500" s="2030"/>
      <c r="BA500" s="2030"/>
      <c r="BB500" s="2030"/>
      <c r="BC500" s="724" t="s">
        <v>196</v>
      </c>
    </row>
    <row r="501" spans="2:55" ht="15.75" customHeight="1">
      <c r="B501" s="2030" t="str">
        <f>NL!$U$4</f>
        <v>HUYỆN CHÂU THÀNH, TX NGÃ BẢY</v>
      </c>
      <c r="C501" s="2030"/>
      <c r="D501" s="2030"/>
      <c r="E501" s="2030"/>
      <c r="F501" s="2030"/>
      <c r="G501" s="2030"/>
      <c r="H501" s="2030"/>
      <c r="I501" s="2030"/>
      <c r="J501" s="2030"/>
      <c r="K501" s="2030"/>
      <c r="L501" s="2030"/>
      <c r="M501" s="2030"/>
      <c r="N501" s="2030"/>
      <c r="O501" s="2030"/>
      <c r="P501" s="2030"/>
      <c r="Q501" s="2030"/>
      <c r="R501" s="2030"/>
      <c r="S501" s="2030"/>
      <c r="T501" s="2030"/>
      <c r="U501" s="2030"/>
      <c r="V501" s="2030"/>
      <c r="W501" s="2030"/>
      <c r="X501" s="2030"/>
      <c r="Y501" s="2030"/>
      <c r="Z501" s="2030"/>
      <c r="AA501" s="2030"/>
      <c r="AB501" s="2030"/>
      <c r="AC501" s="2030"/>
      <c r="AD501" s="2030"/>
      <c r="AE501" s="2030"/>
      <c r="AF501" s="2030"/>
      <c r="AG501" s="2030"/>
      <c r="AH501" s="2030"/>
      <c r="AI501" s="2030"/>
      <c r="AJ501" s="2030"/>
      <c r="AK501" s="2030"/>
      <c r="AL501" s="2030"/>
      <c r="AM501" s="2030"/>
      <c r="AN501" s="2030"/>
      <c r="AO501" s="2030"/>
      <c r="AP501" s="2030"/>
      <c r="AQ501" s="2030"/>
      <c r="AR501" s="2030"/>
      <c r="AS501" s="2030"/>
      <c r="AT501" s="2030"/>
      <c r="AU501" s="2030"/>
      <c r="AV501" s="2030"/>
      <c r="AW501" s="2030"/>
      <c r="AX501" s="2030"/>
      <c r="AY501" s="2030"/>
      <c r="AZ501" s="2030"/>
      <c r="BA501" s="2030"/>
      <c r="BB501" s="2030"/>
      <c r="BC501" s="724" t="s">
        <v>196</v>
      </c>
    </row>
    <row r="502" spans="2:55" ht="15.75" customHeight="1">
      <c r="B502" s="2030" t="str">
        <f>+"Địa điểm: "&amp;NL!$U$5</f>
        <v>Địa điểm: Huyện Châu Thành &amp; Tx.Ngã Bảy, tỉnh Hậu Giang</v>
      </c>
      <c r="C502" s="2030"/>
      <c r="D502" s="2030"/>
      <c r="E502" s="2030"/>
      <c r="F502" s="2030"/>
      <c r="G502" s="2030"/>
      <c r="H502" s="2030"/>
      <c r="I502" s="2030"/>
      <c r="J502" s="2030"/>
      <c r="K502" s="2030"/>
      <c r="L502" s="2030"/>
      <c r="M502" s="2030"/>
      <c r="N502" s="2030"/>
      <c r="O502" s="2030"/>
      <c r="P502" s="2030"/>
      <c r="Q502" s="2030"/>
      <c r="R502" s="2030"/>
      <c r="S502" s="2030"/>
      <c r="T502" s="2030"/>
      <c r="U502" s="2030"/>
      <c r="V502" s="2030"/>
      <c r="W502" s="2030"/>
      <c r="X502" s="2030"/>
      <c r="Y502" s="2030"/>
      <c r="Z502" s="2030"/>
      <c r="AA502" s="2030"/>
      <c r="AB502" s="2030"/>
      <c r="AC502" s="2030"/>
      <c r="AD502" s="2030"/>
      <c r="AE502" s="2030"/>
      <c r="AF502" s="2030"/>
      <c r="AG502" s="2030"/>
      <c r="AH502" s="2030"/>
      <c r="AI502" s="2030"/>
      <c r="AJ502" s="2030"/>
      <c r="AK502" s="2030"/>
      <c r="AL502" s="2030"/>
      <c r="AM502" s="2030"/>
      <c r="AN502" s="2030"/>
      <c r="AO502" s="2030"/>
      <c r="AP502" s="2030"/>
      <c r="AQ502" s="2030"/>
      <c r="AR502" s="2030"/>
      <c r="AS502" s="2030"/>
      <c r="AT502" s="2030"/>
      <c r="AU502" s="2030"/>
      <c r="AV502" s="2030"/>
      <c r="AW502" s="2030"/>
      <c r="AX502" s="2030"/>
      <c r="AY502" s="2030"/>
      <c r="AZ502" s="2030"/>
      <c r="BA502" s="2030"/>
      <c r="BB502" s="2030"/>
      <c r="BC502" s="724" t="s">
        <v>196</v>
      </c>
    </row>
    <row r="503" spans="2:55" ht="19.5" customHeight="1">
      <c r="B503" s="2182" t="s">
        <v>3682</v>
      </c>
      <c r="C503" s="2182"/>
      <c r="D503" s="2182"/>
      <c r="E503" s="2182"/>
      <c r="F503" s="2182"/>
      <c r="G503" s="2182"/>
      <c r="H503" s="2182"/>
      <c r="I503" s="2182"/>
      <c r="J503" s="2182"/>
      <c r="K503" s="2182"/>
      <c r="L503" s="2182"/>
      <c r="M503" s="2182"/>
      <c r="N503" s="2182"/>
      <c r="O503" s="2182"/>
      <c r="P503" s="2182"/>
      <c r="Q503" s="2182"/>
      <c r="R503" s="2182"/>
      <c r="S503" s="2182"/>
      <c r="T503" s="2182"/>
      <c r="U503" s="2182"/>
      <c r="V503" s="2182"/>
      <c r="W503" s="2182"/>
      <c r="X503" s="2182"/>
      <c r="Y503" s="2182"/>
      <c r="Z503" s="2182"/>
      <c r="AA503" s="2182"/>
      <c r="AB503" s="2182"/>
      <c r="AC503" s="2182"/>
      <c r="AD503" s="2182"/>
      <c r="AE503" s="2182"/>
      <c r="AF503" s="2182"/>
      <c r="AG503" s="2182"/>
      <c r="AH503" s="2182"/>
      <c r="AI503" s="2182"/>
      <c r="AJ503" s="2182"/>
      <c r="AK503" s="2182"/>
      <c r="AL503" s="2182"/>
      <c r="AM503" s="2182"/>
      <c r="AN503" s="2182"/>
      <c r="AO503" s="2182"/>
      <c r="AP503" s="2182"/>
      <c r="AQ503" s="2182"/>
      <c r="AR503" s="2182"/>
      <c r="AS503" s="2182"/>
      <c r="AT503" s="2182"/>
      <c r="AU503" s="2182"/>
      <c r="AV503" s="2182"/>
      <c r="AW503" s="2182"/>
      <c r="AX503" s="2182"/>
      <c r="AY503" s="2182"/>
      <c r="AZ503" s="2182"/>
      <c r="BA503" s="2182"/>
      <c r="BB503" s="2182"/>
      <c r="BC503" s="722" t="s">
        <v>196</v>
      </c>
    </row>
    <row r="504" spans="2:55" ht="15.75" customHeight="1">
      <c r="B504" s="85"/>
      <c r="C504" s="85"/>
      <c r="D504" s="85"/>
      <c r="E504" s="87"/>
      <c r="F504" s="2181" t="str">
        <f>"   Căn cứ theo hợp đồng "&amp;IF(NL!U20=NL!U21,"tổng thầu ","tư vấn giám sát")&amp;IF(NL!U20=NL!U21,$B$589,$B$268)&amp;" ngày "&amp;TEXT(IF(NL!U20=NL!U21,NL!U8,NL!U9),"dd/mm/yyyy")&amp;" giữa Công ty Điện lực Hậu Giang"</f>
        <v xml:space="preserve">   Căn cứ theo hợp đồng tư vấn giám sát ngày 07/12/2018 giữa Công ty Điện lực Hậu Giang</v>
      </c>
      <c r="G504" s="2181"/>
      <c r="H504" s="2181"/>
      <c r="I504" s="2181"/>
      <c r="J504" s="2181"/>
      <c r="K504" s="2181"/>
      <c r="L504" s="2181"/>
      <c r="M504" s="2181"/>
      <c r="N504" s="2181"/>
      <c r="O504" s="2181"/>
      <c r="P504" s="2181"/>
      <c r="Q504" s="2181"/>
      <c r="R504" s="2181"/>
      <c r="S504" s="2181"/>
      <c r="T504" s="2181"/>
      <c r="U504" s="2181"/>
      <c r="V504" s="2181"/>
      <c r="W504" s="2181"/>
      <c r="X504" s="2181"/>
      <c r="Y504" s="2181"/>
      <c r="Z504" s="2181"/>
      <c r="AA504" s="2181"/>
      <c r="AB504" s="2181"/>
      <c r="AC504" s="2181"/>
      <c r="AD504" s="2181"/>
      <c r="AE504" s="2181"/>
      <c r="AF504" s="2181"/>
      <c r="AG504" s="2181"/>
      <c r="AH504" s="2181"/>
      <c r="AI504" s="2181"/>
      <c r="AJ504" s="2181"/>
      <c r="AK504" s="2181"/>
      <c r="AL504" s="2181"/>
      <c r="AM504" s="2181"/>
      <c r="AN504" s="2181"/>
      <c r="AO504" s="2181"/>
      <c r="AP504" s="2181"/>
      <c r="AQ504" s="2181"/>
      <c r="AR504" s="2181"/>
      <c r="AS504" s="2181"/>
      <c r="AT504" s="2181"/>
      <c r="AU504" s="2181"/>
      <c r="AV504" s="2181"/>
      <c r="AW504" s="2181"/>
      <c r="AX504" s="2181"/>
      <c r="AY504" s="2181"/>
      <c r="AZ504" s="2181"/>
      <c r="BA504" s="2181"/>
      <c r="BB504" s="2181"/>
      <c r="BC504" s="722" t="s">
        <v>196</v>
      </c>
    </row>
    <row r="505" spans="2:55" ht="15.75" customHeight="1">
      <c r="B505" s="135"/>
      <c r="C505" s="135"/>
      <c r="D505" s="135"/>
      <c r="E505" s="2166" t="str">
        <f>"và "&amp;NL!U19&amp;";"</f>
        <v>và Nhà máy xay xát Nguyễn Văn A;</v>
      </c>
      <c r="F505" s="2166"/>
      <c r="G505" s="2166"/>
      <c r="H505" s="2166"/>
      <c r="I505" s="2166"/>
      <c r="J505" s="2166"/>
      <c r="K505" s="2166"/>
      <c r="L505" s="2166"/>
      <c r="M505" s="2166"/>
      <c r="N505" s="2166"/>
      <c r="O505" s="2166"/>
      <c r="P505" s="2166"/>
      <c r="Q505" s="2166"/>
      <c r="R505" s="2166"/>
      <c r="S505" s="2166"/>
      <c r="T505" s="2166"/>
      <c r="U505" s="2166"/>
      <c r="V505" s="2166"/>
      <c r="W505" s="2166"/>
      <c r="X505" s="2166"/>
      <c r="Y505" s="2166"/>
      <c r="Z505" s="2166"/>
      <c r="AA505" s="2166"/>
      <c r="AB505" s="2166"/>
      <c r="AC505" s="2166"/>
      <c r="AD505" s="2166"/>
      <c r="AE505" s="2166"/>
      <c r="AF505" s="2166"/>
      <c r="AG505" s="2166"/>
      <c r="AH505" s="2166"/>
      <c r="AI505" s="2166"/>
      <c r="AJ505" s="2166"/>
      <c r="AK505" s="2166"/>
      <c r="AL505" s="2166"/>
      <c r="AM505" s="2166"/>
      <c r="AN505" s="2166"/>
      <c r="AO505" s="2166"/>
      <c r="AP505" s="2166"/>
      <c r="AQ505" s="2166"/>
      <c r="AR505" s="2166"/>
      <c r="AS505" s="2166"/>
      <c r="AT505" s="2166"/>
      <c r="AU505" s="2166"/>
      <c r="AV505" s="2166"/>
      <c r="AW505" s="2166"/>
      <c r="AX505" s="2166"/>
      <c r="AY505" s="2166"/>
      <c r="AZ505" s="2166"/>
      <c r="BA505" s="2166"/>
      <c r="BB505" s="2166"/>
      <c r="BC505" s="722" t="s">
        <v>196</v>
      </c>
    </row>
    <row r="506" spans="2:55" ht="15.75" customHeight="1">
      <c r="B506" s="135"/>
      <c r="C506" s="135"/>
      <c r="D506" s="135"/>
      <c r="E506" s="87"/>
      <c r="F506" s="2166" t="str">
        <f>"   Căn cứ BC KT-KT Số: "&amp;NL!U2&amp;"/BCKTKT-PCHG"&amp;" ngày "&amp;TEXT(NL!U9,"dd/mm/yyyy")&amp;" do PCHG thiết lập;"</f>
        <v xml:space="preserve">   Căn cứ BC KT-KT Số: 01/BCKTKT-PCHG ngày 07/12/2018 do PCHG thiết lập;</v>
      </c>
      <c r="G506" s="2166"/>
      <c r="H506" s="2166"/>
      <c r="I506" s="2166"/>
      <c r="J506" s="2166"/>
      <c r="K506" s="2166"/>
      <c r="L506" s="2166"/>
      <c r="M506" s="2166"/>
      <c r="N506" s="2166"/>
      <c r="O506" s="2166"/>
      <c r="P506" s="2166"/>
      <c r="Q506" s="2166"/>
      <c r="R506" s="2166"/>
      <c r="S506" s="2166"/>
      <c r="T506" s="2166"/>
      <c r="U506" s="2166"/>
      <c r="V506" s="2166"/>
      <c r="W506" s="2166"/>
      <c r="X506" s="2166"/>
      <c r="Y506" s="2166"/>
      <c r="Z506" s="2166"/>
      <c r="AA506" s="2166"/>
      <c r="AB506" s="2166"/>
      <c r="AC506" s="2166"/>
      <c r="AD506" s="2166"/>
      <c r="AE506" s="2166"/>
      <c r="AF506" s="2166"/>
      <c r="AG506" s="2166"/>
      <c r="AH506" s="2166"/>
      <c r="AI506" s="2166"/>
      <c r="AJ506" s="2166"/>
      <c r="AK506" s="2166"/>
      <c r="AL506" s="2166"/>
      <c r="AM506" s="2166"/>
      <c r="AN506" s="2166"/>
      <c r="AO506" s="2166"/>
      <c r="AP506" s="2166"/>
      <c r="AQ506" s="2166"/>
      <c r="AR506" s="2166"/>
      <c r="AS506" s="2166"/>
      <c r="AT506" s="2166"/>
      <c r="AU506" s="2166"/>
      <c r="AV506" s="2166"/>
      <c r="AW506" s="2166"/>
      <c r="AX506" s="2166"/>
      <c r="AY506" s="2166"/>
      <c r="AZ506" s="2166"/>
      <c r="BA506" s="2166"/>
      <c r="BB506" s="2166"/>
      <c r="BC506" s="722" t="s">
        <v>196</v>
      </c>
    </row>
    <row r="507" spans="2:55" ht="15.75" customHeight="1">
      <c r="B507" s="135"/>
      <c r="C507" s="135"/>
      <c r="D507" s="135"/>
      <c r="E507" s="87"/>
      <c r="F507" s="2166" t="s">
        <v>246</v>
      </c>
      <c r="G507" s="2166"/>
      <c r="H507" s="2166"/>
      <c r="I507" s="2166"/>
      <c r="J507" s="2166"/>
      <c r="K507" s="2166"/>
      <c r="L507" s="2166"/>
      <c r="M507" s="2166"/>
      <c r="N507" s="2166"/>
      <c r="O507" s="2166"/>
      <c r="P507" s="2166"/>
      <c r="Q507" s="2166"/>
      <c r="R507" s="2166"/>
      <c r="S507" s="2166"/>
      <c r="T507" s="2166"/>
      <c r="U507" s="2166"/>
      <c r="V507" s="2166"/>
      <c r="W507" s="2166"/>
      <c r="X507" s="2166"/>
      <c r="Y507" s="2166"/>
      <c r="Z507" s="2166"/>
      <c r="AA507" s="2166"/>
      <c r="AB507" s="2166"/>
      <c r="BC507" s="722" t="s">
        <v>196</v>
      </c>
    </row>
    <row r="508" spans="2:55" ht="19.5" customHeight="1">
      <c r="B508" s="2182" t="s">
        <v>1588</v>
      </c>
      <c r="C508" s="2182"/>
      <c r="D508" s="2182"/>
      <c r="E508" s="2182"/>
      <c r="F508" s="2182"/>
      <c r="G508" s="2182"/>
      <c r="H508" s="2182"/>
      <c r="I508" s="2182"/>
      <c r="J508" s="2182"/>
      <c r="K508" s="2182"/>
      <c r="L508" s="2182"/>
      <c r="M508" s="2182"/>
      <c r="N508" s="2182"/>
      <c r="O508" s="2182"/>
      <c r="P508" s="2182"/>
      <c r="Q508" s="2182"/>
      <c r="R508" s="2182"/>
      <c r="S508" s="2182"/>
      <c r="T508" s="2182"/>
      <c r="U508" s="2182"/>
      <c r="V508" s="2182"/>
      <c r="W508" s="2182"/>
      <c r="X508" s="2182"/>
      <c r="Y508" s="2182"/>
      <c r="Z508" s="2182"/>
      <c r="AA508" s="2182"/>
      <c r="AB508" s="2182"/>
      <c r="AC508" s="2182"/>
      <c r="AD508" s="2182"/>
      <c r="AE508" s="2182"/>
      <c r="AF508" s="2182"/>
      <c r="AG508" s="2182"/>
      <c r="AH508" s="2182"/>
      <c r="AI508" s="2182"/>
      <c r="AJ508" s="2182"/>
      <c r="AK508" s="2182"/>
      <c r="AL508" s="2182"/>
      <c r="AM508" s="2182"/>
      <c r="AN508" s="2182"/>
      <c r="AO508" s="2182"/>
      <c r="AP508" s="2182"/>
      <c r="AQ508" s="2182"/>
      <c r="AR508" s="2182"/>
      <c r="AS508" s="2182"/>
      <c r="AT508" s="2182"/>
      <c r="AU508" s="2182"/>
      <c r="AV508" s="2182"/>
      <c r="AW508" s="2182"/>
      <c r="AX508" s="2182"/>
      <c r="AY508" s="2182"/>
      <c r="AZ508" s="2182"/>
      <c r="BA508" s="2182"/>
      <c r="BB508" s="2182"/>
      <c r="BC508" s="722" t="s">
        <v>196</v>
      </c>
    </row>
    <row r="509" spans="2:55" ht="16.5">
      <c r="B509" s="135"/>
      <c r="C509" s="138"/>
      <c r="D509" s="121" t="s">
        <v>2156</v>
      </c>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c r="BC509" s="722" t="s">
        <v>196</v>
      </c>
    </row>
    <row r="510" spans="2:55" ht="15.75">
      <c r="B510" s="85"/>
      <c r="C510" s="85"/>
      <c r="D510" s="85"/>
      <c r="H510" s="2163">
        <v>1</v>
      </c>
      <c r="I510" s="2163"/>
      <c r="J510" s="139" t="s">
        <v>3309</v>
      </c>
      <c r="K510" s="89" t="s">
        <v>247</v>
      </c>
      <c r="L510" s="89"/>
      <c r="M510" s="89"/>
      <c r="N510" s="89"/>
      <c r="O510" s="89"/>
      <c r="P510" s="89"/>
      <c r="Q510" s="89"/>
      <c r="R510" s="89"/>
      <c r="S510" s="89"/>
      <c r="T510" s="89"/>
      <c r="U510" s="89"/>
      <c r="V510" s="89"/>
      <c r="W510" s="89"/>
      <c r="X510" s="89"/>
      <c r="Y510" s="89"/>
      <c r="Z510" s="89"/>
      <c r="AA510" s="89" t="s">
        <v>2329</v>
      </c>
      <c r="AB510" s="89"/>
      <c r="AC510" s="89"/>
      <c r="AD510" s="89"/>
      <c r="AE510" s="89"/>
      <c r="AF510" s="89"/>
      <c r="AG510" s="89"/>
      <c r="AH510" s="89"/>
      <c r="AI510" s="89"/>
      <c r="AJ510" s="89"/>
      <c r="AK510" s="89"/>
      <c r="AL510" s="89"/>
      <c r="AM510" s="89" t="s">
        <v>1260</v>
      </c>
      <c r="AN510" s="89"/>
      <c r="AO510" s="89"/>
      <c r="AP510" s="89"/>
      <c r="AQ510" s="89"/>
      <c r="AR510" s="89"/>
      <c r="AS510" s="85"/>
      <c r="AT510" s="85"/>
      <c r="AU510" s="85"/>
      <c r="BC510" s="1300" t="str">
        <f>IF(NL!$U$21="ĐL Tp.Vị Thanh", "QDGS",)</f>
        <v>QDGS</v>
      </c>
    </row>
    <row r="511" spans="2:55" ht="15.75">
      <c r="B511" s="85"/>
      <c r="C511" s="85"/>
      <c r="D511" s="85"/>
      <c r="H511" s="2163">
        <v>2</v>
      </c>
      <c r="I511" s="2163"/>
      <c r="J511" s="139" t="s">
        <v>3309</v>
      </c>
      <c r="K511" s="89" t="s">
        <v>2879</v>
      </c>
      <c r="L511" s="89"/>
      <c r="M511" s="89"/>
      <c r="N511" s="89"/>
      <c r="O511" s="89"/>
      <c r="P511" s="89"/>
      <c r="Q511" s="89"/>
      <c r="R511" s="89"/>
      <c r="S511" s="89"/>
      <c r="T511" s="89"/>
      <c r="U511" s="89"/>
      <c r="V511" s="89"/>
      <c r="W511" s="89"/>
      <c r="X511" s="89"/>
      <c r="Y511" s="89"/>
      <c r="Z511" s="89"/>
      <c r="AA511" s="89" t="s">
        <v>2329</v>
      </c>
      <c r="AB511" s="89"/>
      <c r="AC511" s="89"/>
      <c r="AD511" s="89"/>
      <c r="AE511" s="89"/>
      <c r="AF511" s="89"/>
      <c r="AG511" s="89"/>
      <c r="AH511" s="89"/>
      <c r="AI511" s="89"/>
      <c r="AJ511" s="89"/>
      <c r="AK511" s="89"/>
      <c r="AL511" s="89"/>
      <c r="AM511" s="89" t="s">
        <v>1261</v>
      </c>
      <c r="AN511" s="89"/>
      <c r="AO511" s="89"/>
      <c r="AP511" s="89"/>
      <c r="AQ511" s="89"/>
      <c r="AR511" s="89"/>
      <c r="AS511" s="85"/>
      <c r="AT511" s="85"/>
      <c r="AU511" s="85"/>
      <c r="BC511" s="1300" t="str">
        <f>IF(NL!$U$21="ĐL Tp.Vị Thanh", "QDGS",)</f>
        <v>QDGS</v>
      </c>
    </row>
    <row r="512" spans="2:55" ht="15.75">
      <c r="B512" s="85"/>
      <c r="C512" s="85"/>
      <c r="D512" s="85"/>
      <c r="H512" s="2163">
        <v>3</v>
      </c>
      <c r="I512" s="2163"/>
      <c r="J512" s="139" t="s">
        <v>3309</v>
      </c>
      <c r="K512" s="89" t="s">
        <v>252</v>
      </c>
      <c r="L512" s="89"/>
      <c r="M512" s="89"/>
      <c r="N512" s="89"/>
      <c r="O512" s="89"/>
      <c r="P512" s="89"/>
      <c r="Q512" s="89"/>
      <c r="R512" s="89"/>
      <c r="S512" s="89"/>
      <c r="T512" s="89"/>
      <c r="U512" s="89"/>
      <c r="V512" s="89"/>
      <c r="W512" s="89"/>
      <c r="X512" s="89"/>
      <c r="Y512" s="89"/>
      <c r="Z512" s="89"/>
      <c r="AA512" s="89" t="s">
        <v>4870</v>
      </c>
      <c r="AB512" s="89"/>
      <c r="AC512" s="89"/>
      <c r="AD512" s="89"/>
      <c r="AE512" s="89"/>
      <c r="AF512" s="89"/>
      <c r="AG512" s="89"/>
      <c r="AH512" s="89"/>
      <c r="AI512" s="89"/>
      <c r="AJ512" s="89"/>
      <c r="AK512" s="89"/>
      <c r="AL512" s="89"/>
      <c r="AM512" s="89" t="s">
        <v>198</v>
      </c>
      <c r="AN512" s="89"/>
      <c r="AO512" s="89"/>
      <c r="AP512" s="89"/>
      <c r="AQ512" s="89"/>
      <c r="AR512" s="89"/>
      <c r="AS512" s="85"/>
      <c r="AT512" s="85"/>
      <c r="AU512" s="85"/>
      <c r="BC512" s="1300" t="str">
        <f>IF(NL!$U$21="ĐL Tp.Vị Thanh", "QDGS",)</f>
        <v>QDGS</v>
      </c>
    </row>
    <row r="513" spans="2:55" ht="15.75">
      <c r="B513" s="85"/>
      <c r="C513" s="85"/>
      <c r="D513" s="85"/>
      <c r="H513" s="2163">
        <v>4</v>
      </c>
      <c r="I513" s="2163"/>
      <c r="J513" s="139" t="s">
        <v>3309</v>
      </c>
      <c r="K513" s="89" t="s">
        <v>248</v>
      </c>
      <c r="L513" s="89"/>
      <c r="M513" s="89"/>
      <c r="N513" s="89"/>
      <c r="O513" s="89"/>
      <c r="P513" s="89"/>
      <c r="Q513" s="89"/>
      <c r="R513" s="89"/>
      <c r="S513" s="89"/>
      <c r="T513" s="89"/>
      <c r="U513" s="89"/>
      <c r="V513" s="89"/>
      <c r="W513" s="89"/>
      <c r="X513" s="89"/>
      <c r="Y513" s="89"/>
      <c r="Z513" s="89"/>
      <c r="AA513" s="89" t="s">
        <v>2329</v>
      </c>
      <c r="AB513" s="89"/>
      <c r="AC513" s="89"/>
      <c r="AD513" s="89"/>
      <c r="AE513" s="89"/>
      <c r="AF513" s="89"/>
      <c r="AG513" s="89"/>
      <c r="AH513" s="89"/>
      <c r="AI513" s="89"/>
      <c r="AJ513" s="89"/>
      <c r="AK513" s="89"/>
      <c r="AL513" s="89"/>
      <c r="AM513" s="89" t="s">
        <v>198</v>
      </c>
      <c r="AN513" s="89"/>
      <c r="AO513" s="89"/>
      <c r="AP513" s="89"/>
      <c r="AQ513" s="89"/>
      <c r="AR513" s="89"/>
      <c r="AS513" s="85"/>
      <c r="AT513" s="85"/>
      <c r="AU513" s="85"/>
      <c r="BC513" s="1300" t="str">
        <f>IF(NL!$U$21="ĐL Tp.Vị Thanh", "QDGS",)</f>
        <v>QDGS</v>
      </c>
    </row>
    <row r="514" spans="2:55" ht="15.75">
      <c r="B514" s="85"/>
      <c r="C514" s="85"/>
      <c r="D514" s="85"/>
      <c r="H514" s="2163">
        <v>5</v>
      </c>
      <c r="I514" s="2163"/>
      <c r="J514" s="139" t="s">
        <v>3309</v>
      </c>
      <c r="K514" s="89" t="s">
        <v>249</v>
      </c>
      <c r="L514" s="89"/>
      <c r="M514" s="89"/>
      <c r="N514" s="89"/>
      <c r="O514" s="89"/>
      <c r="P514" s="89"/>
      <c r="Q514" s="89"/>
      <c r="R514" s="89"/>
      <c r="S514" s="89"/>
      <c r="T514" s="89"/>
      <c r="U514" s="89"/>
      <c r="V514" s="89"/>
      <c r="W514" s="89"/>
      <c r="X514" s="89"/>
      <c r="Y514" s="89"/>
      <c r="Z514" s="89"/>
      <c r="AA514" s="89" t="s">
        <v>2329</v>
      </c>
      <c r="AB514" s="89"/>
      <c r="AC514" s="89"/>
      <c r="AD514" s="89"/>
      <c r="AE514" s="89"/>
      <c r="AF514" s="89"/>
      <c r="AG514" s="89"/>
      <c r="AH514" s="89"/>
      <c r="AI514" s="89"/>
      <c r="AJ514" s="89"/>
      <c r="AK514" s="89"/>
      <c r="AL514" s="89"/>
      <c r="AM514" s="89" t="s">
        <v>198</v>
      </c>
      <c r="AN514" s="89"/>
      <c r="AO514" s="89"/>
      <c r="AP514" s="89"/>
      <c r="AQ514" s="89"/>
      <c r="AR514" s="89"/>
      <c r="AS514" s="85"/>
      <c r="AT514" s="85"/>
      <c r="AU514" s="85"/>
      <c r="BC514" s="1300" t="str">
        <f>IF(NL!$U$21="ĐL Tp.Vị Thanh", "QDGS",)</f>
        <v>QDGS</v>
      </c>
    </row>
    <row r="515" spans="2:55" ht="15.75">
      <c r="B515" s="85"/>
      <c r="C515" s="85"/>
      <c r="D515" s="85"/>
      <c r="H515" s="2163">
        <v>6</v>
      </c>
      <c r="I515" s="2163"/>
      <c r="J515" s="139" t="s">
        <v>3309</v>
      </c>
      <c r="K515" s="89" t="s">
        <v>5399</v>
      </c>
      <c r="L515" s="89"/>
      <c r="M515" s="89"/>
      <c r="N515" s="89"/>
      <c r="O515" s="89"/>
      <c r="P515" s="89"/>
      <c r="Q515" s="89"/>
      <c r="R515" s="89"/>
      <c r="S515" s="89"/>
      <c r="T515" s="89"/>
      <c r="U515" s="89"/>
      <c r="V515" s="89"/>
      <c r="W515" s="89"/>
      <c r="X515" s="89"/>
      <c r="Y515" s="89"/>
      <c r="Z515" s="89"/>
      <c r="AA515" s="89" t="s">
        <v>2329</v>
      </c>
      <c r="AB515" s="89"/>
      <c r="AC515" s="89"/>
      <c r="AD515" s="89"/>
      <c r="AE515" s="89"/>
      <c r="AF515" s="89"/>
      <c r="AG515" s="89"/>
      <c r="AH515" s="89"/>
      <c r="AI515" s="89"/>
      <c r="AJ515" s="89"/>
      <c r="AK515" s="89"/>
      <c r="AL515" s="89"/>
      <c r="AM515" s="89" t="s">
        <v>1262</v>
      </c>
      <c r="AN515" s="89"/>
      <c r="AO515" s="89"/>
      <c r="AP515" s="89"/>
      <c r="AQ515" s="89"/>
      <c r="AR515" s="89"/>
      <c r="AS515" s="85"/>
      <c r="AT515" s="85"/>
      <c r="AU515" s="85"/>
      <c r="BC515" s="1300" t="str">
        <f>IF(NL!$U$21="ĐL Tp.Vị Thanh", "QDGS",)</f>
        <v>QDGS</v>
      </c>
    </row>
    <row r="516" spans="2:55" ht="15.75" hidden="1">
      <c r="B516" s="85"/>
      <c r="C516" s="85"/>
      <c r="D516" s="85"/>
      <c r="H516" s="2167">
        <v>1</v>
      </c>
      <c r="I516" s="2167"/>
      <c r="J516" s="143" t="s">
        <v>3309</v>
      </c>
      <c r="K516" s="144" t="s">
        <v>250</v>
      </c>
      <c r="L516" s="144"/>
      <c r="M516" s="144"/>
      <c r="N516" s="144"/>
      <c r="O516" s="144"/>
      <c r="P516" s="144"/>
      <c r="Q516" s="144"/>
      <c r="R516" s="144"/>
      <c r="S516" s="144"/>
      <c r="T516" s="144"/>
      <c r="U516" s="144"/>
      <c r="V516" s="144"/>
      <c r="W516" s="144"/>
      <c r="X516" s="144"/>
      <c r="Y516" s="144"/>
      <c r="Z516" s="144"/>
      <c r="AA516" s="144" t="s">
        <v>5612</v>
      </c>
      <c r="AB516" s="144"/>
      <c r="AC516" s="144"/>
      <c r="AD516" s="144"/>
      <c r="AE516" s="144"/>
      <c r="AF516" s="144"/>
      <c r="AG516" s="144"/>
      <c r="AH516" s="144"/>
      <c r="AI516" s="144"/>
      <c r="AJ516" s="144"/>
      <c r="AK516" s="144"/>
      <c r="AL516" s="144"/>
      <c r="AM516" s="144" t="s">
        <v>1260</v>
      </c>
      <c r="AN516" s="144"/>
      <c r="AO516" s="144"/>
      <c r="AP516" s="144"/>
      <c r="AQ516" s="144"/>
      <c r="AR516" s="144"/>
      <c r="AS516" s="85"/>
      <c r="AT516" s="85"/>
      <c r="AU516" s="85"/>
      <c r="BC516" s="1300">
        <f>IF(NL!$U$21="ĐL Vị Thủy", "QDGS",0)</f>
        <v>0</v>
      </c>
    </row>
    <row r="517" spans="2:55" ht="15.75" hidden="1">
      <c r="B517" s="85"/>
      <c r="C517" s="85"/>
      <c r="D517" s="85"/>
      <c r="H517" s="2167">
        <v>2</v>
      </c>
      <c r="I517" s="2167"/>
      <c r="J517" s="143" t="s">
        <v>3309</v>
      </c>
      <c r="K517" s="144" t="s">
        <v>251</v>
      </c>
      <c r="L517" s="144"/>
      <c r="M517" s="144"/>
      <c r="N517" s="144"/>
      <c r="O517" s="144"/>
      <c r="P517" s="144"/>
      <c r="Q517" s="144"/>
      <c r="R517" s="144"/>
      <c r="S517" s="144"/>
      <c r="T517" s="144"/>
      <c r="U517" s="144"/>
      <c r="V517" s="144"/>
      <c r="W517" s="144"/>
      <c r="X517" s="144"/>
      <c r="Y517" s="144"/>
      <c r="Z517" s="144"/>
      <c r="AA517" s="144" t="s">
        <v>5612</v>
      </c>
      <c r="AB517" s="144"/>
      <c r="AC517" s="144"/>
      <c r="AD517" s="144"/>
      <c r="AE517" s="144"/>
      <c r="AF517" s="144"/>
      <c r="AG517" s="144"/>
      <c r="AH517" s="144"/>
      <c r="AI517" s="144"/>
      <c r="AJ517" s="144"/>
      <c r="AK517" s="144"/>
      <c r="AL517" s="144"/>
      <c r="AM517" s="144" t="s">
        <v>1261</v>
      </c>
      <c r="AN517" s="144"/>
      <c r="AO517" s="144"/>
      <c r="AP517" s="144"/>
      <c r="AQ517" s="144"/>
      <c r="AR517" s="144"/>
      <c r="AS517" s="85"/>
      <c r="AT517" s="85"/>
      <c r="AU517" s="85"/>
      <c r="BC517" s="1300">
        <f>IF(NL!$U$21="ĐL Vị Thủy", "QDGS",0)</f>
        <v>0</v>
      </c>
    </row>
    <row r="518" spans="2:55" ht="15.75" hidden="1">
      <c r="B518" s="85"/>
      <c r="C518" s="85"/>
      <c r="D518" s="85"/>
      <c r="H518" s="2167">
        <v>3</v>
      </c>
      <c r="I518" s="2167"/>
      <c r="J518" s="143" t="s">
        <v>3309</v>
      </c>
      <c r="K518" s="144" t="s">
        <v>252</v>
      </c>
      <c r="L518" s="144"/>
      <c r="M518" s="144"/>
      <c r="N518" s="144"/>
      <c r="O518" s="144"/>
      <c r="P518" s="144"/>
      <c r="Q518" s="144"/>
      <c r="R518" s="144"/>
      <c r="S518" s="144"/>
      <c r="T518" s="144"/>
      <c r="U518" s="144"/>
      <c r="V518" s="144"/>
      <c r="W518" s="144"/>
      <c r="X518" s="144"/>
      <c r="Y518" s="144"/>
      <c r="Z518" s="144"/>
      <c r="AA518" s="144" t="s">
        <v>4870</v>
      </c>
      <c r="AB518" s="144"/>
      <c r="AC518" s="144"/>
      <c r="AD518" s="144"/>
      <c r="AE518" s="144"/>
      <c r="AF518" s="144"/>
      <c r="AG518" s="144"/>
      <c r="AH518" s="144"/>
      <c r="AI518" s="144"/>
      <c r="AJ518" s="144"/>
      <c r="AK518" s="144"/>
      <c r="AL518" s="144"/>
      <c r="AM518" s="144" t="s">
        <v>198</v>
      </c>
      <c r="AN518" s="144"/>
      <c r="AO518" s="144"/>
      <c r="AP518" s="144"/>
      <c r="AQ518" s="144"/>
      <c r="AR518" s="144"/>
      <c r="AS518" s="85"/>
      <c r="AT518" s="85"/>
      <c r="AU518" s="85"/>
      <c r="BC518" s="1300">
        <f>IF(NL!$U$21="ĐL Vị Thủy", "QDGS",0)</f>
        <v>0</v>
      </c>
    </row>
    <row r="519" spans="2:55" ht="15.75" hidden="1">
      <c r="B519" s="85"/>
      <c r="C519" s="85"/>
      <c r="D519" s="85"/>
      <c r="H519" s="2167">
        <v>4</v>
      </c>
      <c r="I519" s="2167"/>
      <c r="J519" s="143" t="s">
        <v>3309</v>
      </c>
      <c r="K519" s="144" t="s">
        <v>253</v>
      </c>
      <c r="L519" s="144"/>
      <c r="M519" s="144"/>
      <c r="N519" s="144"/>
      <c r="O519" s="144"/>
      <c r="P519" s="144"/>
      <c r="Q519" s="144"/>
      <c r="R519" s="144"/>
      <c r="S519" s="144"/>
      <c r="T519" s="144"/>
      <c r="U519" s="144"/>
      <c r="V519" s="144"/>
      <c r="W519" s="144"/>
      <c r="X519" s="144"/>
      <c r="Y519" s="144"/>
      <c r="Z519" s="144"/>
      <c r="AA519" s="144" t="s">
        <v>5612</v>
      </c>
      <c r="AB519" s="144"/>
      <c r="AC519" s="144"/>
      <c r="AD519" s="144"/>
      <c r="AE519" s="144"/>
      <c r="AF519" s="144"/>
      <c r="AG519" s="144"/>
      <c r="AH519" s="144"/>
      <c r="AI519" s="144"/>
      <c r="AJ519" s="144"/>
      <c r="AK519" s="144"/>
      <c r="AL519" s="144"/>
      <c r="AM519" s="144" t="s">
        <v>198</v>
      </c>
      <c r="AN519" s="144"/>
      <c r="AO519" s="144"/>
      <c r="AP519" s="144"/>
      <c r="AQ519" s="144"/>
      <c r="AR519" s="144"/>
      <c r="AS519" s="85"/>
      <c r="AT519" s="85"/>
      <c r="AU519" s="85"/>
      <c r="BC519" s="1300">
        <f>IF(NL!$U$21="ĐL Vị Thủy", "QDGS",0)</f>
        <v>0</v>
      </c>
    </row>
    <row r="520" spans="2:55" ht="15.75" hidden="1">
      <c r="B520" s="85"/>
      <c r="C520" s="85"/>
      <c r="D520" s="85"/>
      <c r="H520" s="2167">
        <v>5</v>
      </c>
      <c r="I520" s="2167"/>
      <c r="J520" s="143" t="s">
        <v>3309</v>
      </c>
      <c r="K520" s="144" t="s">
        <v>5400</v>
      </c>
      <c r="L520" s="144"/>
      <c r="M520" s="144"/>
      <c r="N520" s="144"/>
      <c r="O520" s="144"/>
      <c r="P520" s="144"/>
      <c r="Q520" s="144"/>
      <c r="R520" s="144"/>
      <c r="S520" s="144"/>
      <c r="T520" s="144"/>
      <c r="U520" s="144"/>
      <c r="V520" s="144"/>
      <c r="W520" s="144"/>
      <c r="X520" s="144"/>
      <c r="Y520" s="144"/>
      <c r="Z520" s="144"/>
      <c r="AA520" s="144" t="s">
        <v>5612</v>
      </c>
      <c r="AB520" s="144"/>
      <c r="AC520" s="144"/>
      <c r="AD520" s="144"/>
      <c r="AE520" s="144"/>
      <c r="AF520" s="144"/>
      <c r="AG520" s="144"/>
      <c r="AH520" s="144"/>
      <c r="AI520" s="144"/>
      <c r="AJ520" s="144"/>
      <c r="AK520" s="144"/>
      <c r="AL520" s="144"/>
      <c r="AM520" s="144" t="s">
        <v>198</v>
      </c>
      <c r="AN520" s="144"/>
      <c r="AO520" s="144"/>
      <c r="AP520" s="144"/>
      <c r="AQ520" s="144"/>
      <c r="AR520" s="144"/>
      <c r="AS520" s="85"/>
      <c r="AT520" s="85"/>
      <c r="AU520" s="85"/>
      <c r="BC520" s="1300">
        <f>IF(NL!$U$21="ĐL Vị Thủy", "QDGS",0)</f>
        <v>0</v>
      </c>
    </row>
    <row r="521" spans="2:55" ht="15.75" hidden="1">
      <c r="B521" s="85"/>
      <c r="C521" s="85"/>
      <c r="D521" s="85"/>
      <c r="H521" s="2167">
        <v>6</v>
      </c>
      <c r="I521" s="2167"/>
      <c r="J521" s="143" t="s">
        <v>3309</v>
      </c>
      <c r="K521" s="144" t="s">
        <v>254</v>
      </c>
      <c r="L521" s="144"/>
      <c r="M521" s="144"/>
      <c r="N521" s="144"/>
      <c r="O521" s="144"/>
      <c r="P521" s="144"/>
      <c r="Q521" s="144"/>
      <c r="R521" s="144"/>
      <c r="S521" s="144"/>
      <c r="T521" s="144"/>
      <c r="U521" s="144"/>
      <c r="V521" s="144"/>
      <c r="W521" s="144"/>
      <c r="X521" s="144"/>
      <c r="Y521" s="144"/>
      <c r="Z521" s="144"/>
      <c r="AA521" s="144" t="s">
        <v>5612</v>
      </c>
      <c r="AB521" s="144"/>
      <c r="AC521" s="144"/>
      <c r="AD521" s="144"/>
      <c r="AE521" s="144"/>
      <c r="AF521" s="144"/>
      <c r="AG521" s="144"/>
      <c r="AH521" s="144"/>
      <c r="AI521" s="144"/>
      <c r="AJ521" s="144"/>
      <c r="AK521" s="144"/>
      <c r="AL521" s="144"/>
      <c r="AM521" s="144" t="s">
        <v>1262</v>
      </c>
      <c r="AN521" s="144"/>
      <c r="AO521" s="144"/>
      <c r="AP521" s="144"/>
      <c r="AQ521" s="144"/>
      <c r="AR521" s="144"/>
      <c r="AS521" s="85"/>
      <c r="AT521" s="85"/>
      <c r="AU521" s="85"/>
      <c r="BC521" s="1300">
        <f>IF(NL!$U$21="ĐL Vị Thủy", "QDGS",0)</f>
        <v>0</v>
      </c>
    </row>
    <row r="522" spans="2:55" ht="15.75" hidden="1">
      <c r="B522" s="85"/>
      <c r="C522" s="85"/>
      <c r="D522" s="85"/>
      <c r="H522" s="2162">
        <v>1</v>
      </c>
      <c r="I522" s="2162"/>
      <c r="J522" s="140" t="s">
        <v>3309</v>
      </c>
      <c r="K522" s="141" t="s">
        <v>255</v>
      </c>
      <c r="L522" s="141"/>
      <c r="M522" s="141"/>
      <c r="N522" s="141"/>
      <c r="O522" s="141"/>
      <c r="P522" s="141"/>
      <c r="Q522" s="141"/>
      <c r="R522" s="141"/>
      <c r="S522" s="141"/>
      <c r="T522" s="141"/>
      <c r="U522" s="141"/>
      <c r="V522" s="141"/>
      <c r="W522" s="141"/>
      <c r="X522" s="141"/>
      <c r="Y522" s="141"/>
      <c r="Z522" s="141"/>
      <c r="AA522" s="141" t="s">
        <v>2327</v>
      </c>
      <c r="AB522" s="141"/>
      <c r="AC522" s="141"/>
      <c r="AD522" s="141"/>
      <c r="AE522" s="141"/>
      <c r="AF522" s="141"/>
      <c r="AG522" s="141"/>
      <c r="AH522" s="141"/>
      <c r="AI522" s="141"/>
      <c r="AJ522" s="141"/>
      <c r="AK522" s="141"/>
      <c r="AL522" s="141"/>
      <c r="AM522" s="141" t="s">
        <v>1260</v>
      </c>
      <c r="AN522" s="141"/>
      <c r="AO522" s="141"/>
      <c r="AP522" s="141"/>
      <c r="AQ522" s="141"/>
      <c r="AR522" s="141"/>
      <c r="AS522" s="85"/>
      <c r="AT522" s="85"/>
      <c r="AU522" s="85"/>
      <c r="BC522" s="1300">
        <f>IF(NL!$U$21="ĐL TX.Long Mỹ", "QDGS",0)</f>
        <v>0</v>
      </c>
    </row>
    <row r="523" spans="2:55" ht="15.75" hidden="1">
      <c r="B523" s="85"/>
      <c r="C523" s="85"/>
      <c r="D523" s="85"/>
      <c r="H523" s="2162">
        <v>2</v>
      </c>
      <c r="I523" s="2162"/>
      <c r="J523" s="140" t="s">
        <v>3309</v>
      </c>
      <c r="K523" s="141" t="s">
        <v>256</v>
      </c>
      <c r="L523" s="141"/>
      <c r="M523" s="141"/>
      <c r="N523" s="141"/>
      <c r="O523" s="141"/>
      <c r="P523" s="141"/>
      <c r="Q523" s="141"/>
      <c r="R523" s="141"/>
      <c r="S523" s="141"/>
      <c r="T523" s="141"/>
      <c r="U523" s="141"/>
      <c r="V523" s="141"/>
      <c r="W523" s="141"/>
      <c r="X523" s="141"/>
      <c r="Y523" s="141"/>
      <c r="Z523" s="141"/>
      <c r="AA523" s="141" t="s">
        <v>2327</v>
      </c>
      <c r="AB523" s="141"/>
      <c r="AC523" s="141"/>
      <c r="AD523" s="141"/>
      <c r="AE523" s="141"/>
      <c r="AF523" s="141"/>
      <c r="AG523" s="141"/>
      <c r="AH523" s="141"/>
      <c r="AI523" s="141"/>
      <c r="AJ523" s="141"/>
      <c r="AK523" s="141"/>
      <c r="AL523" s="141"/>
      <c r="AM523" s="141" t="s">
        <v>1261</v>
      </c>
      <c r="AN523" s="141"/>
      <c r="AO523" s="141"/>
      <c r="AP523" s="141"/>
      <c r="AQ523" s="141"/>
      <c r="AR523" s="141"/>
      <c r="AS523" s="85"/>
      <c r="AT523" s="85"/>
      <c r="AU523" s="85"/>
      <c r="BC523" s="1300">
        <f>IF(NL!$U$21="ĐL TX.Long Mỹ", "QDGS",0)</f>
        <v>0</v>
      </c>
    </row>
    <row r="524" spans="2:55" ht="15.75" hidden="1">
      <c r="B524" s="85"/>
      <c r="C524" s="85"/>
      <c r="D524" s="85"/>
      <c r="H524" s="2162">
        <v>3</v>
      </c>
      <c r="I524" s="2162"/>
      <c r="J524" s="140" t="s">
        <v>3309</v>
      </c>
      <c r="K524" s="141" t="s">
        <v>38</v>
      </c>
      <c r="L524" s="141"/>
      <c r="M524" s="141"/>
      <c r="N524" s="141"/>
      <c r="O524" s="141"/>
      <c r="P524" s="141"/>
      <c r="Q524" s="141"/>
      <c r="R524" s="141"/>
      <c r="S524" s="141"/>
      <c r="T524" s="141"/>
      <c r="U524" s="141"/>
      <c r="V524" s="141"/>
      <c r="W524" s="141"/>
      <c r="X524" s="141"/>
      <c r="Y524" s="141"/>
      <c r="Z524" s="141"/>
      <c r="AA524" s="141" t="s">
        <v>4870</v>
      </c>
      <c r="AB524" s="141"/>
      <c r="AC524" s="141"/>
      <c r="AD524" s="141"/>
      <c r="AE524" s="141"/>
      <c r="AF524" s="141"/>
      <c r="AG524" s="141"/>
      <c r="AH524" s="141"/>
      <c r="AI524" s="141"/>
      <c r="AJ524" s="141"/>
      <c r="AK524" s="141"/>
      <c r="AL524" s="141"/>
      <c r="AM524" s="141" t="s">
        <v>198</v>
      </c>
      <c r="AN524" s="141"/>
      <c r="AO524" s="141"/>
      <c r="AP524" s="141"/>
      <c r="AQ524" s="141"/>
      <c r="AR524" s="141"/>
      <c r="AS524" s="85"/>
      <c r="AT524" s="85"/>
      <c r="AU524" s="85"/>
      <c r="BC524" s="1300">
        <f>IF(NL!$U$21="ĐL TX.Long Mỹ", "QDGS",0)</f>
        <v>0</v>
      </c>
    </row>
    <row r="525" spans="2:55" ht="15.75" hidden="1">
      <c r="B525" s="85"/>
      <c r="C525" s="85"/>
      <c r="D525" s="85"/>
      <c r="H525" s="2162">
        <v>4</v>
      </c>
      <c r="I525" s="2162"/>
      <c r="J525" s="140" t="s">
        <v>3309</v>
      </c>
      <c r="K525" s="141" t="s">
        <v>257</v>
      </c>
      <c r="L525" s="141"/>
      <c r="M525" s="141"/>
      <c r="N525" s="141"/>
      <c r="O525" s="141"/>
      <c r="P525" s="141"/>
      <c r="Q525" s="141"/>
      <c r="R525" s="141"/>
      <c r="S525" s="141"/>
      <c r="T525" s="141"/>
      <c r="U525" s="141"/>
      <c r="V525" s="141"/>
      <c r="W525" s="141"/>
      <c r="X525" s="141"/>
      <c r="Y525" s="141"/>
      <c r="Z525" s="141"/>
      <c r="AA525" s="141" t="s">
        <v>2327</v>
      </c>
      <c r="AB525" s="141"/>
      <c r="AC525" s="141"/>
      <c r="AD525" s="141"/>
      <c r="AE525" s="141"/>
      <c r="AF525" s="141"/>
      <c r="AG525" s="141"/>
      <c r="AH525" s="141"/>
      <c r="AI525" s="141"/>
      <c r="AJ525" s="141"/>
      <c r="AK525" s="141"/>
      <c r="AL525" s="141"/>
      <c r="AM525" s="141" t="s">
        <v>1785</v>
      </c>
      <c r="AN525" s="141"/>
      <c r="AO525" s="141"/>
      <c r="AP525" s="141"/>
      <c r="AQ525" s="141"/>
      <c r="AR525" s="141"/>
      <c r="AS525" s="85"/>
      <c r="AT525" s="85"/>
      <c r="AU525" s="85"/>
      <c r="BC525" s="1300">
        <f>IF(NL!$U$21="ĐL TX.Long Mỹ", "QDGS",0)</f>
        <v>0</v>
      </c>
    </row>
    <row r="526" spans="2:55" ht="15.75" hidden="1">
      <c r="B526" s="85"/>
      <c r="C526" s="85"/>
      <c r="D526" s="85"/>
      <c r="H526" s="2162">
        <v>5</v>
      </c>
      <c r="I526" s="2162"/>
      <c r="J526" s="140" t="s">
        <v>3309</v>
      </c>
      <c r="K526" s="141" t="s">
        <v>258</v>
      </c>
      <c r="L526" s="141"/>
      <c r="M526" s="141"/>
      <c r="N526" s="141"/>
      <c r="O526" s="141"/>
      <c r="P526" s="141"/>
      <c r="Q526" s="141"/>
      <c r="R526" s="141"/>
      <c r="S526" s="141"/>
      <c r="T526" s="141"/>
      <c r="U526" s="141"/>
      <c r="V526" s="141"/>
      <c r="W526" s="141"/>
      <c r="X526" s="141"/>
      <c r="Y526" s="141"/>
      <c r="Z526" s="141"/>
      <c r="AA526" s="141" t="s">
        <v>2327</v>
      </c>
      <c r="AB526" s="141"/>
      <c r="AC526" s="141"/>
      <c r="AD526" s="141"/>
      <c r="AE526" s="141"/>
      <c r="AF526" s="141"/>
      <c r="AG526" s="141"/>
      <c r="AH526" s="141"/>
      <c r="AI526" s="141"/>
      <c r="AJ526" s="141"/>
      <c r="AK526" s="141"/>
      <c r="AL526" s="141"/>
      <c r="AM526" s="141" t="s">
        <v>198</v>
      </c>
      <c r="AN526" s="141"/>
      <c r="AO526" s="141"/>
      <c r="AP526" s="141"/>
      <c r="AQ526" s="141"/>
      <c r="AR526" s="141"/>
      <c r="AS526" s="85"/>
      <c r="AT526" s="85"/>
      <c r="AU526" s="85"/>
      <c r="BC526" s="1300">
        <f>IF(NL!$U$21="ĐL TX.Long Mỹ", "QDGS",0)</f>
        <v>0</v>
      </c>
    </row>
    <row r="527" spans="2:55" ht="15.75" hidden="1">
      <c r="B527" s="85"/>
      <c r="C527" s="85"/>
      <c r="D527" s="85"/>
      <c r="H527" s="2162">
        <v>6</v>
      </c>
      <c r="I527" s="2162"/>
      <c r="J527" s="140" t="s">
        <v>3309</v>
      </c>
      <c r="K527" s="141" t="s">
        <v>259</v>
      </c>
      <c r="L527" s="141"/>
      <c r="M527" s="141"/>
      <c r="N527" s="141"/>
      <c r="O527" s="141"/>
      <c r="P527" s="141"/>
      <c r="Q527" s="141"/>
      <c r="R527" s="141"/>
      <c r="S527" s="141"/>
      <c r="T527" s="141"/>
      <c r="U527" s="141"/>
      <c r="V527" s="141"/>
      <c r="W527" s="141"/>
      <c r="X527" s="141"/>
      <c r="Y527" s="141"/>
      <c r="Z527" s="141"/>
      <c r="AA527" s="141" t="s">
        <v>2327</v>
      </c>
      <c r="AB527" s="141"/>
      <c r="AC527" s="141"/>
      <c r="AD527" s="141"/>
      <c r="AE527" s="141"/>
      <c r="AF527" s="141"/>
      <c r="AG527" s="141"/>
      <c r="AH527" s="141"/>
      <c r="AI527" s="141"/>
      <c r="AJ527" s="141"/>
      <c r="AK527" s="141"/>
      <c r="AL527" s="141"/>
      <c r="AM527" s="141" t="s">
        <v>1262</v>
      </c>
      <c r="AN527" s="141"/>
      <c r="AO527" s="141"/>
      <c r="AP527" s="141"/>
      <c r="AQ527" s="141"/>
      <c r="AR527" s="141"/>
      <c r="AS527" s="85"/>
      <c r="AT527" s="85"/>
      <c r="AU527" s="85"/>
      <c r="BC527" s="1300">
        <f>IF(NL!$U$21="ĐL TX.Long Mỹ", "QDGS",0)</f>
        <v>0</v>
      </c>
    </row>
    <row r="528" spans="2:55" ht="15.75" hidden="1">
      <c r="B528" s="85"/>
      <c r="C528" s="85"/>
      <c r="D528" s="85"/>
      <c r="H528" s="2165">
        <v>1</v>
      </c>
      <c r="I528" s="2165"/>
      <c r="J528" s="915" t="s">
        <v>3309</v>
      </c>
      <c r="K528" s="916" t="s">
        <v>260</v>
      </c>
      <c r="L528" s="916"/>
      <c r="M528" s="916"/>
      <c r="N528" s="916"/>
      <c r="O528" s="916"/>
      <c r="P528" s="916"/>
      <c r="Q528" s="916"/>
      <c r="R528" s="916"/>
      <c r="S528" s="916"/>
      <c r="T528" s="916"/>
      <c r="U528" s="916"/>
      <c r="V528" s="916"/>
      <c r="W528" s="916"/>
      <c r="X528" s="916"/>
      <c r="Y528" s="916"/>
      <c r="Z528" s="916"/>
      <c r="AA528" s="916" t="s">
        <v>6104</v>
      </c>
      <c r="AB528" s="916"/>
      <c r="AC528" s="916"/>
      <c r="AD528" s="916"/>
      <c r="AE528" s="916"/>
      <c r="AF528" s="916"/>
      <c r="AG528" s="916"/>
      <c r="AH528" s="916"/>
      <c r="AI528" s="916"/>
      <c r="AJ528" s="916"/>
      <c r="AK528" s="916"/>
      <c r="AL528" s="916"/>
      <c r="AM528" s="916" t="s">
        <v>1260</v>
      </c>
      <c r="AN528" s="916"/>
      <c r="AO528" s="916"/>
      <c r="AP528" s="916"/>
      <c r="AQ528" s="916"/>
      <c r="AR528" s="916"/>
      <c r="AS528" s="85"/>
      <c r="AT528" s="85"/>
      <c r="AU528" s="85"/>
      <c r="BC528" s="1300">
        <f>IF(NL!$U$21="ĐL Long Mỹ", "QDGS",0)</f>
        <v>0</v>
      </c>
    </row>
    <row r="529" spans="2:55" ht="15.75" hidden="1">
      <c r="B529" s="85"/>
      <c r="C529" s="85"/>
      <c r="D529" s="85"/>
      <c r="H529" s="2165">
        <v>2</v>
      </c>
      <c r="I529" s="2165"/>
      <c r="J529" s="915" t="s">
        <v>3309</v>
      </c>
      <c r="K529" s="916" t="s">
        <v>261</v>
      </c>
      <c r="L529" s="916"/>
      <c r="M529" s="916"/>
      <c r="N529" s="916"/>
      <c r="O529" s="916"/>
      <c r="P529" s="916"/>
      <c r="Q529" s="916"/>
      <c r="R529" s="916"/>
      <c r="S529" s="916"/>
      <c r="T529" s="916"/>
      <c r="U529" s="916"/>
      <c r="V529" s="916"/>
      <c r="W529" s="916"/>
      <c r="X529" s="916"/>
      <c r="Y529" s="916"/>
      <c r="Z529" s="916"/>
      <c r="AA529" s="916" t="s">
        <v>6104</v>
      </c>
      <c r="AB529" s="916"/>
      <c r="AC529" s="916"/>
      <c r="AD529" s="916"/>
      <c r="AE529" s="916"/>
      <c r="AF529" s="916"/>
      <c r="AG529" s="916"/>
      <c r="AH529" s="916"/>
      <c r="AI529" s="916"/>
      <c r="AJ529" s="916"/>
      <c r="AK529" s="916"/>
      <c r="AL529" s="916"/>
      <c r="AM529" s="916" t="s">
        <v>1261</v>
      </c>
      <c r="AN529" s="916"/>
      <c r="AO529" s="916"/>
      <c r="AP529" s="916"/>
      <c r="AQ529" s="916"/>
      <c r="AR529" s="916"/>
      <c r="AS529" s="85"/>
      <c r="AT529" s="85"/>
      <c r="AU529" s="85"/>
      <c r="BC529" s="1300">
        <f>IF(NL!$U$21="ĐL Long Mỹ", "QDGS",0)</f>
        <v>0</v>
      </c>
    </row>
    <row r="530" spans="2:55" ht="15.75" hidden="1">
      <c r="B530" s="85"/>
      <c r="C530" s="85"/>
      <c r="D530" s="85"/>
      <c r="H530" s="2165">
        <v>3</v>
      </c>
      <c r="I530" s="2165"/>
      <c r="J530" s="915" t="s">
        <v>3309</v>
      </c>
      <c r="K530" s="916" t="s">
        <v>252</v>
      </c>
      <c r="L530" s="916"/>
      <c r="M530" s="916"/>
      <c r="N530" s="916"/>
      <c r="O530" s="916"/>
      <c r="P530" s="916"/>
      <c r="Q530" s="916"/>
      <c r="R530" s="916"/>
      <c r="S530" s="916"/>
      <c r="T530" s="916"/>
      <c r="U530" s="916"/>
      <c r="V530" s="916"/>
      <c r="W530" s="916"/>
      <c r="X530" s="916"/>
      <c r="Y530" s="916"/>
      <c r="Z530" s="916"/>
      <c r="AA530" s="916" t="s">
        <v>4870</v>
      </c>
      <c r="AB530" s="916"/>
      <c r="AC530" s="916"/>
      <c r="AD530" s="916"/>
      <c r="AE530" s="916"/>
      <c r="AF530" s="916"/>
      <c r="AG530" s="916"/>
      <c r="AH530" s="916"/>
      <c r="AI530" s="916"/>
      <c r="AJ530" s="916"/>
      <c r="AK530" s="916"/>
      <c r="AL530" s="916"/>
      <c r="AM530" s="916" t="s">
        <v>198</v>
      </c>
      <c r="AN530" s="916"/>
      <c r="AO530" s="916"/>
      <c r="AP530" s="916"/>
      <c r="AQ530" s="916"/>
      <c r="AR530" s="916"/>
      <c r="AS530" s="85"/>
      <c r="AT530" s="85"/>
      <c r="AU530" s="85"/>
      <c r="BC530" s="1300">
        <f>IF(NL!$U$21="ĐL Long Mỹ", "QDGS",0)</f>
        <v>0</v>
      </c>
    </row>
    <row r="531" spans="2:55" ht="15.75" hidden="1">
      <c r="B531" s="85"/>
      <c r="C531" s="85"/>
      <c r="D531" s="85"/>
      <c r="H531" s="2165">
        <v>4</v>
      </c>
      <c r="I531" s="2165"/>
      <c r="J531" s="915" t="s">
        <v>3309</v>
      </c>
      <c r="K531" s="916" t="s">
        <v>262</v>
      </c>
      <c r="L531" s="916"/>
      <c r="M531" s="916"/>
      <c r="N531" s="916"/>
      <c r="O531" s="916"/>
      <c r="P531" s="916"/>
      <c r="Q531" s="916"/>
      <c r="R531" s="916"/>
      <c r="S531" s="916"/>
      <c r="T531" s="916"/>
      <c r="U531" s="916"/>
      <c r="V531" s="916"/>
      <c r="W531" s="916"/>
      <c r="X531" s="916"/>
      <c r="Y531" s="916"/>
      <c r="Z531" s="916"/>
      <c r="AA531" s="916" t="s">
        <v>6104</v>
      </c>
      <c r="AB531" s="916"/>
      <c r="AC531" s="916"/>
      <c r="AD531" s="916"/>
      <c r="AE531" s="916"/>
      <c r="AF531" s="916"/>
      <c r="AG531" s="916"/>
      <c r="AH531" s="916"/>
      <c r="AI531" s="916"/>
      <c r="AJ531" s="916"/>
      <c r="AK531" s="916"/>
      <c r="AL531" s="916"/>
      <c r="AM531" s="916" t="s">
        <v>198</v>
      </c>
      <c r="AN531" s="916"/>
      <c r="AO531" s="916"/>
      <c r="AP531" s="916"/>
      <c r="AQ531" s="916"/>
      <c r="AR531" s="916"/>
      <c r="AS531" s="85"/>
      <c r="AT531" s="85"/>
      <c r="AU531" s="85"/>
      <c r="BC531" s="1300">
        <f>IF(NL!$U$21="ĐL Long Mỹ", "QDGS",0)</f>
        <v>0</v>
      </c>
    </row>
    <row r="532" spans="2:55" ht="15.75" hidden="1">
      <c r="B532" s="85"/>
      <c r="C532" s="85"/>
      <c r="D532" s="85"/>
      <c r="H532" s="2165">
        <v>5</v>
      </c>
      <c r="I532" s="2165"/>
      <c r="J532" s="915" t="s">
        <v>3309</v>
      </c>
      <c r="K532" s="916" t="s">
        <v>34</v>
      </c>
      <c r="L532" s="916"/>
      <c r="M532" s="916"/>
      <c r="N532" s="916"/>
      <c r="O532" s="916"/>
      <c r="P532" s="916"/>
      <c r="Q532" s="916"/>
      <c r="R532" s="916"/>
      <c r="S532" s="916"/>
      <c r="T532" s="916"/>
      <c r="U532" s="916"/>
      <c r="V532" s="916"/>
      <c r="W532" s="916"/>
      <c r="X532" s="916"/>
      <c r="Y532" s="916"/>
      <c r="Z532" s="916"/>
      <c r="AA532" s="916" t="s">
        <v>6104</v>
      </c>
      <c r="AB532" s="916"/>
      <c r="AC532" s="916"/>
      <c r="AD532" s="916"/>
      <c r="AE532" s="916"/>
      <c r="AF532" s="916"/>
      <c r="AG532" s="916"/>
      <c r="AH532" s="916"/>
      <c r="AI532" s="916"/>
      <c r="AJ532" s="916"/>
      <c r="AK532" s="916"/>
      <c r="AL532" s="916"/>
      <c r="AM532" s="916" t="s">
        <v>198</v>
      </c>
      <c r="AN532" s="916"/>
      <c r="AO532" s="916"/>
      <c r="AP532" s="916"/>
      <c r="AQ532" s="916"/>
      <c r="AR532" s="916"/>
      <c r="AS532" s="85"/>
      <c r="AT532" s="85"/>
      <c r="AU532" s="85"/>
      <c r="BC532" s="1300">
        <f>IF(NL!$U$21="ĐL Long Mỹ", "QDGS",0)</f>
        <v>0</v>
      </c>
    </row>
    <row r="533" spans="2:55" ht="15.75" hidden="1">
      <c r="B533" s="85"/>
      <c r="C533" s="85"/>
      <c r="D533" s="85"/>
      <c r="H533" s="2165">
        <v>6</v>
      </c>
      <c r="I533" s="2165"/>
      <c r="J533" s="915" t="s">
        <v>3309</v>
      </c>
      <c r="K533" s="916" t="s">
        <v>35</v>
      </c>
      <c r="L533" s="916"/>
      <c r="M533" s="916"/>
      <c r="N533" s="916"/>
      <c r="O533" s="916"/>
      <c r="P533" s="916"/>
      <c r="Q533" s="916"/>
      <c r="R533" s="916"/>
      <c r="S533" s="916"/>
      <c r="T533" s="916"/>
      <c r="U533" s="916"/>
      <c r="V533" s="916"/>
      <c r="W533" s="916"/>
      <c r="X533" s="916"/>
      <c r="Y533" s="916"/>
      <c r="Z533" s="916"/>
      <c r="AA533" s="916" t="s">
        <v>6104</v>
      </c>
      <c r="AB533" s="916"/>
      <c r="AC533" s="916"/>
      <c r="AD533" s="916"/>
      <c r="AE533" s="916"/>
      <c r="AF533" s="916"/>
      <c r="AG533" s="916"/>
      <c r="AH533" s="916"/>
      <c r="AI533" s="916"/>
      <c r="AJ533" s="916"/>
      <c r="AK533" s="916"/>
      <c r="AL533" s="916"/>
      <c r="AM533" s="916" t="s">
        <v>1262</v>
      </c>
      <c r="AN533" s="916"/>
      <c r="AO533" s="916"/>
      <c r="AP533" s="916"/>
      <c r="AQ533" s="916"/>
      <c r="AR533" s="916"/>
      <c r="AS533" s="85"/>
      <c r="AT533" s="85"/>
      <c r="AU533" s="85"/>
      <c r="BC533" s="1300">
        <f>IF(NL!$U$21="ĐL Long Mỹ", "QDGS",0)</f>
        <v>0</v>
      </c>
    </row>
    <row r="534" spans="2:55" ht="15.75" hidden="1">
      <c r="B534" s="85"/>
      <c r="C534" s="85"/>
      <c r="D534" s="85"/>
      <c r="H534" s="2164">
        <v>1</v>
      </c>
      <c r="I534" s="2164"/>
      <c r="J534" s="142" t="s">
        <v>3309</v>
      </c>
      <c r="K534" s="142" t="s">
        <v>36</v>
      </c>
      <c r="L534" s="142"/>
      <c r="M534" s="142"/>
      <c r="N534" s="142"/>
      <c r="O534" s="142"/>
      <c r="P534" s="142"/>
      <c r="Q534" s="142"/>
      <c r="R534" s="142"/>
      <c r="S534" s="142"/>
      <c r="T534" s="142"/>
      <c r="U534" s="142"/>
      <c r="V534" s="142"/>
      <c r="W534" s="142"/>
      <c r="X534" s="142"/>
      <c r="Y534" s="142"/>
      <c r="Z534" s="142"/>
      <c r="AA534" s="142" t="s">
        <v>2328</v>
      </c>
      <c r="AB534" s="142"/>
      <c r="AC534" s="142"/>
      <c r="AD534" s="142"/>
      <c r="AE534" s="142"/>
      <c r="AF534" s="142"/>
      <c r="AG534" s="142"/>
      <c r="AH534" s="142"/>
      <c r="AI534" s="142"/>
      <c r="AJ534" s="142"/>
      <c r="AK534" s="142"/>
      <c r="AL534" s="142"/>
      <c r="AM534" s="142" t="s">
        <v>1260</v>
      </c>
      <c r="AN534" s="142"/>
      <c r="AO534" s="142"/>
      <c r="AP534" s="142"/>
      <c r="AQ534" s="142"/>
      <c r="AR534" s="142"/>
      <c r="AS534" s="85"/>
      <c r="AT534" s="85"/>
      <c r="AU534" s="85"/>
      <c r="BC534" s="1300">
        <f>IF(NL!$U$21="ĐL TX.Ngã Bảy", "QDGS",0)</f>
        <v>0</v>
      </c>
    </row>
    <row r="535" spans="2:55" ht="15.75" hidden="1">
      <c r="B535" s="85"/>
      <c r="C535" s="85"/>
      <c r="D535" s="85"/>
      <c r="H535" s="2164">
        <v>2</v>
      </c>
      <c r="I535" s="2164"/>
      <c r="J535" s="142" t="s">
        <v>3309</v>
      </c>
      <c r="K535" s="142" t="s">
        <v>5401</v>
      </c>
      <c r="L535" s="142"/>
      <c r="M535" s="142"/>
      <c r="N535" s="142"/>
      <c r="O535" s="142"/>
      <c r="P535" s="142"/>
      <c r="Q535" s="142"/>
      <c r="R535" s="142"/>
      <c r="S535" s="142"/>
      <c r="T535" s="142"/>
      <c r="U535" s="142"/>
      <c r="V535" s="142"/>
      <c r="W535" s="142"/>
      <c r="X535" s="142"/>
      <c r="Y535" s="142"/>
      <c r="Z535" s="142"/>
      <c r="AA535" s="142" t="s">
        <v>2328</v>
      </c>
      <c r="AB535" s="142"/>
      <c r="AC535" s="142"/>
      <c r="AD535" s="142"/>
      <c r="AE535" s="142"/>
      <c r="AF535" s="142"/>
      <c r="AG535" s="142"/>
      <c r="AH535" s="142"/>
      <c r="AI535" s="142"/>
      <c r="AJ535" s="142"/>
      <c r="AK535" s="142"/>
      <c r="AL535" s="142"/>
      <c r="AM535" s="142" t="s">
        <v>1261</v>
      </c>
      <c r="AN535" s="142"/>
      <c r="AO535" s="142"/>
      <c r="AP535" s="142"/>
      <c r="AQ535" s="142"/>
      <c r="AR535" s="142"/>
      <c r="AS535" s="85"/>
      <c r="AT535" s="85"/>
      <c r="AU535" s="85"/>
      <c r="BC535" s="1300">
        <f>IF(NL!$U$21="ĐL TX.Ngã Bảy", "QDGS",0)</f>
        <v>0</v>
      </c>
    </row>
    <row r="536" spans="2:55" ht="15.75" hidden="1">
      <c r="B536" s="85"/>
      <c r="C536" s="85"/>
      <c r="D536" s="85"/>
      <c r="H536" s="2164">
        <v>3</v>
      </c>
      <c r="I536" s="2164"/>
      <c r="J536" s="142" t="s">
        <v>3309</v>
      </c>
      <c r="K536" s="142" t="s">
        <v>38</v>
      </c>
      <c r="L536" s="142"/>
      <c r="M536" s="142"/>
      <c r="N536" s="142"/>
      <c r="O536" s="142"/>
      <c r="P536" s="142"/>
      <c r="Q536" s="142"/>
      <c r="R536" s="142"/>
      <c r="S536" s="142"/>
      <c r="T536" s="142"/>
      <c r="U536" s="142"/>
      <c r="V536" s="142"/>
      <c r="W536" s="142"/>
      <c r="X536" s="142"/>
      <c r="Y536" s="142"/>
      <c r="Z536" s="142"/>
      <c r="AA536" s="142" t="s">
        <v>4870</v>
      </c>
      <c r="AB536" s="142"/>
      <c r="AC536" s="142"/>
      <c r="AD536" s="142"/>
      <c r="AE536" s="142"/>
      <c r="AF536" s="142"/>
      <c r="AG536" s="142"/>
      <c r="AH536" s="142"/>
      <c r="AI536" s="142"/>
      <c r="AJ536" s="142"/>
      <c r="AK536" s="142"/>
      <c r="AL536" s="142"/>
      <c r="AM536" s="142" t="s">
        <v>198</v>
      </c>
      <c r="AN536" s="142"/>
      <c r="AO536" s="142"/>
      <c r="AP536" s="142"/>
      <c r="AQ536" s="142"/>
      <c r="AR536" s="142"/>
      <c r="AS536" s="85"/>
      <c r="AT536" s="85"/>
      <c r="AU536" s="85"/>
      <c r="BC536" s="1300">
        <f>IF(NL!$U$21="ĐL TX.Ngã Bảy", "QDGS",0)</f>
        <v>0</v>
      </c>
    </row>
    <row r="537" spans="2:55" ht="15.75" hidden="1">
      <c r="B537" s="85"/>
      <c r="C537" s="85"/>
      <c r="D537" s="85"/>
      <c r="H537" s="2164">
        <v>4</v>
      </c>
      <c r="I537" s="2164"/>
      <c r="J537" s="142" t="s">
        <v>3309</v>
      </c>
      <c r="K537" s="142" t="s">
        <v>37</v>
      </c>
      <c r="L537" s="142"/>
      <c r="M537" s="142"/>
      <c r="N537" s="142"/>
      <c r="O537" s="142"/>
      <c r="P537" s="142"/>
      <c r="Q537" s="142"/>
      <c r="R537" s="142"/>
      <c r="S537" s="142"/>
      <c r="T537" s="142"/>
      <c r="U537" s="142"/>
      <c r="V537" s="142"/>
      <c r="W537" s="142"/>
      <c r="X537" s="142"/>
      <c r="Y537" s="142"/>
      <c r="Z537" s="142"/>
      <c r="AA537" s="142" t="s">
        <v>2328</v>
      </c>
      <c r="AB537" s="142"/>
      <c r="AC537" s="142"/>
      <c r="AD537" s="142"/>
      <c r="AE537" s="142"/>
      <c r="AF537" s="142"/>
      <c r="AG537" s="142"/>
      <c r="AH537" s="142"/>
      <c r="AI537" s="142"/>
      <c r="AJ537" s="142"/>
      <c r="AK537" s="142"/>
      <c r="AL537" s="142"/>
      <c r="AM537" s="142" t="s">
        <v>1785</v>
      </c>
      <c r="AN537" s="142"/>
      <c r="AO537" s="142"/>
      <c r="AP537" s="142"/>
      <c r="AQ537" s="142"/>
      <c r="AR537" s="142"/>
      <c r="AS537" s="85"/>
      <c r="AT537" s="85"/>
      <c r="AU537" s="85"/>
      <c r="BC537" s="1300">
        <f>IF(NL!$U$21="ĐL TX.Ngã Bảy", "QDGS",0)</f>
        <v>0</v>
      </c>
    </row>
    <row r="538" spans="2:55" ht="15.75" hidden="1">
      <c r="B538" s="85"/>
      <c r="C538" s="85"/>
      <c r="D538" s="85"/>
      <c r="H538" s="2164">
        <v>5</v>
      </c>
      <c r="I538" s="2164"/>
      <c r="J538" s="142" t="s">
        <v>3309</v>
      </c>
      <c r="K538" s="142" t="s">
        <v>39</v>
      </c>
      <c r="L538" s="142"/>
      <c r="M538" s="142"/>
      <c r="N538" s="142"/>
      <c r="O538" s="142"/>
      <c r="P538" s="142"/>
      <c r="Q538" s="142"/>
      <c r="R538" s="142"/>
      <c r="S538" s="142"/>
      <c r="T538" s="142"/>
      <c r="U538" s="142"/>
      <c r="V538" s="142"/>
      <c r="W538" s="142"/>
      <c r="X538" s="142"/>
      <c r="Y538" s="142"/>
      <c r="Z538" s="142"/>
      <c r="AA538" s="142" t="s">
        <v>2328</v>
      </c>
      <c r="AB538" s="142"/>
      <c r="AC538" s="142"/>
      <c r="AD538" s="142"/>
      <c r="AE538" s="142"/>
      <c r="AF538" s="142"/>
      <c r="AG538" s="142"/>
      <c r="AH538" s="142"/>
      <c r="AI538" s="142"/>
      <c r="AJ538" s="142"/>
      <c r="AK538" s="142"/>
      <c r="AL538" s="142"/>
      <c r="AM538" s="142" t="s">
        <v>198</v>
      </c>
      <c r="AN538" s="142"/>
      <c r="AO538" s="142"/>
      <c r="AP538" s="142"/>
      <c r="AQ538" s="142"/>
      <c r="AR538" s="142"/>
      <c r="AS538" s="85"/>
      <c r="AT538" s="85"/>
      <c r="AU538" s="85"/>
      <c r="BC538" s="1300">
        <f>IF(NL!$U$21="ĐL TX.Ngã Bảy", "QDGS",0)</f>
        <v>0</v>
      </c>
    </row>
    <row r="539" spans="2:55" ht="15.75" hidden="1">
      <c r="B539" s="85"/>
      <c r="C539" s="85"/>
      <c r="D539" s="85"/>
      <c r="H539" s="2164">
        <v>6</v>
      </c>
      <c r="I539" s="2164"/>
      <c r="J539" s="142" t="s">
        <v>3309</v>
      </c>
      <c r="K539" s="142" t="s">
        <v>40</v>
      </c>
      <c r="L539" s="142"/>
      <c r="M539" s="142"/>
      <c r="N539" s="142"/>
      <c r="O539" s="142"/>
      <c r="P539" s="142"/>
      <c r="Q539" s="142"/>
      <c r="R539" s="142"/>
      <c r="S539" s="142"/>
      <c r="T539" s="142"/>
      <c r="U539" s="142"/>
      <c r="V539" s="142"/>
      <c r="W539" s="142"/>
      <c r="X539" s="142"/>
      <c r="Y539" s="142"/>
      <c r="Z539" s="142"/>
      <c r="AA539" s="142" t="s">
        <v>2328</v>
      </c>
      <c r="AB539" s="142"/>
      <c r="AC539" s="142"/>
      <c r="AD539" s="142"/>
      <c r="AE539" s="142"/>
      <c r="AF539" s="142"/>
      <c r="AG539" s="142"/>
      <c r="AH539" s="142"/>
      <c r="AI539" s="142"/>
      <c r="AJ539" s="142"/>
      <c r="AK539" s="142"/>
      <c r="AL539" s="142"/>
      <c r="AM539" s="142" t="s">
        <v>198</v>
      </c>
      <c r="AN539" s="142"/>
      <c r="AO539" s="142"/>
      <c r="AP539" s="142"/>
      <c r="AQ539" s="142"/>
      <c r="AR539" s="142"/>
      <c r="AS539" s="85"/>
      <c r="AT539" s="85"/>
      <c r="AU539" s="85"/>
      <c r="BC539" s="1300">
        <f>IF(NL!$U$21="ĐL TX.Ngã Bảy", "QDGS",0)</f>
        <v>0</v>
      </c>
    </row>
    <row r="540" spans="2:55" ht="15.75" hidden="1">
      <c r="B540" s="85"/>
      <c r="C540" s="85"/>
      <c r="D540" s="85"/>
      <c r="H540" s="2163">
        <v>1</v>
      </c>
      <c r="I540" s="2163"/>
      <c r="J540" s="89" t="s">
        <v>3309</v>
      </c>
      <c r="K540" s="89" t="s">
        <v>41</v>
      </c>
      <c r="L540" s="89"/>
      <c r="M540" s="89"/>
      <c r="N540" s="89"/>
      <c r="O540" s="89"/>
      <c r="P540" s="89"/>
      <c r="Q540" s="89"/>
      <c r="R540" s="89"/>
      <c r="S540" s="89"/>
      <c r="T540" s="89"/>
      <c r="U540" s="89"/>
      <c r="V540" s="89"/>
      <c r="W540" s="89"/>
      <c r="X540" s="89"/>
      <c r="Y540" s="89"/>
      <c r="Z540" s="89"/>
      <c r="AA540" s="89" t="s">
        <v>6105</v>
      </c>
      <c r="AB540" s="89"/>
      <c r="AC540" s="89"/>
      <c r="AD540" s="89"/>
      <c r="AE540" s="89"/>
      <c r="AF540" s="89"/>
      <c r="AG540" s="89"/>
      <c r="AH540" s="89"/>
      <c r="AI540" s="89"/>
      <c r="AJ540" s="89"/>
      <c r="AK540" s="89"/>
      <c r="AL540" s="89"/>
      <c r="AM540" s="89" t="s">
        <v>1260</v>
      </c>
      <c r="AN540" s="89"/>
      <c r="AO540" s="89"/>
      <c r="AP540" s="89"/>
      <c r="AQ540" s="89"/>
      <c r="AR540" s="89"/>
      <c r="AS540" s="85"/>
      <c r="AT540" s="85"/>
      <c r="AU540" s="85"/>
      <c r="BC540" s="1300">
        <f>IF(NL!$U$21="ĐL Châu Thành", "QDGS",0)</f>
        <v>0</v>
      </c>
    </row>
    <row r="541" spans="2:55" ht="15.75" hidden="1">
      <c r="B541" s="85"/>
      <c r="C541" s="85"/>
      <c r="D541" s="85"/>
      <c r="H541" s="2163">
        <v>2</v>
      </c>
      <c r="I541" s="2163"/>
      <c r="J541" s="89" t="s">
        <v>3309</v>
      </c>
      <c r="K541" s="89" t="s">
        <v>1508</v>
      </c>
      <c r="L541" s="89"/>
      <c r="M541" s="89"/>
      <c r="N541" s="89"/>
      <c r="O541" s="89"/>
      <c r="P541" s="89"/>
      <c r="Q541" s="89"/>
      <c r="R541" s="89"/>
      <c r="S541" s="89"/>
      <c r="T541" s="89"/>
      <c r="U541" s="89"/>
      <c r="V541" s="89"/>
      <c r="W541" s="89"/>
      <c r="X541" s="89"/>
      <c r="Y541" s="89"/>
      <c r="Z541" s="89"/>
      <c r="AA541" s="89" t="s">
        <v>6105</v>
      </c>
      <c r="AB541" s="89"/>
      <c r="AC541" s="89"/>
      <c r="AD541" s="89"/>
      <c r="AE541" s="89"/>
      <c r="AF541" s="89"/>
      <c r="AG541" s="89"/>
      <c r="AH541" s="89"/>
      <c r="AI541" s="89"/>
      <c r="AJ541" s="89"/>
      <c r="AK541" s="89"/>
      <c r="AL541" s="89"/>
      <c r="AM541" s="89" t="s">
        <v>1261</v>
      </c>
      <c r="AN541" s="89"/>
      <c r="AO541" s="89"/>
      <c r="AP541" s="89"/>
      <c r="AQ541" s="89"/>
      <c r="AR541" s="89"/>
      <c r="AS541" s="85"/>
      <c r="AT541" s="85"/>
      <c r="AU541" s="85"/>
      <c r="BC541" s="1300">
        <f>IF(NL!$U$21="ĐL Châu Thành", "QDGS",0)</f>
        <v>0</v>
      </c>
    </row>
    <row r="542" spans="2:55" ht="15.75" hidden="1">
      <c r="B542" s="85"/>
      <c r="C542" s="85"/>
      <c r="D542" s="85"/>
      <c r="H542" s="2163">
        <v>3</v>
      </c>
      <c r="I542" s="2163"/>
      <c r="J542" s="89" t="s">
        <v>3309</v>
      </c>
      <c r="K542" s="89" t="s">
        <v>1507</v>
      </c>
      <c r="L542" s="89"/>
      <c r="M542" s="89"/>
      <c r="N542" s="89"/>
      <c r="O542" s="89"/>
      <c r="P542" s="89"/>
      <c r="Q542" s="89"/>
      <c r="R542" s="89"/>
      <c r="S542" s="89"/>
      <c r="T542" s="89"/>
      <c r="U542" s="89"/>
      <c r="V542" s="89"/>
      <c r="W542" s="89"/>
      <c r="X542" s="89"/>
      <c r="Y542" s="89"/>
      <c r="Z542" s="89"/>
      <c r="AA542" s="89" t="s">
        <v>4870</v>
      </c>
      <c r="AB542" s="89"/>
      <c r="AC542" s="89"/>
      <c r="AD542" s="89"/>
      <c r="AE542" s="89"/>
      <c r="AF542" s="89"/>
      <c r="AG542" s="89"/>
      <c r="AH542" s="89"/>
      <c r="AI542" s="89"/>
      <c r="AJ542" s="89"/>
      <c r="AK542" s="89"/>
      <c r="AL542" s="89"/>
      <c r="AM542" s="89" t="s">
        <v>198</v>
      </c>
      <c r="AN542" s="89"/>
      <c r="AO542" s="89"/>
      <c r="AP542" s="89"/>
      <c r="AQ542" s="89"/>
      <c r="AR542" s="89"/>
      <c r="AS542" s="85"/>
      <c r="AT542" s="85"/>
      <c r="AU542" s="85"/>
      <c r="BC542" s="1300">
        <f>IF(NL!$U$21="ĐL Châu Thành", "QDGS",0)</f>
        <v>0</v>
      </c>
    </row>
    <row r="543" spans="2:55" ht="15.75" hidden="1">
      <c r="B543" s="85"/>
      <c r="C543" s="85"/>
      <c r="D543" s="85"/>
      <c r="H543" s="2163">
        <v>4</v>
      </c>
      <c r="I543" s="2163"/>
      <c r="J543" s="89" t="s">
        <v>3309</v>
      </c>
      <c r="K543" s="89" t="s">
        <v>1509</v>
      </c>
      <c r="L543" s="89"/>
      <c r="M543" s="89"/>
      <c r="N543" s="89"/>
      <c r="O543" s="89"/>
      <c r="P543" s="89"/>
      <c r="Q543" s="89"/>
      <c r="R543" s="89"/>
      <c r="S543" s="89"/>
      <c r="T543" s="89"/>
      <c r="U543" s="89"/>
      <c r="V543" s="89"/>
      <c r="W543" s="89"/>
      <c r="X543" s="89"/>
      <c r="Y543" s="89"/>
      <c r="Z543" s="89"/>
      <c r="AA543" s="89" t="s">
        <v>6105</v>
      </c>
      <c r="AB543" s="89"/>
      <c r="AC543" s="89"/>
      <c r="AD543" s="89"/>
      <c r="AE543" s="89"/>
      <c r="AF543" s="89"/>
      <c r="AG543" s="89"/>
      <c r="AH543" s="89"/>
      <c r="AI543" s="89"/>
      <c r="AJ543" s="89"/>
      <c r="AK543" s="89"/>
      <c r="AL543" s="89"/>
      <c r="AM543" s="89" t="s">
        <v>198</v>
      </c>
      <c r="AN543" s="89"/>
      <c r="AO543" s="89"/>
      <c r="AP543" s="89"/>
      <c r="AQ543" s="89"/>
      <c r="AR543" s="89"/>
      <c r="AS543" s="85"/>
      <c r="AT543" s="85"/>
      <c r="AU543" s="85"/>
      <c r="BC543" s="1300">
        <f>IF(NL!$U$21="ĐL Châu Thành", "QDGS",0)</f>
        <v>0</v>
      </c>
    </row>
    <row r="544" spans="2:55" ht="15.75" hidden="1">
      <c r="B544" s="85"/>
      <c r="C544" s="85"/>
      <c r="D544" s="85"/>
      <c r="H544" s="2163">
        <v>5</v>
      </c>
      <c r="I544" s="2163"/>
      <c r="J544" s="89" t="s">
        <v>3309</v>
      </c>
      <c r="K544" s="89" t="s">
        <v>2880</v>
      </c>
      <c r="L544" s="89"/>
      <c r="M544" s="89"/>
      <c r="N544" s="89"/>
      <c r="O544" s="89"/>
      <c r="P544" s="89"/>
      <c r="Q544" s="89"/>
      <c r="R544" s="89"/>
      <c r="S544" s="89"/>
      <c r="T544" s="89"/>
      <c r="U544" s="89"/>
      <c r="V544" s="89"/>
      <c r="W544" s="89"/>
      <c r="X544" s="89"/>
      <c r="Y544" s="89"/>
      <c r="Z544" s="89"/>
      <c r="AA544" s="89" t="s">
        <v>6105</v>
      </c>
      <c r="AB544" s="89"/>
      <c r="AC544" s="89"/>
      <c r="AD544" s="89"/>
      <c r="AE544" s="89"/>
      <c r="AF544" s="89"/>
      <c r="AG544" s="89"/>
      <c r="AH544" s="89"/>
      <c r="AI544" s="89"/>
      <c r="AJ544" s="89"/>
      <c r="AK544" s="89"/>
      <c r="AL544" s="89"/>
      <c r="AM544" s="89" t="s">
        <v>198</v>
      </c>
      <c r="AN544" s="89"/>
      <c r="AO544" s="89"/>
      <c r="AP544" s="89"/>
      <c r="AQ544" s="89"/>
      <c r="AR544" s="89"/>
      <c r="AS544" s="85"/>
      <c r="AT544" s="85"/>
      <c r="AU544" s="85"/>
      <c r="BC544" s="1300">
        <f>IF(NL!$U$21="ĐL Châu Thành", "QDGS",0)</f>
        <v>0</v>
      </c>
    </row>
    <row r="545" spans="2:55" ht="15.75" hidden="1">
      <c r="B545" s="85"/>
      <c r="C545" s="85"/>
      <c r="D545" s="85"/>
      <c r="H545" s="2163">
        <v>6</v>
      </c>
      <c r="I545" s="2163"/>
      <c r="J545" s="89" t="s">
        <v>3309</v>
      </c>
      <c r="K545" s="89" t="s">
        <v>1510</v>
      </c>
      <c r="L545" s="89"/>
      <c r="M545" s="89"/>
      <c r="N545" s="89"/>
      <c r="O545" s="89"/>
      <c r="P545" s="89"/>
      <c r="Q545" s="89"/>
      <c r="R545" s="89"/>
      <c r="S545" s="89"/>
      <c r="T545" s="89"/>
      <c r="U545" s="89"/>
      <c r="V545" s="89"/>
      <c r="W545" s="89"/>
      <c r="X545" s="89"/>
      <c r="Y545" s="89"/>
      <c r="Z545" s="89"/>
      <c r="AA545" s="89" t="s">
        <v>6105</v>
      </c>
      <c r="AB545" s="89"/>
      <c r="AC545" s="89"/>
      <c r="AD545" s="89"/>
      <c r="AE545" s="89"/>
      <c r="AF545" s="89"/>
      <c r="AG545" s="89"/>
      <c r="AH545" s="89"/>
      <c r="AI545" s="89"/>
      <c r="AJ545" s="89"/>
      <c r="AK545" s="89"/>
      <c r="AL545" s="89"/>
      <c r="AM545" s="89" t="s">
        <v>1262</v>
      </c>
      <c r="AN545" s="89"/>
      <c r="AO545" s="89"/>
      <c r="AP545" s="89"/>
      <c r="AQ545" s="89"/>
      <c r="AR545" s="89"/>
      <c r="AS545" s="85"/>
      <c r="AT545" s="85"/>
      <c r="AU545" s="85"/>
      <c r="BC545" s="1300">
        <f>IF(NL!$U$21="ĐL Châu Thành", "QDGS",0)</f>
        <v>0</v>
      </c>
    </row>
    <row r="546" spans="2:55" ht="15.75" hidden="1">
      <c r="B546" s="85"/>
      <c r="C546" s="85"/>
      <c r="D546" s="85"/>
      <c r="H546" s="2167">
        <v>1</v>
      </c>
      <c r="I546" s="2167"/>
      <c r="J546" s="143" t="s">
        <v>3309</v>
      </c>
      <c r="K546" s="144" t="s">
        <v>1511</v>
      </c>
      <c r="L546" s="144"/>
      <c r="M546" s="144"/>
      <c r="N546" s="144"/>
      <c r="O546" s="144"/>
      <c r="P546" s="144"/>
      <c r="Q546" s="144"/>
      <c r="R546" s="144"/>
      <c r="S546" s="144"/>
      <c r="T546" s="144"/>
      <c r="U546" s="144"/>
      <c r="V546" s="144"/>
      <c r="W546" s="144"/>
      <c r="X546" s="144"/>
      <c r="Y546" s="144"/>
      <c r="Z546" s="144"/>
      <c r="AA546" s="144" t="s">
        <v>6103</v>
      </c>
      <c r="AB546" s="144"/>
      <c r="AC546" s="144"/>
      <c r="AD546" s="144"/>
      <c r="AE546" s="144"/>
      <c r="AF546" s="144"/>
      <c r="AG546" s="144"/>
      <c r="AH546" s="144"/>
      <c r="AI546" s="144"/>
      <c r="AJ546" s="144"/>
      <c r="AK546" s="144"/>
      <c r="AL546" s="144"/>
      <c r="AM546" s="144" t="s">
        <v>1260</v>
      </c>
      <c r="AN546" s="144"/>
      <c r="AO546" s="144"/>
      <c r="AP546" s="144"/>
      <c r="AQ546" s="144"/>
      <c r="AR546" s="144"/>
      <c r="AS546" s="85"/>
      <c r="AT546" s="85"/>
      <c r="AU546" s="85"/>
      <c r="BC546" s="1300">
        <f>IF(NL!$U$21="ĐL Châu Thành A", "QDGS",0)</f>
        <v>0</v>
      </c>
    </row>
    <row r="547" spans="2:55" ht="15.75" hidden="1">
      <c r="B547" s="85"/>
      <c r="C547" s="85"/>
      <c r="D547" s="85"/>
      <c r="H547" s="2167">
        <v>2</v>
      </c>
      <c r="I547" s="2167"/>
      <c r="J547" s="143" t="s">
        <v>3309</v>
      </c>
      <c r="K547" s="144" t="s">
        <v>1506</v>
      </c>
      <c r="L547" s="144"/>
      <c r="M547" s="144"/>
      <c r="N547" s="144"/>
      <c r="O547" s="144"/>
      <c r="P547" s="144"/>
      <c r="Q547" s="144"/>
      <c r="R547" s="144"/>
      <c r="S547" s="144"/>
      <c r="T547" s="144"/>
      <c r="U547" s="144"/>
      <c r="V547" s="144"/>
      <c r="W547" s="144"/>
      <c r="X547" s="144"/>
      <c r="Y547" s="144"/>
      <c r="Z547" s="144"/>
      <c r="AA547" s="144" t="s">
        <v>6103</v>
      </c>
      <c r="AB547" s="144"/>
      <c r="AC547" s="144"/>
      <c r="AD547" s="144"/>
      <c r="AE547" s="144"/>
      <c r="AF547" s="144"/>
      <c r="AG547" s="144"/>
      <c r="AH547" s="144"/>
      <c r="AI547" s="144"/>
      <c r="AJ547" s="144"/>
      <c r="AK547" s="144"/>
      <c r="AL547" s="144"/>
      <c r="AM547" s="144" t="s">
        <v>1261</v>
      </c>
      <c r="AN547" s="144"/>
      <c r="AO547" s="144"/>
      <c r="AP547" s="144"/>
      <c r="AQ547" s="144"/>
      <c r="AR547" s="144"/>
      <c r="AS547" s="85"/>
      <c r="AT547" s="85"/>
      <c r="AU547" s="85"/>
      <c r="BC547" s="1300">
        <f>IF(NL!$U$21="ĐL Châu Thành A", "QDGS",0)</f>
        <v>0</v>
      </c>
    </row>
    <row r="548" spans="2:55" ht="15.75" hidden="1">
      <c r="B548" s="85"/>
      <c r="C548" s="85"/>
      <c r="D548" s="85"/>
      <c r="H548" s="2167">
        <v>3</v>
      </c>
      <c r="I548" s="2167"/>
      <c r="J548" s="143" t="s">
        <v>3309</v>
      </c>
      <c r="K548" s="144" t="s">
        <v>1513</v>
      </c>
      <c r="L548" s="144"/>
      <c r="M548" s="144"/>
      <c r="N548" s="144"/>
      <c r="O548" s="144"/>
      <c r="P548" s="144"/>
      <c r="Q548" s="144"/>
      <c r="R548" s="144"/>
      <c r="S548" s="144"/>
      <c r="T548" s="144"/>
      <c r="U548" s="144"/>
      <c r="V548" s="144"/>
      <c r="W548" s="144"/>
      <c r="X548" s="144"/>
      <c r="Y548" s="144"/>
      <c r="Z548" s="144"/>
      <c r="AA548" s="144" t="s">
        <v>4870</v>
      </c>
      <c r="AB548" s="144"/>
      <c r="AC548" s="144"/>
      <c r="AD548" s="144"/>
      <c r="AE548" s="144"/>
      <c r="AF548" s="144"/>
      <c r="AG548" s="144"/>
      <c r="AH548" s="144"/>
      <c r="AI548" s="144"/>
      <c r="AJ548" s="144"/>
      <c r="AK548" s="144"/>
      <c r="AL548" s="144"/>
      <c r="AM548" s="144" t="s">
        <v>198</v>
      </c>
      <c r="AN548" s="144"/>
      <c r="AO548" s="144"/>
      <c r="AP548" s="144"/>
      <c r="AQ548" s="144"/>
      <c r="AR548" s="144"/>
      <c r="AS548" s="85"/>
      <c r="AT548" s="85"/>
      <c r="AU548" s="85"/>
      <c r="BC548" s="1300">
        <f>IF(NL!$U$21="ĐL Châu Thành A", "QDGS",0)</f>
        <v>0</v>
      </c>
    </row>
    <row r="549" spans="2:55" ht="15.75" hidden="1">
      <c r="B549" s="85"/>
      <c r="C549" s="85"/>
      <c r="D549" s="85"/>
      <c r="H549" s="2167">
        <v>4</v>
      </c>
      <c r="I549" s="2167"/>
      <c r="J549" s="143" t="s">
        <v>3309</v>
      </c>
      <c r="K549" s="144" t="s">
        <v>1512</v>
      </c>
      <c r="L549" s="144"/>
      <c r="M549" s="144"/>
      <c r="N549" s="144"/>
      <c r="O549" s="144"/>
      <c r="P549" s="144"/>
      <c r="Q549" s="144"/>
      <c r="R549" s="144"/>
      <c r="S549" s="144"/>
      <c r="T549" s="144"/>
      <c r="U549" s="144"/>
      <c r="V549" s="144"/>
      <c r="W549" s="144"/>
      <c r="X549" s="144"/>
      <c r="Y549" s="144"/>
      <c r="Z549" s="144"/>
      <c r="AA549" s="144" t="s">
        <v>6103</v>
      </c>
      <c r="AB549" s="144"/>
      <c r="AC549" s="144"/>
      <c r="AD549" s="144"/>
      <c r="AE549" s="144"/>
      <c r="AF549" s="144"/>
      <c r="AG549" s="144"/>
      <c r="AH549" s="144"/>
      <c r="AI549" s="144"/>
      <c r="AJ549" s="144"/>
      <c r="AK549" s="144"/>
      <c r="AL549" s="144"/>
      <c r="AM549" s="144" t="s">
        <v>198</v>
      </c>
      <c r="AN549" s="144"/>
      <c r="AO549" s="144"/>
      <c r="AP549" s="144"/>
      <c r="AQ549" s="144"/>
      <c r="AR549" s="144"/>
      <c r="AS549" s="85"/>
      <c r="AT549" s="85"/>
      <c r="AU549" s="85"/>
      <c r="BC549" s="1300">
        <f>IF(NL!$U$21="ĐL Châu Thành A", "QDGS",0)</f>
        <v>0</v>
      </c>
    </row>
    <row r="550" spans="2:55" ht="15.75" hidden="1">
      <c r="B550" s="85"/>
      <c r="C550" s="85"/>
      <c r="D550" s="85"/>
      <c r="H550" s="2167">
        <v>5</v>
      </c>
      <c r="I550" s="2167"/>
      <c r="J550" s="143" t="s">
        <v>3309</v>
      </c>
      <c r="K550" s="144" t="s">
        <v>1514</v>
      </c>
      <c r="L550" s="144"/>
      <c r="M550" s="144"/>
      <c r="N550" s="144"/>
      <c r="O550" s="144"/>
      <c r="P550" s="144"/>
      <c r="Q550" s="144"/>
      <c r="R550" s="144"/>
      <c r="S550" s="144"/>
      <c r="T550" s="144"/>
      <c r="U550" s="144"/>
      <c r="V550" s="144"/>
      <c r="W550" s="144"/>
      <c r="X550" s="144"/>
      <c r="Y550" s="144"/>
      <c r="Z550" s="144"/>
      <c r="AA550" s="144" t="s">
        <v>6103</v>
      </c>
      <c r="AB550" s="144"/>
      <c r="AC550" s="144"/>
      <c r="AD550" s="144"/>
      <c r="AE550" s="144"/>
      <c r="AF550" s="144"/>
      <c r="AG550" s="144"/>
      <c r="AH550" s="144"/>
      <c r="AI550" s="144"/>
      <c r="AJ550" s="144"/>
      <c r="AK550" s="144"/>
      <c r="AL550" s="144"/>
      <c r="AM550" s="144" t="s">
        <v>198</v>
      </c>
      <c r="AN550" s="144"/>
      <c r="AO550" s="144"/>
      <c r="AP550" s="144"/>
      <c r="AQ550" s="144"/>
      <c r="AR550" s="144"/>
      <c r="AS550" s="85"/>
      <c r="AT550" s="85"/>
      <c r="AU550" s="85"/>
      <c r="BC550" s="1300">
        <f>IF(NL!$U$21="ĐL Châu Thành A", "QDGS",0)</f>
        <v>0</v>
      </c>
    </row>
    <row r="551" spans="2:55" ht="15.75" hidden="1">
      <c r="B551" s="85"/>
      <c r="C551" s="85"/>
      <c r="D551" s="85"/>
      <c r="H551" s="2167">
        <v>6</v>
      </c>
      <c r="I551" s="2167"/>
      <c r="J551" s="143" t="s">
        <v>3309</v>
      </c>
      <c r="K551" s="144" t="s">
        <v>1515</v>
      </c>
      <c r="L551" s="144"/>
      <c r="M551" s="144"/>
      <c r="N551" s="144"/>
      <c r="O551" s="144"/>
      <c r="P551" s="144"/>
      <c r="Q551" s="144"/>
      <c r="R551" s="144"/>
      <c r="S551" s="144"/>
      <c r="T551" s="144"/>
      <c r="U551" s="144"/>
      <c r="V551" s="144"/>
      <c r="W551" s="144"/>
      <c r="X551" s="144"/>
      <c r="Y551" s="144"/>
      <c r="Z551" s="144"/>
      <c r="AA551" s="144" t="s">
        <v>6103</v>
      </c>
      <c r="AB551" s="144"/>
      <c r="AC551" s="144"/>
      <c r="AD551" s="144"/>
      <c r="AE551" s="144"/>
      <c r="AF551" s="144"/>
      <c r="AG551" s="144"/>
      <c r="AH551" s="144"/>
      <c r="AI551" s="144"/>
      <c r="AJ551" s="144"/>
      <c r="AK551" s="144"/>
      <c r="AL551" s="144"/>
      <c r="AM551" s="144" t="s">
        <v>1262</v>
      </c>
      <c r="AN551" s="144"/>
      <c r="AO551" s="144"/>
      <c r="AP551" s="144"/>
      <c r="AQ551" s="144"/>
      <c r="AR551" s="144"/>
      <c r="AS551" s="85"/>
      <c r="AT551" s="85"/>
      <c r="AU551" s="85"/>
      <c r="BC551" s="1300">
        <f>IF(NL!$U$21="ĐL Châu Thành A", "QDGS",0)</f>
        <v>0</v>
      </c>
    </row>
    <row r="552" spans="2:55" ht="15.75" hidden="1">
      <c r="B552" s="85"/>
      <c r="C552" s="85"/>
      <c r="D552" s="85"/>
      <c r="H552" s="2165">
        <v>1</v>
      </c>
      <c r="I552" s="2165"/>
      <c r="J552" s="915" t="s">
        <v>3309</v>
      </c>
      <c r="K552" s="916" t="s">
        <v>1511</v>
      </c>
      <c r="L552" s="916"/>
      <c r="M552" s="916"/>
      <c r="N552" s="916"/>
      <c r="O552" s="916"/>
      <c r="P552" s="916"/>
      <c r="Q552" s="916"/>
      <c r="R552" s="916"/>
      <c r="S552" s="916"/>
      <c r="T552" s="916"/>
      <c r="U552" s="916"/>
      <c r="V552" s="916"/>
      <c r="W552" s="916"/>
      <c r="X552" s="916"/>
      <c r="Y552" s="916"/>
      <c r="Z552" s="916"/>
      <c r="AA552" s="916" t="s">
        <v>6103</v>
      </c>
      <c r="AB552" s="916"/>
      <c r="AC552" s="916"/>
      <c r="AD552" s="916"/>
      <c r="AE552" s="916"/>
      <c r="AF552" s="916"/>
      <c r="AG552" s="916"/>
      <c r="AH552" s="916"/>
      <c r="AI552" s="916"/>
      <c r="AJ552" s="916"/>
      <c r="AK552" s="916"/>
      <c r="AL552" s="916"/>
      <c r="AM552" s="916" t="s">
        <v>1260</v>
      </c>
      <c r="AN552" s="916"/>
      <c r="AO552" s="916"/>
      <c r="AP552" s="916"/>
      <c r="AQ552" s="916"/>
      <c r="AR552" s="916"/>
      <c r="AS552" s="85"/>
      <c r="AT552" s="85"/>
      <c r="AU552" s="85"/>
      <c r="BC552" s="1300">
        <f>IF(NL!$U$21="ĐL Châu Thành A", "QDGS",0)</f>
        <v>0</v>
      </c>
    </row>
    <row r="553" spans="2:55" ht="15.75" hidden="1">
      <c r="B553" s="85"/>
      <c r="C553" s="85"/>
      <c r="D553" s="85"/>
      <c r="H553" s="2165">
        <v>2</v>
      </c>
      <c r="I553" s="2165"/>
      <c r="J553" s="915" t="s">
        <v>3309</v>
      </c>
      <c r="K553" s="916" t="s">
        <v>1506</v>
      </c>
      <c r="L553" s="916"/>
      <c r="M553" s="916"/>
      <c r="N553" s="916"/>
      <c r="O553" s="916"/>
      <c r="P553" s="916"/>
      <c r="Q553" s="916"/>
      <c r="R553" s="916"/>
      <c r="S553" s="916"/>
      <c r="T553" s="916"/>
      <c r="U553" s="916"/>
      <c r="V553" s="916"/>
      <c r="W553" s="916"/>
      <c r="X553" s="916"/>
      <c r="Y553" s="916"/>
      <c r="Z553" s="916"/>
      <c r="AA553" s="916" t="s">
        <v>6103</v>
      </c>
      <c r="AB553" s="916"/>
      <c r="AC553" s="916"/>
      <c r="AD553" s="916"/>
      <c r="AE553" s="916"/>
      <c r="AF553" s="916"/>
      <c r="AG553" s="916"/>
      <c r="AH553" s="916"/>
      <c r="AI553" s="916"/>
      <c r="AJ553" s="916"/>
      <c r="AK553" s="916"/>
      <c r="AL553" s="916"/>
      <c r="AM553" s="916" t="s">
        <v>1261</v>
      </c>
      <c r="AN553" s="916"/>
      <c r="AO553" s="916"/>
      <c r="AP553" s="916"/>
      <c r="AQ553" s="916"/>
      <c r="AR553" s="916"/>
      <c r="AS553" s="85"/>
      <c r="AT553" s="85"/>
      <c r="AU553" s="85"/>
      <c r="BC553" s="1300">
        <f>IF(NL!$U$21="ĐL Châu Thành A", "QDGS",0)</f>
        <v>0</v>
      </c>
    </row>
    <row r="554" spans="2:55" ht="15.75" hidden="1">
      <c r="B554" s="85"/>
      <c r="C554" s="85"/>
      <c r="D554" s="85"/>
      <c r="H554" s="2165">
        <v>3</v>
      </c>
      <c r="I554" s="2165"/>
      <c r="J554" s="915" t="s">
        <v>3309</v>
      </c>
      <c r="K554" s="916" t="s">
        <v>1513</v>
      </c>
      <c r="L554" s="916"/>
      <c r="M554" s="916"/>
      <c r="N554" s="916"/>
      <c r="O554" s="916"/>
      <c r="P554" s="916"/>
      <c r="Q554" s="916"/>
      <c r="R554" s="916"/>
      <c r="S554" s="916"/>
      <c r="T554" s="916"/>
      <c r="U554" s="916"/>
      <c r="V554" s="916"/>
      <c r="W554" s="916"/>
      <c r="X554" s="916"/>
      <c r="Y554" s="916"/>
      <c r="Z554" s="916"/>
      <c r="AA554" s="916" t="s">
        <v>4870</v>
      </c>
      <c r="AB554" s="916"/>
      <c r="AC554" s="916"/>
      <c r="AD554" s="916"/>
      <c r="AE554" s="916"/>
      <c r="AF554" s="916"/>
      <c r="AG554" s="916"/>
      <c r="AH554" s="916"/>
      <c r="AI554" s="916"/>
      <c r="AJ554" s="916"/>
      <c r="AK554" s="916"/>
      <c r="AL554" s="916"/>
      <c r="AM554" s="916" t="s">
        <v>198</v>
      </c>
      <c r="AN554" s="916"/>
      <c r="AO554" s="916"/>
      <c r="AP554" s="916"/>
      <c r="AQ554" s="916"/>
      <c r="AR554" s="916"/>
      <c r="AS554" s="85"/>
      <c r="AT554" s="85"/>
      <c r="AU554" s="85"/>
      <c r="BC554" s="1300">
        <f>IF(NL!$U$21="ĐL Châu Thành A", "QDGS",0)</f>
        <v>0</v>
      </c>
    </row>
    <row r="555" spans="2:55" ht="15.75" hidden="1">
      <c r="B555" s="85"/>
      <c r="C555" s="85"/>
      <c r="D555" s="85"/>
      <c r="H555" s="2165">
        <v>4</v>
      </c>
      <c r="I555" s="2165"/>
      <c r="J555" s="915" t="s">
        <v>3309</v>
      </c>
      <c r="K555" s="916" t="s">
        <v>1512</v>
      </c>
      <c r="L555" s="916"/>
      <c r="M555" s="916"/>
      <c r="N555" s="916"/>
      <c r="O555" s="916"/>
      <c r="P555" s="916"/>
      <c r="Q555" s="916"/>
      <c r="R555" s="916"/>
      <c r="S555" s="916"/>
      <c r="T555" s="916"/>
      <c r="U555" s="916"/>
      <c r="V555" s="916"/>
      <c r="W555" s="916"/>
      <c r="X555" s="916"/>
      <c r="Y555" s="916"/>
      <c r="Z555" s="916"/>
      <c r="AA555" s="916" t="s">
        <v>6103</v>
      </c>
      <c r="AB555" s="916"/>
      <c r="AC555" s="916"/>
      <c r="AD555" s="916"/>
      <c r="AE555" s="916"/>
      <c r="AF555" s="916"/>
      <c r="AG555" s="916"/>
      <c r="AH555" s="916"/>
      <c r="AI555" s="916"/>
      <c r="AJ555" s="916"/>
      <c r="AK555" s="916"/>
      <c r="AL555" s="916"/>
      <c r="AM555" s="916" t="s">
        <v>198</v>
      </c>
      <c r="AN555" s="916"/>
      <c r="AO555" s="916"/>
      <c r="AP555" s="916"/>
      <c r="AQ555" s="916"/>
      <c r="AR555" s="916"/>
      <c r="AS555" s="85"/>
      <c r="AT555" s="85"/>
      <c r="AU555" s="85"/>
      <c r="BC555" s="1300">
        <f>IF(NL!$U$21="ĐL Châu Thành A", "QDGS",0)</f>
        <v>0</v>
      </c>
    </row>
    <row r="556" spans="2:55" ht="15.75" hidden="1">
      <c r="B556" s="85"/>
      <c r="C556" s="85"/>
      <c r="D556" s="85"/>
      <c r="H556" s="2165">
        <v>5</v>
      </c>
      <c r="I556" s="2165"/>
      <c r="J556" s="915" t="s">
        <v>3309</v>
      </c>
      <c r="K556" s="916" t="s">
        <v>1514</v>
      </c>
      <c r="L556" s="916"/>
      <c r="M556" s="916"/>
      <c r="N556" s="916"/>
      <c r="O556" s="916"/>
      <c r="P556" s="916"/>
      <c r="Q556" s="916"/>
      <c r="R556" s="916"/>
      <c r="S556" s="916"/>
      <c r="T556" s="916"/>
      <c r="U556" s="916"/>
      <c r="V556" s="916"/>
      <c r="W556" s="916"/>
      <c r="X556" s="916"/>
      <c r="Y556" s="916"/>
      <c r="Z556" s="916"/>
      <c r="AA556" s="916" t="s">
        <v>6103</v>
      </c>
      <c r="AB556" s="916"/>
      <c r="AC556" s="916"/>
      <c r="AD556" s="916"/>
      <c r="AE556" s="916"/>
      <c r="AF556" s="916"/>
      <c r="AG556" s="916"/>
      <c r="AH556" s="916"/>
      <c r="AI556" s="916"/>
      <c r="AJ556" s="916"/>
      <c r="AK556" s="916"/>
      <c r="AL556" s="916"/>
      <c r="AM556" s="916" t="s">
        <v>198</v>
      </c>
      <c r="AN556" s="916"/>
      <c r="AO556" s="916"/>
      <c r="AP556" s="916"/>
      <c r="AQ556" s="916"/>
      <c r="AR556" s="916"/>
      <c r="AS556" s="85"/>
      <c r="AT556" s="85"/>
      <c r="AU556" s="85"/>
      <c r="BC556" s="1300">
        <f>IF(NL!$U$21="ĐL Châu Thành A", "QDGS",0)</f>
        <v>0</v>
      </c>
    </row>
    <row r="557" spans="2:55" ht="15.75" hidden="1">
      <c r="B557" s="85"/>
      <c r="C557" s="85"/>
      <c r="D557" s="85"/>
      <c r="H557" s="2165">
        <v>6</v>
      </c>
      <c r="I557" s="2165"/>
      <c r="J557" s="915" t="s">
        <v>3309</v>
      </c>
      <c r="K557" s="916" t="s">
        <v>5402</v>
      </c>
      <c r="L557" s="916"/>
      <c r="M557" s="916"/>
      <c r="N557" s="916"/>
      <c r="O557" s="916"/>
      <c r="P557" s="916"/>
      <c r="Q557" s="916"/>
      <c r="R557" s="916"/>
      <c r="S557" s="916"/>
      <c r="T557" s="916"/>
      <c r="U557" s="916"/>
      <c r="V557" s="916"/>
      <c r="W557" s="916"/>
      <c r="X557" s="916"/>
      <c r="Y557" s="916"/>
      <c r="Z557" s="916"/>
      <c r="AA557" s="916" t="s">
        <v>6103</v>
      </c>
      <c r="AB557" s="916"/>
      <c r="AC557" s="916"/>
      <c r="AD557" s="916"/>
      <c r="AE557" s="916"/>
      <c r="AF557" s="916"/>
      <c r="AG557" s="916"/>
      <c r="AH557" s="916"/>
      <c r="AI557" s="916"/>
      <c r="AJ557" s="916"/>
      <c r="AK557" s="916"/>
      <c r="AL557" s="916"/>
      <c r="AM557" s="916" t="s">
        <v>1262</v>
      </c>
      <c r="AN557" s="916"/>
      <c r="AO557" s="916"/>
      <c r="AP557" s="916"/>
      <c r="AQ557" s="916"/>
      <c r="AR557" s="916"/>
      <c r="AS557" s="85"/>
      <c r="AT557" s="85"/>
      <c r="AU557" s="85"/>
      <c r="BC557" s="1300">
        <f>IF(NL!$U$21="ĐL Châu Thành A", "QDGS",0)</f>
        <v>0</v>
      </c>
    </row>
    <row r="558" spans="2:55" ht="15.75" hidden="1">
      <c r="B558" s="85"/>
      <c r="C558" s="85"/>
      <c r="D558" s="85"/>
      <c r="H558" s="2163">
        <v>1</v>
      </c>
      <c r="I558" s="2163"/>
      <c r="J558" s="139" t="s">
        <v>3309</v>
      </c>
      <c r="K558" s="89" t="s">
        <v>5392</v>
      </c>
      <c r="L558" s="89"/>
      <c r="M558" s="89"/>
      <c r="N558" s="89"/>
      <c r="O558" s="89"/>
      <c r="P558" s="89"/>
      <c r="Q558" s="89"/>
      <c r="R558" s="89"/>
      <c r="S558" s="89"/>
      <c r="T558" s="89"/>
      <c r="U558" s="89"/>
      <c r="V558" s="89"/>
      <c r="W558" s="89"/>
      <c r="X558" s="89"/>
      <c r="Y558" s="89"/>
      <c r="Z558" s="89"/>
      <c r="AA558" s="89" t="s">
        <v>4046</v>
      </c>
      <c r="AB558" s="89"/>
      <c r="AC558" s="89"/>
      <c r="AD558" s="89"/>
      <c r="AE558" s="89"/>
      <c r="AF558" s="89"/>
      <c r="AG558" s="89"/>
      <c r="AH558" s="89"/>
      <c r="AI558" s="89"/>
      <c r="AJ558" s="89"/>
      <c r="AK558" s="89"/>
      <c r="AL558" s="89"/>
      <c r="AM558" s="89" t="s">
        <v>1260</v>
      </c>
      <c r="AN558" s="89"/>
      <c r="AO558" s="89"/>
      <c r="AP558" s="89"/>
      <c r="AQ558" s="89"/>
      <c r="AR558" s="89"/>
      <c r="AS558" s="85"/>
      <c r="AT558" s="85"/>
      <c r="AU558" s="85"/>
      <c r="BC558" s="1300">
        <f>IF(NL!$U$21="ĐL Phụng Hiệp", "QDGS",0)</f>
        <v>0</v>
      </c>
    </row>
    <row r="559" spans="2:55" ht="15.75" hidden="1">
      <c r="B559" s="85"/>
      <c r="C559" s="85"/>
      <c r="D559" s="85"/>
      <c r="H559" s="2163">
        <v>2</v>
      </c>
      <c r="I559" s="2163"/>
      <c r="J559" s="139" t="s">
        <v>3309</v>
      </c>
      <c r="K559" s="89" t="s">
        <v>5393</v>
      </c>
      <c r="L559" s="89"/>
      <c r="M559" s="89"/>
      <c r="N559" s="89"/>
      <c r="O559" s="89"/>
      <c r="P559" s="89"/>
      <c r="Q559" s="89"/>
      <c r="R559" s="89"/>
      <c r="S559" s="89"/>
      <c r="T559" s="89"/>
      <c r="U559" s="89"/>
      <c r="V559" s="89"/>
      <c r="W559" s="89"/>
      <c r="X559" s="89"/>
      <c r="Y559" s="89"/>
      <c r="Z559" s="89"/>
      <c r="AA559" s="89" t="s">
        <v>4046</v>
      </c>
      <c r="AB559" s="89"/>
      <c r="AC559" s="89"/>
      <c r="AD559" s="89"/>
      <c r="AE559" s="89"/>
      <c r="AF559" s="89"/>
      <c r="AG559" s="89"/>
      <c r="AH559" s="89"/>
      <c r="AI559" s="89"/>
      <c r="AJ559" s="89"/>
      <c r="AK559" s="89"/>
      <c r="AL559" s="89"/>
      <c r="AM559" s="89" t="s">
        <v>1261</v>
      </c>
      <c r="AN559" s="89"/>
      <c r="AO559" s="89"/>
      <c r="AP559" s="89"/>
      <c r="AQ559" s="89"/>
      <c r="AR559" s="89"/>
      <c r="AS559" s="85"/>
      <c r="AT559" s="85"/>
      <c r="AU559" s="85"/>
      <c r="BC559" s="1300">
        <f>IF(NL!$U$21="ĐL Phụng Hiệp", "QDGS",0)</f>
        <v>0</v>
      </c>
    </row>
    <row r="560" spans="2:55" ht="15.75" hidden="1">
      <c r="B560" s="85"/>
      <c r="C560" s="85"/>
      <c r="D560" s="85"/>
      <c r="H560" s="2163">
        <v>3</v>
      </c>
      <c r="I560" s="2163"/>
      <c r="J560" s="139" t="s">
        <v>3309</v>
      </c>
      <c r="K560" s="89" t="s">
        <v>38</v>
      </c>
      <c r="L560" s="89"/>
      <c r="M560" s="89"/>
      <c r="N560" s="89"/>
      <c r="O560" s="89"/>
      <c r="P560" s="89"/>
      <c r="Q560" s="89"/>
      <c r="R560" s="89"/>
      <c r="S560" s="89"/>
      <c r="T560" s="89"/>
      <c r="U560" s="89"/>
      <c r="V560" s="89"/>
      <c r="W560" s="89"/>
      <c r="X560" s="89"/>
      <c r="Y560" s="89"/>
      <c r="Z560" s="89"/>
      <c r="AA560" s="89" t="s">
        <v>4870</v>
      </c>
      <c r="AB560" s="89"/>
      <c r="AC560" s="89"/>
      <c r="AD560" s="89"/>
      <c r="AE560" s="89"/>
      <c r="AF560" s="89"/>
      <c r="AG560" s="89"/>
      <c r="AH560" s="89"/>
      <c r="AI560" s="89"/>
      <c r="AJ560" s="89"/>
      <c r="AK560" s="89"/>
      <c r="AL560" s="89"/>
      <c r="AM560" s="89" t="s">
        <v>198</v>
      </c>
      <c r="AN560" s="89"/>
      <c r="AO560" s="89"/>
      <c r="AP560" s="89"/>
      <c r="AQ560" s="89"/>
      <c r="AR560" s="89"/>
      <c r="AS560" s="85"/>
      <c r="AT560" s="85"/>
      <c r="AU560" s="85"/>
      <c r="BC560" s="1300">
        <f>IF(NL!$U$21="ĐL Phụng Hiệp", "QDGS",0)</f>
        <v>0</v>
      </c>
    </row>
    <row r="561" spans="2:55" ht="15.75" hidden="1">
      <c r="B561" s="85"/>
      <c r="C561" s="85"/>
      <c r="D561" s="85"/>
      <c r="H561" s="2163">
        <v>4</v>
      </c>
      <c r="I561" s="2163"/>
      <c r="J561" s="139" t="s">
        <v>3309</v>
      </c>
      <c r="K561" s="89" t="s">
        <v>5394</v>
      </c>
      <c r="L561" s="89"/>
      <c r="M561" s="89"/>
      <c r="N561" s="89"/>
      <c r="O561" s="89"/>
      <c r="P561" s="89"/>
      <c r="Q561" s="89"/>
      <c r="R561" s="89"/>
      <c r="S561" s="89"/>
      <c r="T561" s="89"/>
      <c r="U561" s="89"/>
      <c r="V561" s="89"/>
      <c r="W561" s="89"/>
      <c r="X561" s="89"/>
      <c r="Y561" s="89"/>
      <c r="Z561" s="89"/>
      <c r="AA561" s="89" t="s">
        <v>4046</v>
      </c>
      <c r="AB561" s="89"/>
      <c r="AC561" s="89"/>
      <c r="AD561" s="89"/>
      <c r="AE561" s="89"/>
      <c r="AF561" s="89"/>
      <c r="AG561" s="89"/>
      <c r="AH561" s="89"/>
      <c r="AI561" s="89"/>
      <c r="AJ561" s="89"/>
      <c r="AK561" s="89"/>
      <c r="AL561" s="89"/>
      <c r="AM561" s="89" t="s">
        <v>198</v>
      </c>
      <c r="AN561" s="89"/>
      <c r="AO561" s="89"/>
      <c r="AP561" s="89"/>
      <c r="AQ561" s="89"/>
      <c r="AR561" s="89"/>
      <c r="AS561" s="85"/>
      <c r="AT561" s="85"/>
      <c r="AU561" s="85"/>
      <c r="BC561" s="1300">
        <f>IF(NL!$U$21="ĐL Phụng Hiệp", "QDGS",0)</f>
        <v>0</v>
      </c>
    </row>
    <row r="562" spans="2:55" ht="15.75" hidden="1">
      <c r="B562" s="85"/>
      <c r="C562" s="85"/>
      <c r="D562" s="85"/>
      <c r="H562" s="2163">
        <v>5</v>
      </c>
      <c r="I562" s="2163"/>
      <c r="J562" s="139" t="s">
        <v>3309</v>
      </c>
      <c r="K562" s="89" t="s">
        <v>5395</v>
      </c>
      <c r="L562" s="89"/>
      <c r="M562" s="89"/>
      <c r="N562" s="89"/>
      <c r="O562" s="89"/>
      <c r="P562" s="89"/>
      <c r="Q562" s="89"/>
      <c r="R562" s="89"/>
      <c r="S562" s="89"/>
      <c r="T562" s="89"/>
      <c r="U562" s="89"/>
      <c r="V562" s="89"/>
      <c r="W562" s="89"/>
      <c r="X562" s="89"/>
      <c r="Y562" s="89"/>
      <c r="Z562" s="89"/>
      <c r="AA562" s="89" t="s">
        <v>4046</v>
      </c>
      <c r="AB562" s="89"/>
      <c r="AC562" s="89"/>
      <c r="AD562" s="89"/>
      <c r="AE562" s="89"/>
      <c r="AF562" s="89"/>
      <c r="AG562" s="89"/>
      <c r="AH562" s="89"/>
      <c r="AI562" s="89"/>
      <c r="AJ562" s="89"/>
      <c r="AK562" s="89"/>
      <c r="AL562" s="89"/>
      <c r="AM562" s="89" t="s">
        <v>198</v>
      </c>
      <c r="AN562" s="89"/>
      <c r="AO562" s="89"/>
      <c r="AP562" s="89"/>
      <c r="AQ562" s="89"/>
      <c r="AR562" s="89"/>
      <c r="AS562" s="85"/>
      <c r="AT562" s="85"/>
      <c r="AU562" s="85"/>
      <c r="BC562" s="1300">
        <f>IF(NL!$U$21="ĐL Phụng Hiệp", "QDGS",0)</f>
        <v>0</v>
      </c>
    </row>
    <row r="563" spans="2:55" ht="15.75" hidden="1">
      <c r="B563" s="85"/>
      <c r="C563" s="85"/>
      <c r="D563" s="85"/>
      <c r="H563" s="2163">
        <v>6</v>
      </c>
      <c r="I563" s="2163"/>
      <c r="J563" s="139" t="s">
        <v>3309</v>
      </c>
      <c r="K563" s="89" t="s">
        <v>5396</v>
      </c>
      <c r="L563" s="89"/>
      <c r="M563" s="89"/>
      <c r="N563" s="89"/>
      <c r="O563" s="89"/>
      <c r="P563" s="89"/>
      <c r="Q563" s="89"/>
      <c r="R563" s="89"/>
      <c r="S563" s="89"/>
      <c r="T563" s="89"/>
      <c r="U563" s="89"/>
      <c r="V563" s="89"/>
      <c r="W563" s="89"/>
      <c r="X563" s="89"/>
      <c r="Y563" s="89"/>
      <c r="Z563" s="89"/>
      <c r="AA563" s="89" t="s">
        <v>4046</v>
      </c>
      <c r="AB563" s="89"/>
      <c r="AC563" s="89"/>
      <c r="AD563" s="89"/>
      <c r="AE563" s="89"/>
      <c r="AF563" s="89"/>
      <c r="AG563" s="89"/>
      <c r="AH563" s="89"/>
      <c r="AI563" s="89"/>
      <c r="AJ563" s="89"/>
      <c r="AK563" s="89"/>
      <c r="AL563" s="89"/>
      <c r="AM563" s="89" t="s">
        <v>1262</v>
      </c>
      <c r="AN563" s="89"/>
      <c r="AO563" s="89"/>
      <c r="AP563" s="89"/>
      <c r="AQ563" s="89"/>
      <c r="AR563" s="89"/>
      <c r="AS563" s="85"/>
      <c r="AT563" s="85"/>
      <c r="AU563" s="85"/>
      <c r="BC563" s="1300">
        <f>IF(NL!$U$21="ĐL Phụng Hiệp", "QDGS",0)</f>
        <v>0</v>
      </c>
    </row>
    <row r="564" spans="2:55" ht="16.5">
      <c r="B564" s="135"/>
      <c r="C564" s="138"/>
      <c r="D564" s="121" t="s">
        <v>2157</v>
      </c>
      <c r="E564" s="121"/>
      <c r="F564" s="121"/>
      <c r="G564" s="121"/>
      <c r="H564" s="121"/>
      <c r="I564" s="137"/>
      <c r="J564" s="137"/>
      <c r="K564" s="137"/>
      <c r="L564" s="137"/>
      <c r="M564" s="137"/>
      <c r="N564" s="137"/>
      <c r="O564" s="137"/>
      <c r="P564" s="137"/>
      <c r="Q564" s="137"/>
      <c r="R564" s="137"/>
      <c r="S564" s="137"/>
      <c r="T564" s="137"/>
      <c r="U564" s="137"/>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724" t="s">
        <v>196</v>
      </c>
    </row>
    <row r="565" spans="2:55" ht="15.75" customHeight="1">
      <c r="B565" s="135"/>
      <c r="C565" s="135"/>
      <c r="D565" s="2179" t="s">
        <v>2431</v>
      </c>
      <c r="E565" s="2179"/>
      <c r="F565" s="2166" t="s">
        <v>6281</v>
      </c>
      <c r="G565" s="2166"/>
      <c r="H565" s="2166"/>
      <c r="I565" s="2166"/>
      <c r="J565" s="2166"/>
      <c r="K565" s="2166"/>
      <c r="L565" s="2166"/>
      <c r="M565" s="2166"/>
      <c r="N565" s="2166"/>
      <c r="O565" s="2166"/>
      <c r="P565" s="2166"/>
      <c r="Q565" s="2166"/>
      <c r="R565" s="2166"/>
      <c r="S565" s="2166"/>
      <c r="T565" s="2166"/>
      <c r="U565" s="2166"/>
      <c r="V565" s="2166"/>
      <c r="W565" s="2166"/>
      <c r="X565" s="2166"/>
      <c r="Y565" s="2166"/>
      <c r="Z565" s="2166"/>
      <c r="AA565" s="2166"/>
      <c r="AB565" s="2166"/>
      <c r="AC565" s="2166"/>
      <c r="AD565" s="2166"/>
      <c r="AE565" s="2166"/>
      <c r="AF565" s="2166"/>
      <c r="AG565" s="2166"/>
      <c r="AH565" s="2166"/>
      <c r="AI565" s="2166"/>
      <c r="AJ565" s="2166"/>
      <c r="AK565" s="2166"/>
      <c r="AL565" s="2166"/>
      <c r="AM565" s="2166"/>
      <c r="AN565" s="2166"/>
      <c r="AO565" s="2166"/>
      <c r="AP565" s="2166"/>
      <c r="AQ565" s="2166"/>
      <c r="AR565" s="2166"/>
      <c r="AS565" s="2166"/>
      <c r="AT565" s="2166"/>
      <c r="AU565" s="2166"/>
      <c r="AV565" s="2166"/>
      <c r="AW565" s="2166"/>
      <c r="AX565" s="2166"/>
      <c r="AY565" s="2166"/>
      <c r="AZ565" s="2166"/>
      <c r="BA565" s="2166"/>
      <c r="BB565" s="2166"/>
      <c r="BC565" s="724" t="s">
        <v>196</v>
      </c>
    </row>
    <row r="566" spans="2:55" ht="15.75" customHeight="1">
      <c r="B566" s="135"/>
      <c r="C566" s="135"/>
      <c r="D566" s="2179" t="s">
        <v>2432</v>
      </c>
      <c r="E566" s="2179"/>
      <c r="F566" s="2166" t="s">
        <v>5422</v>
      </c>
      <c r="G566" s="2166"/>
      <c r="H566" s="2166"/>
      <c r="I566" s="2166"/>
      <c r="J566" s="2166"/>
      <c r="K566" s="2166"/>
      <c r="L566" s="2166"/>
      <c r="M566" s="2166"/>
      <c r="N566" s="2166"/>
      <c r="O566" s="2166"/>
      <c r="P566" s="2166"/>
      <c r="Q566" s="2166"/>
      <c r="R566" s="2166"/>
      <c r="S566" s="2166"/>
      <c r="T566" s="2166"/>
      <c r="U566" s="2166"/>
      <c r="V566" s="2166"/>
      <c r="W566" s="2166"/>
      <c r="X566" s="2166"/>
      <c r="Y566" s="2166"/>
      <c r="Z566" s="2166"/>
      <c r="AA566" s="2166"/>
      <c r="AB566" s="2166"/>
      <c r="AC566" s="2166"/>
      <c r="AD566" s="2166"/>
      <c r="AE566" s="2166"/>
      <c r="AF566" s="2166"/>
      <c r="AG566" s="2166"/>
      <c r="AH566" s="2166"/>
      <c r="AI566" s="2166"/>
      <c r="AJ566" s="2166"/>
      <c r="AK566" s="2166"/>
      <c r="AL566" s="2166"/>
      <c r="AM566" s="2166"/>
      <c r="AN566" s="2166"/>
      <c r="AO566" s="2166"/>
      <c r="AP566" s="2166"/>
      <c r="AQ566" s="2166"/>
      <c r="AR566" s="2166"/>
      <c r="AS566" s="2166"/>
      <c r="AT566" s="2166"/>
      <c r="AU566" s="2166"/>
      <c r="AV566" s="2166"/>
      <c r="AW566" s="2166"/>
      <c r="AX566" s="2166"/>
      <c r="AY566" s="2166"/>
      <c r="AZ566" s="2166"/>
      <c r="BA566" s="2166"/>
      <c r="BB566" s="2166"/>
      <c r="BC566" s="724" t="s">
        <v>196</v>
      </c>
    </row>
    <row r="567" spans="2:55" ht="15.75" customHeight="1">
      <c r="B567" s="135"/>
      <c r="C567" s="135"/>
      <c r="D567" s="135"/>
      <c r="F567" s="2166" t="s">
        <v>4864</v>
      </c>
      <c r="G567" s="2166"/>
      <c r="H567" s="2166"/>
      <c r="I567" s="2166"/>
      <c r="J567" s="2166"/>
      <c r="K567" s="2166"/>
      <c r="L567" s="2166"/>
      <c r="M567" s="2166"/>
      <c r="N567" s="2166"/>
      <c r="O567" s="2166"/>
      <c r="P567" s="2166"/>
      <c r="Q567" s="2166"/>
      <c r="R567" s="2166"/>
      <c r="S567" s="2166"/>
      <c r="T567" s="2166"/>
      <c r="U567" s="2166"/>
      <c r="V567" s="2166"/>
      <c r="W567" s="2166"/>
      <c r="X567" s="2166"/>
      <c r="Y567" s="2166"/>
      <c r="Z567" s="2166"/>
      <c r="AA567" s="2166"/>
      <c r="AB567" s="2166"/>
      <c r="AC567" s="2166"/>
      <c r="AD567" s="2166"/>
      <c r="AE567" s="2166"/>
      <c r="AF567" s="2166"/>
      <c r="AG567" s="2166"/>
      <c r="AH567" s="2166"/>
      <c r="AI567" s="2166"/>
      <c r="AJ567" s="2166"/>
      <c r="AK567" s="2166"/>
      <c r="AL567" s="2166"/>
      <c r="AM567" s="2166"/>
      <c r="AN567" s="2166"/>
      <c r="AO567" s="2166"/>
      <c r="AP567" s="2166"/>
      <c r="AQ567" s="2166"/>
      <c r="AR567" s="2166"/>
      <c r="AS567" s="2166"/>
      <c r="AT567" s="2166"/>
      <c r="AU567" s="2166"/>
      <c r="AV567" s="2166"/>
      <c r="AW567" s="2166"/>
      <c r="AX567" s="2166"/>
      <c r="AY567" s="2166"/>
      <c r="AZ567" s="2166"/>
      <c r="BA567" s="2166"/>
      <c r="BB567" s="2166"/>
      <c r="BC567" s="724" t="s">
        <v>196</v>
      </c>
    </row>
    <row r="568" spans="2:55" ht="16.5" customHeight="1">
      <c r="B568" s="147"/>
      <c r="C568" s="135"/>
      <c r="D568" s="2166" t="s">
        <v>2154</v>
      </c>
      <c r="E568" s="2166"/>
      <c r="F568" s="2166"/>
      <c r="G568" s="2166"/>
      <c r="H568" s="2166"/>
      <c r="I568" s="2166"/>
      <c r="J568" s="2166"/>
      <c r="K568" s="2166"/>
      <c r="L568" s="2166"/>
      <c r="M568" s="2166"/>
      <c r="N568" s="2166"/>
      <c r="O568" s="2166"/>
      <c r="P568" s="2166"/>
      <c r="Q568" s="2166"/>
      <c r="R568" s="2166"/>
      <c r="S568" s="2166"/>
      <c r="T568" s="2166"/>
      <c r="U568" s="2166"/>
      <c r="V568" s="2166"/>
      <c r="W568" s="2166"/>
      <c r="X568" s="2166"/>
      <c r="Y568" s="2166"/>
      <c r="Z568" s="2166"/>
      <c r="AA568" s="2166"/>
      <c r="AB568" s="2166"/>
      <c r="AC568" s="2166"/>
      <c r="AD568" s="2166"/>
      <c r="AE568" s="2166"/>
      <c r="AF568" s="2166"/>
      <c r="AG568" s="2166"/>
      <c r="AH568" s="2166"/>
      <c r="AI568" s="2166"/>
      <c r="AJ568" s="2166"/>
      <c r="AK568" s="2166"/>
      <c r="AL568" s="2166"/>
      <c r="AM568" s="2166"/>
      <c r="AN568" s="2166"/>
      <c r="AO568" s="2166"/>
      <c r="AP568" s="2166"/>
      <c r="AQ568" s="2166"/>
      <c r="AR568" s="2166"/>
      <c r="AS568" s="2166"/>
      <c r="AT568" s="2166"/>
      <c r="AU568" s="2166"/>
      <c r="AV568" s="2166"/>
      <c r="AW568" s="2166"/>
      <c r="AX568" s="2166"/>
      <c r="AY568" s="2166"/>
      <c r="AZ568" s="2166"/>
      <c r="BA568" s="2166"/>
      <c r="BB568" s="2166"/>
      <c r="BC568" s="724" t="s">
        <v>196</v>
      </c>
    </row>
    <row r="569" spans="2:55" ht="15.75" customHeight="1">
      <c r="B569" s="135"/>
      <c r="C569" s="135"/>
      <c r="D569" s="2166" t="s">
        <v>4600</v>
      </c>
      <c r="E569" s="2166"/>
      <c r="F569" s="2166"/>
      <c r="G569" s="2166"/>
      <c r="H569" s="2166"/>
      <c r="I569" s="2166"/>
      <c r="J569" s="2166"/>
      <c r="K569" s="2166"/>
      <c r="L569" s="2166"/>
      <c r="M569" s="2166"/>
      <c r="N569" s="2166"/>
      <c r="O569" s="2166"/>
      <c r="P569" s="2166"/>
      <c r="Q569" s="2166"/>
      <c r="R569" s="2166"/>
      <c r="S569" s="2166"/>
      <c r="T569" s="2166"/>
      <c r="U569" s="2166"/>
      <c r="V569" s="2166"/>
      <c r="W569" s="2166"/>
      <c r="X569" s="2166"/>
      <c r="Y569" s="2166"/>
      <c r="Z569" s="2166"/>
      <c r="AA569" s="2166"/>
      <c r="AB569" s="2166"/>
      <c r="AC569" s="2166"/>
      <c r="AD569" s="2166"/>
      <c r="AE569" s="2166"/>
      <c r="AF569" s="2166"/>
      <c r="AG569" s="2166"/>
      <c r="AH569" s="2166"/>
      <c r="AI569" s="2166"/>
      <c r="AJ569" s="2166"/>
      <c r="AK569" s="2166"/>
      <c r="AL569" s="2166"/>
      <c r="AM569" s="2166"/>
      <c r="AN569" s="2166"/>
      <c r="AO569" s="2166"/>
      <c r="AP569" s="2166"/>
      <c r="AQ569" s="2166"/>
      <c r="AR569" s="2166"/>
      <c r="AS569" s="2166"/>
      <c r="AT569" s="2166"/>
      <c r="AU569" s="2166"/>
      <c r="AV569" s="2166"/>
      <c r="AW569" s="2166"/>
      <c r="AX569" s="2166"/>
      <c r="AY569" s="2166"/>
      <c r="AZ569" s="2166"/>
      <c r="BA569" s="2166"/>
      <c r="BB569" s="2166"/>
      <c r="BC569" s="724" t="s">
        <v>196</v>
      </c>
    </row>
    <row r="570" spans="2:55" ht="15.75" customHeight="1">
      <c r="B570" s="135"/>
      <c r="C570" s="135"/>
      <c r="D570" s="135"/>
      <c r="F570" s="2166" t="s">
        <v>5398</v>
      </c>
      <c r="G570" s="2166"/>
      <c r="H570" s="2166"/>
      <c r="I570" s="2166"/>
      <c r="J570" s="2166"/>
      <c r="K570" s="2166"/>
      <c r="L570" s="2166"/>
      <c r="M570" s="2166"/>
      <c r="N570" s="2166"/>
      <c r="O570" s="2166"/>
      <c r="P570" s="2166"/>
      <c r="Q570" s="2166"/>
      <c r="R570" s="2166"/>
      <c r="S570" s="2166"/>
      <c r="T570" s="2166"/>
      <c r="U570" s="2166"/>
      <c r="V570" s="2166"/>
      <c r="W570" s="2166"/>
      <c r="X570" s="2166"/>
      <c r="Y570" s="2166"/>
      <c r="Z570" s="2166"/>
      <c r="AA570" s="2166"/>
      <c r="AB570" s="2166"/>
      <c r="AC570" s="2166"/>
      <c r="AD570" s="2166"/>
      <c r="AE570" s="2166"/>
      <c r="AF570" s="2166"/>
      <c r="AG570" s="2166"/>
      <c r="AH570" s="2166"/>
      <c r="AI570" s="2166"/>
      <c r="AJ570" s="2166"/>
      <c r="AK570" s="2166"/>
      <c r="AL570" s="2166"/>
      <c r="AM570" s="2166"/>
      <c r="AN570" s="2166"/>
      <c r="AO570" s="2166"/>
      <c r="AP570" s="2166"/>
      <c r="AQ570" s="2166"/>
      <c r="AR570" s="2166"/>
      <c r="AS570" s="2166"/>
      <c r="AT570" s="2166"/>
      <c r="AU570" s="2166"/>
      <c r="AV570" s="2166"/>
      <c r="AW570" s="2166"/>
      <c r="AX570" s="2166"/>
      <c r="AY570" s="2166"/>
      <c r="AZ570" s="2166"/>
      <c r="BA570" s="2166"/>
      <c r="BB570" s="2166"/>
      <c r="BC570" s="724" t="s">
        <v>196</v>
      </c>
    </row>
    <row r="571" spans="2:55" ht="16.5" customHeight="1">
      <c r="B571" s="147"/>
      <c r="C571" s="135"/>
      <c r="D571" s="2179" t="s">
        <v>2433</v>
      </c>
      <c r="E571" s="2179"/>
      <c r="F571" s="2181" t="str">
        <f>"Phòng Kỹ thuật, "&amp;IF(OR(NL!U21="CNĐ Châu Thành A"),NL!AI56,NL!U21)&amp;":"</f>
        <v>Phòng Kỹ thuật, ĐL TP.Vị Thanh:</v>
      </c>
      <c r="G571" s="2166"/>
      <c r="H571" s="2166"/>
      <c r="I571" s="2166"/>
      <c r="J571" s="2166"/>
      <c r="K571" s="2166"/>
      <c r="L571" s="2166"/>
      <c r="M571" s="2166"/>
      <c r="N571" s="2166"/>
      <c r="O571" s="2166"/>
      <c r="P571" s="2166"/>
      <c r="Q571" s="2166"/>
      <c r="R571" s="2166"/>
      <c r="S571" s="2166"/>
      <c r="T571" s="2166"/>
      <c r="U571" s="2166"/>
      <c r="V571" s="2166"/>
      <c r="W571" s="2166"/>
      <c r="X571" s="2166"/>
      <c r="Y571" s="2166"/>
      <c r="Z571" s="2166"/>
      <c r="AA571" s="2166"/>
      <c r="AB571" s="2166"/>
      <c r="AC571" s="2166"/>
      <c r="AD571" s="2166"/>
      <c r="AE571" s="2166"/>
      <c r="AF571" s="2166"/>
      <c r="AG571" s="2166"/>
      <c r="AH571" s="2166"/>
      <c r="AI571" s="2166"/>
      <c r="AJ571" s="2166"/>
      <c r="AK571" s="2166"/>
      <c r="AL571" s="2166"/>
      <c r="AM571" s="2166"/>
      <c r="AN571" s="2166"/>
      <c r="AO571" s="2166"/>
      <c r="AP571" s="2166"/>
      <c r="AQ571" s="2166"/>
      <c r="AR571" s="2166"/>
      <c r="AS571" s="2166"/>
      <c r="AT571" s="2166"/>
      <c r="AU571" s="2166"/>
      <c r="AV571" s="2166"/>
      <c r="AW571" s="2166"/>
      <c r="AX571" s="2166"/>
      <c r="AY571" s="2166"/>
      <c r="AZ571" s="2166"/>
      <c r="BA571" s="2166"/>
      <c r="BB571" s="2166"/>
      <c r="BC571" s="724" t="s">
        <v>196</v>
      </c>
    </row>
    <row r="572" spans="2:55" ht="16.5" customHeight="1">
      <c r="B572" s="145"/>
      <c r="C572" s="135"/>
      <c r="D572" s="148"/>
      <c r="E572" s="135"/>
      <c r="F572" s="2166" t="s">
        <v>4601</v>
      </c>
      <c r="G572" s="2166"/>
      <c r="H572" s="2166"/>
      <c r="I572" s="2166"/>
      <c r="J572" s="2166"/>
      <c r="K572" s="2166"/>
      <c r="L572" s="2166"/>
      <c r="M572" s="2166"/>
      <c r="N572" s="2166"/>
      <c r="O572" s="2166"/>
      <c r="P572" s="2166"/>
      <c r="Q572" s="2166"/>
      <c r="R572" s="2166"/>
      <c r="S572" s="2166"/>
      <c r="T572" s="2166"/>
      <c r="U572" s="2166"/>
      <c r="V572" s="2166"/>
      <c r="W572" s="2166"/>
      <c r="X572" s="2166"/>
      <c r="Y572" s="2166"/>
      <c r="Z572" s="2166"/>
      <c r="AA572" s="2166"/>
      <c r="AB572" s="2166"/>
      <c r="AC572" s="2166"/>
      <c r="AD572" s="2166"/>
      <c r="AE572" s="2166"/>
      <c r="AF572" s="2166"/>
      <c r="AG572" s="2166"/>
      <c r="AH572" s="2166"/>
      <c r="AI572" s="2166"/>
      <c r="AJ572" s="2166"/>
      <c r="AK572" s="2166"/>
      <c r="AL572" s="2166"/>
      <c r="AM572" s="2166"/>
      <c r="AN572" s="2166"/>
      <c r="AO572" s="2166"/>
      <c r="AP572" s="2166"/>
      <c r="AQ572" s="2166"/>
      <c r="AR572" s="2166"/>
      <c r="AS572" s="2166"/>
      <c r="AT572" s="2166"/>
      <c r="AU572" s="2166"/>
      <c r="AV572" s="2166"/>
      <c r="AW572" s="2166"/>
      <c r="AX572" s="2166"/>
      <c r="AY572" s="2166"/>
      <c r="AZ572" s="2166"/>
      <c r="BA572" s="2166"/>
      <c r="BB572" s="2166"/>
      <c r="BC572" s="724" t="s">
        <v>196</v>
      </c>
    </row>
    <row r="573" spans="2:55" ht="16.5" customHeight="1">
      <c r="B573" s="135"/>
      <c r="C573" s="138"/>
      <c r="D573" s="134" t="s">
        <v>5397</v>
      </c>
      <c r="E573" s="134"/>
      <c r="F573" s="134"/>
      <c r="G573" s="134"/>
      <c r="H573" s="2166" t="str">
        <f>"Phòng Kỹ thuật, "&amp;IF(OR(NL!U21="CNĐ Châu Thành A",NL!U21="CNĐ Châu Thành A (Ngã Sáu)",NL!U21="CNĐ Châu Thành A (Tân Hòa)"),NL!AI56,NL!U21)&amp;" và các đơn vị liên quan căn cứ quyết định thi hành."</f>
        <v>Phòng Kỹ thuật, ĐL TP.Vị Thanh và các đơn vị liên quan căn cứ quyết định thi hành.</v>
      </c>
      <c r="I573" s="2166"/>
      <c r="J573" s="2166"/>
      <c r="K573" s="2166"/>
      <c r="L573" s="2166"/>
      <c r="M573" s="2166"/>
      <c r="N573" s="2166"/>
      <c r="O573" s="2166"/>
      <c r="P573" s="2166"/>
      <c r="Q573" s="2166"/>
      <c r="R573" s="2166"/>
      <c r="S573" s="2166"/>
      <c r="T573" s="2166"/>
      <c r="U573" s="2166"/>
      <c r="V573" s="2166"/>
      <c r="W573" s="2166"/>
      <c r="X573" s="2166"/>
      <c r="Y573" s="2166"/>
      <c r="Z573" s="2166"/>
      <c r="AA573" s="2166"/>
      <c r="AB573" s="2166"/>
      <c r="AC573" s="2166"/>
      <c r="AD573" s="2166"/>
      <c r="AE573" s="2166"/>
      <c r="AF573" s="2166"/>
      <c r="AG573" s="2166"/>
      <c r="AH573" s="2166"/>
      <c r="AI573" s="2166"/>
      <c r="AJ573" s="2166"/>
      <c r="AK573" s="2166"/>
      <c r="AL573" s="2166"/>
      <c r="AM573" s="2166"/>
      <c r="AN573" s="2166"/>
      <c r="AO573" s="2166"/>
      <c r="AP573" s="2166"/>
      <c r="AQ573" s="2166"/>
      <c r="AR573" s="2166"/>
      <c r="AS573" s="2166"/>
      <c r="AT573" s="2166"/>
      <c r="AU573" s="2166"/>
      <c r="AV573" s="2166"/>
      <c r="AW573" s="2166"/>
      <c r="AX573" s="2166"/>
      <c r="AY573" s="2166"/>
      <c r="AZ573" s="2166"/>
      <c r="BA573" s="2166"/>
      <c r="BB573" s="2166"/>
      <c r="BC573" s="724" t="s">
        <v>196</v>
      </c>
    </row>
    <row r="574" spans="2:55" ht="16.5">
      <c r="B574" s="147"/>
      <c r="C574" s="135"/>
      <c r="D574" s="135"/>
      <c r="E574" s="135"/>
      <c r="F574" s="149" t="s">
        <v>5420</v>
      </c>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BC574" s="724" t="s">
        <v>196</v>
      </c>
    </row>
    <row r="575" spans="2:55" ht="16.5">
      <c r="B575" s="147"/>
      <c r="C575" s="135"/>
      <c r="D575" s="135"/>
      <c r="E575" s="135"/>
      <c r="F575" s="149"/>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BC575" s="724" t="s">
        <v>196</v>
      </c>
    </row>
    <row r="576" spans="2:55" ht="16.5">
      <c r="B576" s="147"/>
      <c r="C576" s="861" t="s">
        <v>2861</v>
      </c>
      <c r="D576" s="135"/>
      <c r="E576" s="135"/>
      <c r="F576" s="135"/>
      <c r="G576" s="135"/>
      <c r="H576" s="135"/>
      <c r="I576" s="135"/>
      <c r="J576" s="135"/>
      <c r="K576" s="135"/>
      <c r="L576" s="135"/>
      <c r="M576" s="135"/>
      <c r="N576" s="135"/>
      <c r="O576" s="135"/>
      <c r="V576" s="718"/>
      <c r="W576" s="718"/>
      <c r="X576" s="718"/>
      <c r="Y576" s="718"/>
      <c r="Z576" s="718"/>
      <c r="AA576" s="718"/>
      <c r="AB576" s="718"/>
      <c r="AC576" s="718"/>
      <c r="AD576" s="718"/>
      <c r="AE576" s="718"/>
      <c r="AF576" s="718"/>
      <c r="AG576" s="718"/>
      <c r="AH576" s="718"/>
      <c r="AI576" s="718"/>
      <c r="AJ576" s="718"/>
      <c r="AK576" s="718"/>
      <c r="AL576" s="2022" t="s">
        <v>3046</v>
      </c>
      <c r="AM576" s="2022"/>
      <c r="AN576" s="2022"/>
      <c r="AO576" s="2022"/>
      <c r="AP576" s="2022"/>
      <c r="AQ576" s="2022"/>
      <c r="AR576" s="2022"/>
      <c r="AS576" s="2022"/>
      <c r="AT576" s="2022"/>
      <c r="AU576" s="2022"/>
      <c r="AV576" s="2022"/>
      <c r="AW576" s="2022"/>
      <c r="AX576" s="2022"/>
      <c r="AY576" s="2022"/>
      <c r="AZ576" s="2022"/>
      <c r="BA576" s="2022"/>
      <c r="BB576" s="2022"/>
      <c r="BC576" s="724" t="s">
        <v>196</v>
      </c>
    </row>
    <row r="577" spans="2:55" ht="16.5" customHeight="1">
      <c r="B577" s="147"/>
      <c r="C577" s="150" t="s">
        <v>6344</v>
      </c>
      <c r="D577" s="151" t="s">
        <v>1589</v>
      </c>
      <c r="E577" s="135"/>
      <c r="F577" s="135"/>
      <c r="G577" s="135"/>
      <c r="H577" s="135"/>
      <c r="I577" s="135"/>
      <c r="J577" s="135"/>
      <c r="K577" s="135"/>
      <c r="L577" s="135"/>
      <c r="M577" s="135"/>
      <c r="N577" s="135"/>
      <c r="O577" s="135"/>
      <c r="V577" s="718"/>
      <c r="W577" s="718"/>
      <c r="X577" s="718"/>
      <c r="Y577" s="718"/>
      <c r="Z577" s="718"/>
      <c r="AA577" s="718"/>
      <c r="AB577" s="718"/>
      <c r="AC577" s="718"/>
      <c r="AD577" s="718"/>
      <c r="AE577" s="718"/>
      <c r="AF577" s="718"/>
      <c r="AG577" s="718"/>
      <c r="AH577" s="718"/>
      <c r="AI577" s="718"/>
      <c r="AJ577" s="718"/>
      <c r="AK577" s="718"/>
      <c r="AL577" s="2022" t="s">
        <v>5441</v>
      </c>
      <c r="AM577" s="2022"/>
      <c r="AN577" s="2022"/>
      <c r="AO577" s="2022"/>
      <c r="AP577" s="2022"/>
      <c r="AQ577" s="2022"/>
      <c r="AR577" s="2022"/>
      <c r="AS577" s="2022"/>
      <c r="AT577" s="2022"/>
      <c r="AU577" s="2022"/>
      <c r="AV577" s="2022"/>
      <c r="AW577" s="2022"/>
      <c r="AX577" s="2022"/>
      <c r="AY577" s="2022"/>
      <c r="AZ577" s="2022"/>
      <c r="BA577" s="2022"/>
      <c r="BB577" s="2022"/>
      <c r="BC577" s="724" t="s">
        <v>196</v>
      </c>
    </row>
    <row r="578" spans="2:55" ht="15.75" customHeight="1">
      <c r="B578" s="135"/>
      <c r="C578" s="150" t="s">
        <v>6344</v>
      </c>
      <c r="D578" s="151" t="str">
        <f>NL!U19&amp;";"</f>
        <v>Nhà máy xay xát Nguyễn Văn A;</v>
      </c>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BC578" s="724" t="s">
        <v>196</v>
      </c>
    </row>
    <row r="579" spans="2:55" ht="15.75" customHeight="1">
      <c r="B579" s="135"/>
      <c r="C579" s="150" t="s">
        <v>6344</v>
      </c>
      <c r="D579" s="151" t="str">
        <f>"Đ.v thi công: "&amp;NL!U20&amp;"."</f>
        <v>Đ.v thi công: Cty TNHH Cơ Điện Thới Hưng.</v>
      </c>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BC579" s="724" t="s">
        <v>196</v>
      </c>
    </row>
    <row r="580" spans="2:55" ht="15.75" customHeight="1">
      <c r="B580" s="135"/>
      <c r="C580" s="150" t="s">
        <v>6344</v>
      </c>
      <c r="D580" s="151" t="s">
        <v>2158</v>
      </c>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c r="BC580" s="724" t="s">
        <v>196</v>
      </c>
    </row>
    <row r="581" spans="2:55" ht="15.75" customHeight="1">
      <c r="B581" s="135"/>
      <c r="C581" s="150"/>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L581" s="2022" t="s">
        <v>5442</v>
      </c>
      <c r="AM581" s="2022"/>
      <c r="AN581" s="2022"/>
      <c r="AO581" s="2022"/>
      <c r="AP581" s="2022"/>
      <c r="AQ581" s="2022"/>
      <c r="AR581" s="2022"/>
      <c r="AS581" s="2022"/>
      <c r="AT581" s="2022"/>
      <c r="AU581" s="2022"/>
      <c r="AV581" s="2022"/>
      <c r="AW581" s="2022"/>
      <c r="AX581" s="2022"/>
      <c r="AY581" s="2022"/>
      <c r="AZ581" s="2022"/>
      <c r="BA581" s="2022"/>
      <c r="BB581" s="2022"/>
      <c r="BC581" s="724" t="s">
        <v>196</v>
      </c>
    </row>
    <row r="582" spans="2:55" ht="15.75" customHeight="1">
      <c r="B582" s="135"/>
      <c r="C582" s="150"/>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L582" s="2022"/>
      <c r="AM582" s="2022"/>
      <c r="AN582" s="2022"/>
      <c r="AO582" s="2022"/>
      <c r="AP582" s="2022"/>
      <c r="AQ582" s="2022"/>
      <c r="AR582" s="2022"/>
      <c r="AS582" s="2022"/>
      <c r="AT582" s="2022"/>
      <c r="AU582" s="2022"/>
      <c r="AV582" s="2022"/>
      <c r="AW582" s="2022"/>
      <c r="AX582" s="2022"/>
      <c r="AY582" s="2022"/>
      <c r="AZ582" s="2022"/>
      <c r="BA582" s="2022"/>
      <c r="BB582" s="2022"/>
      <c r="BC582" s="724" t="s">
        <v>196</v>
      </c>
    </row>
    <row r="583" spans="2:55" ht="15.75" hidden="1" customHeight="1">
      <c r="B583" s="135"/>
      <c r="C583" s="150"/>
      <c r="D583" s="151"/>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BC583" s="724"/>
    </row>
    <row r="584" spans="2:55" ht="15.75" hidden="1" customHeight="1">
      <c r="B584" s="2030" t="s">
        <v>205</v>
      </c>
      <c r="C584" s="2030"/>
      <c r="D584" s="2030"/>
      <c r="E584" s="2030"/>
      <c r="F584" s="2030"/>
      <c r="G584" s="2030"/>
      <c r="H584" s="2030"/>
      <c r="I584" s="2030"/>
      <c r="J584" s="2030"/>
      <c r="K584" s="2030"/>
      <c r="L584" s="2030"/>
      <c r="M584" s="2030"/>
      <c r="N584" s="2030"/>
      <c r="O584" s="2030"/>
      <c r="P584" s="2030"/>
      <c r="Q584" s="2030"/>
      <c r="R584" s="2030"/>
      <c r="S584" s="2030"/>
      <c r="T584" s="2030"/>
      <c r="U584" s="2030"/>
      <c r="V584" s="2030"/>
      <c r="W584" s="2030"/>
      <c r="X584" s="2030"/>
      <c r="Y584" s="2030"/>
      <c r="Z584" s="2030"/>
      <c r="AA584" s="2030"/>
      <c r="AB584" s="2030"/>
      <c r="AC584" s="2030"/>
      <c r="AD584" s="2030"/>
      <c r="AE584" s="2030"/>
      <c r="AF584" s="2030"/>
      <c r="AG584" s="2030"/>
      <c r="AH584" s="2030"/>
      <c r="AI584" s="2030"/>
      <c r="AJ584" s="2030"/>
      <c r="AK584" s="2030"/>
      <c r="AL584" s="2030"/>
      <c r="AM584" s="2030"/>
      <c r="AN584" s="2030"/>
      <c r="AO584" s="2030"/>
      <c r="AP584" s="2030"/>
      <c r="AQ584" s="2030"/>
      <c r="AR584" s="2030"/>
      <c r="AS584" s="2030"/>
      <c r="AT584" s="2030"/>
      <c r="AU584" s="2030"/>
      <c r="AV584" s="2030"/>
      <c r="AW584" s="2030"/>
      <c r="AX584" s="2030"/>
      <c r="AY584" s="2030"/>
      <c r="AZ584" s="2030"/>
      <c r="BA584" s="2030"/>
      <c r="BB584" s="2030"/>
      <c r="BC584" s="724" t="s">
        <v>5865</v>
      </c>
    </row>
    <row r="585" spans="2:55" ht="15.75" hidden="1" customHeight="1">
      <c r="B585" s="2030" t="s">
        <v>206</v>
      </c>
      <c r="C585" s="2030"/>
      <c r="D585" s="2030"/>
      <c r="E585" s="2030"/>
      <c r="F585" s="2030"/>
      <c r="G585" s="2030"/>
      <c r="H585" s="2030"/>
      <c r="I585" s="2030"/>
      <c r="J585" s="2030"/>
      <c r="K585" s="2030"/>
      <c r="L585" s="2030"/>
      <c r="M585" s="2030"/>
      <c r="N585" s="2030"/>
      <c r="O585" s="2030"/>
      <c r="P585" s="2030"/>
      <c r="Q585" s="2030"/>
      <c r="R585" s="2030"/>
      <c r="S585" s="2030"/>
      <c r="T585" s="2030"/>
      <c r="U585" s="2030"/>
      <c r="V585" s="2030"/>
      <c r="W585" s="2030"/>
      <c r="X585" s="2030"/>
      <c r="Y585" s="2030"/>
      <c r="Z585" s="2030"/>
      <c r="AA585" s="2030"/>
      <c r="AB585" s="2030"/>
      <c r="AC585" s="2030"/>
      <c r="AD585" s="2030"/>
      <c r="AE585" s="2030"/>
      <c r="AF585" s="2030"/>
      <c r="AG585" s="2030"/>
      <c r="AH585" s="2030"/>
      <c r="AI585" s="2030"/>
      <c r="AJ585" s="2030"/>
      <c r="AK585" s="2030"/>
      <c r="AL585" s="2030"/>
      <c r="AM585" s="2030"/>
      <c r="AN585" s="2030"/>
      <c r="AO585" s="2030"/>
      <c r="AP585" s="2030"/>
      <c r="AQ585" s="2030"/>
      <c r="AR585" s="2030"/>
      <c r="AS585" s="2030"/>
      <c r="AT585" s="2030"/>
      <c r="AU585" s="2030"/>
      <c r="AV585" s="2030"/>
      <c r="AW585" s="2030"/>
      <c r="AX585" s="2030"/>
      <c r="AY585" s="2030"/>
      <c r="AZ585" s="2030"/>
      <c r="BA585" s="2030"/>
      <c r="BB585" s="2030"/>
      <c r="BC585" s="724" t="s">
        <v>5865</v>
      </c>
    </row>
    <row r="586" spans="2:55" ht="15.75" hidden="1" customHeight="1">
      <c r="B586" s="2002" t="s">
        <v>638</v>
      </c>
      <c r="C586" s="2176"/>
      <c r="D586" s="2176"/>
      <c r="E586" s="2176"/>
      <c r="F586" s="2176"/>
      <c r="G586" s="2176"/>
      <c r="H586" s="2176"/>
      <c r="I586" s="2176"/>
      <c r="J586" s="2176"/>
      <c r="K586" s="2176"/>
      <c r="L586" s="2176"/>
      <c r="M586" s="2176"/>
      <c r="N586" s="2176"/>
      <c r="O586" s="2176"/>
      <c r="P586" s="2176"/>
      <c r="Q586" s="2176"/>
      <c r="R586" s="2176"/>
      <c r="S586" s="2176"/>
      <c r="T586" s="2176"/>
      <c r="U586" s="2176"/>
      <c r="V586" s="2176"/>
      <c r="W586" s="2176"/>
      <c r="X586" s="2176"/>
      <c r="Y586" s="2176"/>
      <c r="Z586" s="2176"/>
      <c r="AA586" s="2176"/>
      <c r="AB586" s="2176"/>
      <c r="AC586" s="2176"/>
      <c r="AD586" s="2176"/>
      <c r="AE586" s="2176"/>
      <c r="AF586" s="2176"/>
      <c r="AG586" s="2176"/>
      <c r="AH586" s="2176"/>
      <c r="AI586" s="2176"/>
      <c r="AJ586" s="2176"/>
      <c r="AK586" s="2176"/>
      <c r="AL586" s="2176"/>
      <c r="AM586" s="2176"/>
      <c r="AN586" s="2176"/>
      <c r="AO586" s="2176"/>
      <c r="AP586" s="2176"/>
      <c r="AQ586" s="2176"/>
      <c r="AR586" s="2176"/>
      <c r="AS586" s="2176"/>
      <c r="AT586" s="2176"/>
      <c r="AU586" s="2176"/>
      <c r="AV586" s="2176"/>
      <c r="AW586" s="2176"/>
      <c r="AX586" s="2176"/>
      <c r="AY586" s="2176"/>
      <c r="AZ586" s="2176"/>
      <c r="BA586" s="2176"/>
      <c r="BB586" s="2176"/>
      <c r="BC586" s="724" t="s">
        <v>5865</v>
      </c>
    </row>
    <row r="587" spans="2:55" ht="15.75" hidden="1" customHeight="1">
      <c r="B587" s="2005" t="str">
        <f>IF(NL!U8="","Chưa nhập ngày","Hậu Giang, ngày "&amp;TEXT(NL!U8,"dd")&amp;" tháng "&amp;TEXT(NL!U8,"mm")&amp;" năm "&amp;TEXT(NL!U8,"yyyy"))</f>
        <v>Hậu Giang, ngày 11 tháng 01 năm 2017</v>
      </c>
      <c r="C587" s="2005"/>
      <c r="D587" s="2005"/>
      <c r="E587" s="2005"/>
      <c r="F587" s="2005"/>
      <c r="G587" s="2005"/>
      <c r="H587" s="2005"/>
      <c r="I587" s="2005"/>
      <c r="J587" s="2005"/>
      <c r="K587" s="2005"/>
      <c r="L587" s="2005"/>
      <c r="M587" s="2005"/>
      <c r="N587" s="2005"/>
      <c r="O587" s="2005"/>
      <c r="P587" s="2005"/>
      <c r="Q587" s="2005"/>
      <c r="R587" s="2005"/>
      <c r="S587" s="2005"/>
      <c r="T587" s="2005"/>
      <c r="U587" s="2005"/>
      <c r="V587" s="2005"/>
      <c r="W587" s="2005"/>
      <c r="X587" s="2005"/>
      <c r="Y587" s="2005"/>
      <c r="Z587" s="2005"/>
      <c r="AA587" s="2005"/>
      <c r="AB587" s="2005"/>
      <c r="AC587" s="2005"/>
      <c r="AD587" s="2005"/>
      <c r="AE587" s="2005"/>
      <c r="AF587" s="2005"/>
      <c r="AG587" s="2005"/>
      <c r="AH587" s="2005"/>
      <c r="AI587" s="2005"/>
      <c r="AJ587" s="2005"/>
      <c r="AK587" s="2005"/>
      <c r="AL587" s="2005"/>
      <c r="AM587" s="2005"/>
      <c r="AN587" s="2005"/>
      <c r="AO587" s="2005"/>
      <c r="AP587" s="2005"/>
      <c r="AQ587" s="2005"/>
      <c r="AR587" s="2005"/>
      <c r="AS587" s="2005"/>
      <c r="AT587" s="2005"/>
      <c r="AU587" s="2005"/>
      <c r="AV587" s="2005"/>
      <c r="AW587" s="2005"/>
      <c r="AX587" s="2005"/>
      <c r="AY587" s="2005"/>
      <c r="AZ587" s="2005"/>
      <c r="BA587" s="2005"/>
      <c r="BB587" s="2005"/>
      <c r="BC587" s="724" t="s">
        <v>5865</v>
      </c>
    </row>
    <row r="588" spans="2:55" ht="22.5" hidden="1" customHeight="1">
      <c r="B588" s="1999" t="s">
        <v>5421</v>
      </c>
      <c r="C588" s="1999"/>
      <c r="D588" s="1999"/>
      <c r="E588" s="1999"/>
      <c r="F588" s="1999"/>
      <c r="G588" s="1999"/>
      <c r="H588" s="1999"/>
      <c r="I588" s="1999"/>
      <c r="J588" s="1999"/>
      <c r="K588" s="1999"/>
      <c r="L588" s="1999"/>
      <c r="M588" s="1999"/>
      <c r="N588" s="1999"/>
      <c r="O588" s="1999"/>
      <c r="P588" s="1999"/>
      <c r="Q588" s="1999"/>
      <c r="R588" s="1999"/>
      <c r="S588" s="1999"/>
      <c r="T588" s="1999"/>
      <c r="U588" s="1999"/>
      <c r="V588" s="1999"/>
      <c r="W588" s="1999"/>
      <c r="X588" s="1999"/>
      <c r="Y588" s="1999"/>
      <c r="Z588" s="1999"/>
      <c r="AA588" s="1999"/>
      <c r="AB588" s="1999"/>
      <c r="AC588" s="1999"/>
      <c r="AD588" s="1999"/>
      <c r="AE588" s="1999"/>
      <c r="AF588" s="1999"/>
      <c r="AG588" s="1999"/>
      <c r="AH588" s="1999"/>
      <c r="AI588" s="1999"/>
      <c r="AJ588" s="1999"/>
      <c r="AK588" s="1999"/>
      <c r="AL588" s="1999"/>
      <c r="AM588" s="1999"/>
      <c r="AN588" s="1999"/>
      <c r="AO588" s="1999"/>
      <c r="AP588" s="1999"/>
      <c r="AQ588" s="1999"/>
      <c r="AR588" s="1999"/>
      <c r="AS588" s="1999"/>
      <c r="AT588" s="1999"/>
      <c r="AU588" s="1999"/>
      <c r="AV588" s="1999"/>
      <c r="AW588" s="1999"/>
      <c r="AX588" s="1999"/>
      <c r="AY588" s="1999"/>
      <c r="AZ588" s="1999"/>
      <c r="BA588" s="1999"/>
      <c r="BB588" s="1999"/>
      <c r="BC588" s="724" t="s">
        <v>5865</v>
      </c>
    </row>
    <row r="589" spans="2:55" ht="15.75" hidden="1" customHeight="1">
      <c r="B589" s="2002" t="str">
        <f>+"Số : "&amp;NL!U2&amp;"/HĐTT-PCHG"</f>
        <v>Số : 01/HĐTT-PCHG</v>
      </c>
      <c r="C589" s="2002"/>
      <c r="D589" s="2002"/>
      <c r="E589" s="2002"/>
      <c r="F589" s="2002"/>
      <c r="G589" s="2002"/>
      <c r="H589" s="2002"/>
      <c r="I589" s="2002"/>
      <c r="J589" s="2002"/>
      <c r="K589" s="2002"/>
      <c r="L589" s="2002"/>
      <c r="M589" s="2002"/>
      <c r="N589" s="2002"/>
      <c r="O589" s="2002"/>
      <c r="P589" s="2002"/>
      <c r="Q589" s="2002"/>
      <c r="R589" s="2002"/>
      <c r="S589" s="2002"/>
      <c r="T589" s="2002"/>
      <c r="U589" s="2002"/>
      <c r="V589" s="2002"/>
      <c r="W589" s="2002"/>
      <c r="X589" s="2002"/>
      <c r="Y589" s="2002"/>
      <c r="Z589" s="2002"/>
      <c r="AA589" s="2002"/>
      <c r="AB589" s="2002"/>
      <c r="AC589" s="2002"/>
      <c r="AD589" s="2002"/>
      <c r="AE589" s="2002"/>
      <c r="AF589" s="2002"/>
      <c r="AG589" s="2002"/>
      <c r="AH589" s="2002"/>
      <c r="AI589" s="2002"/>
      <c r="AJ589" s="2002"/>
      <c r="AK589" s="2002"/>
      <c r="AL589" s="2002"/>
      <c r="AM589" s="2002"/>
      <c r="AN589" s="2002"/>
      <c r="AO589" s="2002"/>
      <c r="AP589" s="2002"/>
      <c r="AQ589" s="2002"/>
      <c r="AR589" s="2002"/>
      <c r="AS589" s="2002"/>
      <c r="AT589" s="2002"/>
      <c r="AU589" s="2002"/>
      <c r="AV589" s="2002"/>
      <c r="AW589" s="2002"/>
      <c r="AX589" s="2002"/>
      <c r="AY589" s="2002"/>
      <c r="AZ589" s="2002"/>
      <c r="BA589" s="2002"/>
      <c r="BB589" s="2002"/>
      <c r="BC589" s="724" t="s">
        <v>5865</v>
      </c>
    </row>
    <row r="590" spans="2:55" ht="15.75" hidden="1" customHeight="1">
      <c r="B590" s="91"/>
      <c r="C590" s="2030" t="s">
        <v>6102</v>
      </c>
      <c r="D590" s="2030"/>
      <c r="E590" s="2030"/>
      <c r="F590" s="2030"/>
      <c r="G590" s="2030"/>
      <c r="H590" s="2030"/>
      <c r="I590" s="2030"/>
      <c r="J590" s="2030"/>
      <c r="K590" s="2030"/>
      <c r="L590" s="2030"/>
      <c r="M590" s="2030"/>
      <c r="N590" s="2030"/>
      <c r="O590" s="2030"/>
      <c r="P590" s="2030"/>
      <c r="Q590" s="2030"/>
      <c r="R590" s="2030"/>
      <c r="S590" s="2030"/>
      <c r="T590" s="2030"/>
      <c r="U590" s="2030"/>
      <c r="V590" s="2030"/>
      <c r="W590" s="2030"/>
      <c r="X590" s="2030"/>
      <c r="Y590" s="2030"/>
      <c r="Z590" s="2030"/>
      <c r="AA590" s="2030"/>
      <c r="AB590" s="2030"/>
      <c r="AC590" s="2030"/>
      <c r="AD590" s="2030"/>
      <c r="AE590" s="2030"/>
      <c r="AF590" s="2030"/>
      <c r="AG590" s="2030"/>
      <c r="AH590" s="2030"/>
      <c r="AI590" s="2030"/>
      <c r="AJ590" s="2030"/>
      <c r="AK590" s="2030"/>
      <c r="AL590" s="2030"/>
      <c r="AM590" s="2030"/>
      <c r="AN590" s="2030"/>
      <c r="AO590" s="2030"/>
      <c r="AP590" s="2030"/>
      <c r="AQ590" s="2030"/>
      <c r="AR590" s="2030"/>
      <c r="AS590" s="2030"/>
      <c r="AT590" s="2030"/>
      <c r="AU590" s="2030"/>
      <c r="AV590" s="2030"/>
      <c r="AW590" s="2030"/>
      <c r="AX590" s="2030"/>
      <c r="AY590" s="2030"/>
      <c r="AZ590" s="2030"/>
      <c r="BA590" s="2030"/>
      <c r="BB590" s="2030"/>
      <c r="BC590" s="724" t="s">
        <v>5865</v>
      </c>
    </row>
    <row r="591" spans="2:55" ht="15.75" hidden="1" customHeight="1">
      <c r="C591" s="2173" t="s">
        <v>4727</v>
      </c>
      <c r="D591" s="2180"/>
      <c r="E591" s="2180"/>
      <c r="F591" s="2180"/>
      <c r="G591" s="2180"/>
      <c r="H591" s="2180"/>
      <c r="I591" s="2180"/>
      <c r="J591" s="2180"/>
      <c r="K591" s="2180"/>
      <c r="L591" s="2180"/>
      <c r="M591" s="2180"/>
      <c r="N591" s="2180"/>
      <c r="O591" s="2180"/>
      <c r="P591" s="2180"/>
      <c r="Q591" s="2180"/>
      <c r="R591" s="2180"/>
      <c r="S591" s="2180"/>
      <c r="T591" s="2180"/>
      <c r="U591" s="2180"/>
      <c r="V591" s="2180"/>
      <c r="W591" s="2180"/>
      <c r="X591" s="2180"/>
      <c r="Y591" s="2180"/>
      <c r="Z591" s="2180"/>
      <c r="AA591" s="2180"/>
      <c r="AB591" s="2180"/>
      <c r="AC591" s="2180"/>
      <c r="AD591" s="2180"/>
      <c r="AE591" s="2180"/>
      <c r="AF591" s="2180"/>
      <c r="AG591" s="2180"/>
      <c r="AH591" s="2180"/>
      <c r="AI591" s="2180"/>
      <c r="AJ591" s="2180"/>
      <c r="AK591" s="2180"/>
      <c r="AL591" s="2180"/>
      <c r="AM591" s="2180"/>
      <c r="AN591" s="2180"/>
      <c r="AO591" s="2180"/>
      <c r="AP591" s="2180"/>
      <c r="AQ591" s="2180"/>
      <c r="AR591" s="2180"/>
      <c r="AS591" s="2180"/>
      <c r="AT591" s="2180"/>
      <c r="AU591" s="2180"/>
      <c r="AV591" s="2180"/>
      <c r="AW591" s="2180"/>
      <c r="AX591" s="2180"/>
      <c r="AY591" s="2180"/>
      <c r="AZ591" s="2180"/>
      <c r="BA591" s="2180"/>
      <c r="BB591" s="2180"/>
      <c r="BC591" s="724" t="s">
        <v>5865</v>
      </c>
    </row>
    <row r="592" spans="2:55" ht="15.75" hidden="1" customHeight="1">
      <c r="C592" s="2173" t="s">
        <v>3189</v>
      </c>
      <c r="D592" s="2173"/>
      <c r="E592" s="2173"/>
      <c r="F592" s="2173"/>
      <c r="G592" s="2173"/>
      <c r="H592" s="2173"/>
      <c r="I592" s="2173"/>
      <c r="J592" s="2173"/>
      <c r="K592" s="2173"/>
      <c r="L592" s="2173"/>
      <c r="M592" s="2173"/>
      <c r="N592" s="2173"/>
      <c r="O592" s="2173"/>
      <c r="P592" s="2173"/>
      <c r="Q592" s="2173"/>
      <c r="R592" s="2173"/>
      <c r="S592" s="2173"/>
      <c r="T592" s="2173"/>
      <c r="U592" s="2173"/>
      <c r="V592" s="2173"/>
      <c r="W592" s="2173"/>
      <c r="X592" s="2173"/>
      <c r="Y592" s="2173"/>
      <c r="Z592" s="2173"/>
      <c r="AA592" s="2173"/>
      <c r="AB592" s="2173"/>
      <c r="AC592" s="2173"/>
      <c r="AD592" s="2173"/>
      <c r="AE592" s="2173"/>
      <c r="AF592" s="2173"/>
      <c r="AG592" s="2173"/>
      <c r="AH592" s="2173"/>
      <c r="AI592" s="2173"/>
      <c r="AJ592" s="2173"/>
      <c r="AK592" s="2173"/>
      <c r="AL592" s="2173"/>
      <c r="AM592" s="2173"/>
      <c r="AN592" s="2173"/>
      <c r="AO592" s="2173"/>
      <c r="AP592" s="2173"/>
      <c r="AQ592" s="2173"/>
      <c r="AR592" s="2173"/>
      <c r="AS592" s="2173"/>
      <c r="AT592" s="2173"/>
      <c r="AU592" s="2173"/>
      <c r="AV592" s="2173"/>
      <c r="AW592" s="2173"/>
      <c r="AX592" s="2173"/>
      <c r="AY592" s="2173"/>
      <c r="AZ592" s="2173"/>
      <c r="BA592" s="2173"/>
      <c r="BB592" s="2173"/>
      <c r="BC592" s="724" t="s">
        <v>5865</v>
      </c>
    </row>
    <row r="593" spans="3:55" ht="15.75" hidden="1" customHeight="1">
      <c r="C593" s="1714" t="s">
        <v>192</v>
      </c>
      <c r="D593" s="1714"/>
      <c r="E593" s="1714"/>
      <c r="F593" s="1714"/>
      <c r="G593" s="1714"/>
      <c r="H593" s="1714"/>
      <c r="I593" s="1714"/>
      <c r="J593" s="1714"/>
      <c r="K593" s="1714"/>
      <c r="L593" s="1714"/>
      <c r="M593" s="1714"/>
      <c r="N593" s="1714"/>
      <c r="O593" s="1714"/>
      <c r="P593" s="1714"/>
      <c r="Q593" s="1714"/>
      <c r="R593" s="1714"/>
      <c r="S593" s="1714"/>
      <c r="T593" s="1714"/>
      <c r="U593" s="1714"/>
      <c r="V593" s="1714"/>
      <c r="W593" s="1714"/>
      <c r="X593" s="1714"/>
      <c r="Y593" s="1714"/>
      <c r="Z593" s="1714"/>
      <c r="AA593" s="1714"/>
      <c r="AB593" s="1714"/>
      <c r="AC593" s="1714"/>
      <c r="AD593" s="1714"/>
      <c r="AE593" s="1714"/>
      <c r="AF593" s="1714"/>
      <c r="AG593" s="1714"/>
      <c r="AH593" s="1714"/>
      <c r="AI593" s="1714"/>
      <c r="AJ593" s="1714"/>
      <c r="AK593" s="1714"/>
      <c r="AL593" s="1714"/>
      <c r="AM593" s="1714"/>
      <c r="AN593" s="1714"/>
      <c r="AO593" s="1714"/>
      <c r="AP593" s="1714"/>
      <c r="AQ593" s="1714"/>
      <c r="AR593" s="1714"/>
      <c r="AS593" s="1714"/>
      <c r="AT593" s="1714"/>
      <c r="AU593" s="1714"/>
      <c r="AV593" s="1714"/>
      <c r="AW593" s="1714"/>
      <c r="AX593" s="1714"/>
      <c r="AY593" s="1714"/>
      <c r="AZ593" s="1714"/>
      <c r="BA593" s="1714"/>
      <c r="BB593" s="1714"/>
      <c r="BC593" s="724" t="s">
        <v>5865</v>
      </c>
    </row>
    <row r="594" spans="3:55" ht="15.75" hidden="1" customHeight="1">
      <c r="C594" s="1714" t="s">
        <v>4729</v>
      </c>
      <c r="D594" s="1714"/>
      <c r="E594" s="1714"/>
      <c r="F594" s="1714"/>
      <c r="G594" s="1714"/>
      <c r="H594" s="1714"/>
      <c r="I594" s="1714"/>
      <c r="J594" s="1714"/>
      <c r="K594" s="1714"/>
      <c r="L594" s="1714"/>
      <c r="M594" s="1714"/>
      <c r="N594" s="1714"/>
      <c r="O594" s="1714"/>
      <c r="P594" s="1714"/>
      <c r="Q594" s="1714"/>
      <c r="R594" s="1714"/>
      <c r="S594" s="1714"/>
      <c r="T594" s="1714"/>
      <c r="U594" s="1714"/>
      <c r="V594" s="1714"/>
      <c r="W594" s="1714"/>
      <c r="X594" s="1714"/>
      <c r="Y594" s="1714"/>
      <c r="Z594" s="1714"/>
      <c r="AA594" s="1714"/>
      <c r="AB594" s="1714"/>
      <c r="AC594" s="1714"/>
      <c r="AD594" s="1714"/>
      <c r="AE594" s="1714"/>
      <c r="AF594" s="1714"/>
      <c r="AG594" s="1714"/>
      <c r="AH594" s="1714"/>
      <c r="AI594" s="1714"/>
      <c r="AJ594" s="1714"/>
      <c r="AK594" s="1714"/>
      <c r="AL594" s="1714"/>
      <c r="AM594" s="1714"/>
      <c r="AN594" s="1714"/>
      <c r="AO594" s="1714"/>
      <c r="AP594" s="1714"/>
      <c r="AQ594" s="1714"/>
      <c r="AR594" s="1714"/>
      <c r="AS594" s="1714"/>
      <c r="AT594" s="1714"/>
      <c r="AU594" s="1714"/>
      <c r="AV594" s="1714"/>
      <c r="AW594" s="1714"/>
      <c r="AX594" s="1714"/>
      <c r="AY594" s="1714"/>
      <c r="AZ594" s="1714"/>
      <c r="BA594" s="1714"/>
      <c r="BB594" s="1714"/>
      <c r="BC594" s="724" t="s">
        <v>5865</v>
      </c>
    </row>
    <row r="595" spans="3:55" ht="15.75" hidden="1" customHeight="1">
      <c r="C595" s="1714" t="s">
        <v>5949</v>
      </c>
      <c r="D595" s="1714"/>
      <c r="E595" s="1714"/>
      <c r="F595" s="1714"/>
      <c r="G595" s="1714"/>
      <c r="H595" s="1714"/>
      <c r="I595" s="1714"/>
      <c r="J595" s="1714"/>
      <c r="K595" s="1714"/>
      <c r="L595" s="1714"/>
      <c r="M595" s="1714"/>
      <c r="N595" s="1714"/>
      <c r="O595" s="1714"/>
      <c r="P595" s="1714"/>
      <c r="Q595" s="1714"/>
      <c r="R595" s="1714"/>
      <c r="S595" s="1714"/>
      <c r="T595" s="1714"/>
      <c r="U595" s="1714"/>
      <c r="V595" s="1714"/>
      <c r="W595" s="1714"/>
      <c r="X595" s="1714"/>
      <c r="Y595" s="1714"/>
      <c r="Z595" s="1714"/>
      <c r="AA595" s="1714"/>
      <c r="AB595" s="1714"/>
      <c r="AC595" s="1714"/>
      <c r="AD595" s="1714"/>
      <c r="AE595" s="1714"/>
      <c r="AF595" s="1714"/>
      <c r="AG595" s="1714"/>
      <c r="AH595" s="1714"/>
      <c r="AI595" s="1714"/>
      <c r="AJ595" s="1714"/>
      <c r="AK595" s="1714"/>
      <c r="AL595" s="1714"/>
      <c r="AM595" s="1714"/>
      <c r="AN595" s="1714"/>
      <c r="AO595" s="1714"/>
      <c r="AP595" s="1714"/>
      <c r="AQ595" s="1714"/>
      <c r="AR595" s="1714"/>
      <c r="AS595" s="1714"/>
      <c r="AT595" s="1714"/>
      <c r="AU595" s="1714"/>
      <c r="AV595" s="1714"/>
      <c r="AW595" s="1714"/>
      <c r="AX595" s="1714"/>
      <c r="AY595" s="1714"/>
      <c r="AZ595" s="1714"/>
      <c r="BA595" s="1714"/>
      <c r="BB595" s="1714"/>
      <c r="BC595" s="724" t="s">
        <v>5865</v>
      </c>
    </row>
    <row r="596" spans="3:55" ht="15.75" hidden="1" customHeight="1">
      <c r="C596" s="1714" t="s">
        <v>4729</v>
      </c>
      <c r="D596" s="1714"/>
      <c r="E596" s="1714"/>
      <c r="F596" s="1714"/>
      <c r="G596" s="1714"/>
      <c r="H596" s="1714"/>
      <c r="I596" s="1714"/>
      <c r="J596" s="1714"/>
      <c r="K596" s="1714"/>
      <c r="L596" s="1714"/>
      <c r="M596" s="1714"/>
      <c r="N596" s="1714"/>
      <c r="O596" s="1714"/>
      <c r="P596" s="1714"/>
      <c r="Q596" s="1714"/>
      <c r="R596" s="1714"/>
      <c r="S596" s="1714"/>
      <c r="T596" s="1714"/>
      <c r="U596" s="1714"/>
      <c r="V596" s="1714"/>
      <c r="W596" s="1714"/>
      <c r="X596" s="1714"/>
      <c r="Y596" s="1714"/>
      <c r="Z596" s="1714"/>
      <c r="AA596" s="1714"/>
      <c r="AB596" s="1714"/>
      <c r="AC596" s="1714"/>
      <c r="AD596" s="1714"/>
      <c r="AE596" s="1714"/>
      <c r="AF596" s="1714"/>
      <c r="AG596" s="1714"/>
      <c r="AH596" s="1714"/>
      <c r="AI596" s="1714"/>
      <c r="AJ596" s="1714"/>
      <c r="AK596" s="1714"/>
      <c r="AL596" s="1714"/>
      <c r="AM596" s="1714"/>
      <c r="AN596" s="1714"/>
      <c r="AO596" s="1714"/>
      <c r="AP596" s="1714"/>
      <c r="AQ596" s="1714"/>
      <c r="AR596" s="1714"/>
      <c r="AS596" s="1714"/>
      <c r="AT596" s="1714"/>
      <c r="AU596" s="1714"/>
      <c r="AV596" s="1714"/>
      <c r="AW596" s="1714"/>
      <c r="AX596" s="1714"/>
      <c r="AY596" s="1714"/>
      <c r="AZ596" s="1714"/>
      <c r="BA596" s="1714"/>
      <c r="BB596" s="1714"/>
      <c r="BC596" s="724" t="s">
        <v>5865</v>
      </c>
    </row>
    <row r="597" spans="3:55" ht="15.75" hidden="1" customHeight="1">
      <c r="C597" s="1714" t="s">
        <v>191</v>
      </c>
      <c r="D597" s="1714"/>
      <c r="E597" s="1714"/>
      <c r="F597" s="1714"/>
      <c r="G597" s="1714"/>
      <c r="H597" s="1714"/>
      <c r="I597" s="1714"/>
      <c r="J597" s="1714"/>
      <c r="K597" s="1714"/>
      <c r="L597" s="1714"/>
      <c r="M597" s="1714"/>
      <c r="N597" s="1714"/>
      <c r="O597" s="1714"/>
      <c r="P597" s="1714"/>
      <c r="Q597" s="1714"/>
      <c r="R597" s="1714"/>
      <c r="S597" s="1714"/>
      <c r="T597" s="1714"/>
      <c r="U597" s="1714"/>
      <c r="V597" s="1714"/>
      <c r="W597" s="1714"/>
      <c r="X597" s="1714"/>
      <c r="Y597" s="1714"/>
      <c r="Z597" s="1714"/>
      <c r="AA597" s="1714"/>
      <c r="AB597" s="1714"/>
      <c r="AC597" s="1714"/>
      <c r="AD597" s="1714"/>
      <c r="AE597" s="1714"/>
      <c r="AF597" s="1714"/>
      <c r="AG597" s="1714"/>
      <c r="AH597" s="1714"/>
      <c r="AI597" s="1714"/>
      <c r="AJ597" s="1714"/>
      <c r="AK597" s="1714"/>
      <c r="AL597" s="1714"/>
      <c r="AM597" s="1714"/>
      <c r="AN597" s="1714"/>
      <c r="AO597" s="1714"/>
      <c r="AP597" s="1714"/>
      <c r="AQ597" s="1714"/>
      <c r="AR597" s="1714"/>
      <c r="AS597" s="1714"/>
      <c r="AT597" s="1714"/>
      <c r="AU597" s="1714"/>
      <c r="AV597" s="1714"/>
      <c r="AW597" s="1714"/>
      <c r="AX597" s="1714"/>
      <c r="AY597" s="1714"/>
      <c r="AZ597" s="1714"/>
      <c r="BA597" s="1714"/>
      <c r="BB597" s="1714"/>
      <c r="BC597" s="724" t="s">
        <v>5865</v>
      </c>
    </row>
    <row r="598" spans="3:55" ht="15.75" hidden="1" customHeight="1">
      <c r="C598" s="1714" t="s">
        <v>4730</v>
      </c>
      <c r="D598" s="1714"/>
      <c r="E598" s="1714"/>
      <c r="F598" s="1714"/>
      <c r="G598" s="1714"/>
      <c r="H598" s="1714"/>
      <c r="I598" s="1714"/>
      <c r="J598" s="1714"/>
      <c r="K598" s="1714"/>
      <c r="L598" s="1714"/>
      <c r="M598" s="1714"/>
      <c r="N598" s="1714"/>
      <c r="O598" s="1714"/>
      <c r="P598" s="1714"/>
      <c r="Q598" s="1714"/>
      <c r="R598" s="1714"/>
      <c r="S598" s="1714"/>
      <c r="T598" s="1714"/>
      <c r="U598" s="1714"/>
      <c r="V598" s="1714"/>
      <c r="W598" s="1714"/>
      <c r="X598" s="1714"/>
      <c r="Y598" s="1714"/>
      <c r="Z598" s="1714"/>
      <c r="AA598" s="1714"/>
      <c r="AB598" s="1714"/>
      <c r="AC598" s="1714"/>
      <c r="AD598" s="1714"/>
      <c r="AE598" s="1714"/>
      <c r="AF598" s="1714"/>
      <c r="AG598" s="1714"/>
      <c r="AH598" s="1714"/>
      <c r="AI598" s="1714"/>
      <c r="AJ598" s="1714"/>
      <c r="AK598" s="1714"/>
      <c r="AL598" s="1714"/>
      <c r="AM598" s="1714"/>
      <c r="AN598" s="1714"/>
      <c r="AO598" s="1714"/>
      <c r="AP598" s="1714"/>
      <c r="AQ598" s="1714"/>
      <c r="AR598" s="1714"/>
      <c r="AS598" s="1714"/>
      <c r="AT598" s="1714"/>
      <c r="AU598" s="1714"/>
      <c r="AV598" s="1714"/>
      <c r="AW598" s="1714"/>
      <c r="AX598" s="1714"/>
      <c r="AY598" s="1714"/>
      <c r="AZ598" s="1714"/>
      <c r="BA598" s="1714"/>
      <c r="BB598" s="1714"/>
      <c r="BC598" s="724" t="s">
        <v>5865</v>
      </c>
    </row>
    <row r="599" spans="3:55" ht="15.75" hidden="1" customHeight="1">
      <c r="C599" s="1714" t="s">
        <v>4728</v>
      </c>
      <c r="D599" s="1714"/>
      <c r="E599" s="1714"/>
      <c r="F599" s="1714"/>
      <c r="G599" s="1714"/>
      <c r="H599" s="1714"/>
      <c r="I599" s="1714"/>
      <c r="J599" s="1714"/>
      <c r="K599" s="1714"/>
      <c r="L599" s="1714"/>
      <c r="M599" s="1714"/>
      <c r="N599" s="1714"/>
      <c r="O599" s="1714"/>
      <c r="P599" s="1714"/>
      <c r="Q599" s="1714"/>
      <c r="R599" s="1714"/>
      <c r="S599" s="1714"/>
      <c r="T599" s="1714"/>
      <c r="U599" s="1714"/>
      <c r="V599" s="1714"/>
      <c r="W599" s="1714"/>
      <c r="X599" s="1714"/>
      <c r="Y599" s="1714"/>
      <c r="Z599" s="1714"/>
      <c r="AA599" s="1714"/>
      <c r="AB599" s="1714"/>
      <c r="AC599" s="1714"/>
      <c r="AD599" s="1714"/>
      <c r="AE599" s="1714"/>
      <c r="AF599" s="1714"/>
      <c r="AG599" s="1714"/>
      <c r="AH599" s="1714"/>
      <c r="AI599" s="1714"/>
      <c r="AJ599" s="1714"/>
      <c r="AK599" s="1714"/>
      <c r="AL599" s="1714"/>
      <c r="AM599" s="1714"/>
      <c r="AN599" s="1714"/>
      <c r="AO599" s="1714"/>
      <c r="AP599" s="1714"/>
      <c r="AQ599" s="1714"/>
      <c r="AR599" s="1714"/>
      <c r="AS599" s="1714"/>
      <c r="AT599" s="1714"/>
      <c r="AU599" s="1714"/>
      <c r="AV599" s="1714"/>
      <c r="AW599" s="1714"/>
      <c r="AX599" s="1714"/>
      <c r="AY599" s="1714"/>
      <c r="AZ599" s="1714"/>
      <c r="BA599" s="1714"/>
      <c r="BB599" s="1714"/>
      <c r="BC599" s="724" t="s">
        <v>5865</v>
      </c>
    </row>
    <row r="600" spans="3:55" ht="15.75" hidden="1" customHeight="1">
      <c r="C600" s="1714" t="s">
        <v>4731</v>
      </c>
      <c r="D600" s="1714"/>
      <c r="E600" s="1714"/>
      <c r="F600" s="1714"/>
      <c r="G600" s="1714"/>
      <c r="H600" s="1714"/>
      <c r="I600" s="1714"/>
      <c r="J600" s="1714"/>
      <c r="K600" s="1714"/>
      <c r="L600" s="1714"/>
      <c r="M600" s="1714"/>
      <c r="N600" s="1714"/>
      <c r="O600" s="1714"/>
      <c r="P600" s="1714"/>
      <c r="Q600" s="1714"/>
      <c r="R600" s="1714"/>
      <c r="S600" s="1714"/>
      <c r="T600" s="1714"/>
      <c r="U600" s="1714"/>
      <c r="V600" s="1714"/>
      <c r="W600" s="1714"/>
      <c r="X600" s="1714"/>
      <c r="Y600" s="1714"/>
      <c r="Z600" s="1714"/>
      <c r="AA600" s="1714"/>
      <c r="AB600" s="1714"/>
      <c r="AC600" s="1714"/>
      <c r="AD600" s="1714"/>
      <c r="AE600" s="1714"/>
      <c r="AF600" s="1714"/>
      <c r="AG600" s="1714"/>
      <c r="AH600" s="1714"/>
      <c r="AI600" s="1714"/>
      <c r="AJ600" s="1714"/>
      <c r="AK600" s="1714"/>
      <c r="AL600" s="1714"/>
      <c r="AM600" s="1714"/>
      <c r="AN600" s="1714"/>
      <c r="AO600" s="1714"/>
      <c r="AP600" s="1714"/>
      <c r="AQ600" s="1714"/>
      <c r="AR600" s="1714"/>
      <c r="AS600" s="1714"/>
      <c r="AT600" s="1714"/>
      <c r="AU600" s="1714"/>
      <c r="AV600" s="1714"/>
      <c r="AW600" s="1714"/>
      <c r="AX600" s="1714"/>
      <c r="AY600" s="1714"/>
      <c r="AZ600" s="1714"/>
      <c r="BA600" s="1714"/>
      <c r="BB600" s="1714"/>
      <c r="BC600" s="724" t="s">
        <v>5865</v>
      </c>
    </row>
    <row r="601" spans="3:55" ht="15.75" hidden="1" customHeight="1">
      <c r="C601" s="1714" t="s">
        <v>5961</v>
      </c>
      <c r="D601" s="1714"/>
      <c r="E601" s="1714"/>
      <c r="F601" s="1714"/>
      <c r="G601" s="1714"/>
      <c r="H601" s="1714"/>
      <c r="I601" s="1714"/>
      <c r="J601" s="1714"/>
      <c r="K601" s="1714"/>
      <c r="L601" s="1714"/>
      <c r="M601" s="1714"/>
      <c r="N601" s="1714"/>
      <c r="O601" s="1714"/>
      <c r="P601" s="1714"/>
      <c r="Q601" s="1714"/>
      <c r="R601" s="1714"/>
      <c r="S601" s="1714"/>
      <c r="T601" s="1714"/>
      <c r="U601" s="1714"/>
      <c r="V601" s="1714"/>
      <c r="W601" s="1714"/>
      <c r="X601" s="1714"/>
      <c r="Y601" s="1714"/>
      <c r="Z601" s="1714"/>
      <c r="AA601" s="1714"/>
      <c r="AB601" s="1714"/>
      <c r="AC601" s="1714"/>
      <c r="AD601" s="1714"/>
      <c r="AE601" s="1714"/>
      <c r="AF601" s="1714"/>
      <c r="AG601" s="1714"/>
      <c r="AH601" s="1714"/>
      <c r="AI601" s="1714"/>
      <c r="AJ601" s="1714"/>
      <c r="AK601" s="1714"/>
      <c r="AL601" s="1714"/>
      <c r="AM601" s="1714"/>
      <c r="AN601" s="1714"/>
      <c r="AO601" s="1714"/>
      <c r="AP601" s="1714"/>
      <c r="AQ601" s="1714"/>
      <c r="AR601" s="1714"/>
      <c r="AS601" s="1714"/>
      <c r="AT601" s="1714"/>
      <c r="AU601" s="1714"/>
      <c r="AV601" s="1714"/>
      <c r="AW601" s="1714"/>
      <c r="AX601" s="1714"/>
      <c r="AY601" s="1714"/>
      <c r="AZ601" s="1714"/>
      <c r="BA601" s="1714"/>
      <c r="BB601" s="1714"/>
      <c r="BC601" s="724" t="s">
        <v>5865</v>
      </c>
    </row>
    <row r="602" spans="3:55" ht="15.75" hidden="1" customHeight="1">
      <c r="C602" s="1714" t="s">
        <v>3610</v>
      </c>
      <c r="D602" s="1714"/>
      <c r="E602" s="1714"/>
      <c r="F602" s="1714"/>
      <c r="G602" s="1714"/>
      <c r="H602" s="1714"/>
      <c r="I602" s="1714"/>
      <c r="J602" s="1714"/>
      <c r="K602" s="1714"/>
      <c r="L602" s="1714"/>
      <c r="M602" s="1714"/>
      <c r="N602" s="1714"/>
      <c r="O602" s="1714"/>
      <c r="P602" s="1714"/>
      <c r="Q602" s="1714"/>
      <c r="R602" s="1714"/>
      <c r="S602" s="1714"/>
      <c r="T602" s="1714"/>
      <c r="U602" s="1714"/>
      <c r="V602" s="1714"/>
      <c r="W602" s="1714"/>
      <c r="X602" s="1714"/>
      <c r="Y602" s="1714"/>
      <c r="Z602" s="1714"/>
      <c r="AA602" s="1714"/>
      <c r="AB602" s="1714"/>
      <c r="AC602" s="1714"/>
      <c r="AD602" s="1714"/>
      <c r="AE602" s="1714"/>
      <c r="AF602" s="1714"/>
      <c r="AG602" s="1714"/>
      <c r="AH602" s="1714"/>
      <c r="AI602" s="1714"/>
      <c r="AJ602" s="1714"/>
      <c r="AK602" s="1714"/>
      <c r="AL602" s="1714"/>
      <c r="AM602" s="1714"/>
      <c r="AN602" s="1714"/>
      <c r="AO602" s="1714"/>
      <c r="AP602" s="1714"/>
      <c r="AQ602" s="1714"/>
      <c r="AR602" s="1714"/>
      <c r="AS602" s="1714"/>
      <c r="AT602" s="1714"/>
      <c r="AU602" s="1714"/>
      <c r="AV602" s="1714"/>
      <c r="AW602" s="1714"/>
      <c r="AX602" s="1714"/>
      <c r="AY602" s="1714"/>
      <c r="AZ602" s="1714"/>
      <c r="BA602" s="1714"/>
      <c r="BB602" s="1714"/>
      <c r="BC602" s="724" t="s">
        <v>5865</v>
      </c>
    </row>
    <row r="603" spans="3:55" ht="15.75" hidden="1" customHeight="1">
      <c r="C603" s="1714" t="s">
        <v>5943</v>
      </c>
      <c r="D603" s="1714"/>
      <c r="E603" s="1714"/>
      <c r="F603" s="1714"/>
      <c r="G603" s="1714"/>
      <c r="H603" s="1714"/>
      <c r="I603" s="1714"/>
      <c r="J603" s="1714"/>
      <c r="K603" s="1714"/>
      <c r="L603" s="1714"/>
      <c r="M603" s="1714"/>
      <c r="N603" s="1714"/>
      <c r="O603" s="1714"/>
      <c r="P603" s="1714"/>
      <c r="Q603" s="1714"/>
      <c r="R603" s="1714"/>
      <c r="S603" s="1714"/>
      <c r="T603" s="1714"/>
      <c r="U603" s="1714"/>
      <c r="V603" s="1714"/>
      <c r="W603" s="1714"/>
      <c r="X603" s="1714"/>
      <c r="Y603" s="1714"/>
      <c r="Z603" s="1714"/>
      <c r="AA603" s="1714"/>
      <c r="AB603" s="1714"/>
      <c r="AC603" s="1714"/>
      <c r="AD603" s="1714"/>
      <c r="AE603" s="1714"/>
      <c r="AF603" s="1714"/>
      <c r="AG603" s="1714"/>
      <c r="AH603" s="1714"/>
      <c r="AI603" s="1714"/>
      <c r="AJ603" s="1714"/>
      <c r="AK603" s="1714"/>
      <c r="AL603" s="1714"/>
      <c r="AM603" s="1714"/>
      <c r="AN603" s="1714"/>
      <c r="AO603" s="1714"/>
      <c r="AP603" s="1714"/>
      <c r="AQ603" s="1714"/>
      <c r="AR603" s="1714"/>
      <c r="AS603" s="1714"/>
      <c r="AT603" s="1714"/>
      <c r="AU603" s="1714"/>
      <c r="AV603" s="1714"/>
      <c r="AW603" s="1714"/>
      <c r="AX603" s="1714"/>
      <c r="AY603" s="1714"/>
      <c r="AZ603" s="1714"/>
      <c r="BA603" s="1714"/>
      <c r="BB603" s="1714"/>
      <c r="BC603" s="724" t="s">
        <v>5865</v>
      </c>
    </row>
    <row r="604" spans="3:55" ht="15.75" hidden="1" customHeight="1">
      <c r="C604" s="1714" t="s">
        <v>5944</v>
      </c>
      <c r="D604" s="1714"/>
      <c r="E604" s="1714"/>
      <c r="F604" s="1714"/>
      <c r="G604" s="1714"/>
      <c r="H604" s="1714"/>
      <c r="I604" s="1714"/>
      <c r="J604" s="1714"/>
      <c r="K604" s="1714"/>
      <c r="L604" s="1714"/>
      <c r="M604" s="1714"/>
      <c r="N604" s="1714"/>
      <c r="O604" s="1714"/>
      <c r="P604" s="1714"/>
      <c r="Q604" s="1714"/>
      <c r="R604" s="1714"/>
      <c r="S604" s="1714"/>
      <c r="T604" s="1714"/>
      <c r="U604" s="1714"/>
      <c r="V604" s="1714"/>
      <c r="W604" s="1714"/>
      <c r="X604" s="1714"/>
      <c r="Y604" s="1714"/>
      <c r="Z604" s="1714"/>
      <c r="AA604" s="1714"/>
      <c r="AB604" s="1714"/>
      <c r="AC604" s="1714"/>
      <c r="AD604" s="1714"/>
      <c r="AE604" s="1714"/>
      <c r="AF604" s="1714"/>
      <c r="AG604" s="1714"/>
      <c r="AH604" s="1714"/>
      <c r="AI604" s="1714"/>
      <c r="AJ604" s="1714"/>
      <c r="AK604" s="1714"/>
      <c r="AL604" s="1714"/>
      <c r="AM604" s="1714"/>
      <c r="AN604" s="1714"/>
      <c r="AO604" s="1714"/>
      <c r="AP604" s="1714"/>
      <c r="AQ604" s="1714"/>
      <c r="AR604" s="1714"/>
      <c r="AS604" s="1714"/>
      <c r="AT604" s="1714"/>
      <c r="AU604" s="1714"/>
      <c r="AV604" s="1714"/>
      <c r="AW604" s="1714"/>
      <c r="AX604" s="1714"/>
      <c r="AY604" s="1714"/>
      <c r="AZ604" s="1714"/>
      <c r="BA604" s="1714"/>
      <c r="BB604" s="1714"/>
      <c r="BC604" s="724" t="s">
        <v>5865</v>
      </c>
    </row>
    <row r="605" spans="3:55" ht="15.75" hidden="1" customHeight="1">
      <c r="C605" s="1714" t="s">
        <v>538</v>
      </c>
      <c r="D605" s="1714"/>
      <c r="E605" s="1714"/>
      <c r="F605" s="1714"/>
      <c r="G605" s="1714"/>
      <c r="H605" s="1714"/>
      <c r="I605" s="1714"/>
      <c r="J605" s="1714"/>
      <c r="K605" s="1714"/>
      <c r="L605" s="1714"/>
      <c r="M605" s="1714"/>
      <c r="N605" s="1714"/>
      <c r="O605" s="1714"/>
      <c r="P605" s="1714"/>
      <c r="Q605" s="1714"/>
      <c r="R605" s="1714"/>
      <c r="S605" s="1714"/>
      <c r="T605" s="1714"/>
      <c r="U605" s="1714"/>
      <c r="V605" s="1714"/>
      <c r="W605" s="1714"/>
      <c r="X605" s="1714"/>
      <c r="Y605" s="1714"/>
      <c r="Z605" s="1714"/>
      <c r="AA605" s="1714"/>
      <c r="AB605" s="1714"/>
      <c r="AC605" s="1714"/>
      <c r="AD605" s="1714"/>
      <c r="AE605" s="1714"/>
      <c r="AF605" s="1714"/>
      <c r="AG605" s="1714"/>
      <c r="AH605" s="1714"/>
      <c r="AI605" s="1714"/>
      <c r="AJ605" s="1714"/>
      <c r="AK605" s="1714"/>
      <c r="AL605" s="1714"/>
      <c r="AM605" s="1714"/>
      <c r="AN605" s="1714"/>
      <c r="AO605" s="1714"/>
      <c r="AP605" s="1714"/>
      <c r="AQ605" s="1714"/>
      <c r="AR605" s="1714"/>
      <c r="AS605" s="1714"/>
      <c r="AT605" s="1714"/>
      <c r="AU605" s="1714"/>
      <c r="AV605" s="1714"/>
      <c r="AW605" s="1714"/>
      <c r="AX605" s="1714"/>
      <c r="AY605" s="1714"/>
      <c r="AZ605" s="1714"/>
      <c r="BA605" s="1714"/>
      <c r="BB605" s="1714"/>
      <c r="BC605" s="724" t="s">
        <v>5865</v>
      </c>
    </row>
    <row r="606" spans="3:55" ht="15.75" hidden="1" customHeight="1">
      <c r="C606" s="1714" t="s">
        <v>5945</v>
      </c>
      <c r="D606" s="1714"/>
      <c r="E606" s="1714"/>
      <c r="F606" s="1714"/>
      <c r="G606" s="1714"/>
      <c r="H606" s="1714"/>
      <c r="I606" s="1714"/>
      <c r="J606" s="1714"/>
      <c r="K606" s="1714"/>
      <c r="L606" s="1714"/>
      <c r="M606" s="1714"/>
      <c r="N606" s="1714"/>
      <c r="O606" s="1714"/>
      <c r="P606" s="1714"/>
      <c r="Q606" s="1714"/>
      <c r="R606" s="1714"/>
      <c r="S606" s="1714"/>
      <c r="T606" s="1714"/>
      <c r="U606" s="1714"/>
      <c r="V606" s="1714"/>
      <c r="W606" s="1714"/>
      <c r="X606" s="1714"/>
      <c r="Y606" s="1714"/>
      <c r="Z606" s="1714"/>
      <c r="AA606" s="1714"/>
      <c r="AB606" s="1714"/>
      <c r="AC606" s="1714"/>
      <c r="AD606" s="1714"/>
      <c r="AE606" s="1714"/>
      <c r="AF606" s="1714"/>
      <c r="AG606" s="1714"/>
      <c r="AH606" s="1714"/>
      <c r="AI606" s="1714"/>
      <c r="AJ606" s="1714"/>
      <c r="AK606" s="1714"/>
      <c r="AL606" s="1714"/>
      <c r="AM606" s="1714"/>
      <c r="AN606" s="1714"/>
      <c r="AO606" s="1714"/>
      <c r="AP606" s="1714"/>
      <c r="AQ606" s="1714"/>
      <c r="AR606" s="1714"/>
      <c r="AS606" s="1714"/>
      <c r="AT606" s="1714"/>
      <c r="AU606" s="1714"/>
      <c r="AV606" s="1714"/>
      <c r="AW606" s="1714"/>
      <c r="AX606" s="1714"/>
      <c r="AY606" s="1714"/>
      <c r="AZ606" s="1714"/>
      <c r="BA606" s="1714"/>
      <c r="BB606" s="1714"/>
      <c r="BC606" s="724" t="s">
        <v>5865</v>
      </c>
    </row>
    <row r="607" spans="3:55" ht="15.75" hidden="1" customHeight="1">
      <c r="C607" s="1714" t="s">
        <v>1520</v>
      </c>
      <c r="D607" s="1714"/>
      <c r="E607" s="1714"/>
      <c r="F607" s="1714"/>
      <c r="G607" s="1714"/>
      <c r="H607" s="1714"/>
      <c r="I607" s="1714"/>
      <c r="J607" s="1714"/>
      <c r="K607" s="1714"/>
      <c r="L607" s="1714"/>
      <c r="M607" s="1714"/>
      <c r="N607" s="1714"/>
      <c r="O607" s="1714"/>
      <c r="P607" s="1714"/>
      <c r="Q607" s="1714"/>
      <c r="R607" s="1714"/>
      <c r="S607" s="1714"/>
      <c r="T607" s="1714"/>
      <c r="U607" s="1714"/>
      <c r="V607" s="1714"/>
      <c r="W607" s="1714"/>
      <c r="X607" s="1714"/>
      <c r="Y607" s="1714"/>
      <c r="Z607" s="1714"/>
      <c r="AA607" s="1714"/>
      <c r="AB607" s="1714"/>
      <c r="AC607" s="1714"/>
      <c r="AD607" s="1714"/>
      <c r="AE607" s="1714"/>
      <c r="AF607" s="1714"/>
      <c r="AG607" s="1714"/>
      <c r="AH607" s="1714"/>
      <c r="AI607" s="1714"/>
      <c r="AJ607" s="1714"/>
      <c r="AK607" s="1714"/>
      <c r="AL607" s="1714"/>
      <c r="AM607" s="1714"/>
      <c r="AN607" s="1714"/>
      <c r="AO607" s="1714"/>
      <c r="AP607" s="1714"/>
      <c r="AQ607" s="1714"/>
      <c r="AR607" s="1714"/>
      <c r="AS607" s="1714"/>
      <c r="AT607" s="1714"/>
      <c r="AU607" s="1714"/>
      <c r="AV607" s="1714"/>
      <c r="AW607" s="1714"/>
      <c r="AX607" s="1714"/>
      <c r="AY607" s="1714"/>
      <c r="AZ607" s="1714"/>
      <c r="BA607" s="1714"/>
      <c r="BB607" s="1714"/>
      <c r="BC607" s="724" t="s">
        <v>5865</v>
      </c>
    </row>
    <row r="608" spans="3:55" ht="15.75" hidden="1" customHeight="1">
      <c r="C608" s="2184" t="str">
        <f>NL!U19&amp;"."</f>
        <v>Nhà máy xay xát Nguyễn Văn A.</v>
      </c>
      <c r="D608" s="1714"/>
      <c r="E608" s="1714"/>
      <c r="F608" s="1714"/>
      <c r="G608" s="1714"/>
      <c r="H608" s="1714"/>
      <c r="I608" s="1714"/>
      <c r="J608" s="1714"/>
      <c r="K608" s="1714"/>
      <c r="L608" s="1714"/>
      <c r="M608" s="1714"/>
      <c r="N608" s="1714"/>
      <c r="O608" s="1714"/>
      <c r="P608" s="1714"/>
      <c r="Q608" s="1714"/>
      <c r="R608" s="1714"/>
      <c r="S608" s="1714"/>
      <c r="T608" s="1714"/>
      <c r="U608" s="1714"/>
      <c r="V608" s="1714"/>
      <c r="W608" s="1714"/>
      <c r="X608" s="1714"/>
      <c r="Y608" s="1714"/>
      <c r="Z608" s="1714"/>
      <c r="AA608" s="1714"/>
      <c r="AB608" s="1714"/>
      <c r="AC608" s="1714"/>
      <c r="AD608" s="1714"/>
      <c r="AE608" s="1714"/>
      <c r="AF608" s="1714"/>
      <c r="AG608" s="1714"/>
      <c r="AH608" s="1714"/>
      <c r="AI608" s="1714"/>
      <c r="AJ608" s="1714"/>
      <c r="AK608" s="1714"/>
      <c r="AL608" s="1714"/>
      <c r="AM608" s="1714"/>
      <c r="AN608" s="1714"/>
      <c r="AO608" s="1714"/>
      <c r="AP608" s="1714"/>
      <c r="AQ608" s="1714"/>
      <c r="AR608" s="1714"/>
      <c r="AS608" s="1714"/>
      <c r="AT608" s="1714"/>
      <c r="AU608" s="1714"/>
      <c r="AV608" s="1714"/>
      <c r="AW608" s="1714"/>
      <c r="AX608" s="1714"/>
      <c r="AY608" s="1714"/>
      <c r="AZ608" s="1714"/>
      <c r="BA608" s="1714"/>
      <c r="BB608" s="1714"/>
      <c r="BC608" s="724" t="s">
        <v>5865</v>
      </c>
    </row>
    <row r="609" spans="3:55" ht="15.75" hidden="1" customHeight="1">
      <c r="C609" s="2184" t="str">
        <f>"    Hôm nay,"&amp;IF(NL!U8="","Chưa nhập ngày"," ngày "&amp;TEXT(NL!U8,"dd")&amp;" tháng "&amp;TEXT(NL!U8,"mm")&amp;" năm "&amp;TEXT(NL!U8,"yyyy"))&amp;" tại Điện lực Hậu Giang chúng tôi gồm:"</f>
        <v xml:space="preserve">    Hôm nay, ngày 11 tháng 01 năm 2017 tại Điện lực Hậu Giang chúng tôi gồm:</v>
      </c>
      <c r="D609" s="1714"/>
      <c r="E609" s="1714"/>
      <c r="F609" s="1714"/>
      <c r="G609" s="1714"/>
      <c r="H609" s="1714"/>
      <c r="I609" s="1714"/>
      <c r="J609" s="1714"/>
      <c r="K609" s="1714"/>
      <c r="L609" s="1714"/>
      <c r="M609" s="1714"/>
      <c r="N609" s="1714"/>
      <c r="O609" s="1714"/>
      <c r="P609" s="1714"/>
      <c r="Q609" s="1714"/>
      <c r="R609" s="1714"/>
      <c r="S609" s="1714"/>
      <c r="T609" s="1714"/>
      <c r="U609" s="1714"/>
      <c r="V609" s="1714"/>
      <c r="W609" s="1714"/>
      <c r="X609" s="1714"/>
      <c r="Y609" s="1714"/>
      <c r="Z609" s="1714"/>
      <c r="AA609" s="1714"/>
      <c r="AB609" s="1714"/>
      <c r="AC609" s="1714"/>
      <c r="AD609" s="1714"/>
      <c r="AE609" s="1714"/>
      <c r="AF609" s="1714"/>
      <c r="AG609" s="1714"/>
      <c r="AH609" s="1714"/>
      <c r="AI609" s="1714"/>
      <c r="AJ609" s="1714"/>
      <c r="AK609" s="1714"/>
      <c r="AL609" s="1714"/>
      <c r="AM609" s="1714"/>
      <c r="AN609" s="1714"/>
      <c r="AO609" s="1714"/>
      <c r="AP609" s="1714"/>
      <c r="AQ609" s="1714"/>
      <c r="AR609" s="1714"/>
      <c r="AS609" s="1714"/>
      <c r="AT609" s="1714"/>
      <c r="AU609" s="1714"/>
      <c r="AV609" s="1714"/>
      <c r="AW609" s="1714"/>
      <c r="AX609" s="1714"/>
      <c r="AY609" s="1714"/>
      <c r="AZ609" s="1714"/>
      <c r="BA609" s="1714"/>
      <c r="BB609" s="1714"/>
      <c r="BC609" s="724" t="s">
        <v>5865</v>
      </c>
    </row>
    <row r="610" spans="3:55" ht="15.75" hidden="1" customHeight="1">
      <c r="C610" s="2173" t="s">
        <v>5854</v>
      </c>
      <c r="D610" s="2173"/>
      <c r="E610" s="2173"/>
      <c r="F610" s="2173"/>
      <c r="G610" s="2173"/>
      <c r="H610" s="2173"/>
      <c r="I610" s="2173"/>
      <c r="J610" s="2173"/>
      <c r="K610" s="2173"/>
      <c r="L610" s="2173"/>
      <c r="M610" s="2173"/>
      <c r="N610" s="2173"/>
      <c r="O610" s="2173"/>
      <c r="P610" s="2173"/>
      <c r="Q610" s="2173"/>
      <c r="R610" s="2173"/>
      <c r="S610" s="2173"/>
      <c r="T610" s="2173"/>
      <c r="U610" s="2173"/>
      <c r="V610" s="2173"/>
      <c r="W610" s="2173"/>
      <c r="X610" s="2173"/>
      <c r="Y610" s="2173"/>
      <c r="Z610" s="2173"/>
      <c r="AA610" s="2173"/>
      <c r="AB610" s="2173"/>
      <c r="AC610" s="2173"/>
      <c r="AD610" s="2173"/>
      <c r="AE610" s="2173"/>
      <c r="AF610" s="2173"/>
      <c r="AG610" s="2173"/>
      <c r="AH610" s="2173"/>
      <c r="AI610" s="2173"/>
      <c r="AJ610" s="2173"/>
      <c r="AK610" s="2173"/>
      <c r="AL610" s="2173"/>
      <c r="AM610" s="2173"/>
      <c r="AN610" s="2173"/>
      <c r="AO610" s="2173"/>
      <c r="AP610" s="2173"/>
      <c r="AQ610" s="2173"/>
      <c r="AR610" s="2173"/>
      <c r="AS610" s="2173"/>
      <c r="AT610" s="2173"/>
      <c r="AU610" s="2173"/>
      <c r="AV610" s="2173"/>
      <c r="AW610" s="2173"/>
      <c r="AX610" s="2173"/>
      <c r="AY610" s="2173"/>
      <c r="AZ610" s="2173"/>
      <c r="BA610" s="2173"/>
      <c r="BB610" s="2173"/>
      <c r="BC610" s="724" t="s">
        <v>5865</v>
      </c>
    </row>
    <row r="611" spans="3:55" ht="15.75" hidden="1" customHeight="1">
      <c r="D611" s="2173" t="s">
        <v>3483</v>
      </c>
      <c r="E611" s="2173"/>
      <c r="F611" s="2173"/>
      <c r="G611" s="2173"/>
      <c r="H611" s="2173"/>
      <c r="I611" s="2173"/>
      <c r="J611" s="2173"/>
      <c r="K611" s="2173"/>
      <c r="L611" s="2173"/>
      <c r="M611" s="2173"/>
      <c r="N611" s="2173"/>
      <c r="O611" s="2173"/>
      <c r="P611" s="2173"/>
      <c r="Q611" s="2173"/>
      <c r="R611" s="2173"/>
      <c r="S611" s="2173"/>
      <c r="T611" s="2173"/>
      <c r="U611" s="2173"/>
      <c r="V611" s="2173"/>
      <c r="W611" s="2173"/>
      <c r="X611" s="2173"/>
      <c r="Y611" s="2173"/>
      <c r="Z611" s="2173"/>
      <c r="AA611" s="2173"/>
      <c r="AB611" s="2173"/>
      <c r="AC611" s="2173"/>
      <c r="AD611" s="2173"/>
      <c r="AE611" s="2173"/>
      <c r="AF611" s="2173"/>
      <c r="AG611" s="2173"/>
      <c r="AH611" s="2173"/>
      <c r="AI611" s="2173"/>
      <c r="AJ611" s="2173"/>
      <c r="AK611" s="2173"/>
      <c r="AL611" s="2173"/>
      <c r="AM611" s="2173"/>
      <c r="AN611" s="2173"/>
      <c r="AO611" s="2173"/>
      <c r="AP611" s="2173"/>
      <c r="AQ611" s="2173"/>
      <c r="AR611" s="2173"/>
      <c r="AS611" s="2173"/>
      <c r="AT611" s="2173"/>
      <c r="AU611" s="2173"/>
      <c r="AV611" s="2173"/>
      <c r="AW611" s="2173"/>
      <c r="AX611" s="2173"/>
      <c r="AY611" s="2173"/>
      <c r="AZ611" s="2173"/>
      <c r="BA611" s="2173"/>
      <c r="BB611" s="2173"/>
      <c r="BC611" s="724" t="s">
        <v>5865</v>
      </c>
    </row>
    <row r="612" spans="3:55" ht="15.75" hidden="1" customHeight="1">
      <c r="F612" s="102" t="s">
        <v>6344</v>
      </c>
      <c r="G612" s="2171" t="s">
        <v>2068</v>
      </c>
      <c r="H612" s="2171"/>
      <c r="I612" s="2171"/>
      <c r="J612" s="2171"/>
      <c r="K612" s="2171"/>
      <c r="L612" s="2171"/>
      <c r="M612" s="2171"/>
      <c r="N612" s="2171"/>
      <c r="O612" s="2171"/>
      <c r="P612" s="2171"/>
      <c r="Q612" s="91" t="s">
        <v>944</v>
      </c>
      <c r="R612" s="2173" t="str">
        <f>NL!$U$13</f>
        <v>TỔNG CÔNG TY ĐIỆN LỰC MIỀN NAM</v>
      </c>
      <c r="S612" s="2173"/>
      <c r="T612" s="2173"/>
      <c r="U612" s="2173"/>
      <c r="V612" s="2173"/>
      <c r="W612" s="2173"/>
      <c r="X612" s="2173"/>
      <c r="Y612" s="2173"/>
      <c r="Z612" s="2173"/>
      <c r="AA612" s="2173"/>
      <c r="AB612" s="2173"/>
      <c r="AC612" s="2173"/>
      <c r="AD612" s="2173"/>
      <c r="AE612" s="2173"/>
      <c r="AF612" s="2173"/>
      <c r="AG612" s="2173"/>
      <c r="AH612" s="2173"/>
      <c r="AI612" s="2173"/>
      <c r="AJ612" s="2173"/>
      <c r="AK612" s="2173"/>
      <c r="AL612" s="2173"/>
      <c r="AM612" s="2173"/>
      <c r="AN612" s="2173"/>
      <c r="AO612" s="2173"/>
      <c r="AP612" s="2173"/>
      <c r="AQ612" s="2173"/>
      <c r="AR612" s="2173"/>
      <c r="AS612" s="2173"/>
      <c r="AT612" s="2173"/>
      <c r="AU612" s="2173"/>
      <c r="AV612" s="2173"/>
      <c r="AW612" s="2173"/>
      <c r="AX612" s="2173"/>
      <c r="AY612" s="2173"/>
      <c r="AZ612" s="2173"/>
      <c r="BA612" s="2173"/>
      <c r="BB612" s="2173"/>
      <c r="BC612" s="724" t="s">
        <v>5865</v>
      </c>
    </row>
    <row r="613" spans="3:55" ht="15.75" hidden="1" customHeight="1">
      <c r="F613" s="102" t="s">
        <v>6344</v>
      </c>
      <c r="G613" s="2171" t="s">
        <v>2069</v>
      </c>
      <c r="H613" s="2171"/>
      <c r="I613" s="2171"/>
      <c r="J613" s="2171"/>
      <c r="K613" s="2171"/>
      <c r="L613" s="2171"/>
      <c r="M613" s="2171"/>
      <c r="N613" s="2171"/>
      <c r="O613" s="2171"/>
      <c r="P613" s="2171"/>
      <c r="Q613" s="91" t="s">
        <v>944</v>
      </c>
      <c r="R613" s="2171" t="str">
        <f>NL!$U$14</f>
        <v>TP.Vị Thanh, tỉnh Hậu Giang</v>
      </c>
      <c r="S613" s="2171"/>
      <c r="T613" s="2171"/>
      <c r="U613" s="2171"/>
      <c r="V613" s="2171"/>
      <c r="W613" s="2171"/>
      <c r="X613" s="2171"/>
      <c r="Y613" s="2171"/>
      <c r="Z613" s="2171"/>
      <c r="AA613" s="2171"/>
      <c r="AB613" s="2171"/>
      <c r="AC613" s="2171"/>
      <c r="AD613" s="2171"/>
      <c r="AE613" s="2171"/>
      <c r="AF613" s="2171"/>
      <c r="AG613" s="2171"/>
      <c r="AH613" s="2171"/>
      <c r="AI613" s="2171"/>
      <c r="AJ613" s="2171"/>
      <c r="AK613" s="2171"/>
      <c r="AL613" s="2171"/>
      <c r="AM613" s="2171"/>
      <c r="AN613" s="2171"/>
      <c r="AO613" s="2171"/>
      <c r="AP613" s="2171"/>
      <c r="AQ613" s="2171"/>
      <c r="AR613" s="2171"/>
      <c r="AS613" s="2171"/>
      <c r="AT613" s="2171"/>
      <c r="AU613" s="2171"/>
      <c r="AV613" s="2171"/>
      <c r="AW613" s="2171"/>
      <c r="AX613" s="2171"/>
      <c r="AY613" s="2171"/>
      <c r="AZ613" s="2171"/>
      <c r="BA613" s="2171"/>
      <c r="BB613" s="2171"/>
      <c r="BC613" s="724" t="s">
        <v>5865</v>
      </c>
    </row>
    <row r="614" spans="3:55" ht="15.75" hidden="1" customHeight="1">
      <c r="F614" s="102" t="s">
        <v>6344</v>
      </c>
      <c r="G614" s="2171" t="s">
        <v>2070</v>
      </c>
      <c r="H614" s="2171"/>
      <c r="I614" s="2171"/>
      <c r="J614" s="2171"/>
      <c r="K614" s="2171"/>
      <c r="L614" s="2171"/>
      <c r="M614" s="2171"/>
      <c r="N614" s="2171"/>
      <c r="O614" s="2171"/>
      <c r="P614" s="2171"/>
      <c r="Q614" s="91" t="s">
        <v>944</v>
      </c>
      <c r="R614" s="2178" t="str">
        <f>NL!$U$15</f>
        <v xml:space="preserve">. . . . . . . . . . . . . . . . . . . . . . . . . . . . . . . . . . . . . . . . . . . . . . . . . . . </v>
      </c>
      <c r="S614" s="2178"/>
      <c r="T614" s="2178"/>
      <c r="U614" s="2178"/>
      <c r="V614" s="2178"/>
      <c r="W614" s="2178"/>
      <c r="X614" s="2178"/>
      <c r="Y614" s="2178"/>
      <c r="Z614" s="2178"/>
      <c r="AA614" s="2178"/>
      <c r="AB614" s="2171" t="s">
        <v>2885</v>
      </c>
      <c r="AC614" s="2171"/>
      <c r="AD614" s="2171"/>
      <c r="AE614" s="2171"/>
      <c r="AF614" s="2171"/>
      <c r="AG614" s="2172" t="str">
        <f>NL!$AJ$15</f>
        <v xml:space="preserve">. . . . . . . . . . . . . . . . . . . . . . . . . . . . . . . . . . . . . . . . . . . . . . . . . . . </v>
      </c>
      <c r="AH614" s="2172"/>
      <c r="AI614" s="2172"/>
      <c r="AJ614" s="2172"/>
      <c r="AK614" s="2172"/>
      <c r="AL614" s="2172"/>
      <c r="AM614" s="2172"/>
      <c r="AN614" s="2172"/>
      <c r="AO614" s="2172"/>
      <c r="AP614" s="2172"/>
      <c r="AQ614" s="2172"/>
      <c r="AR614" s="2172"/>
      <c r="AS614" s="2172"/>
      <c r="AT614" s="2172"/>
      <c r="AU614" s="2172"/>
      <c r="AV614" s="2172"/>
      <c r="AW614" s="2172"/>
      <c r="AX614" s="2172"/>
      <c r="AY614" s="2172"/>
      <c r="AZ614" s="2172"/>
      <c r="BA614" s="2172"/>
      <c r="BB614" s="2172"/>
      <c r="BC614" s="724" t="s">
        <v>5865</v>
      </c>
    </row>
    <row r="615" spans="3:55" ht="15.75" hidden="1" customHeight="1">
      <c r="F615" s="102" t="s">
        <v>6344</v>
      </c>
      <c r="G615" s="2171" t="s">
        <v>2071</v>
      </c>
      <c r="H615" s="2171"/>
      <c r="I615" s="2171"/>
      <c r="J615" s="2171"/>
      <c r="K615" s="2171"/>
      <c r="L615" s="2171"/>
      <c r="M615" s="2171"/>
      <c r="N615" s="2171"/>
      <c r="O615" s="2171"/>
      <c r="P615" s="2171"/>
      <c r="Q615" s="91" t="s">
        <v>944</v>
      </c>
      <c r="R615" s="2172" t="str">
        <f>NL!$U$16</f>
        <v xml:space="preserve">. . . . . . . . . . . . . . . . . . . . . . . . . . . . . . . . . . . . . . . . . . . . . . . . . . . </v>
      </c>
      <c r="S615" s="2172"/>
      <c r="T615" s="2172"/>
      <c r="U615" s="2172"/>
      <c r="V615" s="2172"/>
      <c r="W615" s="2172"/>
      <c r="X615" s="2172"/>
      <c r="Y615" s="2172"/>
      <c r="Z615" s="2172"/>
      <c r="AA615" s="2172"/>
      <c r="AB615" s="2171" t="s">
        <v>2072</v>
      </c>
      <c r="AC615" s="2171"/>
      <c r="AD615" s="2171"/>
      <c r="AE615" s="2171"/>
      <c r="AF615" s="2171"/>
      <c r="AG615" s="2171" t="str">
        <f>NL!$AJ$16</f>
        <v xml:space="preserve">. . . . . . . . . . . . . . . . . . . . . . . . . . . . . . . . . . . . . . . . . . . . . . . . . . . </v>
      </c>
      <c r="AH615" s="2171"/>
      <c r="AI615" s="2171"/>
      <c r="AJ615" s="2171"/>
      <c r="AK615" s="2171"/>
      <c r="AL615" s="2171"/>
      <c r="AM615" s="2171"/>
      <c r="AN615" s="2171"/>
      <c r="AO615" s="2171"/>
      <c r="AP615" s="2171"/>
      <c r="AQ615" s="2171"/>
      <c r="AR615" s="2171"/>
      <c r="AS615" s="2171"/>
      <c r="AT615" s="2171"/>
      <c r="AU615" s="2171"/>
      <c r="AV615" s="2171"/>
      <c r="AW615" s="2171"/>
      <c r="AX615" s="2171"/>
      <c r="AY615" s="2171"/>
      <c r="AZ615" s="2171"/>
      <c r="BA615" s="2171"/>
      <c r="BB615" s="2171"/>
      <c r="BC615" s="724" t="s">
        <v>5865</v>
      </c>
    </row>
    <row r="616" spans="3:55" ht="15.75" hidden="1" customHeight="1">
      <c r="F616" s="102" t="s">
        <v>6344</v>
      </c>
      <c r="G616" s="2171" t="s">
        <v>2073</v>
      </c>
      <c r="H616" s="2171"/>
      <c r="I616" s="2171"/>
      <c r="J616" s="2171"/>
      <c r="K616" s="2171"/>
      <c r="L616" s="2171"/>
      <c r="M616" s="2171"/>
      <c r="N616" s="2171"/>
      <c r="O616" s="2171"/>
      <c r="P616" s="2171"/>
      <c r="Q616" s="91" t="s">
        <v>944</v>
      </c>
      <c r="R616" s="2172" t="str">
        <f>NL!$U$17</f>
        <v xml:space="preserve">. . . . . . . . . . . . . . . . . . . . . . . . . . . . . . . . . . . . . . . . . . . . . . . . . . . </v>
      </c>
      <c r="S616" s="2171"/>
      <c r="T616" s="2171"/>
      <c r="U616" s="2171"/>
      <c r="V616" s="2171"/>
      <c r="W616" s="2171"/>
      <c r="X616" s="2171"/>
      <c r="Y616" s="2171"/>
      <c r="Z616" s="2171"/>
      <c r="AA616" s="2171"/>
      <c r="AB616" s="2171"/>
      <c r="AC616" s="2171"/>
      <c r="AD616" s="2171"/>
      <c r="AE616" s="2171"/>
      <c r="AF616" s="2171"/>
      <c r="AG616" s="2171"/>
      <c r="AH616" s="2171"/>
      <c r="AI616" s="2171"/>
      <c r="AJ616" s="2171"/>
      <c r="AK616" s="2171"/>
      <c r="AL616" s="2171"/>
      <c r="AM616" s="2171"/>
      <c r="AN616" s="2171"/>
      <c r="AO616" s="2171"/>
      <c r="AP616" s="2171"/>
      <c r="AQ616" s="2171"/>
      <c r="AR616" s="2171"/>
      <c r="AS616" s="2171"/>
      <c r="AT616" s="2171"/>
      <c r="AU616" s="2171"/>
      <c r="AV616" s="2171"/>
      <c r="AW616" s="2171"/>
      <c r="AX616" s="2171"/>
      <c r="AY616" s="2171"/>
      <c r="AZ616" s="2171"/>
      <c r="BA616" s="2171"/>
      <c r="BB616" s="2171"/>
      <c r="BC616" s="724" t="s">
        <v>5865</v>
      </c>
    </row>
    <row r="617" spans="3:55" ht="15.75" hidden="1" customHeight="1">
      <c r="F617" s="102" t="s">
        <v>6344</v>
      </c>
      <c r="G617" s="2171" t="s">
        <v>3484</v>
      </c>
      <c r="H617" s="2171"/>
      <c r="I617" s="2171"/>
      <c r="J617" s="2171"/>
      <c r="K617" s="2171"/>
      <c r="L617" s="2171"/>
      <c r="M617" s="2171"/>
      <c r="N617" s="2171"/>
      <c r="O617" s="2171"/>
      <c r="P617" s="2171"/>
      <c r="Q617" s="91" t="s">
        <v>944</v>
      </c>
      <c r="R617" s="2002" t="str">
        <f>NL!$U$18</f>
        <v>ông</v>
      </c>
      <c r="S617" s="2002"/>
      <c r="T617" s="2030" t="str">
        <f>NL!$W$18</f>
        <v>NGUYỄN VĂN A</v>
      </c>
      <c r="U617" s="2030"/>
      <c r="V617" s="2030"/>
      <c r="W617" s="2030"/>
      <c r="X617" s="2030"/>
      <c r="Y617" s="2030"/>
      <c r="Z617" s="2030"/>
      <c r="AA617" s="2030"/>
      <c r="AB617" s="2030"/>
      <c r="AC617" s="2030"/>
      <c r="AD617" s="2030"/>
      <c r="AE617" s="2030"/>
      <c r="AF617" s="2030"/>
      <c r="AG617" s="2030"/>
      <c r="AH617" s="2030"/>
      <c r="AI617" s="2030"/>
      <c r="AJ617" s="2171" t="s">
        <v>3485</v>
      </c>
      <c r="AK617" s="2171"/>
      <c r="AL617" s="2171"/>
      <c r="AM617" s="2171"/>
      <c r="AN617" s="2171"/>
      <c r="AO617" s="2173" t="str">
        <f>NL!$AR$18</f>
        <v>CHỦ CƠ SỞ</v>
      </c>
      <c r="AP617" s="2173"/>
      <c r="AQ617" s="2173"/>
      <c r="AR617" s="2173"/>
      <c r="AS617" s="2173"/>
      <c r="AT617" s="2173"/>
      <c r="AU617" s="2173"/>
      <c r="AV617" s="2173"/>
      <c r="AW617" s="2173"/>
      <c r="AX617" s="2173"/>
      <c r="AY617" s="2173"/>
      <c r="AZ617" s="2173"/>
      <c r="BA617" s="2173"/>
      <c r="BB617" s="2173"/>
      <c r="BC617" s="724" t="s">
        <v>5865</v>
      </c>
    </row>
    <row r="618" spans="3:55" ht="15.75" hidden="1" customHeight="1">
      <c r="D618" s="2173" t="s">
        <v>3486</v>
      </c>
      <c r="E618" s="2173"/>
      <c r="F618" s="2173"/>
      <c r="G618" s="2173"/>
      <c r="H618" s="2173"/>
      <c r="I618" s="2173"/>
      <c r="J618" s="2173"/>
      <c r="K618" s="2173"/>
      <c r="L618" s="2173"/>
      <c r="M618" s="2173"/>
      <c r="N618" s="2173"/>
      <c r="O618" s="2173"/>
      <c r="P618" s="2173"/>
      <c r="Q618" s="2173"/>
      <c r="R618" s="2173"/>
      <c r="S618" s="2173"/>
      <c r="T618" s="2173"/>
      <c r="U618" s="2173"/>
      <c r="V618" s="2173"/>
      <c r="W618" s="2173"/>
      <c r="X618" s="2173"/>
      <c r="Y618" s="2173"/>
      <c r="Z618" s="2173"/>
      <c r="AA618" s="2173"/>
      <c r="AB618" s="2173"/>
      <c r="AC618" s="2173"/>
      <c r="AD618" s="2173"/>
      <c r="AE618" s="2173"/>
      <c r="AF618" s="2173"/>
      <c r="AG618" s="2173"/>
      <c r="AH618" s="2173"/>
      <c r="AI618" s="2173"/>
      <c r="AJ618" s="2173"/>
      <c r="AK618" s="2173"/>
      <c r="AL618" s="2173"/>
      <c r="AM618" s="2173"/>
      <c r="AN618" s="2173"/>
      <c r="AO618" s="2173"/>
      <c r="AP618" s="2173"/>
      <c r="AQ618" s="2173"/>
      <c r="AR618" s="2173"/>
      <c r="AS618" s="2173"/>
      <c r="AT618" s="2173"/>
      <c r="AU618" s="2173"/>
      <c r="AV618" s="2173"/>
      <c r="AW618" s="2173"/>
      <c r="AX618" s="2173"/>
      <c r="AY618" s="2173"/>
      <c r="AZ618" s="2173"/>
      <c r="BA618" s="2173"/>
      <c r="BB618" s="2173"/>
      <c r="BC618" s="724" t="s">
        <v>5865</v>
      </c>
    </row>
    <row r="619" spans="3:55" ht="15.75" hidden="1" customHeight="1">
      <c r="F619" s="102" t="s">
        <v>6344</v>
      </c>
      <c r="G619" s="2171" t="s">
        <v>2068</v>
      </c>
      <c r="H619" s="2171"/>
      <c r="I619" s="2171"/>
      <c r="J619" s="2171"/>
      <c r="K619" s="2171"/>
      <c r="L619" s="2171"/>
      <c r="M619" s="2171"/>
      <c r="N619" s="2171"/>
      <c r="O619" s="2171"/>
      <c r="P619" s="2171"/>
      <c r="Q619" s="91" t="s">
        <v>944</v>
      </c>
      <c r="R619" s="2173" t="s">
        <v>318</v>
      </c>
      <c r="S619" s="2173"/>
      <c r="T619" s="2173"/>
      <c r="U619" s="2173"/>
      <c r="V619" s="2173"/>
      <c r="W619" s="2173"/>
      <c r="X619" s="2173"/>
      <c r="Y619" s="2173"/>
      <c r="Z619" s="2173"/>
      <c r="AA619" s="2173"/>
      <c r="AB619" s="2173"/>
      <c r="AC619" s="2173"/>
      <c r="AD619" s="2173"/>
      <c r="AE619" s="2173"/>
      <c r="AF619" s="2173"/>
      <c r="AG619" s="2173"/>
      <c r="AH619" s="2173"/>
      <c r="AI619" s="2173"/>
      <c r="AJ619" s="2173"/>
      <c r="AK619" s="2173"/>
      <c r="AL619" s="2173"/>
      <c r="AM619" s="2173"/>
      <c r="AN619" s="2173"/>
      <c r="AO619" s="2173"/>
      <c r="AP619" s="2173"/>
      <c r="AQ619" s="2173"/>
      <c r="AR619" s="2173"/>
      <c r="AS619" s="2173"/>
      <c r="AT619" s="2173"/>
      <c r="AU619" s="2173"/>
      <c r="AV619" s="2173"/>
      <c r="AW619" s="2173"/>
      <c r="AX619" s="2173"/>
      <c r="AY619" s="2173"/>
      <c r="AZ619" s="2173"/>
      <c r="BA619" s="2173"/>
      <c r="BB619" s="2173"/>
      <c r="BC619" s="724" t="s">
        <v>5865</v>
      </c>
    </row>
    <row r="620" spans="3:55" ht="15.75" hidden="1" customHeight="1">
      <c r="F620" s="102" t="s">
        <v>6344</v>
      </c>
      <c r="G620" s="2171" t="s">
        <v>2069</v>
      </c>
      <c r="H620" s="2171"/>
      <c r="I620" s="2171"/>
      <c r="J620" s="2171"/>
      <c r="K620" s="2171"/>
      <c r="L620" s="2171"/>
      <c r="M620" s="2171"/>
      <c r="N620" s="2171"/>
      <c r="O620" s="2171"/>
      <c r="P620" s="2171"/>
      <c r="Q620" s="91" t="s">
        <v>944</v>
      </c>
      <c r="R620" s="2171" t="s">
        <v>6032</v>
      </c>
      <c r="S620" s="2171"/>
      <c r="T620" s="2171"/>
      <c r="U620" s="2171"/>
      <c r="V620" s="2171"/>
      <c r="W620" s="2171"/>
      <c r="X620" s="2171"/>
      <c r="Y620" s="2171"/>
      <c r="Z620" s="2171"/>
      <c r="AA620" s="2171"/>
      <c r="AB620" s="2171"/>
      <c r="AC620" s="2171"/>
      <c r="AD620" s="2171"/>
      <c r="AE620" s="2171"/>
      <c r="AF620" s="2171"/>
      <c r="AG620" s="2171"/>
      <c r="AH620" s="2171"/>
      <c r="AI620" s="2171"/>
      <c r="AJ620" s="2171"/>
      <c r="AK620" s="2171"/>
      <c r="AL620" s="2171"/>
      <c r="AM620" s="2171"/>
      <c r="AN620" s="2171"/>
      <c r="AO620" s="2171"/>
      <c r="AP620" s="2171"/>
      <c r="AQ620" s="2171"/>
      <c r="AR620" s="2171"/>
      <c r="AS620" s="2171"/>
      <c r="AT620" s="2171"/>
      <c r="AU620" s="2171"/>
      <c r="AV620" s="2171"/>
      <c r="AW620" s="2171"/>
      <c r="AX620" s="2171"/>
      <c r="AY620" s="2171"/>
      <c r="AZ620" s="2171"/>
      <c r="BA620" s="2171"/>
      <c r="BB620" s="2171"/>
      <c r="BC620" s="724" t="s">
        <v>5865</v>
      </c>
    </row>
    <row r="621" spans="3:55" ht="15.75" hidden="1" customHeight="1">
      <c r="F621" s="102" t="s">
        <v>6344</v>
      </c>
      <c r="G621" s="2171" t="s">
        <v>2070</v>
      </c>
      <c r="H621" s="2171"/>
      <c r="I621" s="2171"/>
      <c r="J621" s="2171"/>
      <c r="K621" s="2171"/>
      <c r="L621" s="2171"/>
      <c r="M621" s="2171"/>
      <c r="N621" s="2171"/>
      <c r="O621" s="2171"/>
      <c r="P621" s="2171"/>
      <c r="Q621" s="91" t="s">
        <v>944</v>
      </c>
      <c r="R621" s="2176" t="s">
        <v>1735</v>
      </c>
      <c r="S621" s="2176"/>
      <c r="T621" s="2176"/>
      <c r="U621" s="2176"/>
      <c r="V621" s="2176"/>
      <c r="W621" s="2176"/>
      <c r="X621" s="2176"/>
      <c r="Y621" s="2176"/>
      <c r="Z621" s="2176"/>
      <c r="AA621" s="2176"/>
      <c r="AB621" s="2171" t="s">
        <v>2885</v>
      </c>
      <c r="AC621" s="2171"/>
      <c r="AD621" s="2171"/>
      <c r="AE621" s="2171"/>
      <c r="AF621" s="2171"/>
      <c r="AG621" s="2172" t="s">
        <v>3991</v>
      </c>
      <c r="AH621" s="2172"/>
      <c r="AI621" s="2172"/>
      <c r="AJ621" s="2172"/>
      <c r="AK621" s="2172"/>
      <c r="AL621" s="2172"/>
      <c r="AM621" s="2172"/>
      <c r="AN621" s="2172"/>
      <c r="AO621" s="2172"/>
      <c r="AP621" s="2172"/>
      <c r="AQ621" s="2172"/>
      <c r="AR621" s="2172"/>
      <c r="AS621" s="2172"/>
      <c r="AT621" s="2172"/>
      <c r="AU621" s="2172"/>
      <c r="AV621" s="2172"/>
      <c r="AW621" s="2172"/>
      <c r="AX621" s="2172"/>
      <c r="AY621" s="2172"/>
      <c r="AZ621" s="2172"/>
      <c r="BA621" s="2172"/>
      <c r="BB621" s="2172"/>
      <c r="BC621" s="724" t="s">
        <v>5865</v>
      </c>
    </row>
    <row r="622" spans="3:55" ht="15.75" hidden="1" customHeight="1">
      <c r="F622" s="102" t="s">
        <v>6344</v>
      </c>
      <c r="G622" s="2171" t="s">
        <v>2071</v>
      </c>
      <c r="H622" s="2171"/>
      <c r="I622" s="2171"/>
      <c r="J622" s="2171"/>
      <c r="K622" s="2171"/>
      <c r="L622" s="2171"/>
      <c r="M622" s="2171"/>
      <c r="N622" s="2171"/>
      <c r="O622" s="2171"/>
      <c r="P622" s="2171"/>
      <c r="Q622" s="91" t="s">
        <v>944</v>
      </c>
      <c r="R622" s="2176" t="s">
        <v>4630</v>
      </c>
      <c r="S622" s="2176"/>
      <c r="T622" s="2176"/>
      <c r="U622" s="2176"/>
      <c r="V622" s="2176"/>
      <c r="W622" s="2176"/>
      <c r="X622" s="2176"/>
      <c r="Y622" s="2176"/>
      <c r="Z622" s="2176"/>
      <c r="AA622" s="2176"/>
      <c r="AB622" s="2171" t="s">
        <v>2072</v>
      </c>
      <c r="AC622" s="2171"/>
      <c r="AD622" s="2171"/>
      <c r="AE622" s="2171"/>
      <c r="AF622" s="2171"/>
      <c r="AG622" s="2171" t="s">
        <v>3487</v>
      </c>
      <c r="AH622" s="2171"/>
      <c r="AI622" s="2171"/>
      <c r="AJ622" s="2171"/>
      <c r="AK622" s="2171"/>
      <c r="AL622" s="2171"/>
      <c r="AM622" s="2171"/>
      <c r="AN622" s="2171"/>
      <c r="AO622" s="2171"/>
      <c r="AP622" s="2171"/>
      <c r="AQ622" s="2171"/>
      <c r="AR622" s="2171"/>
      <c r="AS622" s="2171"/>
      <c r="AT622" s="2171"/>
      <c r="AU622" s="2171"/>
      <c r="AV622" s="2171"/>
      <c r="AW622" s="2171"/>
      <c r="AX622" s="2171"/>
      <c r="AY622" s="2171"/>
      <c r="AZ622" s="2171"/>
      <c r="BA622" s="2171"/>
      <c r="BB622" s="2171"/>
      <c r="BC622" s="724" t="s">
        <v>5865</v>
      </c>
    </row>
    <row r="623" spans="3:55" ht="15.75" hidden="1" customHeight="1">
      <c r="F623" s="102" t="s">
        <v>6344</v>
      </c>
      <c r="G623" s="2171" t="s">
        <v>2073</v>
      </c>
      <c r="H623" s="2171"/>
      <c r="I623" s="2171"/>
      <c r="J623" s="2171"/>
      <c r="K623" s="2171"/>
      <c r="L623" s="2171"/>
      <c r="M623" s="2171"/>
      <c r="N623" s="2171"/>
      <c r="O623" s="2171"/>
      <c r="P623" s="2171"/>
      <c r="Q623" s="91" t="s">
        <v>944</v>
      </c>
      <c r="R623" s="2171" t="s">
        <v>4863</v>
      </c>
      <c r="S623" s="2171"/>
      <c r="T623" s="2171"/>
      <c r="U623" s="2171"/>
      <c r="V623" s="2171"/>
      <c r="W623" s="2171"/>
      <c r="X623" s="2171"/>
      <c r="Y623" s="2171"/>
      <c r="Z623" s="2171"/>
      <c r="AA623" s="2171"/>
      <c r="AB623" s="2171"/>
      <c r="AC623" s="2171"/>
      <c r="AD623" s="2171"/>
      <c r="AE623" s="2171"/>
      <c r="AF623" s="2171"/>
      <c r="AG623" s="2171"/>
      <c r="AH623" s="2171"/>
      <c r="AI623" s="2171"/>
      <c r="AJ623" s="2171"/>
      <c r="AK623" s="2171"/>
      <c r="AL623" s="2171"/>
      <c r="AM623" s="2171"/>
      <c r="AN623" s="2171"/>
      <c r="AO623" s="2171"/>
      <c r="AP623" s="2171"/>
      <c r="AQ623" s="2171"/>
      <c r="AR623" s="2171"/>
      <c r="AS623" s="2171"/>
      <c r="AT623" s="2171"/>
      <c r="AU623" s="2171"/>
      <c r="AV623" s="2171"/>
      <c r="AW623" s="2171"/>
      <c r="AX623" s="2171"/>
      <c r="AY623" s="2171"/>
      <c r="AZ623" s="2171"/>
      <c r="BA623" s="2171"/>
      <c r="BB623" s="2171"/>
      <c r="BC623" s="724" t="s">
        <v>5865</v>
      </c>
    </row>
    <row r="624" spans="3:55" ht="15.75" hidden="1" customHeight="1">
      <c r="F624" s="102" t="s">
        <v>6344</v>
      </c>
      <c r="G624" s="2171" t="s">
        <v>3484</v>
      </c>
      <c r="H624" s="2171"/>
      <c r="I624" s="2171"/>
      <c r="J624" s="2171"/>
      <c r="K624" s="2171"/>
      <c r="L624" s="2171"/>
      <c r="M624" s="2171"/>
      <c r="N624" s="2171"/>
      <c r="O624" s="2171"/>
      <c r="P624" s="2171"/>
      <c r="Q624" s="91" t="s">
        <v>944</v>
      </c>
      <c r="R624" s="2002" t="s">
        <v>5940</v>
      </c>
      <c r="S624" s="2002"/>
      <c r="T624" s="2030" t="s">
        <v>3488</v>
      </c>
      <c r="U624" s="2030"/>
      <c r="V624" s="2030"/>
      <c r="W624" s="2030"/>
      <c r="X624" s="2030"/>
      <c r="Y624" s="2030"/>
      <c r="Z624" s="2030"/>
      <c r="AA624" s="2030"/>
      <c r="AB624" s="2030"/>
      <c r="AC624" s="2030"/>
      <c r="AD624" s="2030"/>
      <c r="AE624" s="2030"/>
      <c r="AF624" s="2030"/>
      <c r="AG624" s="2030"/>
      <c r="AH624" s="2030"/>
      <c r="AI624" s="2030"/>
      <c r="AJ624" s="2171" t="s">
        <v>3485</v>
      </c>
      <c r="AK624" s="2171"/>
      <c r="AL624" s="2171"/>
      <c r="AM624" s="2171"/>
      <c r="AN624" s="2171"/>
      <c r="AO624" s="2173" t="s">
        <v>5941</v>
      </c>
      <c r="AP624" s="2173"/>
      <c r="AQ624" s="2173"/>
      <c r="AR624" s="2173"/>
      <c r="AS624" s="2173"/>
      <c r="AT624" s="2173"/>
      <c r="AU624" s="2173"/>
      <c r="AV624" s="2173"/>
      <c r="AW624" s="2173"/>
      <c r="AX624" s="2173"/>
      <c r="AY624" s="2173"/>
      <c r="AZ624" s="2173"/>
      <c r="BA624" s="2173"/>
      <c r="BB624" s="2173"/>
      <c r="BC624" s="724" t="s">
        <v>5865</v>
      </c>
    </row>
    <row r="625" spans="2:67" ht="15.75" hidden="1" customHeight="1">
      <c r="B625" s="2030" t="s">
        <v>3489</v>
      </c>
      <c r="C625" s="2030"/>
      <c r="D625" s="2030"/>
      <c r="E625" s="2030"/>
      <c r="F625" s="2030"/>
      <c r="G625" s="2030"/>
      <c r="H625" s="2030"/>
      <c r="I625" s="2030"/>
      <c r="J625" s="2030"/>
      <c r="K625" s="2030"/>
      <c r="L625" s="2030"/>
      <c r="M625" s="2030"/>
      <c r="N625" s="2030"/>
      <c r="O625" s="2030"/>
      <c r="P625" s="2030"/>
      <c r="Q625" s="2030"/>
      <c r="R625" s="2030"/>
      <c r="S625" s="2030"/>
      <c r="T625" s="2030"/>
      <c r="U625" s="2030"/>
      <c r="V625" s="2030"/>
      <c r="W625" s="2030"/>
      <c r="X625" s="2030"/>
      <c r="Y625" s="2030"/>
      <c r="Z625" s="2030"/>
      <c r="AA625" s="2030"/>
      <c r="AB625" s="2030"/>
      <c r="AC625" s="2030"/>
      <c r="AD625" s="2030"/>
      <c r="AE625" s="2030"/>
      <c r="AF625" s="2030"/>
      <c r="AG625" s="2030"/>
      <c r="AH625" s="2030"/>
      <c r="AI625" s="2030"/>
      <c r="AJ625" s="2030"/>
      <c r="AK625" s="2030"/>
      <c r="AL625" s="2030"/>
      <c r="AM625" s="2030"/>
      <c r="AN625" s="2030"/>
      <c r="AO625" s="2030"/>
      <c r="AP625" s="2030"/>
      <c r="AQ625" s="2030"/>
      <c r="AR625" s="2030"/>
      <c r="AS625" s="2030"/>
      <c r="AT625" s="2030"/>
      <c r="AU625" s="2030"/>
      <c r="AV625" s="2030"/>
      <c r="AW625" s="2030"/>
      <c r="AX625" s="2030"/>
      <c r="AY625" s="2030"/>
      <c r="AZ625" s="2030"/>
      <c r="BA625" s="2030"/>
      <c r="BB625" s="2030"/>
      <c r="BC625" s="724" t="s">
        <v>5865</v>
      </c>
    </row>
    <row r="626" spans="2:67" ht="15.75" hidden="1" customHeight="1">
      <c r="B626" s="2030" t="s">
        <v>277</v>
      </c>
      <c r="C626" s="2030"/>
      <c r="D626" s="2030"/>
      <c r="E626" s="2030"/>
      <c r="F626" s="2030"/>
      <c r="G626" s="2030"/>
      <c r="H626" s="2030"/>
      <c r="I626" s="2030"/>
      <c r="J626" s="2030"/>
      <c r="K626" s="2030"/>
      <c r="L626" s="2030"/>
      <c r="M626" s="2030"/>
      <c r="N626" s="2030"/>
      <c r="O626" s="2030"/>
      <c r="P626" s="2030"/>
      <c r="Q626" s="2030"/>
      <c r="R626" s="2030"/>
      <c r="S626" s="2030"/>
      <c r="T626" s="2030"/>
      <c r="U626" s="2030"/>
      <c r="V626" s="2030"/>
      <c r="W626" s="2030"/>
      <c r="X626" s="2030"/>
      <c r="Y626" s="2030"/>
      <c r="Z626" s="2030"/>
      <c r="AA626" s="2030"/>
      <c r="AB626" s="2030"/>
      <c r="AC626" s="2030"/>
      <c r="AD626" s="2030"/>
      <c r="AE626" s="2030"/>
      <c r="AF626" s="2030"/>
      <c r="AG626" s="2030"/>
      <c r="AH626" s="2030"/>
      <c r="AI626" s="2030"/>
      <c r="AJ626" s="2030"/>
      <c r="AK626" s="2030"/>
      <c r="AL626" s="2030"/>
      <c r="AM626" s="2030"/>
      <c r="AN626" s="2030"/>
      <c r="AO626" s="2030"/>
      <c r="AP626" s="2030"/>
      <c r="AQ626" s="2030"/>
      <c r="AR626" s="2030"/>
      <c r="AS626" s="2030"/>
      <c r="AT626" s="2030"/>
      <c r="AU626" s="2030"/>
      <c r="AV626" s="2030"/>
      <c r="AW626" s="2030"/>
      <c r="AX626" s="2030"/>
      <c r="AY626" s="2030"/>
      <c r="AZ626" s="2030"/>
      <c r="BA626" s="2030"/>
      <c r="BB626" s="2030"/>
      <c r="BC626" s="724" t="s">
        <v>5865</v>
      </c>
    </row>
    <row r="627" spans="2:67" ht="15.75" hidden="1" customHeight="1">
      <c r="D627" s="2173" t="s">
        <v>3459</v>
      </c>
      <c r="E627" s="2173"/>
      <c r="F627" s="2173"/>
      <c r="G627" s="2173"/>
      <c r="H627" s="2173"/>
      <c r="I627" s="2173"/>
      <c r="J627" s="2173"/>
      <c r="K627" s="2173"/>
      <c r="L627" s="2173"/>
      <c r="M627" s="2173"/>
      <c r="N627" s="2173"/>
      <c r="O627" s="2173"/>
      <c r="P627" s="2173"/>
      <c r="Q627" s="2173"/>
      <c r="R627" s="2173"/>
      <c r="S627" s="2173"/>
      <c r="T627" s="2173"/>
      <c r="U627" s="2173"/>
      <c r="V627" s="2173"/>
      <c r="W627" s="2173"/>
      <c r="X627" s="2173"/>
      <c r="Y627" s="2173"/>
      <c r="Z627" s="2173"/>
      <c r="AA627" s="2173"/>
      <c r="AB627" s="2173"/>
      <c r="AC627" s="2173"/>
      <c r="AD627" s="2173"/>
      <c r="AE627" s="2173"/>
      <c r="AF627" s="2173"/>
      <c r="AG627" s="2173"/>
      <c r="AH627" s="2173"/>
      <c r="AI627" s="2173"/>
      <c r="AJ627" s="2173"/>
      <c r="AK627" s="2173"/>
      <c r="AL627" s="2173"/>
      <c r="AM627" s="2173"/>
      <c r="AN627" s="2173"/>
      <c r="AO627" s="2173"/>
      <c r="AP627" s="2173"/>
      <c r="AQ627" s="2173"/>
      <c r="AR627" s="2173"/>
      <c r="AS627" s="2173"/>
      <c r="AT627" s="2173"/>
      <c r="AU627" s="2173"/>
      <c r="AV627" s="2173"/>
      <c r="AW627" s="2173"/>
      <c r="AX627" s="2173"/>
      <c r="AY627" s="2173"/>
      <c r="AZ627" s="2173"/>
      <c r="BA627" s="2173"/>
      <c r="BB627" s="2173"/>
      <c r="BC627" s="724" t="s">
        <v>5865</v>
      </c>
    </row>
    <row r="628" spans="2:67" ht="15.75" hidden="1" customHeight="1">
      <c r="E628" s="2171" t="s">
        <v>278</v>
      </c>
      <c r="F628" s="2171"/>
      <c r="G628" s="2171"/>
      <c r="H628" s="2171"/>
      <c r="I628" s="2171"/>
      <c r="J628" s="2171"/>
      <c r="K628" s="2171"/>
      <c r="L628" s="2171"/>
      <c r="M628" s="2171"/>
      <c r="N628" s="2171"/>
      <c r="O628" s="2171"/>
      <c r="P628" s="2171"/>
      <c r="Q628" s="2171"/>
      <c r="R628" s="2171"/>
      <c r="S628" s="2171"/>
      <c r="T628" s="2171"/>
      <c r="U628" s="2171"/>
      <c r="V628" s="2171"/>
      <c r="W628" s="2171"/>
      <c r="X628" s="2171"/>
      <c r="Y628" s="2171"/>
      <c r="Z628" s="2171"/>
      <c r="AA628" s="2171"/>
      <c r="AB628" s="2171"/>
      <c r="AC628" s="2171"/>
      <c r="AD628" s="2171"/>
      <c r="AE628" s="2171"/>
      <c r="AF628" s="2171"/>
      <c r="AG628" s="2171"/>
      <c r="AH628" s="2171"/>
      <c r="AI628" s="2171"/>
      <c r="AJ628" s="2171"/>
      <c r="AK628" s="2171"/>
      <c r="AL628" s="2171"/>
      <c r="AM628" s="2171"/>
      <c r="AN628" s="2171"/>
      <c r="AO628" s="2171"/>
      <c r="AP628" s="2171"/>
      <c r="AQ628" s="2171"/>
      <c r="AR628" s="2171"/>
      <c r="AS628" s="2171"/>
      <c r="AT628" s="2171"/>
      <c r="AU628" s="2171"/>
      <c r="AV628" s="2171"/>
      <c r="AW628" s="2171"/>
      <c r="AX628" s="2171"/>
      <c r="AY628" s="2171"/>
      <c r="AZ628" s="2171"/>
      <c r="BA628" s="2171"/>
      <c r="BB628" s="2171"/>
      <c r="BC628" s="724" t="s">
        <v>5865</v>
      </c>
    </row>
    <row r="629" spans="2:67" ht="15.75" hidden="1" customHeight="1">
      <c r="B629" s="2030" t="str">
        <f>+"Công trình: "&amp;NL!$U$3</f>
        <v>Công trình: XÂY DỰNG ĐƯỜNG DÂY TRUNG HẠ ÁP &amp; TRẠM BIẾN ÁP</v>
      </c>
      <c r="C629" s="2030"/>
      <c r="D629" s="2030"/>
      <c r="E629" s="2030"/>
      <c r="F629" s="2030"/>
      <c r="G629" s="2030"/>
      <c r="H629" s="2030"/>
      <c r="I629" s="2030"/>
      <c r="J629" s="2030"/>
      <c r="K629" s="2030"/>
      <c r="L629" s="2030"/>
      <c r="M629" s="2030"/>
      <c r="N629" s="2030"/>
      <c r="O629" s="2030"/>
      <c r="P629" s="2030"/>
      <c r="Q629" s="2030"/>
      <c r="R629" s="2030"/>
      <c r="S629" s="2030"/>
      <c r="T629" s="2030"/>
      <c r="U629" s="2030"/>
      <c r="V629" s="2030"/>
      <c r="W629" s="2030"/>
      <c r="X629" s="2030"/>
      <c r="Y629" s="2030"/>
      <c r="Z629" s="2030"/>
      <c r="AA629" s="2030"/>
      <c r="AB629" s="2030"/>
      <c r="AC629" s="2030"/>
      <c r="AD629" s="2030"/>
      <c r="AE629" s="2030"/>
      <c r="AF629" s="2030"/>
      <c r="AG629" s="2030"/>
      <c r="AH629" s="2030"/>
      <c r="AI629" s="2030"/>
      <c r="AJ629" s="2030"/>
      <c r="AK629" s="2030"/>
      <c r="AL629" s="2030"/>
      <c r="AM629" s="2030"/>
      <c r="AN629" s="2030"/>
      <c r="AO629" s="2030"/>
      <c r="AP629" s="2030"/>
      <c r="AQ629" s="2030"/>
      <c r="AR629" s="2030"/>
      <c r="AS629" s="2030"/>
      <c r="AT629" s="2030"/>
      <c r="AU629" s="2030"/>
      <c r="AV629" s="2030"/>
      <c r="AW629" s="2030"/>
      <c r="AX629" s="2030"/>
      <c r="AY629" s="2030"/>
      <c r="AZ629" s="2030"/>
      <c r="BA629" s="2030"/>
      <c r="BB629" s="2030"/>
      <c r="BC629" s="724" t="s">
        <v>5865</v>
      </c>
      <c r="BL629" s="99"/>
      <c r="BM629" s="99"/>
      <c r="BN629" s="99"/>
      <c r="BO629" s="99"/>
    </row>
    <row r="630" spans="2:67" ht="15.75" hidden="1" customHeight="1">
      <c r="B630" s="2030" t="str">
        <f>NL!$U$4</f>
        <v>HUYỆN CHÂU THÀNH, TX NGÃ BẢY</v>
      </c>
      <c r="C630" s="2030"/>
      <c r="D630" s="2030"/>
      <c r="E630" s="2030"/>
      <c r="F630" s="2030"/>
      <c r="G630" s="2030"/>
      <c r="H630" s="2030"/>
      <c r="I630" s="2030"/>
      <c r="J630" s="2030"/>
      <c r="K630" s="2030"/>
      <c r="L630" s="2030"/>
      <c r="M630" s="2030"/>
      <c r="N630" s="2030"/>
      <c r="O630" s="2030"/>
      <c r="P630" s="2030"/>
      <c r="Q630" s="2030"/>
      <c r="R630" s="2030"/>
      <c r="S630" s="2030"/>
      <c r="T630" s="2030"/>
      <c r="U630" s="2030"/>
      <c r="V630" s="2030"/>
      <c r="W630" s="2030"/>
      <c r="X630" s="2030"/>
      <c r="Y630" s="2030"/>
      <c r="Z630" s="2030"/>
      <c r="AA630" s="2030"/>
      <c r="AB630" s="2030"/>
      <c r="AC630" s="2030"/>
      <c r="AD630" s="2030"/>
      <c r="AE630" s="2030"/>
      <c r="AF630" s="2030"/>
      <c r="AG630" s="2030"/>
      <c r="AH630" s="2030"/>
      <c r="AI630" s="2030"/>
      <c r="AJ630" s="2030"/>
      <c r="AK630" s="2030"/>
      <c r="AL630" s="2030"/>
      <c r="AM630" s="2030"/>
      <c r="AN630" s="2030"/>
      <c r="AO630" s="2030"/>
      <c r="AP630" s="2030"/>
      <c r="AQ630" s="2030"/>
      <c r="AR630" s="2030"/>
      <c r="AS630" s="2030"/>
      <c r="AT630" s="2030"/>
      <c r="AU630" s="2030"/>
      <c r="AV630" s="2030"/>
      <c r="AW630" s="2030"/>
      <c r="AX630" s="2030"/>
      <c r="AY630" s="2030"/>
      <c r="AZ630" s="2030"/>
      <c r="BA630" s="2030"/>
      <c r="BB630" s="2030"/>
      <c r="BC630" s="724" t="s">
        <v>5865</v>
      </c>
      <c r="BL630" s="99"/>
      <c r="BM630" s="99"/>
      <c r="BN630" s="99"/>
      <c r="BO630" s="99"/>
    </row>
    <row r="631" spans="2:67" ht="15.75" hidden="1" customHeight="1">
      <c r="B631" s="2030" t="str">
        <f>+"Địa điểm: "&amp;NL!$U$5</f>
        <v>Địa điểm: Huyện Châu Thành &amp; Tx.Ngã Bảy, tỉnh Hậu Giang</v>
      </c>
      <c r="C631" s="2030"/>
      <c r="D631" s="2030"/>
      <c r="E631" s="2030"/>
      <c r="F631" s="2030"/>
      <c r="G631" s="2030"/>
      <c r="H631" s="2030"/>
      <c r="I631" s="2030"/>
      <c r="J631" s="2030"/>
      <c r="K631" s="2030"/>
      <c r="L631" s="2030"/>
      <c r="M631" s="2030"/>
      <c r="N631" s="2030"/>
      <c r="O631" s="2030"/>
      <c r="P631" s="2030"/>
      <c r="Q631" s="2030"/>
      <c r="R631" s="2030"/>
      <c r="S631" s="2030"/>
      <c r="T631" s="2030"/>
      <c r="U631" s="2030"/>
      <c r="V631" s="2030"/>
      <c r="W631" s="2030"/>
      <c r="X631" s="2030"/>
      <c r="Y631" s="2030"/>
      <c r="Z631" s="2030"/>
      <c r="AA631" s="2030"/>
      <c r="AB631" s="2030"/>
      <c r="AC631" s="2030"/>
      <c r="AD631" s="2030"/>
      <c r="AE631" s="2030"/>
      <c r="AF631" s="2030"/>
      <c r="AG631" s="2030"/>
      <c r="AH631" s="2030"/>
      <c r="AI631" s="2030"/>
      <c r="AJ631" s="2030"/>
      <c r="AK631" s="2030"/>
      <c r="AL631" s="2030"/>
      <c r="AM631" s="2030"/>
      <c r="AN631" s="2030"/>
      <c r="AO631" s="2030"/>
      <c r="AP631" s="2030"/>
      <c r="AQ631" s="2030"/>
      <c r="AR631" s="2030"/>
      <c r="AS631" s="2030"/>
      <c r="AT631" s="2030"/>
      <c r="AU631" s="2030"/>
      <c r="AV631" s="2030"/>
      <c r="AW631" s="2030"/>
      <c r="AX631" s="2030"/>
      <c r="AY631" s="2030"/>
      <c r="AZ631" s="2030"/>
      <c r="BA631" s="2030"/>
      <c r="BB631" s="2030"/>
      <c r="BC631" s="724" t="s">
        <v>5865</v>
      </c>
      <c r="BE631" s="124"/>
      <c r="BF631" s="99"/>
      <c r="BG631" s="99"/>
      <c r="BH631" s="99"/>
      <c r="BI631" s="99"/>
      <c r="BJ631" s="99"/>
      <c r="BK631" s="99"/>
      <c r="BL631" s="100"/>
      <c r="BM631" s="100"/>
      <c r="BN631" s="100"/>
      <c r="BO631" s="100"/>
    </row>
    <row r="632" spans="2:67" ht="15.75" hidden="1" customHeight="1">
      <c r="E632" s="2171" t="s">
        <v>279</v>
      </c>
      <c r="F632" s="2171"/>
      <c r="G632" s="2171"/>
      <c r="H632" s="2171"/>
      <c r="I632" s="2171"/>
      <c r="J632" s="2171"/>
      <c r="K632" s="2171"/>
      <c r="L632" s="2171"/>
      <c r="M632" s="2171"/>
      <c r="N632" s="2171"/>
      <c r="O632" s="2171"/>
      <c r="P632" s="2171"/>
      <c r="Q632" s="2171"/>
      <c r="R632" s="2171"/>
      <c r="S632" s="2171"/>
      <c r="T632" s="2171"/>
      <c r="U632" s="2171"/>
      <c r="V632" s="2171"/>
      <c r="W632" s="2171"/>
      <c r="X632" s="2171"/>
      <c r="Y632" s="2171"/>
      <c r="Z632" s="2171"/>
      <c r="AA632" s="2171"/>
      <c r="AB632" s="2171"/>
      <c r="AC632" s="2171"/>
      <c r="AD632" s="2171"/>
      <c r="AE632" s="2171"/>
      <c r="AF632" s="2171"/>
      <c r="AG632" s="2171"/>
      <c r="AH632" s="2171"/>
      <c r="AI632" s="2171"/>
      <c r="AJ632" s="2171"/>
      <c r="AK632" s="2171"/>
      <c r="AL632" s="2171"/>
      <c r="AM632" s="2171"/>
      <c r="AN632" s="2171"/>
      <c r="AO632" s="2171"/>
      <c r="AP632" s="2171"/>
      <c r="AQ632" s="2171"/>
      <c r="AR632" s="2171"/>
      <c r="AS632" s="2171"/>
      <c r="AT632" s="2171"/>
      <c r="AU632" s="2171"/>
      <c r="AV632" s="2171"/>
      <c r="AW632" s="2171"/>
      <c r="AX632" s="2171"/>
      <c r="AY632" s="2171"/>
      <c r="AZ632" s="2171"/>
      <c r="BA632" s="2171"/>
      <c r="BB632" s="2171"/>
      <c r="BC632" s="724" t="s">
        <v>5865</v>
      </c>
      <c r="BE632" s="85"/>
      <c r="BF632" s="100"/>
      <c r="BG632" s="100"/>
      <c r="BH632" s="100"/>
      <c r="BI632" s="100"/>
      <c r="BJ632" s="100"/>
      <c r="BK632" s="100"/>
    </row>
    <row r="633" spans="2:67" ht="15.75" hidden="1" customHeight="1">
      <c r="F633" s="102" t="s">
        <v>6344</v>
      </c>
      <c r="G633" s="2171" t="s">
        <v>5946</v>
      </c>
      <c r="H633" s="2171"/>
      <c r="I633" s="2171"/>
      <c r="J633" s="2171"/>
      <c r="K633" s="2171"/>
      <c r="L633" s="2171"/>
      <c r="M633" s="2171"/>
      <c r="N633" s="2171"/>
      <c r="O633" s="2171"/>
      <c r="P633" s="2171"/>
      <c r="Q633" s="2171"/>
      <c r="R633" s="2171"/>
      <c r="S633" s="2171"/>
      <c r="T633" s="2171"/>
      <c r="U633" s="2171"/>
      <c r="V633" s="2171"/>
      <c r="W633" s="2171"/>
      <c r="X633" s="2171"/>
      <c r="Y633" s="2171"/>
      <c r="Z633" s="2171"/>
      <c r="AA633" s="2171"/>
      <c r="AB633" s="2171"/>
      <c r="AC633" s="2171"/>
      <c r="AD633" s="2171"/>
      <c r="AE633" s="2171"/>
      <c r="AF633" s="2171"/>
      <c r="AG633" s="2171"/>
      <c r="AH633" s="2171"/>
      <c r="AI633" s="2171"/>
      <c r="AJ633" s="2171"/>
      <c r="AK633" s="2171"/>
      <c r="AL633" s="2171"/>
      <c r="AM633" s="2171"/>
      <c r="AN633" s="2171"/>
      <c r="AO633" s="2171"/>
      <c r="AP633" s="2171"/>
      <c r="AQ633" s="2171"/>
      <c r="AR633" s="2171"/>
      <c r="AS633" s="2171"/>
      <c r="AT633" s="2171"/>
      <c r="AU633" s="2171"/>
      <c r="AV633" s="2171"/>
      <c r="AW633" s="2171"/>
      <c r="AX633" s="2171"/>
      <c r="AY633" s="2171"/>
      <c r="AZ633" s="2171"/>
      <c r="BA633" s="2171"/>
      <c r="BB633" s="2171"/>
      <c r="BC633" s="724" t="s">
        <v>5865</v>
      </c>
    </row>
    <row r="634" spans="2:67" ht="15.75" hidden="1" customHeight="1">
      <c r="F634" s="102" t="s">
        <v>6344</v>
      </c>
      <c r="G634" s="2172" t="str">
        <f>"Cung cấp vật tư, thiết bị theo BC KT-KT số: "&amp;NL!U2&amp;"/BCKTKT-PCHG"&amp;" ngày "&amp;TEXT(NL!U9,"dd/ mm/ yyyy")</f>
        <v>Cung cấp vật tư, thiết bị theo BC KT-KT số: 01/BCKTKT-PCHG ngày 07/ 12/ 2018</v>
      </c>
      <c r="H634" s="2171"/>
      <c r="I634" s="2171"/>
      <c r="J634" s="2171"/>
      <c r="K634" s="2171"/>
      <c r="L634" s="2171"/>
      <c r="M634" s="2171"/>
      <c r="N634" s="2171"/>
      <c r="O634" s="2171"/>
      <c r="P634" s="2171"/>
      <c r="Q634" s="2171"/>
      <c r="R634" s="2171"/>
      <c r="S634" s="2171"/>
      <c r="T634" s="2171"/>
      <c r="U634" s="2171"/>
      <c r="V634" s="2171"/>
      <c r="W634" s="2171"/>
      <c r="X634" s="2171"/>
      <c r="Y634" s="2171"/>
      <c r="Z634" s="2171"/>
      <c r="AA634" s="2171"/>
      <c r="AB634" s="2171"/>
      <c r="AC634" s="2171"/>
      <c r="AD634" s="2171"/>
      <c r="AE634" s="2171"/>
      <c r="AF634" s="2171"/>
      <c r="AG634" s="2171"/>
      <c r="AH634" s="2171"/>
      <c r="AI634" s="2171"/>
      <c r="AJ634" s="2171"/>
      <c r="AK634" s="2171"/>
      <c r="AL634" s="2171"/>
      <c r="AM634" s="2171"/>
      <c r="AN634" s="2171"/>
      <c r="AO634" s="2171"/>
      <c r="AP634" s="2171"/>
      <c r="AQ634" s="2171"/>
      <c r="AR634" s="2171"/>
      <c r="AS634" s="2171"/>
      <c r="AT634" s="2171"/>
      <c r="AU634" s="2171"/>
      <c r="AV634" s="2171"/>
      <c r="AW634" s="2171"/>
      <c r="AX634" s="2171"/>
      <c r="AY634" s="2171"/>
      <c r="AZ634" s="2171"/>
      <c r="BA634" s="2171"/>
      <c r="BB634" s="2171"/>
      <c r="BC634" s="724" t="s">
        <v>5865</v>
      </c>
      <c r="BL634" s="100"/>
      <c r="BM634" s="100"/>
      <c r="BN634" s="100"/>
      <c r="BO634" s="100"/>
    </row>
    <row r="635" spans="2:67" ht="15.75" hidden="1" customHeight="1">
      <c r="F635" s="102" t="s">
        <v>6344</v>
      </c>
      <c r="G635" s="2171" t="s">
        <v>3936</v>
      </c>
      <c r="H635" s="2171"/>
      <c r="I635" s="2171"/>
      <c r="J635" s="2171"/>
      <c r="K635" s="2171"/>
      <c r="L635" s="2171"/>
      <c r="M635" s="2171"/>
      <c r="N635" s="2171"/>
      <c r="O635" s="2171"/>
      <c r="P635" s="2171"/>
      <c r="Q635" s="2171"/>
      <c r="R635" s="2171"/>
      <c r="S635" s="2171"/>
      <c r="T635" s="2171"/>
      <c r="U635" s="2171"/>
      <c r="V635" s="2171"/>
      <c r="W635" s="2171"/>
      <c r="X635" s="2171"/>
      <c r="Y635" s="2171"/>
      <c r="Z635" s="2171"/>
      <c r="AA635" s="2171"/>
      <c r="AB635" s="2171"/>
      <c r="AC635" s="2171"/>
      <c r="AD635" s="2171"/>
      <c r="AE635" s="2171"/>
      <c r="AF635" s="2171"/>
      <c r="AG635" s="2171"/>
      <c r="AH635" s="2171"/>
      <c r="AI635" s="2171"/>
      <c r="AJ635" s="2171"/>
      <c r="AK635" s="2171"/>
      <c r="AL635" s="2171"/>
      <c r="AM635" s="2171"/>
      <c r="AN635" s="2171"/>
      <c r="AO635" s="2171"/>
      <c r="AP635" s="2171"/>
      <c r="AQ635" s="2171"/>
      <c r="AR635" s="2171"/>
      <c r="AS635" s="2171"/>
      <c r="AT635" s="2171"/>
      <c r="AU635" s="2171"/>
      <c r="AV635" s="2171"/>
      <c r="AW635" s="2171"/>
      <c r="AX635" s="2171"/>
      <c r="AY635" s="2171"/>
      <c r="AZ635" s="2171"/>
      <c r="BA635" s="2171"/>
      <c r="BB635" s="2171"/>
      <c r="BC635" s="724" t="s">
        <v>5865</v>
      </c>
      <c r="BE635" s="85"/>
      <c r="BF635" s="100"/>
      <c r="BG635" s="100"/>
      <c r="BH635" s="100"/>
      <c r="BI635" s="100"/>
      <c r="BJ635" s="100"/>
      <c r="BK635" s="100"/>
      <c r="BL635" s="100"/>
      <c r="BM635" s="100"/>
      <c r="BN635" s="100"/>
      <c r="BO635" s="100"/>
    </row>
    <row r="636" spans="2:67" ht="15.75" hidden="1" customHeight="1">
      <c r="G636" s="2172"/>
      <c r="H636" s="2171"/>
      <c r="I636" s="2171"/>
      <c r="J636" s="2171"/>
      <c r="K636" s="2171"/>
      <c r="L636" s="2171"/>
      <c r="M636" s="2171"/>
      <c r="N636" s="2171"/>
      <c r="O636" s="2171"/>
      <c r="P636" s="2171"/>
      <c r="Q636" s="2171"/>
      <c r="R636" s="2171"/>
      <c r="S636" s="2171"/>
      <c r="T636" s="2171"/>
      <c r="U636" s="2171"/>
      <c r="V636" s="2171"/>
      <c r="W636" s="2171"/>
      <c r="X636" s="2171"/>
      <c r="Y636" s="2171"/>
      <c r="Z636" s="2171"/>
      <c r="AA636" s="2171"/>
      <c r="AB636" s="2171"/>
      <c r="AC636" s="2171"/>
      <c r="AD636" s="2171"/>
      <c r="AE636" s="2171"/>
      <c r="AF636" s="2171"/>
      <c r="AG636" s="2171"/>
      <c r="AH636" s="2171"/>
      <c r="AI636" s="2171"/>
      <c r="AJ636" s="2171"/>
      <c r="AK636" s="2171"/>
      <c r="AL636" s="2171"/>
      <c r="AM636" s="2171"/>
      <c r="AN636" s="2171"/>
      <c r="AO636" s="2171"/>
      <c r="AP636" s="2171"/>
      <c r="AQ636" s="2171"/>
      <c r="AR636" s="2171"/>
      <c r="AS636" s="2171"/>
      <c r="AT636" s="2171"/>
      <c r="AU636" s="2171"/>
      <c r="AV636" s="2171"/>
      <c r="AW636" s="2171"/>
      <c r="AX636" s="2171"/>
      <c r="AY636" s="2171"/>
      <c r="AZ636" s="2171"/>
      <c r="BA636" s="2171"/>
      <c r="BB636" s="2171"/>
      <c r="BC636" s="724"/>
      <c r="BE636" s="85"/>
      <c r="BF636" s="100"/>
      <c r="BG636" s="100"/>
      <c r="BH636" s="100"/>
      <c r="BI636" s="100"/>
      <c r="BJ636" s="100"/>
      <c r="BK636" s="100"/>
      <c r="BL636" s="101"/>
      <c r="BM636" s="101"/>
      <c r="BN636" s="101"/>
      <c r="BO636" s="101"/>
    </row>
    <row r="637" spans="2:67" ht="15.75" hidden="1" customHeight="1">
      <c r="D637" s="2173" t="s">
        <v>6096</v>
      </c>
      <c r="E637" s="2173"/>
      <c r="F637" s="2173"/>
      <c r="G637" s="2173"/>
      <c r="H637" s="2173"/>
      <c r="I637" s="2173"/>
      <c r="J637" s="2173"/>
      <c r="K637" s="2173"/>
      <c r="L637" s="2173"/>
      <c r="M637" s="2173"/>
      <c r="N637" s="2173"/>
      <c r="O637" s="2173"/>
      <c r="P637" s="2173"/>
      <c r="Q637" s="2173"/>
      <c r="R637" s="2173"/>
      <c r="S637" s="2173"/>
      <c r="T637" s="2173"/>
      <c r="U637" s="2173"/>
      <c r="V637" s="2173"/>
      <c r="W637" s="2173"/>
      <c r="X637" s="2173"/>
      <c r="Y637" s="2173"/>
      <c r="Z637" s="2173"/>
      <c r="AA637" s="2173"/>
      <c r="AB637" s="2173"/>
      <c r="AC637" s="2173"/>
      <c r="AD637" s="2173"/>
      <c r="AE637" s="2173"/>
      <c r="AF637" s="2173"/>
      <c r="AG637" s="2173"/>
      <c r="AH637" s="2173"/>
      <c r="AI637" s="2173"/>
      <c r="AJ637" s="2173"/>
      <c r="AK637" s="2173"/>
      <c r="AL637" s="2173"/>
      <c r="AM637" s="2173"/>
      <c r="AN637" s="2173"/>
      <c r="AO637" s="2173"/>
      <c r="AP637" s="2173"/>
      <c r="AQ637" s="2173"/>
      <c r="AR637" s="2173"/>
      <c r="AS637" s="2173"/>
      <c r="AT637" s="2173"/>
      <c r="AU637" s="2173"/>
      <c r="AV637" s="2173"/>
      <c r="AW637" s="2173"/>
      <c r="AX637" s="2173"/>
      <c r="AY637" s="2173"/>
      <c r="AZ637" s="2173"/>
      <c r="BA637" s="2173"/>
      <c r="BB637" s="2173"/>
      <c r="BC637" s="724" t="s">
        <v>5865</v>
      </c>
      <c r="BE637" s="85"/>
      <c r="BF637" s="100"/>
      <c r="BG637" s="100"/>
      <c r="BH637" s="100"/>
      <c r="BI637" s="100"/>
      <c r="BJ637" s="100"/>
      <c r="BK637" s="100"/>
    </row>
    <row r="638" spans="2:67" ht="15.75" hidden="1" customHeight="1">
      <c r="E638" s="2171" t="s">
        <v>2176</v>
      </c>
      <c r="F638" s="2171"/>
      <c r="G638" s="2171"/>
      <c r="H638" s="2171"/>
      <c r="I638" s="2171"/>
      <c r="J638" s="2171"/>
      <c r="K638" s="2171"/>
      <c r="L638" s="2171"/>
      <c r="M638" s="2171"/>
      <c r="N638" s="2171"/>
      <c r="O638" s="2171"/>
      <c r="P638" s="2171"/>
      <c r="Q638" s="2171"/>
      <c r="R638" s="2171"/>
      <c r="S638" s="2171"/>
      <c r="T638" s="2171"/>
      <c r="U638" s="2171"/>
      <c r="V638" s="2171"/>
      <c r="W638" s="2171"/>
      <c r="X638" s="2171"/>
      <c r="Y638" s="2171"/>
      <c r="Z638" s="2171"/>
      <c r="AA638" s="2171"/>
      <c r="AB638" s="2171"/>
      <c r="AC638" s="2171"/>
      <c r="AD638" s="2171"/>
      <c r="AE638" s="2171"/>
      <c r="AF638" s="2171"/>
      <c r="AG638" s="2171"/>
      <c r="AH638" s="2171"/>
      <c r="AI638" s="2171"/>
      <c r="AJ638" s="2171"/>
      <c r="AK638" s="2171"/>
      <c r="AL638" s="2171"/>
      <c r="AM638" s="2171"/>
      <c r="AN638" s="2171"/>
      <c r="AO638" s="2171"/>
      <c r="AP638" s="2171"/>
      <c r="AQ638" s="2171"/>
      <c r="AR638" s="2171"/>
      <c r="AS638" s="2171"/>
      <c r="AT638" s="2171"/>
      <c r="AU638" s="2171"/>
      <c r="AV638" s="2171"/>
      <c r="AW638" s="2171"/>
      <c r="AX638" s="2171"/>
      <c r="AY638" s="2171"/>
      <c r="AZ638" s="2171"/>
      <c r="BA638" s="2171"/>
      <c r="BB638" s="2171"/>
      <c r="BC638" s="724" t="s">
        <v>5865</v>
      </c>
      <c r="BE638" s="85"/>
      <c r="BF638" s="101"/>
    </row>
    <row r="639" spans="2:67" ht="15.75" hidden="1" customHeight="1">
      <c r="B639" s="2171" t="s">
        <v>5947</v>
      </c>
      <c r="C639" s="2171"/>
      <c r="D639" s="2171"/>
      <c r="E639" s="2171"/>
      <c r="F639" s="2171"/>
      <c r="G639" s="2171"/>
      <c r="H639" s="2171"/>
      <c r="I639" s="2171"/>
      <c r="J639" s="2171"/>
      <c r="K639" s="2171"/>
      <c r="L639" s="2171"/>
      <c r="M639" s="2171"/>
      <c r="N639" s="2171"/>
      <c r="O639" s="2171"/>
      <c r="P639" s="2171"/>
      <c r="Q639" s="2171"/>
      <c r="R639" s="2171"/>
      <c r="S639" s="2171"/>
      <c r="T639" s="2171"/>
      <c r="U639" s="2171"/>
      <c r="V639" s="2171"/>
      <c r="W639" s="2171"/>
      <c r="X639" s="2171"/>
      <c r="Y639" s="2171"/>
      <c r="Z639" s="2171"/>
      <c r="AA639" s="2171"/>
      <c r="AB639" s="2171"/>
      <c r="AC639" s="2171"/>
      <c r="AD639" s="2171"/>
      <c r="AE639" s="2171"/>
      <c r="AF639" s="2171"/>
      <c r="AG639" s="2171"/>
      <c r="AH639" s="2171"/>
      <c r="AI639" s="2171"/>
      <c r="AJ639" s="2171"/>
      <c r="AK639" s="2171"/>
      <c r="AL639" s="2171"/>
      <c r="AM639" s="2171"/>
      <c r="AN639" s="2171"/>
      <c r="AO639" s="2171"/>
      <c r="AP639" s="2171"/>
      <c r="AQ639" s="2171"/>
      <c r="AR639" s="2171"/>
      <c r="AS639" s="2171"/>
      <c r="AT639" s="2171"/>
      <c r="AU639" s="2171"/>
      <c r="AV639" s="2171"/>
      <c r="AW639" s="2171"/>
      <c r="AX639" s="2171"/>
      <c r="AY639" s="2171"/>
      <c r="AZ639" s="2171"/>
      <c r="BA639" s="2171"/>
      <c r="BB639" s="2171"/>
      <c r="BC639" s="724" t="s">
        <v>5865</v>
      </c>
      <c r="BL639" s="99"/>
      <c r="BM639" s="99"/>
      <c r="BN639" s="99"/>
      <c r="BO639" s="99"/>
    </row>
    <row r="640" spans="2:67" ht="15.75" hidden="1" customHeight="1">
      <c r="D640" s="2173" t="s">
        <v>3460</v>
      </c>
      <c r="E640" s="2173"/>
      <c r="F640" s="2173"/>
      <c r="G640" s="2173"/>
      <c r="H640" s="2173"/>
      <c r="I640" s="2173"/>
      <c r="J640" s="2173"/>
      <c r="K640" s="2173"/>
      <c r="L640" s="2173"/>
      <c r="M640" s="2173"/>
      <c r="N640" s="2173"/>
      <c r="O640" s="2173"/>
      <c r="P640" s="2173"/>
      <c r="Q640" s="2173"/>
      <c r="R640" s="2173"/>
      <c r="S640" s="2173"/>
      <c r="T640" s="2173"/>
      <c r="U640" s="2173"/>
      <c r="V640" s="2173"/>
      <c r="W640" s="2173"/>
      <c r="X640" s="2173"/>
      <c r="Y640" s="2173"/>
      <c r="Z640" s="2173"/>
      <c r="AA640" s="2173"/>
      <c r="AB640" s="2173"/>
      <c r="AC640" s="2173"/>
      <c r="AD640" s="2173"/>
      <c r="AE640" s="2173"/>
      <c r="AF640" s="2173"/>
      <c r="AG640" s="2173"/>
      <c r="AH640" s="2173"/>
      <c r="AI640" s="2173"/>
      <c r="AJ640" s="2173"/>
      <c r="AK640" s="2173"/>
      <c r="AL640" s="2173"/>
      <c r="AM640" s="2173"/>
      <c r="AN640" s="2173"/>
      <c r="AO640" s="2173"/>
      <c r="AP640" s="2173"/>
      <c r="AQ640" s="2173"/>
      <c r="AR640" s="2173"/>
      <c r="AS640" s="2173"/>
      <c r="AT640" s="2173"/>
      <c r="AU640" s="2173"/>
      <c r="AV640" s="2173"/>
      <c r="AW640" s="2173"/>
      <c r="AX640" s="2173"/>
      <c r="AY640" s="2173"/>
      <c r="AZ640" s="2173"/>
      <c r="BA640" s="2173"/>
      <c r="BB640" s="2173"/>
      <c r="BC640" s="724" t="s">
        <v>5865</v>
      </c>
      <c r="BE640" s="124"/>
      <c r="BF640" s="99"/>
      <c r="BG640" s="99"/>
      <c r="BH640" s="99"/>
      <c r="BI640" s="99"/>
      <c r="BJ640" s="99"/>
      <c r="BK640" s="99"/>
      <c r="BL640" s="100"/>
      <c r="BM640" s="100"/>
      <c r="BN640" s="100"/>
      <c r="BO640" s="100"/>
    </row>
    <row r="641" spans="2:67" ht="15.75" hidden="1" customHeight="1">
      <c r="E641" s="2171" t="s">
        <v>6219</v>
      </c>
      <c r="F641" s="2171"/>
      <c r="G641" s="2171"/>
      <c r="H641" s="2171"/>
      <c r="I641" s="2171"/>
      <c r="J641" s="2171"/>
      <c r="K641" s="2171"/>
      <c r="L641" s="2171"/>
      <c r="M641" s="2171"/>
      <c r="N641" s="2171"/>
      <c r="O641" s="2171"/>
      <c r="P641" s="2171"/>
      <c r="Q641" s="2171"/>
      <c r="R641" s="2171"/>
      <c r="S641" s="2171"/>
      <c r="T641" s="2171"/>
      <c r="U641" s="2171"/>
      <c r="V641" s="2171"/>
      <c r="W641" s="2171"/>
      <c r="X641" s="2171"/>
      <c r="Y641" s="2171"/>
      <c r="Z641" s="2171"/>
      <c r="AA641" s="2171"/>
      <c r="AB641" s="2171"/>
      <c r="AC641" s="2171"/>
      <c r="AD641" s="2171"/>
      <c r="AE641" s="2171"/>
      <c r="AF641" s="2171"/>
      <c r="AG641" s="2171"/>
      <c r="AH641" s="2171"/>
      <c r="AI641" s="2171"/>
      <c r="AJ641" s="2171"/>
      <c r="AK641" s="2171"/>
      <c r="AL641" s="2171"/>
      <c r="AM641" s="2171"/>
      <c r="AN641" s="2171"/>
      <c r="AO641" s="2171"/>
      <c r="AP641" s="2171"/>
      <c r="AQ641" s="2171"/>
      <c r="AR641" s="2171"/>
      <c r="AS641" s="2171"/>
      <c r="AT641" s="2171"/>
      <c r="AU641" s="2171"/>
      <c r="AV641" s="2171"/>
      <c r="AW641" s="2171"/>
      <c r="AX641" s="2171"/>
      <c r="AY641" s="2171"/>
      <c r="AZ641" s="2171"/>
      <c r="BA641" s="2171"/>
      <c r="BB641" s="2171"/>
      <c r="BC641" s="724" t="s">
        <v>5865</v>
      </c>
      <c r="BE641" s="85"/>
      <c r="BF641" s="100"/>
      <c r="BG641" s="100"/>
      <c r="BH641" s="100"/>
      <c r="BI641" s="100"/>
      <c r="BJ641" s="100"/>
      <c r="BK641" s="100"/>
      <c r="BL641" s="100"/>
      <c r="BM641" s="100"/>
      <c r="BN641" s="100"/>
      <c r="BO641" s="100"/>
    </row>
    <row r="642" spans="2:67" ht="15.75" hidden="1" customHeight="1">
      <c r="F642" s="2171" t="s">
        <v>3109</v>
      </c>
      <c r="G642" s="2172"/>
      <c r="H642" s="2172"/>
      <c r="I642" s="2172"/>
      <c r="J642" s="2172"/>
      <c r="K642" s="2172"/>
      <c r="L642" s="2172"/>
      <c r="M642" s="2172"/>
      <c r="N642" s="2172"/>
      <c r="O642" s="2172"/>
      <c r="P642" s="2172"/>
      <c r="Q642" s="2172"/>
      <c r="R642" s="2172"/>
      <c r="S642" s="2172"/>
      <c r="T642" s="2172"/>
      <c r="U642" s="2172"/>
      <c r="V642" s="2172"/>
      <c r="W642" s="2172"/>
      <c r="X642" s="2172"/>
      <c r="Y642" s="2172"/>
      <c r="Z642" s="2172"/>
      <c r="AA642" s="2172"/>
      <c r="AB642" s="2172"/>
      <c r="AC642" s="2172"/>
      <c r="AD642" s="2172"/>
      <c r="AE642" s="2172"/>
      <c r="AF642" s="2172"/>
      <c r="AG642" s="2172"/>
      <c r="AH642" s="2172"/>
      <c r="AI642" s="2172"/>
      <c r="AJ642" s="2172"/>
      <c r="AK642" s="2172"/>
      <c r="AL642" s="2172"/>
      <c r="AM642" s="2172"/>
      <c r="AN642" s="2172"/>
      <c r="AO642" s="2172"/>
      <c r="AP642" s="2172"/>
      <c r="AQ642" s="2172"/>
      <c r="AR642" s="2172"/>
      <c r="AS642" s="2172"/>
      <c r="AT642" s="2172"/>
      <c r="AU642" s="2172"/>
      <c r="AV642" s="2172"/>
      <c r="AW642" s="2172"/>
      <c r="AX642" s="2172"/>
      <c r="AY642" s="2172"/>
      <c r="AZ642" s="2172"/>
      <c r="BA642" s="2172"/>
      <c r="BB642" s="2172"/>
      <c r="BC642" s="724" t="s">
        <v>5865</v>
      </c>
      <c r="BE642" s="85"/>
      <c r="BF642" s="100"/>
      <c r="BG642" s="100"/>
      <c r="BH642" s="100"/>
      <c r="BI642" s="100"/>
      <c r="BJ642" s="100"/>
      <c r="BK642" s="100"/>
      <c r="BL642" s="100"/>
      <c r="BM642" s="100"/>
      <c r="BN642" s="100"/>
      <c r="BO642" s="100"/>
    </row>
    <row r="643" spans="2:67" ht="15.75" hidden="1" customHeight="1">
      <c r="F643" s="2171" t="s">
        <v>4055</v>
      </c>
      <c r="G643" s="2172"/>
      <c r="H643" s="2172"/>
      <c r="I643" s="2172"/>
      <c r="J643" s="2172"/>
      <c r="K643" s="2172"/>
      <c r="L643" s="2172"/>
      <c r="M643" s="2172"/>
      <c r="N643" s="2172"/>
      <c r="O643" s="2172"/>
      <c r="P643" s="2172"/>
      <c r="Q643" s="2172"/>
      <c r="R643" s="2172"/>
      <c r="S643" s="2172"/>
      <c r="T643" s="2172"/>
      <c r="U643" s="2172"/>
      <c r="V643" s="2172"/>
      <c r="W643" s="2172"/>
      <c r="X643" s="2172"/>
      <c r="Y643" s="2172"/>
      <c r="Z643" s="2172"/>
      <c r="AA643" s="2172"/>
      <c r="AB643" s="2172"/>
      <c r="AC643" s="2172"/>
      <c r="AD643" s="2172"/>
      <c r="AE643" s="2172"/>
      <c r="AF643" s="2172"/>
      <c r="AG643" s="2172"/>
      <c r="AH643" s="2172"/>
      <c r="AI643" s="2172"/>
      <c r="AJ643" s="2172"/>
      <c r="AK643" s="2172"/>
      <c r="AL643" s="2172"/>
      <c r="AM643" s="2172"/>
      <c r="AN643" s="2172"/>
      <c r="AO643" s="2172"/>
      <c r="AP643" s="2172"/>
      <c r="AQ643" s="2172"/>
      <c r="AR643" s="2172"/>
      <c r="AS643" s="2172"/>
      <c r="AT643" s="2172"/>
      <c r="AU643" s="2172"/>
      <c r="AV643" s="2172"/>
      <c r="AW643" s="2172"/>
      <c r="AX643" s="2172"/>
      <c r="AY643" s="2172"/>
      <c r="AZ643" s="2172"/>
      <c r="BA643" s="2172"/>
      <c r="BB643" s="2172"/>
      <c r="BC643" s="724" t="s">
        <v>5865</v>
      </c>
      <c r="BE643" s="85"/>
      <c r="BF643" s="100"/>
      <c r="BG643" s="100"/>
      <c r="BH643" s="100"/>
      <c r="BI643" s="100"/>
      <c r="BJ643" s="100"/>
      <c r="BK643" s="100"/>
      <c r="BL643" s="101"/>
      <c r="BM643" s="101"/>
      <c r="BN643" s="101"/>
      <c r="BO643" s="101"/>
    </row>
    <row r="644" spans="2:67" ht="15.75" hidden="1" customHeight="1">
      <c r="G644" s="102" t="s">
        <v>4056</v>
      </c>
      <c r="W644" s="137" t="s">
        <v>199</v>
      </c>
      <c r="Z644" s="137" t="e">
        <f>"/"&amp;TEXT(#REF!,"yyyy")</f>
        <v>#REF!</v>
      </c>
      <c r="BC644" s="724" t="s">
        <v>5865</v>
      </c>
      <c r="BE644" s="85"/>
      <c r="BF644" s="100"/>
      <c r="BG644" s="100"/>
      <c r="BH644" s="100"/>
      <c r="BI644" s="100"/>
      <c r="BJ644" s="100"/>
      <c r="BK644" s="100"/>
    </row>
    <row r="645" spans="2:67" ht="15.75" hidden="1" customHeight="1">
      <c r="G645" s="102" t="s">
        <v>4057</v>
      </c>
      <c r="W645" s="137" t="s">
        <v>199</v>
      </c>
      <c r="Z645" s="137" t="e">
        <f>"/"&amp;TEXT(#REF!,"yyyy")</f>
        <v>#REF!</v>
      </c>
      <c r="BC645" s="724" t="s">
        <v>5865</v>
      </c>
      <c r="BE645" s="85"/>
      <c r="BF645" s="101"/>
    </row>
    <row r="646" spans="2:67" ht="15.75" hidden="1" customHeight="1">
      <c r="E646" s="2173" t="s">
        <v>4015</v>
      </c>
      <c r="F646" s="2171"/>
      <c r="G646" s="2171"/>
      <c r="H646" s="2171"/>
      <c r="I646" s="2171"/>
      <c r="J646" s="2171"/>
      <c r="K646" s="2171"/>
      <c r="L646" s="2171"/>
      <c r="M646" s="2171"/>
      <c r="N646" s="2171"/>
      <c r="O646" s="2171"/>
      <c r="P646" s="2171"/>
      <c r="Q646" s="2171"/>
      <c r="R646" s="2171"/>
      <c r="S646" s="2171"/>
      <c r="T646" s="2171"/>
      <c r="U646" s="2171"/>
      <c r="V646" s="2171"/>
      <c r="W646" s="2171"/>
      <c r="X646" s="2171"/>
      <c r="Y646" s="2171"/>
      <c r="Z646" s="2171"/>
      <c r="AA646" s="2171"/>
      <c r="AB646" s="2171"/>
      <c r="AC646" s="2171"/>
      <c r="AD646" s="2171"/>
      <c r="AE646" s="2171"/>
      <c r="AF646" s="2171"/>
      <c r="AG646" s="2171"/>
      <c r="AH646" s="2171"/>
      <c r="AI646" s="2171"/>
      <c r="AJ646" s="2171"/>
      <c r="AK646" s="2171"/>
      <c r="AL646" s="2171"/>
      <c r="AM646" s="2171"/>
      <c r="AN646" s="2171"/>
      <c r="AO646" s="2171"/>
      <c r="AP646" s="2171"/>
      <c r="AQ646" s="2171"/>
      <c r="AR646" s="2171"/>
      <c r="AS646" s="2171"/>
      <c r="AT646" s="2171"/>
      <c r="AU646" s="2171"/>
      <c r="AV646" s="2171"/>
      <c r="AW646" s="2171"/>
      <c r="AX646" s="2171"/>
      <c r="AY646" s="2171"/>
      <c r="AZ646" s="2171"/>
      <c r="BA646" s="2171"/>
      <c r="BB646" s="2171"/>
      <c r="BC646" s="724" t="s">
        <v>5865</v>
      </c>
    </row>
    <row r="647" spans="2:67" ht="15.75" hidden="1" customHeight="1">
      <c r="D647" s="2173" t="s">
        <v>3461</v>
      </c>
      <c r="E647" s="2173"/>
      <c r="F647" s="2173"/>
      <c r="G647" s="2173"/>
      <c r="H647" s="2173"/>
      <c r="I647" s="2173"/>
      <c r="J647" s="2173"/>
      <c r="K647" s="2173"/>
      <c r="L647" s="2173"/>
      <c r="M647" s="2173"/>
      <c r="N647" s="2173"/>
      <c r="O647" s="2173"/>
      <c r="P647" s="2173"/>
      <c r="Q647" s="2173"/>
      <c r="R647" s="2173"/>
      <c r="S647" s="2173"/>
      <c r="T647" s="2173"/>
      <c r="U647" s="2173"/>
      <c r="V647" s="2173"/>
      <c r="W647" s="2173"/>
      <c r="X647" s="2173"/>
      <c r="Y647" s="2173"/>
      <c r="Z647" s="2173"/>
      <c r="AA647" s="2173"/>
      <c r="AB647" s="2173"/>
      <c r="AC647" s="2173"/>
      <c r="AD647" s="2173"/>
      <c r="AE647" s="2173"/>
      <c r="AF647" s="2173"/>
      <c r="AG647" s="2173"/>
      <c r="AH647" s="2173"/>
      <c r="AI647" s="2173"/>
      <c r="AJ647" s="2173"/>
      <c r="AK647" s="2173"/>
      <c r="AL647" s="2173"/>
      <c r="AM647" s="2173"/>
      <c r="AN647" s="2173"/>
      <c r="AO647" s="2173"/>
      <c r="AP647" s="2173"/>
      <c r="AQ647" s="2173"/>
      <c r="AR647" s="2173"/>
      <c r="AS647" s="2173"/>
      <c r="AT647" s="2173"/>
      <c r="AU647" s="2173"/>
      <c r="AV647" s="2173"/>
      <c r="AW647" s="2173"/>
      <c r="AX647" s="2173"/>
      <c r="AY647" s="2173"/>
      <c r="AZ647" s="2173"/>
      <c r="BA647" s="2173"/>
      <c r="BB647" s="2173"/>
      <c r="BC647" s="724" t="s">
        <v>5865</v>
      </c>
    </row>
    <row r="648" spans="2:67" ht="15.75" hidden="1" customHeight="1">
      <c r="E648" s="2171" t="s">
        <v>4058</v>
      </c>
      <c r="F648" s="2171"/>
      <c r="G648" s="2171"/>
      <c r="H648" s="2171"/>
      <c r="I648" s="2171"/>
      <c r="J648" s="2171"/>
      <c r="K648" s="2171"/>
      <c r="L648" s="2171"/>
      <c r="M648" s="2171"/>
      <c r="N648" s="2171"/>
      <c r="O648" s="2171"/>
      <c r="P648" s="2171"/>
      <c r="Q648" s="2171"/>
      <c r="R648" s="2171"/>
      <c r="S648" s="2171"/>
      <c r="T648" s="2171"/>
      <c r="U648" s="2171"/>
      <c r="V648" s="2171"/>
      <c r="W648" s="2171"/>
      <c r="X648" s="2171"/>
      <c r="Y648" s="2171"/>
      <c r="Z648" s="2171"/>
      <c r="AA648" s="2171"/>
      <c r="AB648" s="2171"/>
      <c r="AC648" s="2171"/>
      <c r="AD648" s="2171"/>
      <c r="AE648" s="2171"/>
      <c r="AF648" s="2171"/>
      <c r="AG648" s="2171"/>
      <c r="AH648" s="2171"/>
      <c r="AI648" s="2171"/>
      <c r="AJ648" s="2171"/>
      <c r="AK648" s="2171"/>
      <c r="AL648" s="2171"/>
      <c r="AM648" s="2171"/>
      <c r="AN648" s="2171"/>
      <c r="AO648" s="2171"/>
      <c r="AP648" s="2171"/>
      <c r="AQ648" s="2171"/>
      <c r="AR648" s="2171"/>
      <c r="AS648" s="2171"/>
      <c r="AT648" s="2171"/>
      <c r="AU648" s="2171"/>
      <c r="AV648" s="2171"/>
      <c r="AW648" s="2171"/>
      <c r="AX648" s="2171"/>
      <c r="AY648" s="2171"/>
      <c r="AZ648" s="2171"/>
      <c r="BA648" s="2171"/>
      <c r="BB648" s="2171"/>
      <c r="BC648" s="724" t="s">
        <v>5865</v>
      </c>
    </row>
    <row r="649" spans="2:67" ht="15.75" hidden="1" customHeight="1">
      <c r="F649" s="2171" t="s">
        <v>4059</v>
      </c>
      <c r="G649" s="2172"/>
      <c r="H649" s="2172"/>
      <c r="I649" s="2172"/>
      <c r="J649" s="2172"/>
      <c r="K649" s="2172"/>
      <c r="L649" s="2172"/>
      <c r="M649" s="2172"/>
      <c r="N649" s="2172"/>
      <c r="O649" s="2172"/>
      <c r="P649" s="2172"/>
      <c r="Q649" s="2172"/>
      <c r="R649" s="2172"/>
      <c r="S649" s="2172"/>
      <c r="T649" s="2172"/>
      <c r="U649" s="2172"/>
      <c r="V649" s="2172"/>
      <c r="W649" s="2172"/>
      <c r="X649" s="2172"/>
      <c r="Y649" s="2172"/>
      <c r="Z649" s="2172"/>
      <c r="AA649" s="2172"/>
      <c r="AB649" s="2172"/>
      <c r="AC649" s="2172"/>
      <c r="AD649" s="2172"/>
      <c r="AE649" s="2172"/>
      <c r="AF649" s="2172"/>
      <c r="AG649" s="2172"/>
      <c r="AH649" s="2172"/>
      <c r="AI649" s="2172"/>
      <c r="AJ649" s="2172"/>
      <c r="AK649" s="2172"/>
      <c r="AL649" s="2172"/>
      <c r="AM649" s="2172"/>
      <c r="AN649" s="2172"/>
      <c r="AO649" s="2172"/>
      <c r="AP649" s="2172"/>
      <c r="AQ649" s="2172"/>
      <c r="AR649" s="2172"/>
      <c r="AS649" s="2172"/>
      <c r="AT649" s="2172"/>
      <c r="AU649" s="2172"/>
      <c r="AV649" s="2172"/>
      <c r="AW649" s="2172"/>
      <c r="AX649" s="2172"/>
      <c r="AY649" s="2172"/>
      <c r="AZ649" s="2172"/>
      <c r="BA649" s="2172"/>
      <c r="BB649" s="2172"/>
      <c r="BC649" s="724" t="s">
        <v>5865</v>
      </c>
    </row>
    <row r="650" spans="2:67" ht="15.75" hidden="1" customHeight="1">
      <c r="F650" s="2171" t="s">
        <v>2484</v>
      </c>
      <c r="G650" s="2172"/>
      <c r="H650" s="2172"/>
      <c r="I650" s="2172"/>
      <c r="J650" s="2172"/>
      <c r="K650" s="2172"/>
      <c r="L650" s="2172"/>
      <c r="M650" s="2172"/>
      <c r="N650" s="2172"/>
      <c r="O650" s="2172"/>
      <c r="P650" s="2172"/>
      <c r="Q650" s="2172"/>
      <c r="R650" s="2172"/>
      <c r="S650" s="2172"/>
      <c r="T650" s="2172"/>
      <c r="U650" s="2172"/>
      <c r="V650" s="2172"/>
      <c r="W650" s="2172"/>
      <c r="X650" s="2172"/>
      <c r="Y650" s="2172"/>
      <c r="Z650" s="2172"/>
      <c r="AA650" s="2172"/>
      <c r="AB650" s="2172"/>
      <c r="AC650" s="2172"/>
      <c r="AD650" s="2172"/>
      <c r="AE650" s="2172"/>
      <c r="AF650" s="2172"/>
      <c r="AG650" s="2172"/>
      <c r="AH650" s="2172"/>
      <c r="AI650" s="2172"/>
      <c r="AJ650" s="2172"/>
      <c r="AK650" s="2172"/>
      <c r="AL650" s="2172"/>
      <c r="AM650" s="2172"/>
      <c r="AN650" s="2172"/>
      <c r="AO650" s="2172"/>
      <c r="AP650" s="2172"/>
      <c r="AQ650" s="2172"/>
      <c r="AR650" s="2172"/>
      <c r="AS650" s="2172"/>
      <c r="AT650" s="2172"/>
      <c r="AU650" s="2172"/>
      <c r="AV650" s="2172"/>
      <c r="AW650" s="2172"/>
      <c r="AX650" s="2172"/>
      <c r="AY650" s="2172"/>
      <c r="AZ650" s="2172"/>
      <c r="BA650" s="2172"/>
      <c r="BB650" s="2172"/>
      <c r="BC650" s="724" t="s">
        <v>5865</v>
      </c>
    </row>
    <row r="651" spans="2:67" ht="15.75" hidden="1" customHeight="1">
      <c r="B651" s="2171" t="s">
        <v>5948</v>
      </c>
      <c r="C651" s="2171"/>
      <c r="D651" s="2171"/>
      <c r="E651" s="2171"/>
      <c r="F651" s="2171"/>
      <c r="G651" s="2171"/>
      <c r="H651" s="2171"/>
      <c r="I651" s="2171"/>
      <c r="J651" s="2171"/>
      <c r="K651" s="2171"/>
      <c r="L651" s="2171"/>
      <c r="M651" s="2171"/>
      <c r="N651" s="2171"/>
      <c r="O651" s="2171"/>
      <c r="P651" s="2171"/>
      <c r="Q651" s="2171">
        <f>+BI612</f>
        <v>0</v>
      </c>
      <c r="R651" s="2171"/>
      <c r="S651" s="2171"/>
      <c r="T651" s="2171"/>
      <c r="U651" s="2171"/>
      <c r="V651" s="2171"/>
      <c r="W651" s="2171"/>
      <c r="X651" s="2171"/>
      <c r="Y651" s="2171"/>
      <c r="Z651" s="2171"/>
      <c r="AA651" s="2171"/>
      <c r="AB651" s="2171"/>
      <c r="AC651" s="2171"/>
      <c r="AD651" s="2171"/>
      <c r="AE651" s="2171"/>
      <c r="AF651" s="2171"/>
      <c r="AG651" s="2171"/>
      <c r="AH651" s="2171"/>
      <c r="AI651" s="2171"/>
      <c r="AJ651" s="2171"/>
      <c r="AK651" s="2171"/>
      <c r="AL651" s="2171"/>
      <c r="AM651" s="2171"/>
      <c r="AN651" s="2171"/>
      <c r="AO651" s="2171" t="s">
        <v>3306</v>
      </c>
      <c r="AP651" s="2171">
        <f>ROUND(+BI612*3.17%*(1.13+0.1)*1.05,0)</f>
        <v>0</v>
      </c>
      <c r="AQ651" s="2171"/>
      <c r="AR651" s="2171"/>
      <c r="AS651" s="2171"/>
      <c r="AT651" s="2171"/>
      <c r="AU651" s="2171"/>
      <c r="AV651" s="2171"/>
      <c r="AW651" s="2171"/>
      <c r="AX651" s="2171"/>
      <c r="AY651" s="2171"/>
      <c r="AZ651" s="2171"/>
      <c r="BA651" s="2171"/>
      <c r="BB651" s="2171"/>
      <c r="BC651" s="724" t="s">
        <v>5865</v>
      </c>
    </row>
    <row r="652" spans="2:67" ht="15.75" hidden="1" customHeight="1">
      <c r="B652" s="2171" t="s">
        <v>1249</v>
      </c>
      <c r="C652" s="2171"/>
      <c r="D652" s="2171"/>
      <c r="E652" s="2171"/>
      <c r="F652" s="2171"/>
      <c r="G652" s="2171"/>
      <c r="H652" s="2171"/>
      <c r="I652" s="2171"/>
      <c r="J652" s="2171"/>
      <c r="K652" s="2171"/>
      <c r="L652" s="2171"/>
      <c r="M652" s="2171"/>
      <c r="N652" s="2171"/>
      <c r="O652" s="2171"/>
      <c r="P652" s="2171"/>
      <c r="Q652" s="2171"/>
      <c r="R652" s="2171"/>
      <c r="S652" s="2171"/>
      <c r="T652" s="2171"/>
      <c r="U652" s="2171"/>
      <c r="V652" s="2171"/>
      <c r="W652" s="2171"/>
      <c r="X652" s="2171"/>
      <c r="Y652" s="2171"/>
      <c r="Z652" s="2171"/>
      <c r="AA652" s="2171"/>
      <c r="AB652" s="2171"/>
      <c r="AC652" s="2171"/>
      <c r="AD652" s="2171"/>
      <c r="AE652" s="2171"/>
      <c r="AF652" s="2171"/>
      <c r="AG652" s="2171"/>
      <c r="AH652" s="2171"/>
      <c r="AI652" s="2171"/>
      <c r="AJ652" s="2171"/>
      <c r="AK652" s="2171"/>
      <c r="AL652" s="2171"/>
      <c r="AM652" s="2171"/>
      <c r="AN652" s="2171"/>
      <c r="AO652" s="2171"/>
      <c r="AP652" s="2171"/>
      <c r="AQ652" s="2171"/>
      <c r="AR652" s="2171"/>
      <c r="AS652" s="2171"/>
      <c r="AT652" s="2171"/>
      <c r="AU652" s="2171"/>
      <c r="AV652" s="2171"/>
      <c r="AW652" s="2171"/>
      <c r="AX652" s="2171"/>
      <c r="AY652" s="2171"/>
      <c r="AZ652" s="2171"/>
      <c r="BA652" s="2171"/>
      <c r="BB652" s="2171"/>
      <c r="BC652" s="724" t="s">
        <v>5865</v>
      </c>
    </row>
    <row r="653" spans="2:67" ht="15.75" hidden="1" customHeight="1">
      <c r="F653" s="2171" t="s">
        <v>5233</v>
      </c>
      <c r="G653" s="2172"/>
      <c r="H653" s="2172"/>
      <c r="I653" s="2172"/>
      <c r="J653" s="2172"/>
      <c r="K653" s="2172"/>
      <c r="L653" s="2172"/>
      <c r="M653" s="2172"/>
      <c r="N653" s="2172"/>
      <c r="O653" s="2172"/>
      <c r="P653" s="2172"/>
      <c r="Q653" s="2172"/>
      <c r="R653" s="2172"/>
      <c r="S653" s="2172"/>
      <c r="T653" s="2172"/>
      <c r="U653" s="2172"/>
      <c r="V653" s="2172"/>
      <c r="W653" s="2172"/>
      <c r="X653" s="2172"/>
      <c r="Y653" s="2172"/>
      <c r="Z653" s="2172"/>
      <c r="AA653" s="2172"/>
      <c r="AB653" s="2172"/>
      <c r="AC653" s="2172"/>
      <c r="AD653" s="2172"/>
      <c r="AE653" s="2172"/>
      <c r="AF653" s="2172"/>
      <c r="AG653" s="2172"/>
      <c r="AH653" s="2172"/>
      <c r="AI653" s="2172"/>
      <c r="AJ653" s="2172"/>
      <c r="AK653" s="2172"/>
      <c r="AL653" s="2172"/>
      <c r="AM653" s="2172"/>
      <c r="AN653" s="2172"/>
      <c r="AO653" s="2172"/>
      <c r="AP653" s="2172"/>
      <c r="AQ653" s="2172"/>
      <c r="AR653" s="2172"/>
      <c r="AS653" s="2172"/>
      <c r="AT653" s="2172"/>
      <c r="AU653" s="2172"/>
      <c r="AV653" s="2172"/>
      <c r="AW653" s="2172"/>
      <c r="AX653" s="2172"/>
      <c r="AY653" s="2172"/>
      <c r="AZ653" s="2172"/>
      <c r="BA653" s="2172"/>
      <c r="BB653" s="2172"/>
      <c r="BC653" s="724" t="s">
        <v>5865</v>
      </c>
    </row>
    <row r="654" spans="2:67" ht="15.75" hidden="1" customHeight="1">
      <c r="F654" s="2171" t="s">
        <v>5234</v>
      </c>
      <c r="G654" s="2172"/>
      <c r="H654" s="2172"/>
      <c r="I654" s="2172"/>
      <c r="J654" s="2172"/>
      <c r="K654" s="2172"/>
      <c r="L654" s="2172"/>
      <c r="M654" s="2172"/>
      <c r="N654" s="2172"/>
      <c r="O654" s="2172"/>
      <c r="P654" s="2172"/>
      <c r="Q654" s="2172"/>
      <c r="R654" s="2172"/>
      <c r="S654" s="2172"/>
      <c r="T654" s="2172"/>
      <c r="U654" s="2172"/>
      <c r="V654" s="2172"/>
      <c r="W654" s="2172"/>
      <c r="X654" s="2172"/>
      <c r="Y654" s="2172"/>
      <c r="Z654" s="2172"/>
      <c r="AA654" s="2172"/>
      <c r="AB654" s="2172"/>
      <c r="AC654" s="2172"/>
      <c r="AD654" s="2172"/>
      <c r="AE654" s="2172"/>
      <c r="AF654" s="2172"/>
      <c r="AG654" s="2172"/>
      <c r="AH654" s="2172"/>
      <c r="AI654" s="2172"/>
      <c r="AJ654" s="2172"/>
      <c r="AK654" s="2172"/>
      <c r="AL654" s="2172"/>
      <c r="AM654" s="2172"/>
      <c r="AN654" s="2172"/>
      <c r="AO654" s="2172"/>
      <c r="AP654" s="2172"/>
      <c r="AQ654" s="2172"/>
      <c r="AR654" s="2172"/>
      <c r="AS654" s="2172"/>
      <c r="AT654" s="2172"/>
      <c r="AU654" s="2172"/>
      <c r="AV654" s="2172"/>
      <c r="AW654" s="2172"/>
      <c r="AX654" s="2172"/>
      <c r="AY654" s="2172"/>
      <c r="AZ654" s="2172"/>
      <c r="BA654" s="2172"/>
      <c r="BB654" s="2172"/>
      <c r="BC654" s="724" t="s">
        <v>5865</v>
      </c>
    </row>
    <row r="655" spans="2:67" ht="15.75" hidden="1" customHeight="1">
      <c r="B655" s="2171" t="s">
        <v>5235</v>
      </c>
      <c r="C655" s="2171"/>
      <c r="D655" s="2171"/>
      <c r="E655" s="2171"/>
      <c r="F655" s="2171"/>
      <c r="G655" s="2171"/>
      <c r="H655" s="2171"/>
      <c r="I655" s="2171"/>
      <c r="J655" s="2171"/>
      <c r="K655" s="2171"/>
      <c r="L655" s="2171"/>
      <c r="M655" s="2171"/>
      <c r="N655" s="2171"/>
      <c r="O655" s="2171"/>
      <c r="P655" s="2171"/>
      <c r="Q655" s="2171"/>
      <c r="R655" s="2171"/>
      <c r="S655" s="2171"/>
      <c r="T655" s="2171"/>
      <c r="U655" s="2171"/>
      <c r="V655" s="2171"/>
      <c r="W655" s="2171"/>
      <c r="X655" s="2171"/>
      <c r="Y655" s="2171"/>
      <c r="Z655" s="2171"/>
      <c r="AA655" s="2171"/>
      <c r="AB655" s="2171"/>
      <c r="AC655" s="2171"/>
      <c r="AD655" s="2171"/>
      <c r="AE655" s="2171"/>
      <c r="AF655" s="2171"/>
      <c r="AG655" s="2171"/>
      <c r="AH655" s="2171"/>
      <c r="AI655" s="2171"/>
      <c r="AJ655" s="2171"/>
      <c r="AK655" s="2171"/>
      <c r="AL655" s="2171"/>
      <c r="AM655" s="2171"/>
      <c r="AN655" s="2171"/>
      <c r="AO655" s="2171"/>
      <c r="AP655" s="2171"/>
      <c r="AQ655" s="2171"/>
      <c r="AR655" s="2171"/>
      <c r="AS655" s="2171"/>
      <c r="AT655" s="2171"/>
      <c r="AU655" s="2171"/>
      <c r="AV655" s="2171"/>
      <c r="AW655" s="2171"/>
      <c r="AX655" s="2171"/>
      <c r="AY655" s="2171"/>
      <c r="AZ655" s="2171"/>
      <c r="BA655" s="2171"/>
      <c r="BB655" s="2171"/>
      <c r="BC655" s="724" t="s">
        <v>5865</v>
      </c>
    </row>
    <row r="656" spans="2:67" ht="15.75" hidden="1" customHeight="1">
      <c r="E656" s="2171" t="s">
        <v>5236</v>
      </c>
      <c r="F656" s="2171"/>
      <c r="G656" s="2171"/>
      <c r="H656" s="2171"/>
      <c r="I656" s="2171"/>
      <c r="J656" s="2171"/>
      <c r="K656" s="2171"/>
      <c r="L656" s="2171"/>
      <c r="M656" s="2171"/>
      <c r="N656" s="2171"/>
      <c r="O656" s="2171"/>
      <c r="P656" s="2171"/>
      <c r="Q656" s="2171"/>
      <c r="R656" s="2171"/>
      <c r="S656" s="2171"/>
      <c r="T656" s="2171"/>
      <c r="U656" s="2171"/>
      <c r="V656" s="2171"/>
      <c r="W656" s="2171"/>
      <c r="X656" s="2171"/>
      <c r="Y656" s="2171"/>
      <c r="Z656" s="2171"/>
      <c r="AA656" s="2171"/>
      <c r="AB656" s="2171"/>
      <c r="AC656" s="2171"/>
      <c r="AD656" s="2171"/>
      <c r="AE656" s="2171"/>
      <c r="AF656" s="2171"/>
      <c r="AG656" s="2171"/>
      <c r="AH656" s="2171"/>
      <c r="AI656" s="2171"/>
      <c r="AJ656" s="2171"/>
      <c r="AK656" s="2171"/>
      <c r="AL656" s="2171"/>
      <c r="AM656" s="2171"/>
      <c r="AN656" s="2171"/>
      <c r="AO656" s="2171"/>
      <c r="AP656" s="2171"/>
      <c r="AQ656" s="2171"/>
      <c r="AR656" s="2171"/>
      <c r="AS656" s="2171"/>
      <c r="AT656" s="2171"/>
      <c r="AU656" s="2171"/>
      <c r="AV656" s="2171"/>
      <c r="AW656" s="2171"/>
      <c r="AX656" s="2171"/>
      <c r="AY656" s="2171"/>
      <c r="AZ656" s="2171"/>
      <c r="BA656" s="2171"/>
      <c r="BB656" s="2171"/>
      <c r="BC656" s="724" t="s">
        <v>5865</v>
      </c>
    </row>
    <row r="657" spans="2:55" ht="15.75" hidden="1" customHeight="1">
      <c r="F657" s="2171" t="s">
        <v>5237</v>
      </c>
      <c r="G657" s="2172"/>
      <c r="H657" s="2172"/>
      <c r="I657" s="2172"/>
      <c r="J657" s="2172"/>
      <c r="K657" s="2172"/>
      <c r="L657" s="2172"/>
      <c r="M657" s="2172"/>
      <c r="N657" s="2172"/>
      <c r="O657" s="2172"/>
      <c r="P657" s="2172"/>
      <c r="Q657" s="2172"/>
      <c r="R657" s="2172"/>
      <c r="S657" s="2172"/>
      <c r="T657" s="2172"/>
      <c r="U657" s="2172"/>
      <c r="V657" s="2172"/>
      <c r="W657" s="2172"/>
      <c r="X657" s="2172"/>
      <c r="Y657" s="2172"/>
      <c r="Z657" s="2172"/>
      <c r="AA657" s="2172"/>
      <c r="AB657" s="2172"/>
      <c r="AC657" s="2172"/>
      <c r="AD657" s="2172"/>
      <c r="AE657" s="2172"/>
      <c r="AF657" s="2172"/>
      <c r="AG657" s="2172"/>
      <c r="AH657" s="2172"/>
      <c r="AI657" s="2172"/>
      <c r="AJ657" s="2172"/>
      <c r="AK657" s="2172"/>
      <c r="AL657" s="2172"/>
      <c r="AM657" s="2172"/>
      <c r="AN657" s="2172"/>
      <c r="AO657" s="2172"/>
      <c r="AP657" s="2172"/>
      <c r="AQ657" s="2172"/>
      <c r="AR657" s="2172"/>
      <c r="AS657" s="2172"/>
      <c r="AT657" s="2172"/>
      <c r="AU657" s="2172"/>
      <c r="AV657" s="2172"/>
      <c r="AW657" s="2172"/>
      <c r="AX657" s="2172"/>
      <c r="AY657" s="2172"/>
      <c r="AZ657" s="2172"/>
      <c r="BA657" s="2172"/>
      <c r="BB657" s="2172"/>
      <c r="BC657" s="724" t="s">
        <v>5865</v>
      </c>
    </row>
    <row r="658" spans="2:55" ht="15.75" hidden="1" customHeight="1">
      <c r="B658" s="2171" t="s">
        <v>5238</v>
      </c>
      <c r="C658" s="2171"/>
      <c r="D658" s="2171"/>
      <c r="E658" s="2171"/>
      <c r="F658" s="2171"/>
      <c r="G658" s="2171"/>
      <c r="H658" s="2171"/>
      <c r="I658" s="2171"/>
      <c r="J658" s="2171"/>
      <c r="K658" s="2171"/>
      <c r="L658" s="2171"/>
      <c r="M658" s="2171"/>
      <c r="N658" s="2171"/>
      <c r="O658" s="2171"/>
      <c r="P658" s="2171"/>
      <c r="Q658" s="2171"/>
      <c r="R658" s="2171"/>
      <c r="S658" s="2171"/>
      <c r="T658" s="2171"/>
      <c r="U658" s="2171"/>
      <c r="V658" s="2171"/>
      <c r="W658" s="2171"/>
      <c r="X658" s="2171"/>
      <c r="Y658" s="2171"/>
      <c r="Z658" s="2171"/>
      <c r="AA658" s="2171"/>
      <c r="AB658" s="2171"/>
      <c r="AC658" s="2171"/>
      <c r="AD658" s="2171"/>
      <c r="AE658" s="2171"/>
      <c r="AF658" s="2171"/>
      <c r="AG658" s="2171"/>
      <c r="AH658" s="2171"/>
      <c r="AI658" s="2171"/>
      <c r="AJ658" s="2171"/>
      <c r="AK658" s="2171"/>
      <c r="AL658" s="2171"/>
      <c r="AM658" s="2171"/>
      <c r="AN658" s="2171"/>
      <c r="AO658" s="2171"/>
      <c r="AP658" s="2171"/>
      <c r="AQ658" s="2171"/>
      <c r="AR658" s="2171"/>
      <c r="AS658" s="2171"/>
      <c r="AT658" s="2171"/>
      <c r="AU658" s="2171"/>
      <c r="AV658" s="2171"/>
      <c r="AW658" s="2171"/>
      <c r="AX658" s="2171"/>
      <c r="AY658" s="2171"/>
      <c r="AZ658" s="2171"/>
      <c r="BA658" s="2171"/>
      <c r="BB658" s="2171"/>
      <c r="BC658" s="724" t="s">
        <v>5865</v>
      </c>
    </row>
    <row r="659" spans="2:55" ht="15.75" hidden="1" customHeight="1">
      <c r="F659" s="2171" t="s">
        <v>4044</v>
      </c>
      <c r="G659" s="2172"/>
      <c r="H659" s="2172"/>
      <c r="I659" s="2172"/>
      <c r="J659" s="2172"/>
      <c r="K659" s="2172"/>
      <c r="L659" s="2172"/>
      <c r="M659" s="2172"/>
      <c r="N659" s="2172"/>
      <c r="O659" s="2172"/>
      <c r="P659" s="2172"/>
      <c r="Q659" s="2172"/>
      <c r="R659" s="2172"/>
      <c r="S659" s="2172"/>
      <c r="T659" s="2172"/>
      <c r="U659" s="2172"/>
      <c r="V659" s="2172"/>
      <c r="W659" s="2172"/>
      <c r="X659" s="2172"/>
      <c r="Y659" s="2172"/>
      <c r="Z659" s="2172"/>
      <c r="AA659" s="2172"/>
      <c r="AB659" s="2172"/>
      <c r="AC659" s="2172"/>
      <c r="AD659" s="2172"/>
      <c r="AE659" s="2172"/>
      <c r="AF659" s="2172"/>
      <c r="AG659" s="2172"/>
      <c r="AH659" s="2172"/>
      <c r="AI659" s="2172"/>
      <c r="AJ659" s="2172"/>
      <c r="AK659" s="2172"/>
      <c r="AL659" s="2172"/>
      <c r="AM659" s="2172"/>
      <c r="AN659" s="2172"/>
      <c r="AO659" s="2172"/>
      <c r="AP659" s="2172"/>
      <c r="AQ659" s="2172"/>
      <c r="AR659" s="2172"/>
      <c r="AS659" s="2172"/>
      <c r="AT659" s="2172"/>
      <c r="AU659" s="2172"/>
      <c r="AV659" s="2172"/>
      <c r="AW659" s="2172"/>
      <c r="AX659" s="2172"/>
      <c r="AY659" s="2172"/>
      <c r="AZ659" s="2172"/>
      <c r="BA659" s="2172"/>
      <c r="BB659" s="2172"/>
      <c r="BC659" s="724" t="s">
        <v>5865</v>
      </c>
    </row>
    <row r="660" spans="2:55" ht="15.75" hidden="1" customHeight="1">
      <c r="E660" s="2171" t="s">
        <v>1621</v>
      </c>
      <c r="F660" s="2171"/>
      <c r="G660" s="2171"/>
      <c r="H660" s="2171"/>
      <c r="I660" s="2171"/>
      <c r="J660" s="2171"/>
      <c r="K660" s="2171"/>
      <c r="L660" s="2171"/>
      <c r="M660" s="2171"/>
      <c r="N660" s="2171"/>
      <c r="O660" s="2171"/>
      <c r="P660" s="2171"/>
      <c r="Q660" s="2171"/>
      <c r="R660" s="2171"/>
      <c r="S660" s="2171"/>
      <c r="T660" s="2171"/>
      <c r="U660" s="2171"/>
      <c r="V660" s="2171"/>
      <c r="W660" s="2171"/>
      <c r="X660" s="2171"/>
      <c r="Y660" s="2171"/>
      <c r="Z660" s="2171"/>
      <c r="AA660" s="2171"/>
      <c r="AB660" s="2171"/>
      <c r="AC660" s="2171"/>
      <c r="AD660" s="2171"/>
      <c r="AE660" s="2171"/>
      <c r="AF660" s="2171"/>
      <c r="AG660" s="2171"/>
      <c r="AH660" s="2171"/>
      <c r="AI660" s="2171"/>
      <c r="AJ660" s="2171"/>
      <c r="AK660" s="2171"/>
      <c r="AL660" s="2171"/>
      <c r="AM660" s="2171"/>
      <c r="AN660" s="2171"/>
      <c r="AO660" s="2171"/>
      <c r="AP660" s="2171"/>
      <c r="AQ660" s="2171"/>
      <c r="AR660" s="2171"/>
      <c r="AS660" s="2171"/>
      <c r="AT660" s="2171"/>
      <c r="AU660" s="2171"/>
      <c r="AV660" s="2171"/>
      <c r="AW660" s="2171"/>
      <c r="AX660" s="2171"/>
      <c r="AY660" s="2171"/>
      <c r="AZ660" s="2171"/>
      <c r="BA660" s="2171"/>
      <c r="BB660" s="2171"/>
      <c r="BC660" s="724" t="s">
        <v>5865</v>
      </c>
    </row>
    <row r="661" spans="2:55" ht="15.75" hidden="1" customHeight="1">
      <c r="B661" s="2171" t="s">
        <v>107</v>
      </c>
      <c r="C661" s="2171"/>
      <c r="D661" s="2171"/>
      <c r="E661" s="2171"/>
      <c r="F661" s="2171"/>
      <c r="G661" s="2171"/>
      <c r="H661" s="2171"/>
      <c r="I661" s="2171"/>
      <c r="J661" s="2171"/>
      <c r="K661" s="2171"/>
      <c r="L661" s="2171"/>
      <c r="M661" s="2171"/>
      <c r="N661" s="2171"/>
      <c r="O661" s="2171"/>
      <c r="P661" s="2171"/>
      <c r="Q661" s="2171"/>
      <c r="R661" s="2171"/>
      <c r="S661" s="2171"/>
      <c r="T661" s="2171"/>
      <c r="U661" s="2171"/>
      <c r="V661" s="2171"/>
      <c r="W661" s="2171"/>
      <c r="X661" s="2171"/>
      <c r="Y661" s="2171"/>
      <c r="Z661" s="2171"/>
      <c r="AA661" s="2171"/>
      <c r="AB661" s="2171"/>
      <c r="AC661" s="2171"/>
      <c r="AD661" s="2171"/>
      <c r="AE661" s="2171"/>
      <c r="AF661" s="2171"/>
      <c r="AG661" s="2171"/>
      <c r="AH661" s="2171"/>
      <c r="AI661" s="2171"/>
      <c r="AJ661" s="2171"/>
      <c r="AK661" s="2171"/>
      <c r="AL661" s="2171"/>
      <c r="AM661" s="2171"/>
      <c r="AN661" s="2171"/>
      <c r="AO661" s="2171"/>
      <c r="AP661" s="2171"/>
      <c r="AQ661" s="2171"/>
      <c r="AR661" s="2171"/>
      <c r="AS661" s="2171"/>
      <c r="AT661" s="2171"/>
      <c r="AU661" s="2171"/>
      <c r="AV661" s="2171"/>
      <c r="AW661" s="2171"/>
      <c r="AX661" s="2171"/>
      <c r="AY661" s="2171"/>
      <c r="AZ661" s="2171"/>
      <c r="BA661" s="2171"/>
      <c r="BB661" s="2171"/>
      <c r="BC661" s="724" t="s">
        <v>5865</v>
      </c>
    </row>
    <row r="662" spans="2:55" ht="15.75" hidden="1" customHeight="1">
      <c r="B662" s="2171" t="s">
        <v>108</v>
      </c>
      <c r="C662" s="2171"/>
      <c r="D662" s="2171"/>
      <c r="E662" s="2171"/>
      <c r="F662" s="2171"/>
      <c r="G662" s="2171"/>
      <c r="H662" s="2171"/>
      <c r="I662" s="2171"/>
      <c r="J662" s="2171"/>
      <c r="K662" s="2171"/>
      <c r="L662" s="2171"/>
      <c r="M662" s="2171"/>
      <c r="N662" s="2171"/>
      <c r="O662" s="2171"/>
      <c r="P662" s="2171"/>
      <c r="Q662" s="2171"/>
      <c r="R662" s="2171"/>
      <c r="S662" s="2171"/>
      <c r="T662" s="2171"/>
      <c r="U662" s="2171"/>
      <c r="V662" s="2171"/>
      <c r="W662" s="2171"/>
      <c r="X662" s="2171"/>
      <c r="Y662" s="2171"/>
      <c r="Z662" s="2171"/>
      <c r="AA662" s="2171"/>
      <c r="AB662" s="2171"/>
      <c r="AC662" s="2171"/>
      <c r="AD662" s="2171"/>
      <c r="AE662" s="2171"/>
      <c r="AF662" s="2171"/>
      <c r="AG662" s="2171"/>
      <c r="AH662" s="2171"/>
      <c r="AI662" s="2171"/>
      <c r="AJ662" s="2171"/>
      <c r="AK662" s="2171"/>
      <c r="AL662" s="2171"/>
      <c r="AM662" s="2171"/>
      <c r="AN662" s="2171"/>
      <c r="AO662" s="2171"/>
      <c r="AP662" s="2171"/>
      <c r="AQ662" s="2171"/>
      <c r="AR662" s="2171"/>
      <c r="AS662" s="2171"/>
      <c r="AT662" s="2171"/>
      <c r="AU662" s="2171"/>
      <c r="AV662" s="2171"/>
      <c r="AW662" s="2171"/>
      <c r="AX662" s="2171"/>
      <c r="AY662" s="2171"/>
      <c r="AZ662" s="2171"/>
      <c r="BA662" s="2171"/>
      <c r="BB662" s="2171"/>
      <c r="BC662" s="724" t="s">
        <v>5865</v>
      </c>
    </row>
    <row r="663" spans="2:55" ht="15.75" hidden="1" customHeight="1">
      <c r="B663" s="2171"/>
      <c r="C663" s="2171"/>
      <c r="D663" s="2171"/>
      <c r="E663" s="2171"/>
      <c r="F663" s="2171"/>
      <c r="G663" s="2171"/>
      <c r="H663" s="2171"/>
      <c r="I663" s="2171"/>
      <c r="J663" s="2171"/>
      <c r="K663" s="2171"/>
      <c r="L663" s="2171"/>
      <c r="M663" s="2171"/>
      <c r="N663" s="2171"/>
      <c r="O663" s="2171"/>
      <c r="P663" s="2171"/>
      <c r="Q663" s="2171"/>
      <c r="R663" s="2171"/>
      <c r="S663" s="2171"/>
      <c r="T663" s="2171"/>
      <c r="U663" s="2171"/>
      <c r="V663" s="2171"/>
      <c r="W663" s="2171"/>
      <c r="X663" s="2171"/>
      <c r="Y663" s="2171"/>
      <c r="Z663" s="2171"/>
      <c r="AA663" s="2171"/>
      <c r="AB663" s="2171"/>
      <c r="AC663" s="2171"/>
      <c r="AD663" s="2171"/>
      <c r="AE663" s="2171"/>
      <c r="AF663" s="2171"/>
      <c r="AG663" s="2171"/>
      <c r="AH663" s="2171"/>
      <c r="AI663" s="2171"/>
      <c r="AJ663" s="2171"/>
      <c r="AK663" s="2171"/>
      <c r="AL663" s="2171"/>
      <c r="AM663" s="2171"/>
      <c r="AN663" s="2171"/>
      <c r="AO663" s="2171"/>
      <c r="AP663" s="2171"/>
      <c r="AQ663" s="2171"/>
      <c r="AR663" s="2171"/>
      <c r="AS663" s="2171"/>
      <c r="AT663" s="2171"/>
      <c r="AU663" s="2171"/>
      <c r="AV663" s="2171"/>
      <c r="AW663" s="2171"/>
      <c r="AX663" s="2171"/>
      <c r="AY663" s="2171"/>
      <c r="AZ663" s="2171"/>
      <c r="BA663" s="2171"/>
      <c r="BB663" s="2171"/>
      <c r="BC663" s="724" t="s">
        <v>5865</v>
      </c>
    </row>
    <row r="664" spans="2:55" ht="15.75" hidden="1" customHeight="1">
      <c r="D664" s="2173" t="s">
        <v>3462</v>
      </c>
      <c r="E664" s="2173"/>
      <c r="F664" s="2173"/>
      <c r="G664" s="2173"/>
      <c r="H664" s="2173"/>
      <c r="I664" s="2173"/>
      <c r="J664" s="2173"/>
      <c r="K664" s="2173"/>
      <c r="L664" s="2173"/>
      <c r="M664" s="2173"/>
      <c r="N664" s="2173"/>
      <c r="O664" s="2173"/>
      <c r="P664" s="2173"/>
      <c r="Q664" s="2173"/>
      <c r="R664" s="2173"/>
      <c r="S664" s="2173"/>
      <c r="T664" s="2173"/>
      <c r="U664" s="2173"/>
      <c r="V664" s="2173"/>
      <c r="W664" s="2173"/>
      <c r="X664" s="2173"/>
      <c r="Y664" s="2173"/>
      <c r="Z664" s="2173"/>
      <c r="AA664" s="2173"/>
      <c r="AB664" s="2173"/>
      <c r="AC664" s="2173"/>
      <c r="AD664" s="2173"/>
      <c r="AE664" s="2173"/>
      <c r="AF664" s="2173"/>
      <c r="AG664" s="2173"/>
      <c r="AH664" s="2173"/>
      <c r="AI664" s="2173"/>
      <c r="AJ664" s="2173"/>
      <c r="AK664" s="2173"/>
      <c r="AL664" s="2173"/>
      <c r="AM664" s="2173"/>
      <c r="AN664" s="2173"/>
      <c r="AO664" s="2173"/>
      <c r="AP664" s="2173"/>
      <c r="AQ664" s="2173"/>
      <c r="AR664" s="2173"/>
      <c r="AS664" s="2173"/>
      <c r="AT664" s="2173"/>
      <c r="AU664" s="2173"/>
      <c r="AV664" s="2173"/>
      <c r="AW664" s="2173"/>
      <c r="AX664" s="2173"/>
      <c r="AY664" s="2173"/>
      <c r="AZ664" s="2173"/>
      <c r="BA664" s="2173"/>
      <c r="BB664" s="2173"/>
      <c r="BC664" s="724" t="s">
        <v>5865</v>
      </c>
    </row>
    <row r="665" spans="2:55" ht="15.75" hidden="1" customHeight="1">
      <c r="E665" s="2171" t="s">
        <v>1224</v>
      </c>
      <c r="F665" s="2173"/>
      <c r="G665" s="2173"/>
      <c r="H665" s="2173"/>
      <c r="I665" s="2173"/>
      <c r="J665" s="2173"/>
      <c r="K665" s="2173"/>
      <c r="L665" s="2173"/>
      <c r="M665" s="2173"/>
      <c r="N665" s="2173"/>
      <c r="O665" s="2173"/>
      <c r="P665" s="2173"/>
      <c r="Q665" s="2173"/>
      <c r="R665" s="2173"/>
      <c r="S665" s="2173"/>
      <c r="T665" s="2173"/>
      <c r="U665" s="2173"/>
      <c r="V665" s="2173"/>
      <c r="W665" s="2173"/>
      <c r="X665" s="2173"/>
      <c r="Y665" s="2173"/>
      <c r="Z665" s="2173"/>
      <c r="AA665" s="2173"/>
      <c r="AB665" s="2173"/>
      <c r="AC665" s="2173"/>
      <c r="AD665" s="2173"/>
      <c r="AE665" s="2173"/>
      <c r="AF665" s="2173"/>
      <c r="AG665" s="2173"/>
      <c r="AH665" s="2173"/>
      <c r="AI665" s="2173"/>
      <c r="AJ665" s="2173"/>
      <c r="AK665" s="2173"/>
      <c r="AL665" s="2173"/>
      <c r="AM665" s="2173"/>
      <c r="AN665" s="2173"/>
      <c r="AO665" s="2173"/>
      <c r="AP665" s="2173"/>
      <c r="AQ665" s="2173"/>
      <c r="AR665" s="2173"/>
      <c r="AS665" s="2173"/>
      <c r="AT665" s="2173"/>
      <c r="AU665" s="2173"/>
      <c r="AV665" s="2173"/>
      <c r="AW665" s="2173"/>
      <c r="AX665" s="2173"/>
      <c r="AY665" s="2173"/>
      <c r="AZ665" s="2173"/>
      <c r="BA665" s="2173"/>
      <c r="BB665" s="2173"/>
      <c r="BC665" s="724" t="s">
        <v>5865</v>
      </c>
    </row>
    <row r="666" spans="2:55" ht="15.75" hidden="1" customHeight="1">
      <c r="B666" s="2171" t="s">
        <v>5417</v>
      </c>
      <c r="C666" s="2171"/>
      <c r="D666" s="2171"/>
      <c r="E666" s="2171"/>
      <c r="F666" s="2171"/>
      <c r="G666" s="2171"/>
      <c r="H666" s="2171"/>
      <c r="I666" s="2171"/>
      <c r="J666" s="2171"/>
      <c r="K666" s="2171"/>
      <c r="L666" s="2171"/>
      <c r="M666" s="2171"/>
      <c r="N666" s="2171"/>
      <c r="O666" s="2171"/>
      <c r="P666" s="2171"/>
      <c r="Q666" s="2171"/>
      <c r="R666" s="2171"/>
      <c r="S666" s="2171"/>
      <c r="T666" s="2171"/>
      <c r="U666" s="2171"/>
      <c r="V666" s="2171"/>
      <c r="W666" s="2171"/>
      <c r="X666" s="2171"/>
      <c r="Y666" s="2171"/>
      <c r="Z666" s="2171"/>
      <c r="AA666" s="2171"/>
      <c r="AB666" s="2171"/>
      <c r="AC666" s="2171"/>
      <c r="AD666" s="2171"/>
      <c r="AE666" s="2171"/>
      <c r="AF666" s="2171"/>
      <c r="AG666" s="2171"/>
      <c r="AH666" s="2171"/>
      <c r="AI666" s="2171"/>
      <c r="AJ666" s="2171"/>
      <c r="AK666" s="2171"/>
      <c r="AL666" s="2171"/>
      <c r="AM666" s="2171"/>
      <c r="AN666" s="2171"/>
      <c r="AO666" s="2171"/>
      <c r="AP666" s="2171"/>
      <c r="AQ666" s="2171"/>
      <c r="AR666" s="2171"/>
      <c r="AS666" s="2171"/>
      <c r="AT666" s="2171"/>
      <c r="AU666" s="2171"/>
      <c r="AV666" s="2171"/>
      <c r="AW666" s="2171"/>
      <c r="AX666" s="2171"/>
      <c r="AY666" s="2171"/>
      <c r="AZ666" s="2171"/>
      <c r="BA666" s="2171"/>
      <c r="BB666" s="2171"/>
      <c r="BC666" s="724" t="s">
        <v>5865</v>
      </c>
    </row>
    <row r="667" spans="2:55" ht="15.75" hidden="1" customHeight="1">
      <c r="B667" s="2171" t="s">
        <v>1225</v>
      </c>
      <c r="C667" s="2171"/>
      <c r="D667" s="2171"/>
      <c r="E667" s="2171"/>
      <c r="F667" s="2171"/>
      <c r="G667" s="2171"/>
      <c r="H667" s="2171"/>
      <c r="I667" s="2171"/>
      <c r="J667" s="2171"/>
      <c r="K667" s="2171"/>
      <c r="L667" s="2171"/>
      <c r="M667" s="2171"/>
      <c r="N667" s="2171"/>
      <c r="O667" s="2171"/>
      <c r="P667" s="2171"/>
      <c r="Q667" s="2171"/>
      <c r="R667" s="2171"/>
      <c r="S667" s="2171"/>
      <c r="T667" s="2171"/>
      <c r="U667" s="2171"/>
      <c r="V667" s="2171"/>
      <c r="W667" s="2171"/>
      <c r="X667" s="2171"/>
      <c r="Y667" s="2171"/>
      <c r="Z667" s="2171"/>
      <c r="AA667" s="2171"/>
      <c r="AB667" s="2171"/>
      <c r="AC667" s="2171"/>
      <c r="AD667" s="2171"/>
      <c r="AE667" s="2171"/>
      <c r="AF667" s="2171"/>
      <c r="AG667" s="2171"/>
      <c r="AH667" s="2171"/>
      <c r="AI667" s="2171"/>
      <c r="AJ667" s="2171"/>
      <c r="AK667" s="2171"/>
      <c r="AL667" s="2171"/>
      <c r="AM667" s="2171"/>
      <c r="AN667" s="2171"/>
      <c r="AO667" s="2171"/>
      <c r="AP667" s="2171"/>
      <c r="AQ667" s="2171"/>
      <c r="AR667" s="2171"/>
      <c r="AS667" s="2171"/>
      <c r="AT667" s="2171"/>
      <c r="AU667" s="2171"/>
      <c r="AV667" s="2171"/>
      <c r="AW667" s="2171"/>
      <c r="AX667" s="2171"/>
      <c r="AY667" s="2171"/>
      <c r="AZ667" s="2171"/>
      <c r="BA667" s="2171"/>
      <c r="BB667" s="2171"/>
      <c r="BC667" s="724" t="s">
        <v>5865</v>
      </c>
    </row>
    <row r="668" spans="2:55" ht="15.75" hidden="1" customHeight="1">
      <c r="E668" s="2171" t="s">
        <v>1226</v>
      </c>
      <c r="F668" s="2173"/>
      <c r="G668" s="2173"/>
      <c r="H668" s="2173"/>
      <c r="I668" s="2173"/>
      <c r="J668" s="2173"/>
      <c r="K668" s="2173"/>
      <c r="L668" s="2173"/>
      <c r="M668" s="2173"/>
      <c r="N668" s="2173"/>
      <c r="O668" s="2173"/>
      <c r="P668" s="2173"/>
      <c r="Q668" s="2173"/>
      <c r="R668" s="2173"/>
      <c r="S668" s="2173"/>
      <c r="T668" s="2173"/>
      <c r="U668" s="2173"/>
      <c r="V668" s="2173"/>
      <c r="W668" s="2173"/>
      <c r="X668" s="2173"/>
      <c r="Y668" s="2173"/>
      <c r="Z668" s="2173"/>
      <c r="AA668" s="2173"/>
      <c r="AB668" s="2173"/>
      <c r="AC668" s="2173"/>
      <c r="AD668" s="2173"/>
      <c r="AE668" s="2173"/>
      <c r="AF668" s="2173"/>
      <c r="AG668" s="2173"/>
      <c r="AH668" s="2173"/>
      <c r="AI668" s="2173"/>
      <c r="AJ668" s="2173"/>
      <c r="AK668" s="2173"/>
      <c r="AL668" s="2173"/>
      <c r="AM668" s="2173"/>
      <c r="AN668" s="2173"/>
      <c r="AO668" s="2173"/>
      <c r="AP668" s="2173"/>
      <c r="AQ668" s="2173"/>
      <c r="AR668" s="2173"/>
      <c r="AS668" s="2173"/>
      <c r="AT668" s="2173"/>
      <c r="AU668" s="2173"/>
      <c r="AV668" s="2173"/>
      <c r="AW668" s="2173"/>
      <c r="AX668" s="2173"/>
      <c r="AY668" s="2173"/>
      <c r="AZ668" s="2173"/>
      <c r="BA668" s="2173"/>
      <c r="BB668" s="2173"/>
      <c r="BC668" s="724" t="s">
        <v>5865</v>
      </c>
    </row>
    <row r="669" spans="2:55" ht="15.75" hidden="1" customHeight="1">
      <c r="D669" s="2173" t="s">
        <v>3463</v>
      </c>
      <c r="E669" s="2173"/>
      <c r="F669" s="2173"/>
      <c r="G669" s="2173"/>
      <c r="H669" s="2173"/>
      <c r="I669" s="2173"/>
      <c r="J669" s="2173"/>
      <c r="K669" s="2173"/>
      <c r="L669" s="2173"/>
      <c r="M669" s="2173"/>
      <c r="N669" s="2173"/>
      <c r="O669" s="2173"/>
      <c r="P669" s="2173"/>
      <c r="Q669" s="2173"/>
      <c r="R669" s="2173"/>
      <c r="S669" s="2173"/>
      <c r="T669" s="2173"/>
      <c r="U669" s="2173"/>
      <c r="V669" s="2173"/>
      <c r="W669" s="2173"/>
      <c r="X669" s="2173"/>
      <c r="Y669" s="2173"/>
      <c r="Z669" s="2173"/>
      <c r="AA669" s="2173"/>
      <c r="AB669" s="2173"/>
      <c r="AC669" s="2173"/>
      <c r="AD669" s="2173"/>
      <c r="AE669" s="2173"/>
      <c r="AF669" s="2173"/>
      <c r="AG669" s="2173"/>
      <c r="AH669" s="2173"/>
      <c r="AI669" s="2173"/>
      <c r="AJ669" s="2173"/>
      <c r="AK669" s="2173"/>
      <c r="AL669" s="2173"/>
      <c r="AM669" s="2173"/>
      <c r="AN669" s="2173"/>
      <c r="AO669" s="2173"/>
      <c r="AP669" s="2173"/>
      <c r="AQ669" s="2173"/>
      <c r="AR669" s="2173"/>
      <c r="AS669" s="2173"/>
      <c r="AT669" s="2173"/>
      <c r="AU669" s="2173"/>
      <c r="AV669" s="2173"/>
      <c r="AW669" s="2173"/>
      <c r="AX669" s="2173"/>
      <c r="AY669" s="2173"/>
      <c r="AZ669" s="2173"/>
      <c r="BA669" s="2173"/>
      <c r="BB669" s="2173"/>
      <c r="BC669" s="724" t="s">
        <v>5865</v>
      </c>
    </row>
    <row r="670" spans="2:55" ht="18.75" hidden="1" customHeight="1">
      <c r="E670" s="107" t="s">
        <v>3239</v>
      </c>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302"/>
      <c r="AE670" s="302"/>
      <c r="AF670" s="302"/>
      <c r="AG670" s="302"/>
      <c r="AH670" s="302"/>
      <c r="AI670" s="302"/>
      <c r="AJ670" s="302"/>
      <c r="AK670" s="302"/>
      <c r="AL670" s="302"/>
      <c r="AM670" s="302"/>
      <c r="AN670" s="302"/>
      <c r="AO670" s="302"/>
      <c r="AP670" s="302"/>
      <c r="AQ670" s="302"/>
      <c r="AR670" s="302"/>
      <c r="AS670" s="302"/>
      <c r="AT670" s="302"/>
      <c r="AU670" s="302"/>
      <c r="AV670" s="302"/>
      <c r="AW670" s="302"/>
      <c r="AX670" s="302"/>
      <c r="AY670" s="302"/>
      <c r="AZ670" s="302"/>
      <c r="BA670" s="302"/>
      <c r="BB670" s="302"/>
      <c r="BC670" s="724" t="s">
        <v>5865</v>
      </c>
    </row>
    <row r="671" spans="2:55" ht="15.75" hidden="1" customHeight="1">
      <c r="E671" s="102" t="s">
        <v>1227</v>
      </c>
      <c r="S671" s="102" t="s">
        <v>944</v>
      </c>
      <c r="T671" s="2177">
        <f>'II.ThopXD,TB,A,DP'!H5+'II.ThopXD,TB,A,DP'!H8+'II.ThopXD,TB,A,DP'!H13+'II.ThopXD,TB,A,DP'!H16</f>
        <v>6477699773</v>
      </c>
      <c r="U671" s="2177"/>
      <c r="V671" s="2177"/>
      <c r="W671" s="2177"/>
      <c r="X671" s="2177"/>
      <c r="Y671" s="2177"/>
      <c r="Z671" s="2177"/>
      <c r="AA671" s="2177"/>
      <c r="AB671" s="2177"/>
      <c r="AC671" s="2177"/>
      <c r="AD671" s="125" t="s">
        <v>4160</v>
      </c>
      <c r="AE671" s="306"/>
      <c r="AF671" s="306"/>
      <c r="AG671" s="306"/>
      <c r="AH671" s="119"/>
      <c r="AI671" s="119"/>
      <c r="AJ671" s="119"/>
      <c r="AK671" s="119"/>
      <c r="AL671" s="119"/>
      <c r="AM671" s="119"/>
      <c r="AO671" s="125"/>
      <c r="AP671" s="125"/>
      <c r="AQ671" s="125"/>
      <c r="AR671" s="125"/>
      <c r="AS671" s="125"/>
      <c r="AT671" s="125"/>
      <c r="AU671" s="125"/>
      <c r="AV671" s="119"/>
      <c r="AW671" s="119"/>
      <c r="AX671" s="119"/>
      <c r="AY671" s="119"/>
      <c r="AZ671" s="119"/>
      <c r="BA671" s="119"/>
      <c r="BB671" s="119"/>
      <c r="BC671" s="724" t="s">
        <v>5865</v>
      </c>
    </row>
    <row r="672" spans="2:55" ht="15.75" hidden="1" customHeight="1">
      <c r="E672" s="2175" t="e">
        <v>#NAME?</v>
      </c>
      <c r="F672" s="2175"/>
      <c r="G672" s="2175"/>
      <c r="H672" s="2175"/>
      <c r="I672" s="2175"/>
      <c r="J672" s="2175"/>
      <c r="K672" s="2175"/>
      <c r="L672" s="2175"/>
      <c r="M672" s="2175"/>
      <c r="N672" s="2175"/>
      <c r="O672" s="2175"/>
      <c r="P672" s="2175"/>
      <c r="Q672" s="2175"/>
      <c r="R672" s="2175"/>
      <c r="S672" s="2175"/>
      <c r="T672" s="2175"/>
      <c r="U672" s="2175"/>
      <c r="V672" s="2175"/>
      <c r="W672" s="2175"/>
      <c r="X672" s="2175"/>
      <c r="Y672" s="2175"/>
      <c r="Z672" s="2175"/>
      <c r="AA672" s="2175"/>
      <c r="AB672" s="2175"/>
      <c r="AC672" s="2175"/>
      <c r="AD672" s="2175"/>
      <c r="AE672" s="2175"/>
      <c r="AF672" s="2175"/>
      <c r="AG672" s="2175"/>
      <c r="AH672" s="2175"/>
      <c r="AI672" s="2175"/>
      <c r="AJ672" s="2175"/>
      <c r="AK672" s="2175"/>
      <c r="AL672" s="2175"/>
      <c r="AM672" s="2175"/>
      <c r="AN672" s="2175"/>
      <c r="AO672" s="2175"/>
      <c r="AP672" s="2175"/>
      <c r="AQ672" s="2175"/>
      <c r="AR672" s="2175"/>
      <c r="AS672" s="2175"/>
      <c r="AT672" s="2175"/>
      <c r="AU672" s="2175"/>
      <c r="AV672" s="2175"/>
      <c r="AW672" s="119"/>
      <c r="AX672" s="119"/>
      <c r="AY672" s="119"/>
      <c r="AZ672" s="119"/>
      <c r="BA672" s="119"/>
      <c r="BB672" s="119"/>
      <c r="BC672" s="724" t="s">
        <v>5865</v>
      </c>
    </row>
    <row r="673" spans="2:55" ht="15.75" hidden="1" customHeight="1">
      <c r="E673" s="2171" t="s">
        <v>1228</v>
      </c>
      <c r="F673" s="2173"/>
      <c r="G673" s="2173"/>
      <c r="H673" s="2173"/>
      <c r="I673" s="2173"/>
      <c r="J673" s="2173"/>
      <c r="K673" s="2173"/>
      <c r="L673" s="2173"/>
      <c r="M673" s="2173"/>
      <c r="N673" s="2173"/>
      <c r="O673" s="2173"/>
      <c r="P673" s="2173"/>
      <c r="Q673" s="2173"/>
      <c r="R673" s="2173"/>
      <c r="S673" s="2173"/>
      <c r="T673" s="2173"/>
      <c r="U673" s="2173"/>
      <c r="V673" s="2173"/>
      <c r="W673" s="2173"/>
      <c r="X673" s="2173"/>
      <c r="Y673" s="2173"/>
      <c r="Z673" s="2173"/>
      <c r="AA673" s="2173"/>
      <c r="AB673" s="2173"/>
      <c r="AC673" s="2173"/>
      <c r="AD673" s="2173"/>
      <c r="AE673" s="2173"/>
      <c r="AF673" s="2173"/>
      <c r="AG673" s="2173"/>
      <c r="AH673" s="2173"/>
      <c r="AI673" s="2173"/>
      <c r="AJ673" s="2173"/>
      <c r="AK673" s="2173"/>
      <c r="AL673" s="2173"/>
      <c r="AM673" s="2173"/>
      <c r="AN673" s="2173"/>
      <c r="AO673" s="2173"/>
      <c r="AP673" s="2173"/>
      <c r="AQ673" s="2173"/>
      <c r="AR673" s="2173"/>
      <c r="AS673" s="2173"/>
      <c r="AT673" s="2173"/>
      <c r="AU673" s="2173"/>
      <c r="AV673" s="2173"/>
      <c r="AW673" s="2173"/>
      <c r="AX673" s="2173"/>
      <c r="AY673" s="2173"/>
      <c r="AZ673" s="2173"/>
      <c r="BA673" s="2173"/>
      <c r="BB673" s="2173"/>
      <c r="BC673" s="724" t="s">
        <v>5865</v>
      </c>
    </row>
    <row r="674" spans="2:55" ht="15.75" hidden="1" customHeight="1">
      <c r="B674" s="2171" t="s">
        <v>1040</v>
      </c>
      <c r="C674" s="2171"/>
      <c r="D674" s="2171"/>
      <c r="E674" s="2171"/>
      <c r="F674" s="2171"/>
      <c r="G674" s="2171"/>
      <c r="H674" s="2171"/>
      <c r="I674" s="2171"/>
      <c r="J674" s="2171"/>
      <c r="K674" s="2171"/>
      <c r="L674" s="2171"/>
      <c r="M674" s="2171"/>
      <c r="N674" s="2171"/>
      <c r="O674" s="2171"/>
      <c r="P674" s="2171"/>
      <c r="Q674" s="2171"/>
      <c r="R674" s="2171"/>
      <c r="S674" s="2171"/>
      <c r="T674" s="2171"/>
      <c r="U674" s="2171"/>
      <c r="V674" s="2171"/>
      <c r="W674" s="2171"/>
      <c r="X674" s="2171"/>
      <c r="Y674" s="2171"/>
      <c r="Z674" s="2171"/>
      <c r="AA674" s="2171"/>
      <c r="AB674" s="2171"/>
      <c r="AC674" s="2171"/>
      <c r="AD674" s="2171"/>
      <c r="AE674" s="2171"/>
      <c r="AF674" s="2171"/>
      <c r="AG674" s="2171"/>
      <c r="AH674" s="2171"/>
      <c r="AI674" s="2171"/>
      <c r="AJ674" s="2171"/>
      <c r="AK674" s="2171"/>
      <c r="AL674" s="2171"/>
      <c r="AM674" s="2171"/>
      <c r="AN674" s="2171"/>
      <c r="AO674" s="2171"/>
      <c r="AP674" s="2171"/>
      <c r="AQ674" s="2171"/>
      <c r="AR674" s="2171"/>
      <c r="AS674" s="2171"/>
      <c r="AT674" s="2171"/>
      <c r="AU674" s="2171"/>
      <c r="AV674" s="2171"/>
      <c r="AW674" s="2171"/>
      <c r="AX674" s="2171"/>
      <c r="AY674" s="2171"/>
      <c r="AZ674" s="2171"/>
      <c r="BA674" s="2171"/>
      <c r="BB674" s="2171"/>
      <c r="BC674" s="724" t="s">
        <v>5865</v>
      </c>
    </row>
    <row r="675" spans="2:55" ht="15.75" hidden="1" customHeight="1">
      <c r="D675" s="2173" t="s">
        <v>3464</v>
      </c>
      <c r="E675" s="2173"/>
      <c r="F675" s="2173"/>
      <c r="G675" s="2173"/>
      <c r="H675" s="2173"/>
      <c r="I675" s="2173"/>
      <c r="J675" s="2173"/>
      <c r="K675" s="2173"/>
      <c r="L675" s="2173"/>
      <c r="M675" s="2173"/>
      <c r="N675" s="2173"/>
      <c r="O675" s="2173"/>
      <c r="P675" s="2173"/>
      <c r="Q675" s="2173"/>
      <c r="R675" s="2173"/>
      <c r="S675" s="2173"/>
      <c r="T675" s="2173"/>
      <c r="U675" s="2173"/>
      <c r="V675" s="2173"/>
      <c r="W675" s="2173"/>
      <c r="X675" s="2173"/>
      <c r="Y675" s="2173"/>
      <c r="Z675" s="2173"/>
      <c r="AA675" s="2173"/>
      <c r="AB675" s="2173"/>
      <c r="AC675" s="2173"/>
      <c r="AD675" s="2173"/>
      <c r="AE675" s="2173"/>
      <c r="AF675" s="2173"/>
      <c r="AG675" s="2173"/>
      <c r="AH675" s="2173"/>
      <c r="AI675" s="2173"/>
      <c r="AJ675" s="2173"/>
      <c r="AK675" s="2173"/>
      <c r="AL675" s="2173"/>
      <c r="AM675" s="2173"/>
      <c r="AN675" s="2173"/>
      <c r="AO675" s="2173"/>
      <c r="AP675" s="2173"/>
      <c r="AQ675" s="2173"/>
      <c r="AR675" s="2173"/>
      <c r="AS675" s="2173"/>
      <c r="AT675" s="2173"/>
      <c r="AU675" s="2173"/>
      <c r="AV675" s="2173"/>
      <c r="AW675" s="2173"/>
      <c r="AX675" s="2173"/>
      <c r="AY675" s="2173"/>
      <c r="AZ675" s="2173"/>
      <c r="BA675" s="2173"/>
      <c r="BB675" s="2173"/>
      <c r="BC675" s="724" t="s">
        <v>5865</v>
      </c>
    </row>
    <row r="676" spans="2:55" ht="15.75" hidden="1" customHeight="1">
      <c r="E676" s="2171" t="s">
        <v>1229</v>
      </c>
      <c r="F676" s="2171"/>
      <c r="G676" s="2171"/>
      <c r="H676" s="2171"/>
      <c r="I676" s="2171"/>
      <c r="J676" s="2171"/>
      <c r="K676" s="2171"/>
      <c r="L676" s="2171"/>
      <c r="M676" s="2171"/>
      <c r="N676" s="2171"/>
      <c r="O676" s="2171"/>
      <c r="P676" s="2171"/>
      <c r="Q676" s="2171"/>
      <c r="R676" s="2171"/>
      <c r="S676" s="2171"/>
      <c r="T676" s="2171"/>
      <c r="U676" s="2171"/>
      <c r="V676" s="2171"/>
      <c r="W676" s="2171"/>
      <c r="X676" s="2171"/>
      <c r="Y676" s="2171"/>
      <c r="Z676" s="2171"/>
      <c r="AA676" s="2171"/>
      <c r="AB676" s="2171"/>
      <c r="AC676" s="2171"/>
      <c r="AD676" s="2171"/>
      <c r="AE676" s="2171"/>
      <c r="AF676" s="2171"/>
      <c r="AG676" s="2171"/>
      <c r="AH676" s="2171"/>
      <c r="AI676" s="2171"/>
      <c r="AJ676" s="2171"/>
      <c r="AK676" s="2171"/>
      <c r="AL676" s="2171"/>
      <c r="AM676" s="2171"/>
      <c r="AN676" s="2171"/>
      <c r="AO676" s="2171"/>
      <c r="AP676" s="2171"/>
      <c r="AQ676" s="2171"/>
      <c r="AR676" s="2171"/>
      <c r="AS676" s="2171"/>
      <c r="AT676" s="2171"/>
      <c r="AU676" s="2171"/>
      <c r="AV676" s="2171"/>
      <c r="AW676" s="2171"/>
      <c r="AX676" s="2171"/>
      <c r="AY676" s="2171"/>
      <c r="AZ676" s="2171"/>
      <c r="BA676" s="2171"/>
      <c r="BB676" s="2171"/>
      <c r="BC676" s="724" t="s">
        <v>5865</v>
      </c>
    </row>
    <row r="677" spans="2:55" ht="15.75" hidden="1" customHeight="1">
      <c r="E677" s="102" t="s">
        <v>664</v>
      </c>
      <c r="F677" s="119"/>
      <c r="G677" s="119"/>
      <c r="H677" s="119"/>
      <c r="I677" s="119"/>
      <c r="J677" s="119"/>
      <c r="K677" s="119"/>
      <c r="L677" s="119"/>
      <c r="M677" s="119"/>
      <c r="N677" s="119"/>
      <c r="O677" s="119"/>
      <c r="P677" s="119"/>
      <c r="Q677" s="119"/>
      <c r="R677" s="119"/>
      <c r="S677" s="119"/>
      <c r="T677" s="119"/>
      <c r="U677" s="119"/>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2174">
        <f>+ROUND(T671*90%,0)</f>
        <v>5829929796</v>
      </c>
      <c r="AS677" s="2174"/>
      <c r="AT677" s="2174"/>
      <c r="AU677" s="2174"/>
      <c r="AV677" s="2174"/>
      <c r="AW677" s="2174"/>
      <c r="AX677" s="2174"/>
      <c r="AY677" s="2174"/>
      <c r="AZ677" s="2174"/>
      <c r="BA677" s="119" t="s">
        <v>4160</v>
      </c>
      <c r="BB677" s="119"/>
      <c r="BC677" s="724" t="s">
        <v>5865</v>
      </c>
    </row>
    <row r="678" spans="2:55" ht="15.75" hidden="1" customHeight="1">
      <c r="E678" s="2175" t="e">
        <v>#NAME?</v>
      </c>
      <c r="F678" s="2175"/>
      <c r="G678" s="2175"/>
      <c r="H678" s="2175"/>
      <c r="I678" s="2175"/>
      <c r="J678" s="2175"/>
      <c r="K678" s="2175"/>
      <c r="L678" s="2175"/>
      <c r="M678" s="2175"/>
      <c r="N678" s="2175"/>
      <c r="O678" s="2175"/>
      <c r="P678" s="2175"/>
      <c r="Q678" s="2175"/>
      <c r="R678" s="2175"/>
      <c r="S678" s="2175"/>
      <c r="T678" s="2175"/>
      <c r="U678" s="2175"/>
      <c r="V678" s="2175"/>
      <c r="W678" s="2175"/>
      <c r="X678" s="2175"/>
      <c r="Y678" s="2175"/>
      <c r="Z678" s="2175"/>
      <c r="AA678" s="2175"/>
      <c r="AB678" s="2175"/>
      <c r="AC678" s="2175"/>
      <c r="AD678" s="2175"/>
      <c r="AE678" s="2175"/>
      <c r="AF678" s="2175"/>
      <c r="AG678" s="2175"/>
      <c r="AH678" s="2175"/>
      <c r="AI678" s="2175"/>
      <c r="AJ678" s="2175"/>
      <c r="AK678" s="2175"/>
      <c r="AL678" s="2175"/>
      <c r="AM678" s="2175"/>
      <c r="AN678" s="2175"/>
      <c r="AO678" s="2175"/>
      <c r="AP678" s="2175"/>
      <c r="AQ678" s="2175"/>
      <c r="AR678" s="2175"/>
      <c r="AS678" s="2175"/>
      <c r="AT678" s="2175"/>
      <c r="AU678" s="2175"/>
      <c r="AV678" s="2175"/>
      <c r="BC678" s="724" t="s">
        <v>5865</v>
      </c>
    </row>
    <row r="679" spans="2:55" ht="15.75" hidden="1" customHeight="1">
      <c r="E679" s="2171" t="s">
        <v>665</v>
      </c>
      <c r="F679" s="2171"/>
      <c r="G679" s="2171"/>
      <c r="H679" s="2171"/>
      <c r="I679" s="2171"/>
      <c r="J679" s="2171"/>
      <c r="K679" s="2171"/>
      <c r="L679" s="2171"/>
      <c r="M679" s="2171"/>
      <c r="N679" s="2171"/>
      <c r="O679" s="2171"/>
      <c r="P679" s="2171"/>
      <c r="Q679" s="2171"/>
      <c r="R679" s="2171"/>
      <c r="S679" s="2171"/>
      <c r="T679" s="2171"/>
      <c r="U679" s="2171"/>
      <c r="V679" s="2171"/>
      <c r="W679" s="2171"/>
      <c r="X679" s="2171"/>
      <c r="Y679" s="2171"/>
      <c r="Z679" s="2171"/>
      <c r="AA679" s="2171"/>
      <c r="AB679" s="2171"/>
      <c r="AC679" s="2171"/>
      <c r="AD679" s="2171"/>
      <c r="AE679" s="2171"/>
      <c r="AF679" s="2171"/>
      <c r="AG679" s="2171"/>
      <c r="AH679" s="2171"/>
      <c r="AI679" s="2171"/>
      <c r="AJ679" s="2171"/>
      <c r="AK679" s="2171"/>
      <c r="AL679" s="2171"/>
      <c r="AM679" s="2171"/>
      <c r="AN679" s="2171"/>
      <c r="AO679" s="2171"/>
      <c r="AP679" s="2171"/>
      <c r="AQ679" s="2171"/>
      <c r="AR679" s="2171"/>
      <c r="AS679" s="2171"/>
      <c r="AT679" s="2171"/>
      <c r="AU679" s="2171"/>
      <c r="AV679" s="2171"/>
      <c r="AW679" s="2171"/>
      <c r="AX679" s="2171"/>
      <c r="AY679" s="2171"/>
      <c r="AZ679" s="2171"/>
      <c r="BA679" s="2171"/>
      <c r="BB679" s="2171"/>
      <c r="BC679" s="724" t="s">
        <v>5865</v>
      </c>
    </row>
    <row r="680" spans="2:55" ht="15.75" hidden="1" customHeight="1">
      <c r="E680" s="2171" t="s">
        <v>6251</v>
      </c>
      <c r="F680" s="2173"/>
      <c r="G680" s="2173"/>
      <c r="H680" s="2173"/>
      <c r="I680" s="2173"/>
      <c r="J680" s="2173"/>
      <c r="K680" s="2173"/>
      <c r="L680" s="2173"/>
      <c r="M680" s="2173"/>
      <c r="N680" s="2173"/>
      <c r="O680" s="2173"/>
      <c r="P680" s="2173"/>
      <c r="Q680" s="2173"/>
      <c r="R680" s="2173"/>
      <c r="S680" s="2173"/>
      <c r="T680" s="2173"/>
      <c r="U680" s="2173"/>
      <c r="V680" s="2173"/>
      <c r="W680" s="2173"/>
      <c r="X680" s="2173"/>
      <c r="Y680" s="2173"/>
      <c r="Z680" s="2173"/>
      <c r="AA680" s="2173"/>
      <c r="AB680" s="2173"/>
      <c r="AC680" s="2173"/>
      <c r="AD680" s="2173"/>
      <c r="AE680" s="2173"/>
      <c r="AF680" s="2173"/>
      <c r="AG680" s="2173"/>
      <c r="AH680" s="2173"/>
      <c r="AI680" s="2173"/>
      <c r="AJ680" s="2173"/>
      <c r="AK680" s="2173"/>
      <c r="AL680" s="2173"/>
      <c r="AM680" s="2173"/>
      <c r="AN680" s="2173"/>
      <c r="AO680" s="2173"/>
      <c r="AP680" s="2173"/>
      <c r="AQ680" s="2173"/>
      <c r="AR680" s="2173"/>
      <c r="AS680" s="2173"/>
      <c r="AT680" s="2173"/>
      <c r="AU680" s="2173"/>
      <c r="AV680" s="2173"/>
      <c r="AW680" s="2173"/>
      <c r="AX680" s="2173"/>
      <c r="AY680" s="2173"/>
      <c r="AZ680" s="2173"/>
      <c r="BA680" s="2173"/>
      <c r="BB680" s="2173"/>
      <c r="BC680" s="724" t="s">
        <v>5865</v>
      </c>
    </row>
    <row r="681" spans="2:55" ht="15.75" hidden="1" customHeight="1">
      <c r="B681" s="2171" t="s">
        <v>2231</v>
      </c>
      <c r="C681" s="2171"/>
      <c r="D681" s="2171"/>
      <c r="E681" s="2171"/>
      <c r="F681" s="2171"/>
      <c r="G681" s="2171"/>
      <c r="H681" s="2171"/>
      <c r="I681" s="2171"/>
      <c r="J681" s="2171"/>
      <c r="K681" s="2171"/>
      <c r="L681" s="2171"/>
      <c r="M681" s="2171"/>
      <c r="N681" s="2171"/>
      <c r="O681" s="2171"/>
      <c r="P681" s="2171"/>
      <c r="Q681" s="2171"/>
      <c r="R681" s="2171"/>
      <c r="S681" s="2171"/>
      <c r="T681" s="2171"/>
      <c r="U681" s="2171"/>
      <c r="V681" s="2171"/>
      <c r="W681" s="2171"/>
      <c r="X681" s="2171"/>
      <c r="Y681" s="2171"/>
      <c r="Z681" s="2171"/>
      <c r="AA681" s="2171"/>
      <c r="AB681" s="2171"/>
      <c r="AC681" s="2171"/>
      <c r="AD681" s="2171"/>
      <c r="AE681" s="2171"/>
      <c r="AF681" s="2171"/>
      <c r="AG681" s="2171"/>
      <c r="AH681" s="2171"/>
      <c r="AI681" s="2171"/>
      <c r="AJ681" s="2171"/>
      <c r="AK681" s="2171"/>
      <c r="AL681" s="2171"/>
      <c r="AM681" s="2171"/>
      <c r="AN681" s="2171"/>
      <c r="AO681" s="2171"/>
      <c r="AP681" s="2171"/>
      <c r="AQ681" s="2171"/>
      <c r="AR681" s="2171"/>
      <c r="AS681" s="2171"/>
      <c r="AT681" s="2171"/>
      <c r="AU681" s="2171"/>
      <c r="AV681" s="2171"/>
      <c r="AW681" s="2171"/>
      <c r="AX681" s="2171"/>
      <c r="AY681" s="2171"/>
      <c r="AZ681" s="2171"/>
      <c r="BA681" s="2171"/>
      <c r="BB681" s="2171"/>
      <c r="BC681" s="724" t="s">
        <v>5865</v>
      </c>
    </row>
    <row r="682" spans="2:55" ht="15.75" hidden="1" customHeight="1">
      <c r="E682" s="2171" t="s">
        <v>4733</v>
      </c>
      <c r="F682" s="2173"/>
      <c r="G682" s="2173"/>
      <c r="H682" s="2173"/>
      <c r="I682" s="2173"/>
      <c r="J682" s="2173"/>
      <c r="K682" s="2173"/>
      <c r="L682" s="2173"/>
      <c r="M682" s="2173"/>
      <c r="N682" s="2173"/>
      <c r="O682" s="2173"/>
      <c r="P682" s="2173"/>
      <c r="Q682" s="2173"/>
      <c r="R682" s="2173"/>
      <c r="S682" s="2173"/>
      <c r="T682" s="2173"/>
      <c r="U682" s="2173"/>
      <c r="V682" s="2173"/>
      <c r="W682" s="2173"/>
      <c r="X682" s="2173"/>
      <c r="Y682" s="2173"/>
      <c r="Z682" s="2173"/>
      <c r="AA682" s="2173"/>
      <c r="AB682" s="2173"/>
      <c r="AC682" s="2173"/>
      <c r="AD682" s="2173"/>
      <c r="AE682" s="2173"/>
      <c r="AF682" s="2173"/>
      <c r="AG682" s="2173"/>
      <c r="AH682" s="2173"/>
      <c r="AI682" s="2173"/>
      <c r="AJ682" s="2173"/>
      <c r="AK682" s="2173"/>
      <c r="AL682" s="2173"/>
      <c r="AM682" s="2173"/>
      <c r="AN682" s="2173"/>
      <c r="AO682" s="2173"/>
      <c r="AP682" s="2173"/>
      <c r="AQ682" s="2173"/>
      <c r="AR682" s="2173"/>
      <c r="AS682" s="2173"/>
      <c r="AT682" s="2173"/>
      <c r="AU682" s="2173"/>
      <c r="AV682" s="2173"/>
      <c r="AW682" s="2173"/>
      <c r="AX682" s="2173"/>
      <c r="AY682" s="2173"/>
      <c r="AZ682" s="2173"/>
      <c r="BA682" s="2173"/>
      <c r="BB682" s="2173"/>
      <c r="BC682" s="724" t="s">
        <v>5865</v>
      </c>
    </row>
    <row r="683" spans="2:55" ht="15.75" hidden="1" customHeight="1">
      <c r="E683" s="2171" t="s">
        <v>4734</v>
      </c>
      <c r="F683" s="2173"/>
      <c r="G683" s="2173"/>
      <c r="H683" s="2173"/>
      <c r="I683" s="2173"/>
      <c r="J683" s="2173"/>
      <c r="K683" s="2173"/>
      <c r="L683" s="2173"/>
      <c r="M683" s="2173"/>
      <c r="N683" s="2173"/>
      <c r="O683" s="2173"/>
      <c r="P683" s="2173"/>
      <c r="Q683" s="2173"/>
      <c r="R683" s="2173"/>
      <c r="S683" s="2173"/>
      <c r="T683" s="2173"/>
      <c r="U683" s="2173"/>
      <c r="V683" s="2173"/>
      <c r="W683" s="2173"/>
      <c r="X683" s="2173"/>
      <c r="Y683" s="2173"/>
      <c r="Z683" s="2173"/>
      <c r="AA683" s="2173"/>
      <c r="AB683" s="2173"/>
      <c r="AC683" s="2173"/>
      <c r="AD683" s="2173"/>
      <c r="AE683" s="2173"/>
      <c r="AF683" s="2173"/>
      <c r="AG683" s="2173"/>
      <c r="AH683" s="2173"/>
      <c r="AI683" s="2173"/>
      <c r="AJ683" s="2173"/>
      <c r="AK683" s="2173"/>
      <c r="AL683" s="2173"/>
      <c r="AM683" s="2173"/>
      <c r="AN683" s="2173"/>
      <c r="AO683" s="2173"/>
      <c r="AP683" s="2173"/>
      <c r="AQ683" s="2173"/>
      <c r="AR683" s="2173"/>
      <c r="AS683" s="2173"/>
      <c r="AT683" s="2173"/>
      <c r="AU683" s="2173"/>
      <c r="AV683" s="2173"/>
      <c r="AW683" s="2173"/>
      <c r="AX683" s="2173"/>
      <c r="AY683" s="2173"/>
      <c r="AZ683" s="2173"/>
      <c r="BA683" s="2173"/>
      <c r="BB683" s="2173"/>
      <c r="BC683" s="724" t="s">
        <v>5865</v>
      </c>
    </row>
    <row r="684" spans="2:55" ht="15.75" hidden="1" customHeight="1">
      <c r="D684" s="2173" t="s">
        <v>3465</v>
      </c>
      <c r="E684" s="2173"/>
      <c r="F684" s="2173"/>
      <c r="G684" s="2173"/>
      <c r="H684" s="2173"/>
      <c r="I684" s="2173"/>
      <c r="J684" s="2173"/>
      <c r="K684" s="2173"/>
      <c r="L684" s="2173"/>
      <c r="M684" s="2173"/>
      <c r="N684" s="2173"/>
      <c r="O684" s="2173"/>
      <c r="P684" s="2173"/>
      <c r="Q684" s="2173"/>
      <c r="R684" s="2173"/>
      <c r="S684" s="2173"/>
      <c r="T684" s="2173"/>
      <c r="U684" s="2173"/>
      <c r="V684" s="2173"/>
      <c r="W684" s="2173"/>
      <c r="X684" s="2173"/>
      <c r="Y684" s="2173"/>
      <c r="Z684" s="2173"/>
      <c r="AA684" s="2173"/>
      <c r="AB684" s="2173"/>
      <c r="AC684" s="2173"/>
      <c r="AD684" s="2173"/>
      <c r="AE684" s="2173"/>
      <c r="AF684" s="2173"/>
      <c r="AG684" s="2173"/>
      <c r="AH684" s="2173"/>
      <c r="AI684" s="2173"/>
      <c r="AJ684" s="2173"/>
      <c r="AK684" s="2173"/>
      <c r="AL684" s="2173"/>
      <c r="AM684" s="2173"/>
      <c r="AN684" s="2173"/>
      <c r="AO684" s="2173"/>
      <c r="AP684" s="2173"/>
      <c r="AQ684" s="2173"/>
      <c r="AR684" s="2173"/>
      <c r="AS684" s="2173"/>
      <c r="AT684" s="2173"/>
      <c r="AU684" s="2173"/>
      <c r="AV684" s="2173"/>
      <c r="AW684" s="2173"/>
      <c r="AX684" s="2173"/>
      <c r="AY684" s="2173"/>
      <c r="AZ684" s="2173"/>
      <c r="BA684" s="2173"/>
      <c r="BB684" s="2173"/>
      <c r="BC684" s="724" t="s">
        <v>5865</v>
      </c>
    </row>
    <row r="685" spans="2:55" ht="15.75" hidden="1" customHeight="1">
      <c r="F685" s="2171" t="s">
        <v>486</v>
      </c>
      <c r="G685" s="2172"/>
      <c r="H685" s="2172"/>
      <c r="I685" s="2172"/>
      <c r="J685" s="2172"/>
      <c r="K685" s="2172"/>
      <c r="L685" s="2172"/>
      <c r="M685" s="2172"/>
      <c r="N685" s="2172"/>
      <c r="O685" s="2172"/>
      <c r="P685" s="2172"/>
      <c r="Q685" s="2172"/>
      <c r="R685" s="2172"/>
      <c r="S685" s="2172"/>
      <c r="T685" s="2172"/>
      <c r="U685" s="2172"/>
      <c r="V685" s="2172"/>
      <c r="W685" s="2172"/>
      <c r="X685" s="2172"/>
      <c r="Y685" s="2172"/>
      <c r="Z685" s="2172"/>
      <c r="AA685" s="2172"/>
      <c r="AB685" s="2172"/>
      <c r="AC685" s="2172"/>
      <c r="AD685" s="2172"/>
      <c r="AE685" s="2172"/>
      <c r="AF685" s="2172"/>
      <c r="AG685" s="2172"/>
      <c r="AH685" s="2172"/>
      <c r="AI685" s="2172"/>
      <c r="AJ685" s="2172"/>
      <c r="AK685" s="2172"/>
      <c r="AL685" s="2172"/>
      <c r="AM685" s="2172"/>
      <c r="AN685" s="2172"/>
      <c r="AO685" s="2172"/>
      <c r="AP685" s="2172"/>
      <c r="AQ685" s="2172"/>
      <c r="AR685" s="2172"/>
      <c r="AS685" s="2172"/>
      <c r="AT685" s="2172"/>
      <c r="AU685" s="2172"/>
      <c r="AV685" s="2172"/>
      <c r="AW685" s="2172"/>
      <c r="AX685" s="2172"/>
      <c r="AY685" s="2172"/>
      <c r="AZ685" s="2172"/>
      <c r="BA685" s="2172"/>
      <c r="BB685" s="2172"/>
      <c r="BC685" s="724" t="s">
        <v>5865</v>
      </c>
    </row>
    <row r="686" spans="2:55" ht="15.75" hidden="1" customHeight="1">
      <c r="F686" s="2171" t="s">
        <v>3211</v>
      </c>
      <c r="G686" s="2172"/>
      <c r="H686" s="2172"/>
      <c r="I686" s="2172"/>
      <c r="J686" s="2172"/>
      <c r="K686" s="2172"/>
      <c r="L686" s="2172"/>
      <c r="M686" s="2172"/>
      <c r="N686" s="2172"/>
      <c r="O686" s="2172"/>
      <c r="P686" s="2172"/>
      <c r="Q686" s="2172"/>
      <c r="R686" s="2172"/>
      <c r="S686" s="2172"/>
      <c r="T686" s="2172"/>
      <c r="U686" s="2172"/>
      <c r="V686" s="2172"/>
      <c r="W686" s="2172"/>
      <c r="X686" s="2172"/>
      <c r="Y686" s="2172"/>
      <c r="Z686" s="2172"/>
      <c r="AA686" s="2172"/>
      <c r="AB686" s="2172"/>
      <c r="AC686" s="2172"/>
      <c r="AD686" s="2172"/>
      <c r="AE686" s="2172"/>
      <c r="AF686" s="2172"/>
      <c r="AG686" s="2172"/>
      <c r="AH686" s="2172"/>
      <c r="AI686" s="2172"/>
      <c r="AJ686" s="2172"/>
      <c r="AK686" s="2172"/>
      <c r="AL686" s="2172"/>
      <c r="AM686" s="2172"/>
      <c r="AN686" s="2172"/>
      <c r="AO686" s="2172"/>
      <c r="AP686" s="2172"/>
      <c r="AQ686" s="2172"/>
      <c r="AR686" s="2172"/>
      <c r="AS686" s="2172"/>
      <c r="AT686" s="2172"/>
      <c r="AU686" s="2172"/>
      <c r="AV686" s="2172"/>
      <c r="AW686" s="2172"/>
      <c r="AX686" s="2172"/>
      <c r="AY686" s="2172"/>
      <c r="AZ686" s="2172"/>
      <c r="BA686" s="2172"/>
      <c r="BB686" s="2172"/>
      <c r="BC686" s="724" t="s">
        <v>5865</v>
      </c>
    </row>
    <row r="687" spans="2:55" ht="15.75" hidden="1" customHeight="1">
      <c r="B687" s="2171" t="s">
        <v>5768</v>
      </c>
      <c r="C687" s="2171"/>
      <c r="D687" s="2171"/>
      <c r="E687" s="2171"/>
      <c r="F687" s="2171"/>
      <c r="G687" s="2171"/>
      <c r="H687" s="2171"/>
      <c r="I687" s="2171"/>
      <c r="J687" s="2171"/>
      <c r="K687" s="2171"/>
      <c r="L687" s="2171"/>
      <c r="M687" s="2171"/>
      <c r="N687" s="2171"/>
      <c r="O687" s="2171"/>
      <c r="P687" s="2171"/>
      <c r="Q687" s="2171"/>
      <c r="R687" s="2171"/>
      <c r="S687" s="2171"/>
      <c r="T687" s="2171"/>
      <c r="U687" s="2171"/>
      <c r="V687" s="2171"/>
      <c r="W687" s="2171"/>
      <c r="X687" s="2171"/>
      <c r="Y687" s="2171"/>
      <c r="Z687" s="2171"/>
      <c r="AA687" s="2171"/>
      <c r="AB687" s="2171"/>
      <c r="AC687" s="2171"/>
      <c r="AD687" s="2171"/>
      <c r="AE687" s="2171"/>
      <c r="AF687" s="2171"/>
      <c r="AG687" s="2171"/>
      <c r="AH687" s="2171"/>
      <c r="AI687" s="2171"/>
      <c r="AJ687" s="2171"/>
      <c r="AK687" s="2171"/>
      <c r="AL687" s="2171"/>
      <c r="AM687" s="2171"/>
      <c r="AN687" s="2171"/>
      <c r="AO687" s="2171"/>
      <c r="AP687" s="2171"/>
      <c r="AQ687" s="2171"/>
      <c r="AR687" s="2171"/>
      <c r="AS687" s="2171"/>
      <c r="AT687" s="2171"/>
      <c r="AU687" s="2171"/>
      <c r="AV687" s="2171"/>
      <c r="AW687" s="2171"/>
      <c r="AX687" s="2171"/>
      <c r="AY687" s="2171"/>
      <c r="AZ687" s="2171"/>
      <c r="BA687" s="2171"/>
      <c r="BB687" s="2171"/>
      <c r="BC687" s="724" t="s">
        <v>5865</v>
      </c>
    </row>
    <row r="688" spans="2:55" ht="15.75" hidden="1" customHeight="1">
      <c r="D688" s="2173" t="s">
        <v>3466</v>
      </c>
      <c r="E688" s="2173"/>
      <c r="F688" s="2173"/>
      <c r="G688" s="2173"/>
      <c r="H688" s="2173"/>
      <c r="I688" s="2173"/>
      <c r="J688" s="2173"/>
      <c r="K688" s="2173"/>
      <c r="L688" s="2173"/>
      <c r="M688" s="2173"/>
      <c r="N688" s="2173"/>
      <c r="O688" s="2173"/>
      <c r="P688" s="2173"/>
      <c r="Q688" s="2173"/>
      <c r="R688" s="2173"/>
      <c r="S688" s="2173"/>
      <c r="T688" s="2173"/>
      <c r="U688" s="2173"/>
      <c r="V688" s="2173"/>
      <c r="W688" s="2173"/>
      <c r="X688" s="2173"/>
      <c r="Y688" s="2173"/>
      <c r="Z688" s="2173"/>
      <c r="AA688" s="2173"/>
      <c r="AB688" s="2173"/>
      <c r="AC688" s="2173"/>
      <c r="AD688" s="2173"/>
      <c r="AE688" s="2173"/>
      <c r="AF688" s="2173"/>
      <c r="AG688" s="2173"/>
      <c r="AH688" s="2173"/>
      <c r="AI688" s="2173"/>
      <c r="AJ688" s="2173"/>
      <c r="AK688" s="2173"/>
      <c r="AL688" s="2173"/>
      <c r="AM688" s="2173"/>
      <c r="AN688" s="2173"/>
      <c r="AO688" s="2173"/>
      <c r="AP688" s="2173"/>
      <c r="AQ688" s="2173"/>
      <c r="AR688" s="2173"/>
      <c r="AS688" s="2173"/>
      <c r="AT688" s="2173"/>
      <c r="AU688" s="2173"/>
      <c r="AV688" s="2173"/>
      <c r="AW688" s="2173"/>
      <c r="AX688" s="2173"/>
      <c r="AY688" s="2173"/>
      <c r="AZ688" s="2173"/>
      <c r="BA688" s="2173"/>
      <c r="BB688" s="2173"/>
      <c r="BC688" s="724" t="s">
        <v>5865</v>
      </c>
    </row>
    <row r="689" spans="2:55" ht="15.75" hidden="1" customHeight="1">
      <c r="E689" s="2171" t="s">
        <v>2881</v>
      </c>
      <c r="F689" s="2171"/>
      <c r="G689" s="2171"/>
      <c r="H689" s="2171"/>
      <c r="I689" s="2171"/>
      <c r="J689" s="2171"/>
      <c r="K689" s="2171"/>
      <c r="L689" s="2171"/>
      <c r="M689" s="2171"/>
      <c r="N689" s="2171"/>
      <c r="O689" s="2171"/>
      <c r="P689" s="2171"/>
      <c r="Q689" s="2171"/>
      <c r="R689" s="2171"/>
      <c r="S689" s="2171"/>
      <c r="T689" s="2171"/>
      <c r="U689" s="2171"/>
      <c r="V689" s="2171"/>
      <c r="W689" s="2171"/>
      <c r="X689" s="2171"/>
      <c r="Y689" s="2171"/>
      <c r="Z689" s="2171"/>
      <c r="AA689" s="2171"/>
      <c r="AB689" s="2171"/>
      <c r="AC689" s="2171"/>
      <c r="AD689" s="2171"/>
      <c r="AE689" s="2171"/>
      <c r="AF689" s="2171"/>
      <c r="AG689" s="2171"/>
      <c r="AH689" s="2171"/>
      <c r="AI689" s="2171"/>
      <c r="AJ689" s="2171"/>
      <c r="AK689" s="2171"/>
      <c r="AL689" s="2171"/>
      <c r="AM689" s="2171"/>
      <c r="AN689" s="2171"/>
      <c r="AO689" s="2171"/>
      <c r="AP689" s="2171"/>
      <c r="AQ689" s="2171"/>
      <c r="AR689" s="2171"/>
      <c r="AS689" s="2171"/>
      <c r="AT689" s="2171"/>
      <c r="AU689" s="2171"/>
      <c r="AV689" s="2171"/>
      <c r="AW689" s="2171"/>
      <c r="AX689" s="2171"/>
      <c r="AY689" s="2171"/>
      <c r="AZ689" s="2171"/>
      <c r="BA689" s="2171"/>
      <c r="BB689" s="2171"/>
      <c r="BC689" s="724" t="s">
        <v>5865</v>
      </c>
    </row>
    <row r="690" spans="2:55" ht="15.75" hidden="1" customHeight="1">
      <c r="F690" s="2171" t="s">
        <v>5770</v>
      </c>
      <c r="G690" s="2172"/>
      <c r="H690" s="2172"/>
      <c r="I690" s="2172"/>
      <c r="J690" s="2172"/>
      <c r="K690" s="2172"/>
      <c r="L690" s="2172"/>
      <c r="M690" s="2172"/>
      <c r="N690" s="2172"/>
      <c r="O690" s="2172"/>
      <c r="P690" s="2172"/>
      <c r="Q690" s="2172"/>
      <c r="R690" s="2172"/>
      <c r="S690" s="2172"/>
      <c r="T690" s="2172"/>
      <c r="U690" s="2172"/>
      <c r="V690" s="2172"/>
      <c r="W690" s="2172"/>
      <c r="X690" s="2172"/>
      <c r="Y690" s="2172"/>
      <c r="Z690" s="2172"/>
      <c r="AA690" s="2172"/>
      <c r="AB690" s="2172"/>
      <c r="AC690" s="2172"/>
      <c r="AD690" s="2172"/>
      <c r="AE690" s="2172"/>
      <c r="AF690" s="2172"/>
      <c r="AG690" s="2172"/>
      <c r="AH690" s="2172"/>
      <c r="AI690" s="2172"/>
      <c r="AJ690" s="2172"/>
      <c r="AK690" s="2172"/>
      <c r="AL690" s="2172"/>
      <c r="AM690" s="2172"/>
      <c r="AN690" s="2172"/>
      <c r="AO690" s="2172"/>
      <c r="AP690" s="2172"/>
      <c r="AQ690" s="2172"/>
      <c r="AR690" s="2172"/>
      <c r="AS690" s="2172"/>
      <c r="AT690" s="2172"/>
      <c r="AU690" s="2172"/>
      <c r="AV690" s="2172"/>
      <c r="AW690" s="2172"/>
      <c r="AX690" s="2172"/>
      <c r="AY690" s="2172"/>
      <c r="AZ690" s="2172"/>
      <c r="BA690" s="2172"/>
      <c r="BB690" s="2172"/>
      <c r="BC690" s="724" t="s">
        <v>5865</v>
      </c>
    </row>
    <row r="691" spans="2:55" ht="15.75" hidden="1" customHeight="1">
      <c r="F691" s="2171" t="s">
        <v>785</v>
      </c>
      <c r="G691" s="2172"/>
      <c r="H691" s="2172"/>
      <c r="I691" s="2172"/>
      <c r="J691" s="2172"/>
      <c r="K691" s="2172"/>
      <c r="L691" s="2172"/>
      <c r="M691" s="2172"/>
      <c r="N691" s="2172"/>
      <c r="O691" s="2172"/>
      <c r="P691" s="2172"/>
      <c r="Q691" s="2172"/>
      <c r="R691" s="2172"/>
      <c r="S691" s="2172"/>
      <c r="T691" s="2172"/>
      <c r="U691" s="2172"/>
      <c r="V691" s="2172"/>
      <c r="W691" s="2172"/>
      <c r="X691" s="2172"/>
      <c r="Y691" s="2172"/>
      <c r="Z691" s="2172"/>
      <c r="AA691" s="2172"/>
      <c r="AB691" s="2172"/>
      <c r="AC691" s="2172"/>
      <c r="AD691" s="2172"/>
      <c r="AE691" s="2172"/>
      <c r="AF691" s="2172"/>
      <c r="AG691" s="2172"/>
      <c r="AH691" s="2172"/>
      <c r="AI691" s="2172"/>
      <c r="AJ691" s="2172"/>
      <c r="AK691" s="2172"/>
      <c r="AL691" s="2172"/>
      <c r="AM691" s="2172"/>
      <c r="AN691" s="2172"/>
      <c r="AO691" s="2172"/>
      <c r="AP691" s="2172"/>
      <c r="AQ691" s="2172"/>
      <c r="AR691" s="2172"/>
      <c r="AS691" s="2172"/>
      <c r="AT691" s="2172"/>
      <c r="AU691" s="2172"/>
      <c r="AV691" s="2172"/>
      <c r="AW691" s="2172"/>
      <c r="AX691" s="2172"/>
      <c r="AY691" s="2172"/>
      <c r="AZ691" s="2172"/>
      <c r="BA691" s="2172"/>
      <c r="BB691" s="2172"/>
      <c r="BC691" s="724" t="s">
        <v>5865</v>
      </c>
    </row>
    <row r="692" spans="2:55" ht="15.75" hidden="1" customHeight="1">
      <c r="F692" s="2171" t="s">
        <v>5934</v>
      </c>
      <c r="G692" s="2172"/>
      <c r="H692" s="2172"/>
      <c r="I692" s="2172"/>
      <c r="J692" s="2172"/>
      <c r="K692" s="2172"/>
      <c r="L692" s="2172"/>
      <c r="M692" s="2172"/>
      <c r="N692" s="2172"/>
      <c r="O692" s="2172"/>
      <c r="P692" s="2172"/>
      <c r="Q692" s="2172"/>
      <c r="R692" s="2172"/>
      <c r="S692" s="2172"/>
      <c r="T692" s="2172"/>
      <c r="U692" s="2172"/>
      <c r="V692" s="2172"/>
      <c r="W692" s="2172"/>
      <c r="X692" s="2172"/>
      <c r="Y692" s="2172"/>
      <c r="Z692" s="2172"/>
      <c r="AA692" s="2172"/>
      <c r="AB692" s="2172"/>
      <c r="AC692" s="2172"/>
      <c r="AD692" s="2172"/>
      <c r="AE692" s="2172"/>
      <c r="AF692" s="2172"/>
      <c r="AG692" s="2172"/>
      <c r="AH692" s="2172"/>
      <c r="AI692" s="2172"/>
      <c r="AJ692" s="2172"/>
      <c r="AK692" s="2172"/>
      <c r="AL692" s="2172"/>
      <c r="AM692" s="2172"/>
      <c r="AN692" s="2172"/>
      <c r="AO692" s="2172"/>
      <c r="AP692" s="2172"/>
      <c r="AQ692" s="2172"/>
      <c r="AR692" s="2172"/>
      <c r="AS692" s="2172"/>
      <c r="AT692" s="2172"/>
      <c r="AU692" s="2172"/>
      <c r="AV692" s="2172"/>
      <c r="AW692" s="2172"/>
      <c r="AX692" s="2172"/>
      <c r="AY692" s="2172"/>
      <c r="AZ692" s="2172"/>
      <c r="BA692" s="2172"/>
      <c r="BB692" s="2172"/>
      <c r="BC692" s="724" t="s">
        <v>5865</v>
      </c>
    </row>
    <row r="693" spans="2:55" ht="15.75" hidden="1" customHeight="1">
      <c r="E693" s="2171" t="s">
        <v>65</v>
      </c>
      <c r="F693" s="2172"/>
      <c r="G693" s="2172"/>
      <c r="H693" s="2172"/>
      <c r="I693" s="2172"/>
      <c r="J693" s="2172"/>
      <c r="K693" s="2172"/>
      <c r="L693" s="2172"/>
      <c r="M693" s="2172"/>
      <c r="N693" s="2172"/>
      <c r="O693" s="2172"/>
      <c r="P693" s="2172"/>
      <c r="Q693" s="2172"/>
      <c r="R693" s="2172"/>
      <c r="S693" s="2172"/>
      <c r="T693" s="2172"/>
      <c r="U693" s="2172"/>
      <c r="V693" s="2172"/>
      <c r="W693" s="2172"/>
      <c r="X693" s="2172"/>
      <c r="Y693" s="2172"/>
      <c r="Z693" s="2172"/>
      <c r="AA693" s="2172"/>
      <c r="AB693" s="2172"/>
      <c r="AC693" s="2172"/>
      <c r="AD693" s="2172"/>
      <c r="AE693" s="2172"/>
      <c r="AF693" s="2172"/>
      <c r="AG693" s="2172"/>
      <c r="AH693" s="2172"/>
      <c r="AI693" s="2172"/>
      <c r="AJ693" s="2172"/>
      <c r="AK693" s="2172"/>
      <c r="AL693" s="2172"/>
      <c r="AM693" s="2172"/>
      <c r="AN693" s="2172"/>
      <c r="AO693" s="2172"/>
      <c r="AP693" s="2172"/>
      <c r="AQ693" s="2172"/>
      <c r="AR693" s="2172"/>
      <c r="AS693" s="2172"/>
      <c r="AT693" s="2172"/>
      <c r="AU693" s="2172"/>
      <c r="AV693" s="2172"/>
      <c r="AW693" s="2172"/>
      <c r="AX693" s="2172"/>
      <c r="AY693" s="2172"/>
      <c r="AZ693" s="2172"/>
      <c r="BA693" s="2172"/>
      <c r="BB693" s="2172"/>
      <c r="BC693" s="724" t="s">
        <v>5865</v>
      </c>
    </row>
    <row r="694" spans="2:55" ht="15.75" hidden="1" customHeight="1">
      <c r="B694" s="2171" t="s">
        <v>66</v>
      </c>
      <c r="C694" s="2171"/>
      <c r="D694" s="2171"/>
      <c r="E694" s="2171"/>
      <c r="F694" s="2171"/>
      <c r="G694" s="2171"/>
      <c r="H694" s="2171"/>
      <c r="I694" s="2171"/>
      <c r="J694" s="2171"/>
      <c r="K694" s="2171"/>
      <c r="L694" s="2171"/>
      <c r="M694" s="2171"/>
      <c r="N694" s="2171"/>
      <c r="O694" s="2171"/>
      <c r="P694" s="2171"/>
      <c r="Q694" s="2171"/>
      <c r="R694" s="2171"/>
      <c r="S694" s="2171"/>
      <c r="T694" s="2171"/>
      <c r="U694" s="2171"/>
      <c r="V694" s="2171"/>
      <c r="W694" s="2171"/>
      <c r="X694" s="2171"/>
      <c r="Y694" s="2171"/>
      <c r="Z694" s="2171"/>
      <c r="AA694" s="2171"/>
      <c r="AB694" s="2171"/>
      <c r="AC694" s="2171"/>
      <c r="AD694" s="2171"/>
      <c r="AE694" s="2171"/>
      <c r="AF694" s="2171"/>
      <c r="AG694" s="2171"/>
      <c r="AH694" s="2171"/>
      <c r="AI694" s="2171"/>
      <c r="AJ694" s="2171"/>
      <c r="AK694" s="2171"/>
      <c r="AL694" s="2171"/>
      <c r="AM694" s="2171"/>
      <c r="AN694" s="2171"/>
      <c r="AO694" s="2171"/>
      <c r="AP694" s="2171"/>
      <c r="AQ694" s="2171"/>
      <c r="AR694" s="2171"/>
      <c r="AS694" s="2171"/>
      <c r="AT694" s="2171"/>
      <c r="AU694" s="2171"/>
      <c r="AV694" s="2171"/>
      <c r="AW694" s="2171"/>
      <c r="AX694" s="2171"/>
      <c r="AY694" s="2171"/>
      <c r="AZ694" s="2171"/>
      <c r="BA694" s="2171"/>
      <c r="BB694" s="2171"/>
      <c r="BC694" s="724" t="s">
        <v>5865</v>
      </c>
    </row>
    <row r="695" spans="2:55" ht="15.75" hidden="1" customHeight="1">
      <c r="B695" s="2171" t="s">
        <v>67</v>
      </c>
      <c r="C695" s="2171"/>
      <c r="D695" s="2171"/>
      <c r="E695" s="2171"/>
      <c r="F695" s="2171"/>
      <c r="G695" s="2171"/>
      <c r="H695" s="2171"/>
      <c r="I695" s="2171"/>
      <c r="J695" s="2171"/>
      <c r="K695" s="2171"/>
      <c r="L695" s="2171"/>
      <c r="M695" s="2171"/>
      <c r="N695" s="2171"/>
      <c r="O695" s="2171"/>
      <c r="P695" s="2171"/>
      <c r="Q695" s="2171"/>
      <c r="R695" s="2171"/>
      <c r="S695" s="2171"/>
      <c r="T695" s="2171"/>
      <c r="U695" s="2171"/>
      <c r="V695" s="2171"/>
      <c r="W695" s="2171"/>
      <c r="X695" s="2171"/>
      <c r="Y695" s="2171"/>
      <c r="Z695" s="2171"/>
      <c r="AA695" s="2171"/>
      <c r="AB695" s="2171"/>
      <c r="AC695" s="2171"/>
      <c r="AD695" s="2171"/>
      <c r="AE695" s="2171"/>
      <c r="AF695" s="2171"/>
      <c r="AG695" s="2171"/>
      <c r="AH695" s="2171"/>
      <c r="AI695" s="2171"/>
      <c r="AJ695" s="2171"/>
      <c r="AK695" s="2171"/>
      <c r="AL695" s="2171"/>
      <c r="AM695" s="2171"/>
      <c r="AN695" s="2171"/>
      <c r="AO695" s="2171"/>
      <c r="AP695" s="2171"/>
      <c r="AQ695" s="2171"/>
      <c r="AR695" s="2171"/>
      <c r="AS695" s="2171"/>
      <c r="AT695" s="2171"/>
      <c r="AU695" s="2171"/>
      <c r="AV695" s="2171"/>
      <c r="AW695" s="2171"/>
      <c r="AX695" s="2171"/>
      <c r="AY695" s="2171"/>
      <c r="AZ695" s="2171"/>
      <c r="BA695" s="2171"/>
      <c r="BB695" s="2171"/>
      <c r="BC695" s="724" t="s">
        <v>5865</v>
      </c>
    </row>
    <row r="696" spans="2:55" ht="15.75" hidden="1" customHeight="1">
      <c r="F696" s="2171" t="s">
        <v>4031</v>
      </c>
      <c r="G696" s="2172"/>
      <c r="H696" s="2172"/>
      <c r="I696" s="2172"/>
      <c r="J696" s="2172"/>
      <c r="K696" s="2172"/>
      <c r="L696" s="2172"/>
      <c r="M696" s="2172"/>
      <c r="N696" s="2172"/>
      <c r="O696" s="2172"/>
      <c r="P696" s="2172"/>
      <c r="Q696" s="2172"/>
      <c r="R696" s="2172"/>
      <c r="S696" s="2172"/>
      <c r="T696" s="2172"/>
      <c r="U696" s="2172"/>
      <c r="V696" s="2172"/>
      <c r="W696" s="2172"/>
      <c r="X696" s="2172"/>
      <c r="Y696" s="2172"/>
      <c r="Z696" s="2172"/>
      <c r="AA696" s="2172"/>
      <c r="AB696" s="2172"/>
      <c r="AC696" s="2172"/>
      <c r="AD696" s="2172"/>
      <c r="AE696" s="2172"/>
      <c r="AF696" s="2172"/>
      <c r="AG696" s="2172"/>
      <c r="AH696" s="2172"/>
      <c r="AI696" s="2172"/>
      <c r="AJ696" s="2172"/>
      <c r="AK696" s="2172"/>
      <c r="AL696" s="2172"/>
      <c r="AM696" s="2172"/>
      <c r="AN696" s="2172"/>
      <c r="AO696" s="2172"/>
      <c r="AP696" s="2172"/>
      <c r="AQ696" s="2172"/>
      <c r="AR696" s="2172"/>
      <c r="AS696" s="2172"/>
      <c r="AT696" s="2172"/>
      <c r="AU696" s="2172"/>
      <c r="AV696" s="2172"/>
      <c r="AW696" s="2172"/>
      <c r="AX696" s="2172"/>
      <c r="AY696" s="2172"/>
      <c r="AZ696" s="2172"/>
      <c r="BA696" s="2172"/>
      <c r="BB696" s="2172"/>
      <c r="BC696" s="724" t="s">
        <v>5865</v>
      </c>
    </row>
    <row r="697" spans="2:55" ht="15.75" hidden="1" customHeight="1">
      <c r="E697" s="2171" t="s">
        <v>2882</v>
      </c>
      <c r="F697" s="2171"/>
      <c r="G697" s="2171"/>
      <c r="H697" s="2171"/>
      <c r="I697" s="2171"/>
      <c r="J697" s="2171"/>
      <c r="K697" s="2171"/>
      <c r="L697" s="2171"/>
      <c r="M697" s="2171"/>
      <c r="N697" s="2171"/>
      <c r="O697" s="2171"/>
      <c r="P697" s="2171"/>
      <c r="Q697" s="2171"/>
      <c r="R697" s="2171"/>
      <c r="S697" s="2171"/>
      <c r="T697" s="2171"/>
      <c r="U697" s="2171"/>
      <c r="V697" s="2171"/>
      <c r="W697" s="2171"/>
      <c r="X697" s="2171"/>
      <c r="Y697" s="2171"/>
      <c r="Z697" s="2171"/>
      <c r="AA697" s="2171"/>
      <c r="AB697" s="2171"/>
      <c r="AC697" s="2171"/>
      <c r="AD697" s="2171"/>
      <c r="AE697" s="2171"/>
      <c r="AF697" s="2171"/>
      <c r="AG697" s="2171"/>
      <c r="AH697" s="2171"/>
      <c r="AI697" s="2171"/>
      <c r="AJ697" s="2171"/>
      <c r="AK697" s="2171"/>
      <c r="AL697" s="2171"/>
      <c r="AM697" s="2171"/>
      <c r="AN697" s="2171"/>
      <c r="AO697" s="2171"/>
      <c r="AP697" s="2171"/>
      <c r="AQ697" s="2171"/>
      <c r="AR697" s="2171"/>
      <c r="AS697" s="2171"/>
      <c r="AT697" s="2171"/>
      <c r="AU697" s="2171"/>
      <c r="AV697" s="2171"/>
      <c r="AW697" s="2171"/>
      <c r="AX697" s="2171"/>
      <c r="AY697" s="2171"/>
      <c r="AZ697" s="2171"/>
      <c r="BA697" s="2171"/>
      <c r="BB697" s="2171"/>
      <c r="BC697" s="724" t="s">
        <v>5865</v>
      </c>
    </row>
    <row r="698" spans="2:55" ht="15.75" hidden="1" customHeight="1">
      <c r="E698" s="2171" t="s">
        <v>2353</v>
      </c>
      <c r="F698" s="2172"/>
      <c r="G698" s="2172"/>
      <c r="H698" s="2172"/>
      <c r="I698" s="2172"/>
      <c r="J698" s="2172"/>
      <c r="K698" s="2172"/>
      <c r="L698" s="2172"/>
      <c r="M698" s="2172"/>
      <c r="N698" s="2172"/>
      <c r="O698" s="2172"/>
      <c r="P698" s="2172"/>
      <c r="Q698" s="2172"/>
      <c r="R698" s="2172"/>
      <c r="S698" s="2172"/>
      <c r="T698" s="2172"/>
      <c r="U698" s="2172"/>
      <c r="V698" s="2172"/>
      <c r="W698" s="2172"/>
      <c r="X698" s="2172"/>
      <c r="Y698" s="2172"/>
      <c r="Z698" s="2172"/>
      <c r="AA698" s="2172"/>
      <c r="AB698" s="2172"/>
      <c r="AC698" s="2172"/>
      <c r="AD698" s="2172"/>
      <c r="AE698" s="2172"/>
      <c r="AF698" s="2172"/>
      <c r="AG698" s="2172"/>
      <c r="AH698" s="2172"/>
      <c r="AI698" s="2172"/>
      <c r="AJ698" s="2172"/>
      <c r="AK698" s="2172"/>
      <c r="AL698" s="2172"/>
      <c r="AM698" s="2172"/>
      <c r="AN698" s="2172"/>
      <c r="AO698" s="2172"/>
      <c r="AP698" s="2172"/>
      <c r="AQ698" s="2172"/>
      <c r="AR698" s="2172"/>
      <c r="AS698" s="2172"/>
      <c r="AT698" s="2172"/>
      <c r="AU698" s="2172"/>
      <c r="AV698" s="2172"/>
      <c r="AW698" s="2172"/>
      <c r="AX698" s="2172"/>
      <c r="AY698" s="2172"/>
      <c r="AZ698" s="2172"/>
      <c r="BA698" s="2172"/>
      <c r="BB698" s="2172"/>
      <c r="BC698" s="724" t="s">
        <v>5865</v>
      </c>
    </row>
    <row r="699" spans="2:55" ht="15.75" hidden="1" customHeight="1">
      <c r="B699" s="2171" t="s">
        <v>1625</v>
      </c>
      <c r="C699" s="2171"/>
      <c r="D699" s="2171"/>
      <c r="E699" s="2171"/>
      <c r="F699" s="2171"/>
      <c r="G699" s="2171"/>
      <c r="H699" s="2171"/>
      <c r="I699" s="2171"/>
      <c r="J699" s="2171"/>
      <c r="K699" s="2171"/>
      <c r="L699" s="2171"/>
      <c r="M699" s="2171"/>
      <c r="N699" s="2171"/>
      <c r="O699" s="2171"/>
      <c r="P699" s="2171"/>
      <c r="Q699" s="2171"/>
      <c r="R699" s="2171"/>
      <c r="S699" s="2171"/>
      <c r="T699" s="2171"/>
      <c r="U699" s="2171"/>
      <c r="V699" s="2171"/>
      <c r="W699" s="2171"/>
      <c r="X699" s="2171"/>
      <c r="Y699" s="2171"/>
      <c r="Z699" s="2171"/>
      <c r="AA699" s="2171"/>
      <c r="AB699" s="2171"/>
      <c r="AC699" s="2171"/>
      <c r="AD699" s="2171"/>
      <c r="AE699" s="2171"/>
      <c r="AF699" s="2171"/>
      <c r="AG699" s="2171"/>
      <c r="AH699" s="2171"/>
      <c r="AI699" s="2171"/>
      <c r="AJ699" s="2171"/>
      <c r="AK699" s="2171"/>
      <c r="AL699" s="2171"/>
      <c r="AM699" s="2171"/>
      <c r="AN699" s="2171"/>
      <c r="AO699" s="2171"/>
      <c r="AP699" s="2171"/>
      <c r="AQ699" s="2171"/>
      <c r="AR699" s="2171"/>
      <c r="AS699" s="2171"/>
      <c r="AT699" s="2171"/>
      <c r="AU699" s="2171"/>
      <c r="AV699" s="2171"/>
      <c r="AW699" s="2171"/>
      <c r="AX699" s="2171"/>
      <c r="AY699" s="2171"/>
      <c r="AZ699" s="2171"/>
      <c r="BA699" s="2171"/>
      <c r="BB699" s="2171"/>
      <c r="BC699" s="724" t="s">
        <v>5865</v>
      </c>
    </row>
    <row r="700" spans="2:55" ht="15.75" hidden="1" customHeight="1">
      <c r="B700" s="2171" t="s">
        <v>1660</v>
      </c>
      <c r="C700" s="2171"/>
      <c r="D700" s="2171"/>
      <c r="E700" s="2171"/>
      <c r="F700" s="2171"/>
      <c r="G700" s="2171"/>
      <c r="H700" s="2171"/>
      <c r="I700" s="2171"/>
      <c r="J700" s="2171"/>
      <c r="K700" s="2171"/>
      <c r="L700" s="2171"/>
      <c r="M700" s="2171"/>
      <c r="N700" s="2171"/>
      <c r="O700" s="2171"/>
      <c r="P700" s="2171"/>
      <c r="Q700" s="2171"/>
      <c r="R700" s="2171"/>
      <c r="S700" s="2171"/>
      <c r="T700" s="2171"/>
      <c r="U700" s="2171"/>
      <c r="V700" s="2171"/>
      <c r="W700" s="2171"/>
      <c r="X700" s="2171"/>
      <c r="Y700" s="2171"/>
      <c r="Z700" s="2171"/>
      <c r="AA700" s="2171"/>
      <c r="AB700" s="2171"/>
      <c r="AC700" s="2171"/>
      <c r="AD700" s="2171"/>
      <c r="AE700" s="2171"/>
      <c r="AF700" s="2171"/>
      <c r="AG700" s="2171"/>
      <c r="AH700" s="2171"/>
      <c r="AI700" s="2171"/>
      <c r="AJ700" s="2171"/>
      <c r="AK700" s="2171"/>
      <c r="AL700" s="2171"/>
      <c r="AM700" s="2171"/>
      <c r="AN700" s="2171"/>
      <c r="AO700" s="2171"/>
      <c r="AP700" s="2171"/>
      <c r="AQ700" s="2171"/>
      <c r="AR700" s="2171"/>
      <c r="AS700" s="2171"/>
      <c r="AT700" s="2171"/>
      <c r="AU700" s="2171"/>
      <c r="AV700" s="2171"/>
      <c r="AW700" s="2171"/>
      <c r="AX700" s="2171"/>
      <c r="AY700" s="2171"/>
      <c r="AZ700" s="2171"/>
      <c r="BA700" s="2171"/>
      <c r="BB700" s="2171"/>
      <c r="BC700" s="724" t="s">
        <v>5865</v>
      </c>
    </row>
    <row r="701" spans="2:55" ht="15.75" hidden="1" customHeight="1">
      <c r="E701" s="2171" t="s">
        <v>3717</v>
      </c>
      <c r="F701" s="2172"/>
      <c r="G701" s="2172"/>
      <c r="H701" s="2172"/>
      <c r="I701" s="2172"/>
      <c r="J701" s="2172"/>
      <c r="K701" s="2172"/>
      <c r="L701" s="2172"/>
      <c r="M701" s="2172"/>
      <c r="N701" s="2172"/>
      <c r="O701" s="2172"/>
      <c r="P701" s="2172"/>
      <c r="Q701" s="2172"/>
      <c r="R701" s="2172"/>
      <c r="S701" s="2172"/>
      <c r="T701" s="2172"/>
      <c r="U701" s="2172"/>
      <c r="V701" s="2172"/>
      <c r="W701" s="2172"/>
      <c r="X701" s="2172"/>
      <c r="Y701" s="2172"/>
      <c r="Z701" s="2172"/>
      <c r="AA701" s="2172"/>
      <c r="AB701" s="2172"/>
      <c r="AC701" s="2172"/>
      <c r="AD701" s="2172"/>
      <c r="AE701" s="2172"/>
      <c r="AF701" s="2172"/>
      <c r="AG701" s="2172"/>
      <c r="AH701" s="2172"/>
      <c r="AI701" s="2172"/>
      <c r="AJ701" s="2172"/>
      <c r="AK701" s="2172"/>
      <c r="AL701" s="2172"/>
      <c r="AM701" s="2172"/>
      <c r="AN701" s="2172"/>
      <c r="AO701" s="2172"/>
      <c r="AP701" s="2172"/>
      <c r="AQ701" s="2172"/>
      <c r="AR701" s="2172"/>
      <c r="AS701" s="2172"/>
      <c r="AT701" s="2172"/>
      <c r="AU701" s="2172"/>
      <c r="AV701" s="2172"/>
      <c r="AW701" s="2172"/>
      <c r="AX701" s="2172"/>
      <c r="AY701" s="2172"/>
      <c r="AZ701" s="2172"/>
      <c r="BA701" s="2172"/>
      <c r="BB701" s="2172"/>
      <c r="BC701" s="724" t="s">
        <v>5865</v>
      </c>
    </row>
    <row r="702" spans="2:55" ht="15.75" hidden="1" customHeight="1">
      <c r="B702" s="2171" t="s">
        <v>948</v>
      </c>
      <c r="C702" s="2171"/>
      <c r="D702" s="2171"/>
      <c r="E702" s="2171"/>
      <c r="F702" s="2171"/>
      <c r="G702" s="2171"/>
      <c r="H702" s="2171"/>
      <c r="I702" s="2171"/>
      <c r="J702" s="2171"/>
      <c r="K702" s="2171"/>
      <c r="L702" s="2171"/>
      <c r="M702" s="2171"/>
      <c r="N702" s="2171"/>
      <c r="O702" s="2171"/>
      <c r="P702" s="2171"/>
      <c r="Q702" s="2171"/>
      <c r="R702" s="2171"/>
      <c r="S702" s="2171"/>
      <c r="T702" s="2171"/>
      <c r="U702" s="2171"/>
      <c r="V702" s="2171"/>
      <c r="W702" s="2171"/>
      <c r="X702" s="2171"/>
      <c r="Y702" s="2171"/>
      <c r="Z702" s="2171"/>
      <c r="AA702" s="2171"/>
      <c r="AB702" s="2171"/>
      <c r="AC702" s="2171"/>
      <c r="AD702" s="2171"/>
      <c r="AE702" s="2171"/>
      <c r="AF702" s="2171"/>
      <c r="AG702" s="2171"/>
      <c r="AH702" s="2171"/>
      <c r="AI702" s="2171"/>
      <c r="AJ702" s="2171"/>
      <c r="AK702" s="2171"/>
      <c r="AL702" s="2171"/>
      <c r="AM702" s="2171"/>
      <c r="AN702" s="2171"/>
      <c r="AO702" s="2171"/>
      <c r="AP702" s="2171"/>
      <c r="AQ702" s="2171"/>
      <c r="AR702" s="2171"/>
      <c r="AS702" s="2171"/>
      <c r="AT702" s="2171"/>
      <c r="AU702" s="2171"/>
      <c r="AV702" s="2171"/>
      <c r="AW702" s="2171"/>
      <c r="AX702" s="2171"/>
      <c r="AY702" s="2171"/>
      <c r="AZ702" s="2171"/>
      <c r="BA702" s="2171"/>
      <c r="BB702" s="2171"/>
      <c r="BC702" s="724" t="s">
        <v>5865</v>
      </c>
    </row>
    <row r="703" spans="2:55" ht="15.75" hidden="1" customHeight="1">
      <c r="E703" s="2171" t="s">
        <v>950</v>
      </c>
      <c r="F703" s="2172"/>
      <c r="G703" s="2172"/>
      <c r="H703" s="2172"/>
      <c r="I703" s="2172"/>
      <c r="J703" s="2172"/>
      <c r="K703" s="2172"/>
      <c r="L703" s="2172"/>
      <c r="M703" s="2172"/>
      <c r="N703" s="2172"/>
      <c r="O703" s="2172"/>
      <c r="P703" s="2172"/>
      <c r="Q703" s="2172"/>
      <c r="R703" s="2172"/>
      <c r="S703" s="2172"/>
      <c r="T703" s="2172"/>
      <c r="U703" s="2172"/>
      <c r="V703" s="2172"/>
      <c r="W703" s="2172"/>
      <c r="X703" s="2172"/>
      <c r="Y703" s="2172"/>
      <c r="Z703" s="2172"/>
      <c r="AA703" s="2172"/>
      <c r="AB703" s="2172"/>
      <c r="AC703" s="2172"/>
      <c r="AD703" s="2172"/>
      <c r="AE703" s="2172"/>
      <c r="AF703" s="2172"/>
      <c r="AG703" s="2172"/>
      <c r="AH703" s="2172"/>
      <c r="AI703" s="2172"/>
      <c r="AJ703" s="2172"/>
      <c r="AK703" s="2172"/>
      <c r="AL703" s="2172"/>
      <c r="AM703" s="2172"/>
      <c r="AN703" s="2172"/>
      <c r="AO703" s="2172"/>
      <c r="AP703" s="2172"/>
      <c r="AQ703" s="2172"/>
      <c r="AR703" s="2172"/>
      <c r="AS703" s="2172"/>
      <c r="AT703" s="2172"/>
      <c r="AU703" s="2172"/>
      <c r="AV703" s="2172"/>
      <c r="AW703" s="2172"/>
      <c r="AX703" s="2172"/>
      <c r="AY703" s="2172"/>
      <c r="AZ703" s="2172"/>
      <c r="BA703" s="2172"/>
      <c r="BB703" s="2172"/>
      <c r="BC703" s="724" t="s">
        <v>5865</v>
      </c>
    </row>
    <row r="704" spans="2:55" ht="15.75" hidden="1" customHeight="1">
      <c r="B704" s="2171" t="s">
        <v>951</v>
      </c>
      <c r="C704" s="2171"/>
      <c r="D704" s="2171"/>
      <c r="E704" s="2171"/>
      <c r="F704" s="2171"/>
      <c r="G704" s="2171"/>
      <c r="H704" s="2171"/>
      <c r="I704" s="2171"/>
      <c r="J704" s="2171"/>
      <c r="K704" s="2171"/>
      <c r="L704" s="2171"/>
      <c r="M704" s="2171"/>
      <c r="N704" s="2171"/>
      <c r="O704" s="2171"/>
      <c r="P704" s="2171"/>
      <c r="Q704" s="2171"/>
      <c r="R704" s="2171"/>
      <c r="S704" s="2171"/>
      <c r="T704" s="2171"/>
      <c r="U704" s="2171"/>
      <c r="V704" s="2171"/>
      <c r="W704" s="2171"/>
      <c r="X704" s="2171"/>
      <c r="Y704" s="2171"/>
      <c r="Z704" s="2171"/>
      <c r="AA704" s="2171"/>
      <c r="AB704" s="2171"/>
      <c r="AC704" s="2171"/>
      <c r="AD704" s="2171"/>
      <c r="AE704" s="2171"/>
      <c r="AF704" s="2171"/>
      <c r="AG704" s="2171"/>
      <c r="AH704" s="2171"/>
      <c r="AI704" s="2171"/>
      <c r="AJ704" s="2171"/>
      <c r="AK704" s="2171"/>
      <c r="AL704" s="2171"/>
      <c r="AM704" s="2171"/>
      <c r="AN704" s="2171"/>
      <c r="AO704" s="2171"/>
      <c r="AP704" s="2171"/>
      <c r="AQ704" s="2171"/>
      <c r="AR704" s="2171"/>
      <c r="AS704" s="2171"/>
      <c r="AT704" s="2171"/>
      <c r="AU704" s="2171"/>
      <c r="AV704" s="2171"/>
      <c r="AW704" s="2171"/>
      <c r="AX704" s="2171"/>
      <c r="AY704" s="2171"/>
      <c r="AZ704" s="2171"/>
      <c r="BA704" s="2171"/>
      <c r="BB704" s="2171"/>
      <c r="BC704" s="724" t="s">
        <v>5865</v>
      </c>
    </row>
    <row r="705" spans="2:55" ht="15.75" hidden="1" customHeight="1">
      <c r="D705" s="2173" t="s">
        <v>900</v>
      </c>
      <c r="E705" s="2173"/>
      <c r="F705" s="2173"/>
      <c r="G705" s="2173"/>
      <c r="H705" s="2173"/>
      <c r="I705" s="2173"/>
      <c r="J705" s="2173"/>
      <c r="K705" s="2173"/>
      <c r="L705" s="2173"/>
      <c r="M705" s="2173"/>
      <c r="N705" s="2173"/>
      <c r="O705" s="2173"/>
      <c r="P705" s="2173"/>
      <c r="Q705" s="2173"/>
      <c r="R705" s="2173"/>
      <c r="S705" s="2173"/>
      <c r="T705" s="2173"/>
      <c r="U705" s="2173"/>
      <c r="V705" s="2173"/>
      <c r="W705" s="2173"/>
      <c r="X705" s="2173"/>
      <c r="Y705" s="2173"/>
      <c r="Z705" s="2173"/>
      <c r="AA705" s="2173"/>
      <c r="AB705" s="2173"/>
      <c r="AC705" s="2173"/>
      <c r="AD705" s="2173"/>
      <c r="AE705" s="2173"/>
      <c r="AF705" s="2173"/>
      <c r="AG705" s="2173"/>
      <c r="AH705" s="2173"/>
      <c r="AI705" s="2173"/>
      <c r="AJ705" s="2173"/>
      <c r="AK705" s="2173"/>
      <c r="AL705" s="2173"/>
      <c r="AM705" s="2173"/>
      <c r="AN705" s="2173"/>
      <c r="AO705" s="2173"/>
      <c r="AP705" s="2173"/>
      <c r="AQ705" s="2173"/>
      <c r="AR705" s="2173"/>
      <c r="AS705" s="2173"/>
      <c r="AT705" s="2173"/>
      <c r="AU705" s="2173"/>
      <c r="AV705" s="2173"/>
      <c r="AW705" s="2173"/>
      <c r="AX705" s="2173"/>
      <c r="AY705" s="2173"/>
      <c r="AZ705" s="2173"/>
      <c r="BA705" s="2173"/>
      <c r="BB705" s="2173"/>
      <c r="BC705" s="724" t="s">
        <v>5865</v>
      </c>
    </row>
    <row r="706" spans="2:55" ht="15.75" hidden="1" customHeight="1">
      <c r="F706" s="2171" t="s">
        <v>1085</v>
      </c>
      <c r="G706" s="2172"/>
      <c r="H706" s="2172"/>
      <c r="I706" s="2172"/>
      <c r="J706" s="2172"/>
      <c r="K706" s="2172"/>
      <c r="L706" s="2172"/>
      <c r="M706" s="2172"/>
      <c r="N706" s="2172"/>
      <c r="O706" s="2172"/>
      <c r="P706" s="2172"/>
      <c r="Q706" s="2172"/>
      <c r="R706" s="2172"/>
      <c r="S706" s="2172"/>
      <c r="T706" s="2172"/>
      <c r="U706" s="2172"/>
      <c r="V706" s="2172"/>
      <c r="W706" s="2172"/>
      <c r="X706" s="2172"/>
      <c r="Y706" s="2172"/>
      <c r="Z706" s="2172"/>
      <c r="AA706" s="2172"/>
      <c r="AB706" s="2172"/>
      <c r="AC706" s="2172"/>
      <c r="AD706" s="2172"/>
      <c r="AE706" s="2172"/>
      <c r="AF706" s="2172"/>
      <c r="AG706" s="2172"/>
      <c r="AH706" s="2172"/>
      <c r="AI706" s="2172"/>
      <c r="AJ706" s="2172"/>
      <c r="AK706" s="2172"/>
      <c r="AL706" s="2172"/>
      <c r="AM706" s="2172"/>
      <c r="AN706" s="2172"/>
      <c r="AO706" s="2172"/>
      <c r="AP706" s="2172"/>
      <c r="AQ706" s="2172"/>
      <c r="AR706" s="2172"/>
      <c r="AS706" s="2172"/>
      <c r="AT706" s="2172"/>
      <c r="AU706" s="2172"/>
      <c r="AV706" s="2172"/>
      <c r="AW706" s="2172"/>
      <c r="AX706" s="2172"/>
      <c r="AY706" s="2172"/>
      <c r="AZ706" s="2172"/>
      <c r="BA706" s="2172"/>
      <c r="BB706" s="2172"/>
      <c r="BC706" s="724" t="s">
        <v>5865</v>
      </c>
    </row>
    <row r="707" spans="2:55" ht="15.75" hidden="1" customHeight="1">
      <c r="B707" s="2171" t="s">
        <v>1086</v>
      </c>
      <c r="C707" s="2171"/>
      <c r="D707" s="2171"/>
      <c r="E707" s="2171"/>
      <c r="F707" s="2171"/>
      <c r="G707" s="2171"/>
      <c r="H707" s="2171"/>
      <c r="I707" s="2171"/>
      <c r="J707" s="2171"/>
      <c r="K707" s="2171"/>
      <c r="L707" s="2171"/>
      <c r="M707" s="2171"/>
      <c r="N707" s="2171"/>
      <c r="O707" s="2171"/>
      <c r="P707" s="2171"/>
      <c r="Q707" s="2171"/>
      <c r="R707" s="2171"/>
      <c r="S707" s="2171"/>
      <c r="T707" s="2171"/>
      <c r="U707" s="2171"/>
      <c r="V707" s="2171"/>
      <c r="W707" s="2171"/>
      <c r="X707" s="2171"/>
      <c r="Y707" s="2171"/>
      <c r="Z707" s="2171"/>
      <c r="AA707" s="2171"/>
      <c r="AB707" s="2171"/>
      <c r="AC707" s="2171"/>
      <c r="AD707" s="2171"/>
      <c r="AE707" s="2171"/>
      <c r="AF707" s="2171"/>
      <c r="AG707" s="2171"/>
      <c r="AH707" s="2171"/>
      <c r="AI707" s="2171"/>
      <c r="AJ707" s="2171"/>
      <c r="AK707" s="2171"/>
      <c r="AL707" s="2171"/>
      <c r="AM707" s="2171"/>
      <c r="AN707" s="2171"/>
      <c r="AO707" s="2171"/>
      <c r="AP707" s="2171"/>
      <c r="AQ707" s="2171"/>
      <c r="AR707" s="2171"/>
      <c r="AS707" s="2171"/>
      <c r="AT707" s="2171"/>
      <c r="AU707" s="2171"/>
      <c r="AV707" s="2171"/>
      <c r="AW707" s="2171"/>
      <c r="AX707" s="2171"/>
      <c r="AY707" s="2171"/>
      <c r="AZ707" s="2171"/>
      <c r="BA707" s="2171"/>
      <c r="BB707" s="2171"/>
      <c r="BC707" s="724" t="s">
        <v>5865</v>
      </c>
    </row>
    <row r="708" spans="2:55" ht="15.75" hidden="1" customHeight="1">
      <c r="F708" s="2171" t="s">
        <v>1087</v>
      </c>
      <c r="G708" s="2172"/>
      <c r="H708" s="2172"/>
      <c r="I708" s="2172"/>
      <c r="J708" s="2172"/>
      <c r="K708" s="2172"/>
      <c r="L708" s="2172"/>
      <c r="M708" s="2172"/>
      <c r="N708" s="2172"/>
      <c r="O708" s="2172"/>
      <c r="P708" s="2172"/>
      <c r="Q708" s="2172"/>
      <c r="R708" s="2172"/>
      <c r="S708" s="2172"/>
      <c r="T708" s="2172"/>
      <c r="U708" s="2172"/>
      <c r="V708" s="2172"/>
      <c r="W708" s="2172"/>
      <c r="X708" s="2172"/>
      <c r="Y708" s="2172"/>
      <c r="Z708" s="2172"/>
      <c r="AA708" s="2172"/>
      <c r="AB708" s="2172"/>
      <c r="AC708" s="2172"/>
      <c r="AD708" s="2172"/>
      <c r="AE708" s="2172"/>
      <c r="AF708" s="2172"/>
      <c r="AG708" s="2172"/>
      <c r="AH708" s="2172"/>
      <c r="AI708" s="2172"/>
      <c r="AJ708" s="2172"/>
      <c r="AK708" s="2172"/>
      <c r="AL708" s="2172"/>
      <c r="AM708" s="2172"/>
      <c r="AN708" s="2172"/>
      <c r="AO708" s="2172"/>
      <c r="AP708" s="2172"/>
      <c r="AQ708" s="2172"/>
      <c r="AR708" s="2172"/>
      <c r="AS708" s="2172"/>
      <c r="AT708" s="2172"/>
      <c r="AU708" s="2172"/>
      <c r="AV708" s="2172"/>
      <c r="AW708" s="2172"/>
      <c r="AX708" s="2172"/>
      <c r="AY708" s="2172"/>
      <c r="AZ708" s="2172"/>
      <c r="BA708" s="2172"/>
      <c r="BB708" s="2172"/>
      <c r="BC708" s="724" t="s">
        <v>5865</v>
      </c>
    </row>
    <row r="709" spans="2:55" ht="15.75" hidden="1" customHeight="1">
      <c r="B709" s="2171" t="s">
        <v>1088</v>
      </c>
      <c r="C709" s="2171"/>
      <c r="D709" s="2171"/>
      <c r="E709" s="2171"/>
      <c r="F709" s="2171"/>
      <c r="G709" s="2171"/>
      <c r="H709" s="2171"/>
      <c r="I709" s="2171"/>
      <c r="J709" s="2171"/>
      <c r="K709" s="2171"/>
      <c r="L709" s="2171"/>
      <c r="M709" s="2171"/>
      <c r="N709" s="2171"/>
      <c r="O709" s="2171"/>
      <c r="P709" s="2171"/>
      <c r="Q709" s="2171"/>
      <c r="R709" s="2171"/>
      <c r="S709" s="2171"/>
      <c r="T709" s="2171"/>
      <c r="U709" s="2171"/>
      <c r="V709" s="2171"/>
      <c r="W709" s="2171"/>
      <c r="X709" s="2171"/>
      <c r="Y709" s="2171"/>
      <c r="Z709" s="2171"/>
      <c r="AA709" s="2171"/>
      <c r="AB709" s="2171"/>
      <c r="AC709" s="2171"/>
      <c r="AD709" s="2171"/>
      <c r="AE709" s="2171"/>
      <c r="AF709" s="2171"/>
      <c r="AG709" s="2171"/>
      <c r="AH709" s="2171"/>
      <c r="AI709" s="2171"/>
      <c r="AJ709" s="2171"/>
      <c r="AK709" s="2171"/>
      <c r="AL709" s="2171"/>
      <c r="AM709" s="2171"/>
      <c r="AN709" s="2171"/>
      <c r="AO709" s="2171"/>
      <c r="AP709" s="2171"/>
      <c r="AQ709" s="2171"/>
      <c r="AR709" s="2171"/>
      <c r="AS709" s="2171"/>
      <c r="AT709" s="2171"/>
      <c r="AU709" s="2171"/>
      <c r="AV709" s="2171"/>
      <c r="AW709" s="2171"/>
      <c r="AX709" s="2171"/>
      <c r="AY709" s="2171"/>
      <c r="AZ709" s="2171"/>
      <c r="BA709" s="2171"/>
      <c r="BB709" s="2171"/>
      <c r="BC709" s="724" t="s">
        <v>5865</v>
      </c>
    </row>
    <row r="710" spans="2:55" ht="15.75" hidden="1" customHeight="1">
      <c r="C710" s="135"/>
      <c r="E710" s="85"/>
      <c r="F710" s="2171" t="s">
        <v>1021</v>
      </c>
      <c r="G710" s="2172"/>
      <c r="H710" s="2172"/>
      <c r="I710" s="2172"/>
      <c r="J710" s="2172"/>
      <c r="K710" s="2172"/>
      <c r="L710" s="2172"/>
      <c r="M710" s="2172"/>
      <c r="N710" s="2172"/>
      <c r="O710" s="2172"/>
      <c r="P710" s="2172"/>
      <c r="Q710" s="2172"/>
      <c r="R710" s="2172"/>
      <c r="S710" s="2172"/>
      <c r="T710" s="2172"/>
      <c r="U710" s="2172"/>
      <c r="V710" s="2172"/>
      <c r="W710" s="2172"/>
      <c r="X710" s="2172"/>
      <c r="Y710" s="2172"/>
      <c r="Z710" s="2172"/>
      <c r="AA710" s="2172"/>
      <c r="AB710" s="2172"/>
      <c r="AC710" s="2172"/>
      <c r="AD710" s="2172"/>
      <c r="AE710" s="2172"/>
      <c r="AF710" s="2172"/>
      <c r="AG710" s="2172"/>
      <c r="AH710" s="2172"/>
      <c r="AI710" s="2172"/>
      <c r="AJ710" s="2172"/>
      <c r="AK710" s="2172"/>
      <c r="AL710" s="2172"/>
      <c r="AM710" s="2172"/>
      <c r="AN710" s="2172"/>
      <c r="AO710" s="2172"/>
      <c r="AP710" s="2172"/>
      <c r="AQ710" s="2172"/>
      <c r="AR710" s="2172"/>
      <c r="AS710" s="2172"/>
      <c r="AT710" s="2172"/>
      <c r="AU710" s="2172"/>
      <c r="AV710" s="2172"/>
      <c r="AW710" s="2172"/>
      <c r="AX710" s="2172"/>
      <c r="AY710" s="2172"/>
      <c r="AZ710" s="2172"/>
      <c r="BA710" s="2172"/>
      <c r="BB710" s="2172"/>
      <c r="BC710" s="724" t="s">
        <v>5865</v>
      </c>
    </row>
    <row r="711" spans="2:55" ht="15.75" hidden="1" customHeight="1">
      <c r="C711" s="85"/>
      <c r="D711" s="85"/>
      <c r="E711" s="85"/>
      <c r="F711" s="2171" t="s">
        <v>1022</v>
      </c>
      <c r="G711" s="2172"/>
      <c r="H711" s="2172"/>
      <c r="I711" s="2172"/>
      <c r="J711" s="2172"/>
      <c r="K711" s="2172"/>
      <c r="L711" s="2172"/>
      <c r="M711" s="2172"/>
      <c r="N711" s="2172"/>
      <c r="O711" s="2172"/>
      <c r="P711" s="2172"/>
      <c r="Q711" s="2172"/>
      <c r="R711" s="2172"/>
      <c r="S711" s="2172"/>
      <c r="T711" s="2172"/>
      <c r="U711" s="2172"/>
      <c r="V711" s="2172"/>
      <c r="W711" s="2172"/>
      <c r="X711" s="2172"/>
      <c r="Y711" s="2172"/>
      <c r="Z711" s="2172"/>
      <c r="AA711" s="2172"/>
      <c r="AB711" s="2172"/>
      <c r="AC711" s="2172"/>
      <c r="AD711" s="2172"/>
      <c r="AE711" s="2172"/>
      <c r="AF711" s="2172"/>
      <c r="AG711" s="2172"/>
      <c r="AH711" s="2172"/>
      <c r="AI711" s="2172"/>
      <c r="AJ711" s="2172"/>
      <c r="AK711" s="2172"/>
      <c r="AL711" s="2172"/>
      <c r="AM711" s="2172"/>
      <c r="AN711" s="2172"/>
      <c r="AO711" s="2172"/>
      <c r="AP711" s="2172"/>
      <c r="AQ711" s="2172"/>
      <c r="AR711" s="2172"/>
      <c r="AS711" s="2172"/>
      <c r="AT711" s="2172"/>
      <c r="AU711" s="2172"/>
      <c r="AV711" s="2172"/>
      <c r="AW711" s="2172"/>
      <c r="AX711" s="2172"/>
      <c r="AY711" s="2172"/>
      <c r="AZ711" s="2172"/>
      <c r="BA711" s="2172"/>
      <c r="BB711" s="2172"/>
      <c r="BC711" s="724" t="s">
        <v>5865</v>
      </c>
    </row>
    <row r="712" spans="2:55" ht="15.75" hidden="1" customHeight="1">
      <c r="C712" s="135"/>
      <c r="E712" s="85"/>
      <c r="F712" s="2171" t="s">
        <v>3245</v>
      </c>
      <c r="G712" s="2172"/>
      <c r="H712" s="2172"/>
      <c r="I712" s="2172"/>
      <c r="J712" s="2172"/>
      <c r="K712" s="2172"/>
      <c r="L712" s="2172"/>
      <c r="M712" s="2172"/>
      <c r="N712" s="2172"/>
      <c r="O712" s="2172"/>
      <c r="P712" s="2172"/>
      <c r="Q712" s="2172"/>
      <c r="R712" s="2172"/>
      <c r="S712" s="2172"/>
      <c r="T712" s="2172"/>
      <c r="U712" s="2172"/>
      <c r="V712" s="2172"/>
      <c r="W712" s="2172"/>
      <c r="X712" s="2172"/>
      <c r="Y712" s="2172"/>
      <c r="Z712" s="2172"/>
      <c r="AA712" s="2172"/>
      <c r="AB712" s="2172"/>
      <c r="AC712" s="2172"/>
      <c r="AD712" s="2172"/>
      <c r="AE712" s="2172"/>
      <c r="AF712" s="2172"/>
      <c r="AG712" s="2172"/>
      <c r="AH712" s="2172"/>
      <c r="AI712" s="2172"/>
      <c r="AJ712" s="2172"/>
      <c r="AK712" s="2172"/>
      <c r="AL712" s="2172"/>
      <c r="AM712" s="2172"/>
      <c r="AN712" s="2172"/>
      <c r="AO712" s="2172"/>
      <c r="AP712" s="2172"/>
      <c r="AQ712" s="2172"/>
      <c r="AR712" s="2172"/>
      <c r="AS712" s="2172"/>
      <c r="AT712" s="2172"/>
      <c r="AU712" s="2172"/>
      <c r="AV712" s="2172"/>
      <c r="AW712" s="2172"/>
      <c r="AX712" s="2172"/>
      <c r="AY712" s="2172"/>
      <c r="AZ712" s="2172"/>
      <c r="BA712" s="2172"/>
      <c r="BB712" s="2172"/>
      <c r="BC712" s="724" t="s">
        <v>5865</v>
      </c>
    </row>
    <row r="713" spans="2:55" ht="15.75" hidden="1" customHeight="1">
      <c r="C713" s="135"/>
      <c r="E713" s="85"/>
      <c r="F713" s="2171" t="s">
        <v>4265</v>
      </c>
      <c r="G713" s="2172"/>
      <c r="H713" s="2172"/>
      <c r="I713" s="2172"/>
      <c r="J713" s="2172"/>
      <c r="K713" s="2172"/>
      <c r="L713" s="2172"/>
      <c r="M713" s="2172"/>
      <c r="N713" s="2172"/>
      <c r="O713" s="2172"/>
      <c r="P713" s="2172"/>
      <c r="Q713" s="2172"/>
      <c r="R713" s="2172"/>
      <c r="S713" s="2172"/>
      <c r="T713" s="2172"/>
      <c r="U713" s="2172"/>
      <c r="V713" s="2172"/>
      <c r="W713" s="2172"/>
      <c r="X713" s="2172"/>
      <c r="Y713" s="2172"/>
      <c r="Z713" s="2172"/>
      <c r="AA713" s="2172"/>
      <c r="AB713" s="2172"/>
      <c r="AC713" s="2172"/>
      <c r="AD713" s="2172"/>
      <c r="AE713" s="2172"/>
      <c r="AF713" s="2172"/>
      <c r="AG713" s="2172"/>
      <c r="AH713" s="2172"/>
      <c r="AI713" s="2172"/>
      <c r="AJ713" s="2172"/>
      <c r="AK713" s="2172"/>
      <c r="AL713" s="2172"/>
      <c r="AM713" s="2172"/>
      <c r="AN713" s="2172"/>
      <c r="AO713" s="2172"/>
      <c r="AP713" s="2172"/>
      <c r="AQ713" s="2172"/>
      <c r="AR713" s="2172"/>
      <c r="AS713" s="2172"/>
      <c r="AT713" s="2172"/>
      <c r="AU713" s="2172"/>
      <c r="AV713" s="2172"/>
      <c r="AW713" s="2172"/>
      <c r="AX713" s="2172"/>
      <c r="AY713" s="2172"/>
      <c r="AZ713" s="2172"/>
      <c r="BA713" s="2172"/>
      <c r="BB713" s="2172"/>
      <c r="BC713" s="724" t="s">
        <v>5865</v>
      </c>
    </row>
    <row r="714" spans="2:55" ht="15.75" hidden="1" customHeight="1">
      <c r="D714" s="2173" t="s">
        <v>901</v>
      </c>
      <c r="E714" s="2173"/>
      <c r="F714" s="2173"/>
      <c r="G714" s="2173"/>
      <c r="H714" s="2173"/>
      <c r="I714" s="2173"/>
      <c r="J714" s="2173"/>
      <c r="K714" s="2173"/>
      <c r="L714" s="2173"/>
      <c r="M714" s="2173"/>
      <c r="N714" s="2173"/>
      <c r="O714" s="2173"/>
      <c r="P714" s="2173"/>
      <c r="Q714" s="2173"/>
      <c r="R714" s="2173"/>
      <c r="S714" s="2173"/>
      <c r="T714" s="2173"/>
      <c r="U714" s="2173"/>
      <c r="V714" s="2173"/>
      <c r="W714" s="2173"/>
      <c r="X714" s="2173"/>
      <c r="Y714" s="2173"/>
      <c r="Z714" s="2173"/>
      <c r="AA714" s="2173"/>
      <c r="AB714" s="2173"/>
      <c r="AC714" s="2173"/>
      <c r="AD714" s="2173"/>
      <c r="AE714" s="2173"/>
      <c r="AF714" s="2173"/>
      <c r="AG714" s="2173"/>
      <c r="AH714" s="2173"/>
      <c r="AI714" s="2173"/>
      <c r="AJ714" s="2173"/>
      <c r="AK714" s="2173"/>
      <c r="AL714" s="2173"/>
      <c r="AM714" s="2173"/>
      <c r="AN714" s="2173"/>
      <c r="AO714" s="2173"/>
      <c r="AP714" s="2173"/>
      <c r="AQ714" s="2173"/>
      <c r="AR714" s="2173"/>
      <c r="AS714" s="2173"/>
      <c r="AT714" s="2173"/>
      <c r="AU714" s="2173"/>
      <c r="AV714" s="2173"/>
      <c r="AW714" s="2173"/>
      <c r="AX714" s="2173"/>
      <c r="AY714" s="2173"/>
      <c r="AZ714" s="2173"/>
      <c r="BA714" s="2173"/>
      <c r="BB714" s="2173"/>
      <c r="BC714" s="724" t="s">
        <v>5865</v>
      </c>
    </row>
    <row r="715" spans="2:55" ht="15.75" hidden="1" customHeight="1">
      <c r="F715" s="2171" t="s">
        <v>3886</v>
      </c>
      <c r="G715" s="2172"/>
      <c r="H715" s="2172"/>
      <c r="I715" s="2172"/>
      <c r="J715" s="2172"/>
      <c r="K715" s="2172"/>
      <c r="L715" s="2172"/>
      <c r="M715" s="2172"/>
      <c r="N715" s="2172"/>
      <c r="O715" s="2172"/>
      <c r="P715" s="2172"/>
      <c r="Q715" s="2172"/>
      <c r="R715" s="2172"/>
      <c r="S715" s="2172"/>
      <c r="T715" s="2172"/>
      <c r="U715" s="2172"/>
      <c r="V715" s="2172"/>
      <c r="W715" s="2172"/>
      <c r="X715" s="2172"/>
      <c r="Y715" s="2172"/>
      <c r="Z715" s="2172"/>
      <c r="AA715" s="2172"/>
      <c r="AB715" s="2172"/>
      <c r="AC715" s="2172"/>
      <c r="AD715" s="2172"/>
      <c r="AE715" s="2172"/>
      <c r="AF715" s="2172"/>
      <c r="AG715" s="2172"/>
      <c r="AH715" s="2172"/>
      <c r="AI715" s="2172"/>
      <c r="AJ715" s="2172"/>
      <c r="AK715" s="2172"/>
      <c r="AL715" s="2172"/>
      <c r="AM715" s="2172"/>
      <c r="AN715" s="2172"/>
      <c r="AO715" s="2172"/>
      <c r="AP715" s="2172"/>
      <c r="AQ715" s="2172"/>
      <c r="AR715" s="2172"/>
      <c r="AS715" s="2172"/>
      <c r="AT715" s="2172"/>
      <c r="AU715" s="2172"/>
      <c r="AV715" s="2172"/>
      <c r="AW715" s="2172"/>
      <c r="AX715" s="2172"/>
      <c r="AY715" s="2172"/>
      <c r="AZ715" s="2172"/>
      <c r="BA715" s="2172"/>
      <c r="BB715" s="2172"/>
      <c r="BC715" s="724" t="s">
        <v>5865</v>
      </c>
    </row>
    <row r="716" spans="2:55" ht="15.75" hidden="1" customHeight="1">
      <c r="F716" s="2171" t="s">
        <v>3887</v>
      </c>
      <c r="G716" s="2172"/>
      <c r="H716" s="2172"/>
      <c r="I716" s="2172"/>
      <c r="J716" s="2172"/>
      <c r="K716" s="2172"/>
      <c r="L716" s="2172"/>
      <c r="M716" s="2172"/>
      <c r="N716" s="2172"/>
      <c r="O716" s="2172"/>
      <c r="P716" s="2172"/>
      <c r="Q716" s="2172"/>
      <c r="R716" s="2172"/>
      <c r="S716" s="2172"/>
      <c r="T716" s="2172"/>
      <c r="U716" s="2172"/>
      <c r="V716" s="2172"/>
      <c r="W716" s="2172"/>
      <c r="X716" s="2172"/>
      <c r="Y716" s="2172"/>
      <c r="Z716" s="2172"/>
      <c r="AA716" s="2172"/>
      <c r="AB716" s="2172"/>
      <c r="AC716" s="2172"/>
      <c r="AD716" s="2172"/>
      <c r="AE716" s="2172"/>
      <c r="AF716" s="2172"/>
      <c r="AG716" s="2172"/>
      <c r="AH716" s="2172"/>
      <c r="AI716" s="2172"/>
      <c r="AJ716" s="2172"/>
      <c r="AK716" s="2172"/>
      <c r="AL716" s="2172"/>
      <c r="AM716" s="2172"/>
      <c r="AN716" s="2172"/>
      <c r="AO716" s="2172"/>
      <c r="AP716" s="2172"/>
      <c r="AQ716" s="2172"/>
      <c r="AR716" s="2172"/>
      <c r="AS716" s="2172"/>
      <c r="AT716" s="2172"/>
      <c r="AU716" s="2172"/>
      <c r="AV716" s="2172"/>
      <c r="AW716" s="2172"/>
      <c r="AX716" s="2172"/>
      <c r="AY716" s="2172"/>
      <c r="AZ716" s="2172"/>
      <c r="BA716" s="2172"/>
      <c r="BB716" s="2172"/>
      <c r="BC716" s="724" t="s">
        <v>5865</v>
      </c>
    </row>
    <row r="717" spans="2:55" ht="15.75" hidden="1" customHeight="1">
      <c r="F717" s="2171" t="s">
        <v>3888</v>
      </c>
      <c r="G717" s="2172"/>
      <c r="H717" s="2172"/>
      <c r="I717" s="2172"/>
      <c r="J717" s="2172"/>
      <c r="K717" s="2172"/>
      <c r="L717" s="2172"/>
      <c r="M717" s="2172"/>
      <c r="N717" s="2172"/>
      <c r="O717" s="2172"/>
      <c r="P717" s="2172"/>
      <c r="Q717" s="2172"/>
      <c r="R717" s="2172"/>
      <c r="S717" s="2172"/>
      <c r="T717" s="2172"/>
      <c r="U717" s="2172"/>
      <c r="V717" s="2172"/>
      <c r="W717" s="2172"/>
      <c r="X717" s="2172"/>
      <c r="Y717" s="2172"/>
      <c r="Z717" s="2172"/>
      <c r="AA717" s="2172"/>
      <c r="AB717" s="2172"/>
      <c r="AC717" s="2172"/>
      <c r="AD717" s="2172"/>
      <c r="AE717" s="2172"/>
      <c r="AF717" s="2172"/>
      <c r="AG717" s="2172"/>
      <c r="AH717" s="2172"/>
      <c r="AI717" s="2172"/>
      <c r="AJ717" s="2172"/>
      <c r="AK717" s="2172"/>
      <c r="AL717" s="2172"/>
      <c r="AM717" s="2172"/>
      <c r="AN717" s="2172"/>
      <c r="AO717" s="2172"/>
      <c r="AP717" s="2172"/>
      <c r="AQ717" s="2172"/>
      <c r="AR717" s="2172"/>
      <c r="AS717" s="2172"/>
      <c r="AT717" s="2172"/>
      <c r="AU717" s="2172"/>
      <c r="AV717" s="2172"/>
      <c r="AW717" s="2172"/>
      <c r="AX717" s="2172"/>
      <c r="AY717" s="2172"/>
      <c r="AZ717" s="2172"/>
      <c r="BA717" s="2172"/>
      <c r="BB717" s="2172"/>
      <c r="BC717" s="724" t="s">
        <v>5865</v>
      </c>
    </row>
    <row r="718" spans="2:55" ht="15.75" hidden="1" customHeight="1">
      <c r="B718" s="2171" t="s">
        <v>2629</v>
      </c>
      <c r="C718" s="2171"/>
      <c r="D718" s="2171"/>
      <c r="E718" s="2171"/>
      <c r="F718" s="2171"/>
      <c r="G718" s="2171"/>
      <c r="H718" s="2171"/>
      <c r="I718" s="2171"/>
      <c r="J718" s="2171"/>
      <c r="K718" s="2171"/>
      <c r="L718" s="2171"/>
      <c r="M718" s="2171"/>
      <c r="N718" s="2171"/>
      <c r="O718" s="2171"/>
      <c r="P718" s="2171"/>
      <c r="Q718" s="2171"/>
      <c r="R718" s="2171"/>
      <c r="S718" s="2171"/>
      <c r="T718" s="2171"/>
      <c r="U718" s="2171"/>
      <c r="V718" s="2171"/>
      <c r="W718" s="2171"/>
      <c r="X718" s="2171"/>
      <c r="Y718" s="2171"/>
      <c r="Z718" s="2171"/>
      <c r="AA718" s="2171"/>
      <c r="AB718" s="2171"/>
      <c r="AC718" s="2171"/>
      <c r="AD718" s="2171"/>
      <c r="AE718" s="2171"/>
      <c r="AF718" s="2171"/>
      <c r="AG718" s="2171"/>
      <c r="AH718" s="2171"/>
      <c r="AI718" s="2171"/>
      <c r="AJ718" s="2171"/>
      <c r="AK718" s="2171"/>
      <c r="AL718" s="2171"/>
      <c r="AM718" s="2171"/>
      <c r="AN718" s="2171"/>
      <c r="AO718" s="2171"/>
      <c r="AP718" s="2171"/>
      <c r="AQ718" s="2171"/>
      <c r="AR718" s="2171"/>
      <c r="AS718" s="2171"/>
      <c r="AT718" s="2171"/>
      <c r="AU718" s="2171"/>
      <c r="AV718" s="2171"/>
      <c r="AW718" s="2171"/>
      <c r="AX718" s="2171"/>
      <c r="AY718" s="2171"/>
      <c r="AZ718" s="2171"/>
      <c r="BA718" s="2171"/>
      <c r="BB718" s="2171"/>
      <c r="BC718" s="724" t="s">
        <v>5865</v>
      </c>
    </row>
    <row r="719" spans="2:55" ht="15.75" hidden="1" customHeight="1">
      <c r="F719" s="2171" t="s">
        <v>3889</v>
      </c>
      <c r="G719" s="2172"/>
      <c r="H719" s="2172"/>
      <c r="I719" s="2172"/>
      <c r="J719" s="2172"/>
      <c r="K719" s="2172"/>
      <c r="L719" s="2172"/>
      <c r="M719" s="2172"/>
      <c r="N719" s="2172"/>
      <c r="O719" s="2172"/>
      <c r="P719" s="2172"/>
      <c r="Q719" s="2172"/>
      <c r="R719" s="2172"/>
      <c r="S719" s="2172"/>
      <c r="T719" s="2172"/>
      <c r="U719" s="2172"/>
      <c r="V719" s="2172"/>
      <c r="W719" s="2172"/>
      <c r="X719" s="2172"/>
      <c r="Y719" s="2172"/>
      <c r="Z719" s="2172"/>
      <c r="AA719" s="2172"/>
      <c r="AB719" s="2172"/>
      <c r="AC719" s="2172"/>
      <c r="AD719" s="2172"/>
      <c r="AE719" s="2172"/>
      <c r="AF719" s="2172"/>
      <c r="AG719" s="2172"/>
      <c r="AH719" s="2172"/>
      <c r="AI719" s="2172"/>
      <c r="AJ719" s="2172"/>
      <c r="AK719" s="2172"/>
      <c r="AL719" s="2172"/>
      <c r="AM719" s="2172"/>
      <c r="AN719" s="2172"/>
      <c r="AO719" s="2172"/>
      <c r="AP719" s="2172"/>
      <c r="AQ719" s="2172"/>
      <c r="AR719" s="2172"/>
      <c r="AS719" s="2172"/>
      <c r="AT719" s="2172"/>
      <c r="AU719" s="2172"/>
      <c r="AV719" s="2172"/>
      <c r="AW719" s="2172"/>
      <c r="AX719" s="2172"/>
      <c r="AY719" s="2172"/>
      <c r="AZ719" s="2172"/>
      <c r="BA719" s="2172"/>
      <c r="BB719" s="2172"/>
      <c r="BC719" s="724" t="s">
        <v>5865</v>
      </c>
    </row>
    <row r="720" spans="2:55" ht="15.75" hidden="1" customHeight="1">
      <c r="D720" s="2173" t="s">
        <v>902</v>
      </c>
      <c r="E720" s="2173"/>
      <c r="F720" s="2173"/>
      <c r="G720" s="2173"/>
      <c r="H720" s="2173"/>
      <c r="I720" s="2173"/>
      <c r="J720" s="2173"/>
      <c r="K720" s="2173"/>
      <c r="L720" s="2173"/>
      <c r="M720" s="2173"/>
      <c r="N720" s="2173"/>
      <c r="O720" s="2173"/>
      <c r="P720" s="2173"/>
      <c r="Q720" s="2173"/>
      <c r="R720" s="2173"/>
      <c r="S720" s="2173"/>
      <c r="T720" s="2173"/>
      <c r="U720" s="2173"/>
      <c r="V720" s="2173"/>
      <c r="W720" s="2173"/>
      <c r="X720" s="2173"/>
      <c r="Y720" s="2173"/>
      <c r="Z720" s="2173"/>
      <c r="AA720" s="2173"/>
      <c r="AB720" s="2173"/>
      <c r="AC720" s="2173"/>
      <c r="AD720" s="2173"/>
      <c r="AE720" s="2173"/>
      <c r="AF720" s="2173"/>
      <c r="AG720" s="2173"/>
      <c r="AH720" s="2173"/>
      <c r="AI720" s="2173"/>
      <c r="AJ720" s="2173"/>
      <c r="AK720" s="2173"/>
      <c r="AL720" s="2173"/>
      <c r="AM720" s="2173"/>
      <c r="AN720" s="2173"/>
      <c r="AO720" s="2173"/>
      <c r="AP720" s="2173"/>
      <c r="AQ720" s="2173"/>
      <c r="AR720" s="2173"/>
      <c r="AS720" s="2173"/>
      <c r="AT720" s="2173"/>
      <c r="AU720" s="2173"/>
      <c r="AV720" s="2173"/>
      <c r="AW720" s="2173"/>
      <c r="AX720" s="2173"/>
      <c r="AY720" s="2173"/>
      <c r="AZ720" s="2173"/>
      <c r="BA720" s="2173"/>
      <c r="BB720" s="2173"/>
      <c r="BC720" s="724" t="s">
        <v>5865</v>
      </c>
    </row>
    <row r="721" spans="2:55" ht="15.75" hidden="1" customHeight="1">
      <c r="E721" s="2171" t="s">
        <v>200</v>
      </c>
      <c r="F721" s="2171"/>
      <c r="G721" s="2171"/>
      <c r="H721" s="2171" t="s">
        <v>2479</v>
      </c>
      <c r="I721" s="2171"/>
      <c r="J721" s="2171"/>
      <c r="K721" s="2171"/>
      <c r="L721" s="2171"/>
      <c r="M721" s="2171"/>
      <c r="N721" s="2171"/>
      <c r="O721" s="2171"/>
      <c r="P721" s="2171"/>
      <c r="Q721" s="2171"/>
      <c r="R721" s="2171"/>
      <c r="S721" s="2171"/>
      <c r="T721" s="2171"/>
      <c r="U721" s="2171"/>
      <c r="V721" s="2171"/>
      <c r="W721" s="2171"/>
      <c r="X721" s="2171"/>
      <c r="Y721" s="2171"/>
      <c r="Z721" s="2171"/>
      <c r="AA721" s="2171"/>
      <c r="AB721" s="2171"/>
      <c r="AC721" s="2171"/>
      <c r="AD721" s="2171"/>
      <c r="AE721" s="2171"/>
      <c r="AF721" s="2171"/>
      <c r="AG721" s="2171"/>
      <c r="AH721" s="2171"/>
      <c r="AI721" s="2171"/>
      <c r="AJ721" s="2171"/>
      <c r="AK721" s="2171"/>
      <c r="AL721" s="2171"/>
      <c r="AM721" s="2171"/>
      <c r="AN721" s="2171"/>
      <c r="AO721" s="2171"/>
      <c r="AP721" s="2171"/>
      <c r="AQ721" s="2171"/>
      <c r="AR721" s="2171"/>
      <c r="AS721" s="2171"/>
      <c r="AT721" s="2171"/>
      <c r="AU721" s="2171"/>
      <c r="AV721" s="2171"/>
      <c r="AW721" s="2171"/>
      <c r="AX721" s="2171"/>
      <c r="AY721" s="2171"/>
      <c r="AZ721" s="2171"/>
      <c r="BA721" s="2171"/>
      <c r="BB721" s="2171"/>
      <c r="BC721" s="724" t="s">
        <v>5865</v>
      </c>
    </row>
    <row r="722" spans="2:55" ht="15.75" hidden="1" customHeight="1">
      <c r="B722" s="2171" t="s">
        <v>2480</v>
      </c>
      <c r="C722" s="2171"/>
      <c r="D722" s="2171"/>
      <c r="E722" s="2171"/>
      <c r="F722" s="2171"/>
      <c r="G722" s="2171"/>
      <c r="H722" s="2171"/>
      <c r="I722" s="2171"/>
      <c r="J722" s="2171"/>
      <c r="K722" s="2171"/>
      <c r="L722" s="2171"/>
      <c r="M722" s="2171"/>
      <c r="N722" s="2171"/>
      <c r="O722" s="2171"/>
      <c r="P722" s="2171"/>
      <c r="Q722" s="2171"/>
      <c r="R722" s="2171"/>
      <c r="S722" s="2171"/>
      <c r="T722" s="2171"/>
      <c r="U722" s="2171"/>
      <c r="V722" s="2171"/>
      <c r="W722" s="2171"/>
      <c r="X722" s="2171"/>
      <c r="Y722" s="2171"/>
      <c r="Z722" s="2171"/>
      <c r="AA722" s="2171"/>
      <c r="AB722" s="2171"/>
      <c r="AC722" s="2171"/>
      <c r="AD722" s="2171"/>
      <c r="AE722" s="2171"/>
      <c r="AF722" s="2171"/>
      <c r="AG722" s="2171"/>
      <c r="AH722" s="2171"/>
      <c r="AI722" s="2171"/>
      <c r="AJ722" s="2171"/>
      <c r="AK722" s="2171"/>
      <c r="AL722" s="2171"/>
      <c r="AM722" s="2171"/>
      <c r="AN722" s="2171"/>
      <c r="AO722" s="2171"/>
      <c r="AP722" s="2171"/>
      <c r="AQ722" s="2171"/>
      <c r="AR722" s="2171"/>
      <c r="AS722" s="2171"/>
      <c r="AT722" s="2171"/>
      <c r="AU722" s="2171"/>
      <c r="AV722" s="2171"/>
      <c r="AW722" s="2171"/>
      <c r="AX722" s="2171"/>
      <c r="AY722" s="2171"/>
      <c r="AZ722" s="2171"/>
      <c r="BA722" s="2171"/>
      <c r="BB722" s="2171"/>
      <c r="BC722" s="724" t="s">
        <v>5865</v>
      </c>
    </row>
    <row r="723" spans="2:55" ht="15.75" hidden="1" customHeight="1">
      <c r="E723" s="2171" t="s">
        <v>201</v>
      </c>
      <c r="F723" s="2171"/>
      <c r="G723" s="2171"/>
      <c r="H723" s="2171" t="s">
        <v>555</v>
      </c>
      <c r="I723" s="2171"/>
      <c r="J723" s="2171"/>
      <c r="K723" s="2171"/>
      <c r="L723" s="2171"/>
      <c r="M723" s="2171"/>
      <c r="N723" s="2171"/>
      <c r="O723" s="2171"/>
      <c r="P723" s="2171"/>
      <c r="Q723" s="2171"/>
      <c r="R723" s="2171"/>
      <c r="S723" s="2171"/>
      <c r="T723" s="2171"/>
      <c r="U723" s="2171"/>
      <c r="V723" s="2171"/>
      <c r="W723" s="2171"/>
      <c r="X723" s="2171"/>
      <c r="Y723" s="2171"/>
      <c r="Z723" s="2171"/>
      <c r="AA723" s="2171"/>
      <c r="AB723" s="2171"/>
      <c r="AC723" s="2171"/>
      <c r="AD723" s="2171"/>
      <c r="AE723" s="2171"/>
      <c r="AF723" s="2171"/>
      <c r="AG723" s="2171"/>
      <c r="AH723" s="2171"/>
      <c r="AI723" s="2171"/>
      <c r="AJ723" s="2171"/>
      <c r="AK723" s="2171"/>
      <c r="AL723" s="2171"/>
      <c r="AM723" s="2171"/>
      <c r="AN723" s="2171"/>
      <c r="AO723" s="2171"/>
      <c r="AP723" s="2171"/>
      <c r="AQ723" s="2171"/>
      <c r="AR723" s="2171"/>
      <c r="AS723" s="2171"/>
      <c r="AT723" s="2171"/>
      <c r="AU723" s="2171"/>
      <c r="AV723" s="2171"/>
      <c r="AW723" s="2171"/>
      <c r="AX723" s="2171"/>
      <c r="AY723" s="2171"/>
      <c r="AZ723" s="2171"/>
      <c r="BA723" s="2171"/>
      <c r="BB723" s="2171"/>
      <c r="BC723" s="724" t="s">
        <v>5865</v>
      </c>
    </row>
    <row r="724" spans="2:55" ht="15.75" hidden="1" customHeight="1">
      <c r="E724" s="2171" t="s">
        <v>202</v>
      </c>
      <c r="F724" s="2171"/>
      <c r="G724" s="2171"/>
      <c r="H724" s="2171" t="s">
        <v>2185</v>
      </c>
      <c r="I724" s="2171"/>
      <c r="J724" s="2171"/>
      <c r="K724" s="2171"/>
      <c r="L724" s="2171"/>
      <c r="M724" s="2171"/>
      <c r="N724" s="2171"/>
      <c r="O724" s="2171"/>
      <c r="P724" s="2171"/>
      <c r="Q724" s="2171"/>
      <c r="R724" s="2171"/>
      <c r="S724" s="2171"/>
      <c r="T724" s="2171"/>
      <c r="U724" s="2171"/>
      <c r="V724" s="2171"/>
      <c r="W724" s="2171"/>
      <c r="X724" s="2171"/>
      <c r="Y724" s="2171"/>
      <c r="Z724" s="2171"/>
      <c r="AA724" s="2171"/>
      <c r="AB724" s="2171"/>
      <c r="AC724" s="2171"/>
      <c r="AD724" s="2171"/>
      <c r="AE724" s="2171"/>
      <c r="AF724" s="2171"/>
      <c r="AG724" s="2171"/>
      <c r="AH724" s="2171"/>
      <c r="AI724" s="2171"/>
      <c r="AJ724" s="2171"/>
      <c r="AK724" s="2171"/>
      <c r="AL724" s="2171"/>
      <c r="AM724" s="2171"/>
      <c r="AN724" s="2171"/>
      <c r="AO724" s="2171"/>
      <c r="AP724" s="2171"/>
      <c r="AQ724" s="2171"/>
      <c r="AR724" s="2171"/>
      <c r="AS724" s="2171"/>
      <c r="AT724" s="2171"/>
      <c r="AU724" s="2171"/>
      <c r="AV724" s="2171"/>
      <c r="AW724" s="2171"/>
      <c r="AX724" s="2171"/>
      <c r="AY724" s="2171"/>
      <c r="AZ724" s="2171"/>
      <c r="BA724" s="2171"/>
      <c r="BB724" s="2171"/>
      <c r="BC724" s="724" t="s">
        <v>5865</v>
      </c>
    </row>
    <row r="725" spans="2:55" ht="15.75" hidden="1" customHeight="1">
      <c r="E725" s="2171" t="s">
        <v>203</v>
      </c>
      <c r="F725" s="2171"/>
      <c r="G725" s="2171"/>
      <c r="H725" s="2171" t="s">
        <v>2187</v>
      </c>
      <c r="I725" s="2171"/>
      <c r="J725" s="2171"/>
      <c r="K725" s="2171"/>
      <c r="L725" s="2171"/>
      <c r="M725" s="2171"/>
      <c r="N725" s="2171"/>
      <c r="O725" s="2171"/>
      <c r="P725" s="2171"/>
      <c r="Q725" s="2171"/>
      <c r="R725" s="2171"/>
      <c r="S725" s="2171"/>
      <c r="T725" s="2171"/>
      <c r="U725" s="2171"/>
      <c r="V725" s="2171"/>
      <c r="W725" s="2171"/>
      <c r="X725" s="2171"/>
      <c r="Y725" s="2171"/>
      <c r="Z725" s="2171"/>
      <c r="AA725" s="2171"/>
      <c r="AB725" s="2171"/>
      <c r="AC725" s="2171"/>
      <c r="AD725" s="2171"/>
      <c r="AE725" s="2171"/>
      <c r="AF725" s="2171"/>
      <c r="AG725" s="2171"/>
      <c r="AH725" s="2171"/>
      <c r="AI725" s="2171"/>
      <c r="AJ725" s="2171"/>
      <c r="AK725" s="2171"/>
      <c r="AL725" s="2171"/>
      <c r="AM725" s="2171"/>
      <c r="AN725" s="2171"/>
      <c r="AO725" s="2171"/>
      <c r="AP725" s="2171"/>
      <c r="AQ725" s="2171"/>
      <c r="AR725" s="2171"/>
      <c r="AS725" s="2171"/>
      <c r="AT725" s="2171"/>
      <c r="AU725" s="2171"/>
      <c r="AV725" s="2171"/>
      <c r="AW725" s="2171"/>
      <c r="AX725" s="2171"/>
      <c r="AY725" s="2171"/>
      <c r="AZ725" s="2171"/>
      <c r="BA725" s="2171"/>
      <c r="BB725" s="2171"/>
      <c r="BC725" s="724" t="s">
        <v>5865</v>
      </c>
    </row>
    <row r="726" spans="2:55" ht="15.75" hidden="1" customHeight="1">
      <c r="B726" s="2171" t="s">
        <v>2188</v>
      </c>
      <c r="C726" s="2171"/>
      <c r="D726" s="2171"/>
      <c r="E726" s="2171"/>
      <c r="F726" s="2171"/>
      <c r="G726" s="2171"/>
      <c r="H726" s="2171"/>
      <c r="I726" s="2171"/>
      <c r="J726" s="2171"/>
      <c r="K726" s="2171"/>
      <c r="L726" s="2171"/>
      <c r="M726" s="2171"/>
      <c r="N726" s="2171"/>
      <c r="O726" s="2171"/>
      <c r="P726" s="2171"/>
      <c r="Q726" s="2171"/>
      <c r="R726" s="2171"/>
      <c r="S726" s="2171"/>
      <c r="T726" s="2171"/>
      <c r="U726" s="2171"/>
      <c r="V726" s="2171"/>
      <c r="W726" s="2171"/>
      <c r="X726" s="2171"/>
      <c r="Y726" s="2171"/>
      <c r="Z726" s="2171"/>
      <c r="AA726" s="2171"/>
      <c r="AB726" s="2171"/>
      <c r="AC726" s="2171"/>
      <c r="AD726" s="2171"/>
      <c r="AE726" s="2171"/>
      <c r="AF726" s="2171"/>
      <c r="AG726" s="2171"/>
      <c r="AH726" s="2171"/>
      <c r="AI726" s="2171"/>
      <c r="AJ726" s="2171"/>
      <c r="AK726" s="2171"/>
      <c r="AL726" s="2171"/>
      <c r="AM726" s="2171"/>
      <c r="AN726" s="2171"/>
      <c r="AO726" s="2171"/>
      <c r="AP726" s="2171"/>
      <c r="AQ726" s="2171"/>
      <c r="AR726" s="2171"/>
      <c r="AS726" s="2171"/>
      <c r="AT726" s="2171"/>
      <c r="AU726" s="2171"/>
      <c r="AV726" s="2171"/>
      <c r="AW726" s="2171"/>
      <c r="AX726" s="2171"/>
      <c r="AY726" s="2171"/>
      <c r="AZ726" s="2171"/>
      <c r="BA726" s="2171"/>
      <c r="BB726" s="2171"/>
      <c r="BC726" s="724" t="s">
        <v>5865</v>
      </c>
    </row>
    <row r="727" spans="2:55" ht="15.75" hidden="1" customHeight="1">
      <c r="E727" s="2171" t="s">
        <v>204</v>
      </c>
      <c r="F727" s="2171"/>
      <c r="G727" s="2171"/>
      <c r="H727" s="2171" t="s">
        <v>2075</v>
      </c>
      <c r="I727" s="2171"/>
      <c r="J727" s="2171"/>
      <c r="K727" s="2171"/>
      <c r="L727" s="2171"/>
      <c r="M727" s="2171"/>
      <c r="N727" s="2171"/>
      <c r="O727" s="2171"/>
      <c r="P727" s="2171"/>
      <c r="Q727" s="2171"/>
      <c r="R727" s="2171"/>
      <c r="S727" s="2171"/>
      <c r="T727" s="2171"/>
      <c r="U727" s="2171"/>
      <c r="V727" s="2171"/>
      <c r="W727" s="2171"/>
      <c r="X727" s="2171"/>
      <c r="Y727" s="2171"/>
      <c r="Z727" s="2171"/>
      <c r="AA727" s="2171"/>
      <c r="AB727" s="2171"/>
      <c r="AC727" s="2171"/>
      <c r="AD727" s="2171"/>
      <c r="AE727" s="2171"/>
      <c r="AF727" s="2171"/>
      <c r="AG727" s="2171"/>
      <c r="AH727" s="2171"/>
      <c r="AI727" s="2171"/>
      <c r="AJ727" s="2171"/>
      <c r="AK727" s="2171"/>
      <c r="AL727" s="2171"/>
      <c r="AM727" s="2171"/>
      <c r="AN727" s="2171"/>
      <c r="AO727" s="2171"/>
      <c r="AP727" s="2171"/>
      <c r="AQ727" s="2171"/>
      <c r="AR727" s="2171"/>
      <c r="AS727" s="2171"/>
      <c r="AT727" s="2171"/>
      <c r="AU727" s="2171"/>
      <c r="AV727" s="2171"/>
      <c r="AW727" s="2171"/>
      <c r="AX727" s="2171"/>
      <c r="AY727" s="2171"/>
      <c r="AZ727" s="2171"/>
      <c r="BA727" s="2171"/>
      <c r="BB727" s="2171"/>
      <c r="BC727" s="724" t="s">
        <v>5865</v>
      </c>
    </row>
    <row r="728" spans="2:55" ht="15.75" hidden="1" customHeight="1">
      <c r="B728" s="2171" t="s">
        <v>2325</v>
      </c>
      <c r="C728" s="2171"/>
      <c r="D728" s="2171"/>
      <c r="E728" s="2171"/>
      <c r="F728" s="2171"/>
      <c r="G728" s="2171"/>
      <c r="H728" s="2171"/>
      <c r="I728" s="2171"/>
      <c r="J728" s="2171"/>
      <c r="K728" s="2171"/>
      <c r="L728" s="2171"/>
      <c r="M728" s="2171"/>
      <c r="N728" s="2171"/>
      <c r="O728" s="2171"/>
      <c r="P728" s="2171"/>
      <c r="Q728" s="2171"/>
      <c r="R728" s="2171"/>
      <c r="S728" s="2171"/>
      <c r="T728" s="2171"/>
      <c r="U728" s="2171"/>
      <c r="V728" s="2171"/>
      <c r="W728" s="2171"/>
      <c r="X728" s="2171"/>
      <c r="Y728" s="2171"/>
      <c r="Z728" s="2171"/>
      <c r="AA728" s="2171"/>
      <c r="AB728" s="2171"/>
      <c r="AC728" s="2171"/>
      <c r="AD728" s="2171"/>
      <c r="AE728" s="2171"/>
      <c r="AF728" s="2171"/>
      <c r="AG728" s="2171"/>
      <c r="AH728" s="2171"/>
      <c r="AI728" s="2171"/>
      <c r="AJ728" s="2171"/>
      <c r="AK728" s="2171"/>
      <c r="AL728" s="2171"/>
      <c r="AM728" s="2171"/>
      <c r="AN728" s="2171"/>
      <c r="AO728" s="2171"/>
      <c r="AP728" s="2171"/>
      <c r="AQ728" s="2171"/>
      <c r="AR728" s="2171"/>
      <c r="AS728" s="2171"/>
      <c r="AT728" s="2171"/>
      <c r="AU728" s="2171"/>
      <c r="AV728" s="2171"/>
      <c r="AW728" s="2171"/>
      <c r="AX728" s="2171"/>
      <c r="AY728" s="2171"/>
      <c r="AZ728" s="2171"/>
      <c r="BA728" s="2171"/>
      <c r="BB728" s="2171"/>
      <c r="BC728" s="724" t="s">
        <v>5865</v>
      </c>
    </row>
    <row r="729" spans="2:55" ht="15.75" hidden="1" customHeight="1">
      <c r="BC729" s="724" t="s">
        <v>5865</v>
      </c>
    </row>
    <row r="730" spans="2:55" ht="15.75" hidden="1" customHeight="1">
      <c r="C730" s="2030" t="s">
        <v>4479</v>
      </c>
      <c r="D730" s="2030"/>
      <c r="E730" s="2030"/>
      <c r="F730" s="2030"/>
      <c r="G730" s="2030"/>
      <c r="H730" s="2030"/>
      <c r="I730" s="2030"/>
      <c r="J730" s="2030"/>
      <c r="K730" s="2030"/>
      <c r="L730" s="2030"/>
      <c r="M730" s="2030"/>
      <c r="N730" s="2030"/>
      <c r="O730" s="2030"/>
      <c r="P730" s="2030"/>
      <c r="Q730" s="2030"/>
      <c r="R730" s="2030"/>
      <c r="S730" s="2030"/>
      <c r="T730" s="2030"/>
      <c r="U730" s="2030"/>
      <c r="V730" s="2030"/>
      <c r="W730" s="2030"/>
      <c r="X730" s="2030"/>
      <c r="Y730" s="2030"/>
      <c r="Z730" s="2030"/>
      <c r="AA730" s="2030"/>
      <c r="AB730" s="2030"/>
      <c r="AC730" s="2030" t="s">
        <v>543</v>
      </c>
      <c r="AD730" s="2030"/>
      <c r="AE730" s="2030"/>
      <c r="AF730" s="2030"/>
      <c r="AG730" s="2030"/>
      <c r="AH730" s="2030"/>
      <c r="AI730" s="2030"/>
      <c r="AJ730" s="2030"/>
      <c r="AK730" s="2030"/>
      <c r="AL730" s="2030"/>
      <c r="AM730" s="2030"/>
      <c r="AN730" s="2030"/>
      <c r="AO730" s="2030"/>
      <c r="AP730" s="2030"/>
      <c r="AQ730" s="2030"/>
      <c r="AR730" s="2030"/>
      <c r="AS730" s="2030"/>
      <c r="AT730" s="2030"/>
      <c r="AU730" s="2030"/>
      <c r="AV730" s="2030"/>
      <c r="AW730" s="2030"/>
      <c r="AX730" s="2030"/>
      <c r="AY730" s="2030"/>
      <c r="AZ730" s="2030"/>
      <c r="BA730" s="2030"/>
      <c r="BB730" s="2030"/>
      <c r="BC730" s="724" t="s">
        <v>5865</v>
      </c>
    </row>
    <row r="731" spans="2:55" ht="15.75" hidden="1" customHeight="1">
      <c r="AC731" s="2030" t="s">
        <v>5941</v>
      </c>
      <c r="AD731" s="2030"/>
      <c r="AE731" s="2030"/>
      <c r="AF731" s="2030"/>
      <c r="AG731" s="2030"/>
      <c r="AH731" s="2030"/>
      <c r="AI731" s="2030"/>
      <c r="AJ731" s="2030"/>
      <c r="AK731" s="2030"/>
      <c r="AL731" s="2030"/>
      <c r="AM731" s="2030"/>
      <c r="AN731" s="2030"/>
      <c r="AO731" s="2030"/>
      <c r="AP731" s="2030"/>
      <c r="AQ731" s="2030"/>
      <c r="AR731" s="2030"/>
      <c r="AS731" s="2030"/>
      <c r="AT731" s="2030"/>
      <c r="AU731" s="2030"/>
      <c r="AV731" s="2030"/>
      <c r="AW731" s="2030"/>
      <c r="AX731" s="2030"/>
      <c r="AY731" s="2030"/>
      <c r="AZ731" s="2030"/>
      <c r="BA731" s="2030"/>
      <c r="BC731" s="724" t="s">
        <v>5865</v>
      </c>
    </row>
    <row r="732" spans="2:55" ht="15.75" hidden="1" customHeight="1">
      <c r="BC732" s="724" t="s">
        <v>5865</v>
      </c>
    </row>
    <row r="733" spans="2:55" ht="15.75" hidden="1" customHeight="1">
      <c r="BC733" s="724" t="s">
        <v>5865</v>
      </c>
    </row>
    <row r="734" spans="2:55" ht="15.75" hidden="1" customHeight="1">
      <c r="BC734" s="724" t="s">
        <v>5865</v>
      </c>
    </row>
    <row r="735" spans="2:55" ht="15.75" hidden="1" customHeight="1">
      <c r="BC735" s="724" t="s">
        <v>5865</v>
      </c>
    </row>
    <row r="736" spans="2:55" ht="15.75" hidden="1" customHeight="1">
      <c r="AD736" s="2030" t="s">
        <v>502</v>
      </c>
      <c r="AE736" s="2030"/>
      <c r="AF736" s="2030"/>
      <c r="AG736" s="2030"/>
      <c r="AH736" s="2030"/>
      <c r="AI736" s="2030"/>
      <c r="AJ736" s="2030"/>
      <c r="AK736" s="2030"/>
      <c r="AL736" s="2030"/>
      <c r="AM736" s="2030"/>
      <c r="AN736" s="2030"/>
      <c r="AO736" s="2030"/>
      <c r="AP736" s="2030"/>
      <c r="AQ736" s="2030"/>
      <c r="AR736" s="2030"/>
      <c r="AS736" s="2030"/>
      <c r="AT736" s="2030"/>
      <c r="AU736" s="2030"/>
      <c r="AV736" s="2030"/>
      <c r="AW736" s="2030"/>
      <c r="AX736" s="2030"/>
      <c r="AY736" s="2030"/>
      <c r="AZ736" s="2030"/>
      <c r="BA736" s="2030"/>
      <c r="BC736" s="724" t="s">
        <v>5865</v>
      </c>
    </row>
    <row r="737" spans="55:55" ht="15.75" hidden="1" customHeight="1">
      <c r="BC737" s="724" t="s">
        <v>5865</v>
      </c>
    </row>
    <row r="738" spans="55:55" ht="15.75" hidden="1" customHeight="1">
      <c r="BC738" s="724" t="s">
        <v>5865</v>
      </c>
    </row>
    <row r="739" spans="55:55" ht="15.75" hidden="1" customHeight="1">
      <c r="BC739" s="724" t="s">
        <v>5865</v>
      </c>
    </row>
    <row r="740" spans="55:55" ht="15.75" hidden="1" customHeight="1">
      <c r="BC740" s="724" t="s">
        <v>5865</v>
      </c>
    </row>
    <row r="741" spans="55:55" ht="15.75" hidden="1" customHeight="1">
      <c r="BC741" s="724" t="s">
        <v>5865</v>
      </c>
    </row>
    <row r="742" spans="55:55" ht="15.75" hidden="1" customHeight="1">
      <c r="BC742" s="724" t="s">
        <v>5865</v>
      </c>
    </row>
    <row r="743" spans="55:55" ht="15.75" hidden="1" customHeight="1">
      <c r="BC743" s="724" t="s">
        <v>5865</v>
      </c>
    </row>
    <row r="744" spans="55:55" ht="15.75" hidden="1" customHeight="1">
      <c r="BC744" s="724"/>
    </row>
    <row r="745" spans="55:55" ht="15.75" hidden="1" customHeight="1">
      <c r="BC745" s="724"/>
    </row>
    <row r="746" spans="55:55" ht="15.75" hidden="1" customHeight="1">
      <c r="BC746" s="724"/>
    </row>
    <row r="747" spans="55:55" ht="15.75" hidden="1" customHeight="1">
      <c r="BC747" s="724"/>
    </row>
    <row r="748" spans="55:55" ht="15.75" hidden="1" customHeight="1">
      <c r="BC748" s="724"/>
    </row>
    <row r="749" spans="55:55" ht="15.75" hidden="1" customHeight="1">
      <c r="BC749" s="724"/>
    </row>
    <row r="750" spans="55:55" ht="15.75" hidden="1" customHeight="1">
      <c r="BC750" s="724"/>
    </row>
    <row r="751" spans="55:55" ht="15.75" hidden="1" customHeight="1">
      <c r="BC751" s="724"/>
    </row>
    <row r="752" spans="55:55" ht="15.75" hidden="1" customHeight="1">
      <c r="BC752" s="724"/>
    </row>
    <row r="753" spans="55:55" ht="15.75" hidden="1" customHeight="1">
      <c r="BC753" s="724"/>
    </row>
    <row r="754" spans="55:55" ht="15.75" hidden="1" customHeight="1">
      <c r="BC754" s="724"/>
    </row>
    <row r="755" spans="55:55" ht="15.75" hidden="1" customHeight="1">
      <c r="BC755" s="724"/>
    </row>
    <row r="756" spans="55:55" ht="15.75" hidden="1" customHeight="1">
      <c r="BC756" s="724"/>
    </row>
    <row r="757" spans="55:55" ht="15.75" hidden="1" customHeight="1">
      <c r="BC757" s="724"/>
    </row>
    <row r="758" spans="55:55" ht="15.75" hidden="1" customHeight="1">
      <c r="BC758" s="724"/>
    </row>
    <row r="759" spans="55:55" ht="15.75" hidden="1" customHeight="1">
      <c r="BC759" s="724"/>
    </row>
    <row r="760" spans="55:55" ht="15.75" hidden="1" customHeight="1">
      <c r="BC760" s="724"/>
    </row>
    <row r="761" spans="55:55" ht="15.75" hidden="1" customHeight="1">
      <c r="BC761" s="724"/>
    </row>
    <row r="762" spans="55:55" ht="15.75" hidden="1" customHeight="1">
      <c r="BC762" s="724"/>
    </row>
    <row r="763" spans="55:55" ht="15.75" hidden="1" customHeight="1">
      <c r="BC763" s="724"/>
    </row>
    <row r="764" spans="55:55" ht="15.75" hidden="1" customHeight="1">
      <c r="BC764" s="724"/>
    </row>
    <row r="765" spans="55:55" ht="15.75" hidden="1" customHeight="1">
      <c r="BC765" s="724"/>
    </row>
    <row r="766" spans="55:55" ht="15.75" hidden="1" customHeight="1">
      <c r="BC766" s="724"/>
    </row>
    <row r="767" spans="55:55" ht="15.75" hidden="1" customHeight="1">
      <c r="BC767" s="724"/>
    </row>
    <row r="768" spans="55:55" ht="15.75" hidden="1" customHeight="1">
      <c r="BC768" s="724"/>
    </row>
    <row r="769" spans="55:55" ht="15.75" hidden="1" customHeight="1">
      <c r="BC769" s="724"/>
    </row>
    <row r="770" spans="55:55" ht="15.75" hidden="1" customHeight="1">
      <c r="BC770" s="724"/>
    </row>
    <row r="771" spans="55:55" ht="15.75" hidden="1" customHeight="1">
      <c r="BC771" s="724"/>
    </row>
    <row r="772" spans="55:55" ht="15.75" hidden="1" customHeight="1">
      <c r="BC772" s="724"/>
    </row>
    <row r="773" spans="55:55" ht="15.75" hidden="1" customHeight="1">
      <c r="BC773" s="724"/>
    </row>
    <row r="774" spans="55:55" ht="15.75" hidden="1" customHeight="1">
      <c r="BC774" s="724"/>
    </row>
    <row r="775" spans="55:55" ht="15.75" hidden="1" customHeight="1">
      <c r="BC775" s="724"/>
    </row>
    <row r="776" spans="55:55" ht="15.75" hidden="1" customHeight="1">
      <c r="BC776" s="724"/>
    </row>
    <row r="777" spans="55:55" ht="15.75" hidden="1" customHeight="1">
      <c r="BC777" s="724"/>
    </row>
    <row r="778" spans="55:55" ht="15.75" hidden="1" customHeight="1">
      <c r="BC778" s="724"/>
    </row>
    <row r="779" spans="55:55" ht="15.75" hidden="1" customHeight="1">
      <c r="BC779" s="724"/>
    </row>
    <row r="780" spans="55:55" ht="15.75" hidden="1" customHeight="1">
      <c r="BC780" s="724"/>
    </row>
    <row r="781" spans="55:55" ht="15.75" hidden="1" customHeight="1">
      <c r="BC781" s="724"/>
    </row>
    <row r="782" spans="55:55" ht="15.75" hidden="1" customHeight="1">
      <c r="BC782" s="724"/>
    </row>
    <row r="783" spans="55:55" ht="15.75" hidden="1" customHeight="1">
      <c r="BC783" s="724"/>
    </row>
    <row r="784" spans="55:55" ht="15.75" hidden="1" customHeight="1">
      <c r="BC784" s="724"/>
    </row>
    <row r="785" spans="55:55" ht="15.75" hidden="1" customHeight="1">
      <c r="BC785" s="724"/>
    </row>
    <row r="786" spans="55:55" ht="15.75" hidden="1" customHeight="1">
      <c r="BC786" s="724"/>
    </row>
    <row r="787" spans="55:55" ht="15.75" hidden="1" customHeight="1">
      <c r="BC787" s="724"/>
    </row>
    <row r="788" spans="55:55" ht="15.75" hidden="1" customHeight="1">
      <c r="BC788" s="724"/>
    </row>
    <row r="789" spans="55:55" ht="15.75" hidden="1" customHeight="1">
      <c r="BC789" s="724"/>
    </row>
    <row r="790" spans="55:55" ht="15.75" hidden="1" customHeight="1">
      <c r="BC790" s="724"/>
    </row>
    <row r="791" spans="55:55" ht="15.75" hidden="1" customHeight="1">
      <c r="BC791" s="724"/>
    </row>
    <row r="792" spans="55:55" ht="15.75" hidden="1" customHeight="1">
      <c r="BC792" s="724"/>
    </row>
    <row r="793" spans="55:55" ht="15.75" hidden="1" customHeight="1">
      <c r="BC793" s="724"/>
    </row>
    <row r="794" spans="55:55" ht="15.75" hidden="1" customHeight="1">
      <c r="BC794" s="724"/>
    </row>
    <row r="795" spans="55:55" ht="15.75" hidden="1" customHeight="1">
      <c r="BC795" s="724"/>
    </row>
    <row r="796" spans="55:55" ht="15.75" hidden="1" customHeight="1">
      <c r="BC796" s="724"/>
    </row>
    <row r="797" spans="55:55" ht="15.75" hidden="1" customHeight="1">
      <c r="BC797" s="724"/>
    </row>
    <row r="798" spans="55:55" ht="15.75" hidden="1" customHeight="1">
      <c r="BC798" s="724"/>
    </row>
    <row r="799" spans="55:55" ht="15.75" hidden="1" customHeight="1">
      <c r="BC799" s="724"/>
    </row>
    <row r="800" spans="55:55" ht="15.75" hidden="1" customHeight="1">
      <c r="BC800" s="724"/>
    </row>
    <row r="801" spans="55:55" ht="15.75" hidden="1" customHeight="1">
      <c r="BC801" s="724"/>
    </row>
    <row r="802" spans="55:55" ht="15.75" hidden="1" customHeight="1">
      <c r="BC802" s="724"/>
    </row>
    <row r="803" spans="55:55" ht="15.75" hidden="1" customHeight="1">
      <c r="BC803" s="724"/>
    </row>
    <row r="804" spans="55:55" ht="15.75" hidden="1" customHeight="1">
      <c r="BC804" s="724"/>
    </row>
    <row r="805" spans="55:55" ht="15.75" hidden="1" customHeight="1">
      <c r="BC805" s="724"/>
    </row>
    <row r="806" spans="55:55" ht="15.75" hidden="1" customHeight="1">
      <c r="BC806" s="724"/>
    </row>
    <row r="807" spans="55:55" ht="15.75" hidden="1" customHeight="1">
      <c r="BC807" s="724"/>
    </row>
    <row r="808" spans="55:55" ht="15.75" hidden="1" customHeight="1">
      <c r="BC808" s="724"/>
    </row>
    <row r="809" spans="55:55" ht="15.75" hidden="1" customHeight="1">
      <c r="BC809" s="724"/>
    </row>
    <row r="810" spans="55:55" ht="15.75" hidden="1" customHeight="1">
      <c r="BC810" s="724"/>
    </row>
    <row r="811" spans="55:55" ht="15.75" hidden="1" customHeight="1">
      <c r="BC811" s="724"/>
    </row>
    <row r="812" spans="55:55" ht="15.75" hidden="1" customHeight="1">
      <c r="BC812" s="724"/>
    </row>
    <row r="813" spans="55:55" ht="15.75" hidden="1" customHeight="1">
      <c r="BC813" s="724"/>
    </row>
    <row r="814" spans="55:55" ht="15.75" hidden="1" customHeight="1">
      <c r="BC814" s="724"/>
    </row>
    <row r="815" spans="55:55" ht="15.75" hidden="1" customHeight="1">
      <c r="BC815" s="724"/>
    </row>
    <row r="816" spans="55:55" ht="15.75" hidden="1" customHeight="1">
      <c r="BC816" s="724"/>
    </row>
    <row r="817" spans="55:55" ht="15.75" hidden="1" customHeight="1">
      <c r="BC817" s="724"/>
    </row>
    <row r="818" spans="55:55" ht="15.75" hidden="1" customHeight="1">
      <c r="BC818" s="724"/>
    </row>
    <row r="819" spans="55:55" ht="15.75" hidden="1" customHeight="1">
      <c r="BC819" s="724"/>
    </row>
    <row r="820" spans="55:55" ht="15.75" hidden="1" customHeight="1">
      <c r="BC820" s="724"/>
    </row>
    <row r="821" spans="55:55" ht="15.75" hidden="1" customHeight="1">
      <c r="BC821" s="724"/>
    </row>
    <row r="822" spans="55:55" ht="15.75" hidden="1" customHeight="1">
      <c r="BC822" s="724"/>
    </row>
    <row r="823" spans="55:55" ht="15.75" hidden="1" customHeight="1">
      <c r="BC823" s="724"/>
    </row>
    <row r="824" spans="55:55" ht="15.75" hidden="1" customHeight="1">
      <c r="BC824" s="724"/>
    </row>
    <row r="825" spans="55:55" ht="15.75" hidden="1" customHeight="1">
      <c r="BC825" s="724"/>
    </row>
    <row r="826" spans="55:55" ht="15.75" hidden="1" customHeight="1">
      <c r="BC826" s="724"/>
    </row>
    <row r="827" spans="55:55" ht="15.75" hidden="1" customHeight="1">
      <c r="BC827" s="724"/>
    </row>
    <row r="828" spans="55:55" ht="15.75" hidden="1" customHeight="1">
      <c r="BC828" s="724"/>
    </row>
    <row r="829" spans="55:55" ht="15.75" hidden="1" customHeight="1">
      <c r="BC829" s="724"/>
    </row>
    <row r="830" spans="55:55" ht="15.75" hidden="1" customHeight="1">
      <c r="BC830" s="724"/>
    </row>
    <row r="831" spans="55:55" ht="15.75" hidden="1" customHeight="1">
      <c r="BC831" s="724"/>
    </row>
    <row r="832" spans="55:55" ht="15.75" hidden="1" customHeight="1">
      <c r="BC832" s="724"/>
    </row>
    <row r="833" spans="55:55" ht="15.75" hidden="1" customHeight="1">
      <c r="BC833" s="724"/>
    </row>
    <row r="834" spans="55:55" ht="15.75" hidden="1" customHeight="1">
      <c r="BC834" s="724"/>
    </row>
    <row r="835" spans="55:55" ht="15.75" hidden="1" customHeight="1">
      <c r="BC835" s="724"/>
    </row>
    <row r="836" spans="55:55" ht="15.75" hidden="1" customHeight="1">
      <c r="BC836" s="724"/>
    </row>
    <row r="837" spans="55:55" ht="15.75" hidden="1" customHeight="1">
      <c r="BC837" s="724"/>
    </row>
    <row r="838" spans="55:55" ht="15.75" hidden="1" customHeight="1">
      <c r="BC838" s="724"/>
    </row>
    <row r="839" spans="55:55" ht="15.75" hidden="1" customHeight="1">
      <c r="BC839" s="724"/>
    </row>
    <row r="840" spans="55:55" ht="15.75" hidden="1" customHeight="1">
      <c r="BC840" s="724"/>
    </row>
    <row r="841" spans="55:55" ht="15.75" hidden="1" customHeight="1">
      <c r="BC841" s="724"/>
    </row>
    <row r="842" spans="55:55" ht="15.75" hidden="1" customHeight="1">
      <c r="BC842" s="724"/>
    </row>
    <row r="843" spans="55:55" ht="15.75" hidden="1" customHeight="1">
      <c r="BC843" s="724"/>
    </row>
    <row r="844" spans="55:55" ht="15.75" hidden="1" customHeight="1">
      <c r="BC844" s="724"/>
    </row>
    <row r="845" spans="55:55" ht="15.75" hidden="1" customHeight="1">
      <c r="BC845" s="724"/>
    </row>
    <row r="846" spans="55:55" ht="15.75" hidden="1" customHeight="1">
      <c r="BC846" s="724"/>
    </row>
    <row r="847" spans="55:55" ht="15.75" hidden="1" customHeight="1">
      <c r="BC847" s="724"/>
    </row>
    <row r="848" spans="55:55" ht="15.75" hidden="1" customHeight="1">
      <c r="BC848" s="724"/>
    </row>
    <row r="849" spans="55:55" ht="15.75" hidden="1" customHeight="1">
      <c r="BC849" s="724"/>
    </row>
    <row r="850" spans="55:55" ht="15.75" hidden="1" customHeight="1">
      <c r="BC850" s="724"/>
    </row>
    <row r="851" spans="55:55" ht="15.75" hidden="1" customHeight="1">
      <c r="BC851" s="724"/>
    </row>
    <row r="852" spans="55:55" ht="15.75" hidden="1" customHeight="1">
      <c r="BC852" s="724"/>
    </row>
    <row r="853" spans="55:55" ht="15.75" hidden="1" customHeight="1">
      <c r="BC853" s="724"/>
    </row>
    <row r="854" spans="55:55" ht="15.75" hidden="1" customHeight="1">
      <c r="BC854" s="724"/>
    </row>
    <row r="855" spans="55:55" ht="15.75" hidden="1" customHeight="1">
      <c r="BC855" s="724"/>
    </row>
    <row r="856" spans="55:55" ht="15.75" hidden="1" customHeight="1">
      <c r="BC856" s="724"/>
    </row>
    <row r="857" spans="55:55" ht="15.75" hidden="1" customHeight="1">
      <c r="BC857" s="724"/>
    </row>
    <row r="858" spans="55:55" ht="15.75" hidden="1" customHeight="1">
      <c r="BC858" s="724"/>
    </row>
    <row r="859" spans="55:55" ht="15.75" hidden="1" customHeight="1">
      <c r="BC859" s="724"/>
    </row>
    <row r="860" spans="55:55" ht="15.75" hidden="1" customHeight="1">
      <c r="BC860" s="724"/>
    </row>
    <row r="861" spans="55:55" ht="15.75" hidden="1" customHeight="1">
      <c r="BC861" s="724"/>
    </row>
    <row r="862" spans="55:55" ht="15.75" hidden="1" customHeight="1">
      <c r="BC862" s="724"/>
    </row>
    <row r="863" spans="55:55" ht="15.75" hidden="1" customHeight="1">
      <c r="BC863" s="724"/>
    </row>
    <row r="864" spans="55:55" ht="15.75" hidden="1" customHeight="1">
      <c r="BC864" s="724"/>
    </row>
    <row r="865" spans="55:55" ht="15.75" hidden="1" customHeight="1">
      <c r="BC865" s="724"/>
    </row>
    <row r="866" spans="55:55" ht="15.75" hidden="1" customHeight="1">
      <c r="BC866" s="724"/>
    </row>
    <row r="867" spans="55:55" ht="15.75" hidden="1" customHeight="1">
      <c r="BC867" s="724"/>
    </row>
    <row r="868" spans="55:55" ht="15.75" hidden="1" customHeight="1">
      <c r="BC868" s="724"/>
    </row>
    <row r="869" spans="55:55" ht="15.75" hidden="1" customHeight="1">
      <c r="BC869" s="724"/>
    </row>
    <row r="870" spans="55:55" ht="15.75" hidden="1" customHeight="1">
      <c r="BC870" s="724"/>
    </row>
    <row r="871" spans="55:55" ht="15.75" hidden="1" customHeight="1">
      <c r="BC871" s="724"/>
    </row>
    <row r="872" spans="55:55" ht="15.75" hidden="1" customHeight="1">
      <c r="BC872" s="724"/>
    </row>
    <row r="873" spans="55:55" ht="15.75" hidden="1" customHeight="1">
      <c r="BC873" s="724"/>
    </row>
    <row r="874" spans="55:55" ht="15.75" hidden="1" customHeight="1">
      <c r="BC874" s="724"/>
    </row>
    <row r="875" spans="55:55" ht="15.75" hidden="1" customHeight="1">
      <c r="BC875" s="724"/>
    </row>
    <row r="876" spans="55:55" ht="15.75" hidden="1" customHeight="1">
      <c r="BC876" s="724"/>
    </row>
    <row r="877" spans="55:55" ht="15.75" hidden="1" customHeight="1">
      <c r="BC877" s="724"/>
    </row>
    <row r="878" spans="55:55" ht="15.75" hidden="1" customHeight="1">
      <c r="BC878" s="724"/>
    </row>
    <row r="879" spans="55:55" ht="15.75" hidden="1" customHeight="1">
      <c r="BC879" s="724"/>
    </row>
    <row r="880" spans="55:55" ht="15.75" hidden="1" customHeight="1">
      <c r="BC880" s="724"/>
    </row>
    <row r="881" spans="55:55" ht="15.75" hidden="1" customHeight="1">
      <c r="BC881" s="724"/>
    </row>
    <row r="882" spans="55:55" ht="15.75" hidden="1" customHeight="1">
      <c r="BC882" s="724"/>
    </row>
    <row r="883" spans="55:55" ht="15.75" hidden="1" customHeight="1">
      <c r="BC883" s="724"/>
    </row>
    <row r="884" spans="55:55" ht="15.75" hidden="1" customHeight="1">
      <c r="BC884" s="724"/>
    </row>
    <row r="885" spans="55:55" ht="15.75" hidden="1" customHeight="1">
      <c r="BC885" s="724"/>
    </row>
    <row r="886" spans="55:55" ht="15.75" hidden="1" customHeight="1">
      <c r="BC886" s="724"/>
    </row>
    <row r="887" spans="55:55" ht="15.75" hidden="1" customHeight="1">
      <c r="BC887" s="724"/>
    </row>
    <row r="888" spans="55:55" ht="15.75" hidden="1" customHeight="1">
      <c r="BC888" s="724"/>
    </row>
    <row r="889" spans="55:55" ht="15.75" hidden="1" customHeight="1">
      <c r="BC889" s="724"/>
    </row>
    <row r="890" spans="55:55" ht="15.75" hidden="1" customHeight="1">
      <c r="BC890" s="724"/>
    </row>
    <row r="891" spans="55:55" ht="15.75" hidden="1" customHeight="1">
      <c r="BC891" s="724"/>
    </row>
    <row r="892" spans="55:55" ht="15.75" hidden="1" customHeight="1">
      <c r="BC892" s="724"/>
    </row>
    <row r="893" spans="55:55" ht="15.75" hidden="1" customHeight="1">
      <c r="BC893" s="724"/>
    </row>
    <row r="894" spans="55:55" ht="15.75" hidden="1" customHeight="1">
      <c r="BC894" s="724"/>
    </row>
    <row r="895" spans="55:55" ht="15.75" hidden="1" customHeight="1">
      <c r="BC895" s="724"/>
    </row>
    <row r="896" spans="55:55" ht="15.75" hidden="1" customHeight="1">
      <c r="BC896" s="724"/>
    </row>
    <row r="897" spans="55:55" ht="15.75" hidden="1" customHeight="1">
      <c r="BC897" s="724"/>
    </row>
    <row r="898" spans="55:55" ht="15.75" hidden="1" customHeight="1">
      <c r="BC898" s="724"/>
    </row>
    <row r="899" spans="55:55" ht="15.75" hidden="1" customHeight="1">
      <c r="BC899" s="724"/>
    </row>
    <row r="900" spans="55:55" ht="15.75" hidden="1" customHeight="1">
      <c r="BC900" s="724"/>
    </row>
    <row r="901" spans="55:55" ht="15.75" hidden="1" customHeight="1">
      <c r="BC901" s="724"/>
    </row>
    <row r="902" spans="55:55" ht="15.75" hidden="1" customHeight="1">
      <c r="BC902" s="724"/>
    </row>
    <row r="903" spans="55:55" ht="15.75" hidden="1" customHeight="1">
      <c r="BC903" s="724"/>
    </row>
    <row r="904" spans="55:55" ht="15.75" hidden="1" customHeight="1">
      <c r="BC904" s="724"/>
    </row>
    <row r="905" spans="55:55" ht="15.75" hidden="1" customHeight="1">
      <c r="BC905" s="724"/>
    </row>
    <row r="906" spans="55:55" ht="15.75" hidden="1" customHeight="1">
      <c r="BC906" s="724"/>
    </row>
    <row r="907" spans="55:55" ht="15.75" hidden="1" customHeight="1">
      <c r="BC907" s="724"/>
    </row>
    <row r="908" spans="55:55" ht="15.75" hidden="1" customHeight="1">
      <c r="BC908" s="724"/>
    </row>
    <row r="909" spans="55:55" ht="15.75" hidden="1" customHeight="1">
      <c r="BC909" s="724"/>
    </row>
    <row r="910" spans="55:55" ht="15.75" hidden="1" customHeight="1">
      <c r="BC910" s="724"/>
    </row>
    <row r="911" spans="55:55" ht="15.75" hidden="1" customHeight="1">
      <c r="BC911" s="724"/>
    </row>
    <row r="912" spans="55:55" ht="15.75" hidden="1" customHeight="1">
      <c r="BC912" s="724"/>
    </row>
    <row r="913" spans="55:55" ht="15.75" hidden="1" customHeight="1">
      <c r="BC913" s="724"/>
    </row>
    <row r="914" spans="55:55" ht="15.75" hidden="1" customHeight="1">
      <c r="BC914" s="724"/>
    </row>
    <row r="915" spans="55:55" ht="15.75" hidden="1" customHeight="1">
      <c r="BC915" s="724"/>
    </row>
    <row r="916" spans="55:55" ht="15.75" hidden="1" customHeight="1">
      <c r="BC916" s="724"/>
    </row>
    <row r="917" spans="55:55" ht="15.75" hidden="1" customHeight="1">
      <c r="BC917" s="724"/>
    </row>
    <row r="918" spans="55:55" ht="15.75" hidden="1" customHeight="1">
      <c r="BC918" s="724"/>
    </row>
    <row r="919" spans="55:55" ht="15.75" hidden="1" customHeight="1">
      <c r="BC919" s="724"/>
    </row>
    <row r="920" spans="55:55" ht="15.75" hidden="1" customHeight="1">
      <c r="BC920" s="724"/>
    </row>
    <row r="921" spans="55:55" ht="15.75" hidden="1" customHeight="1">
      <c r="BC921" s="724"/>
    </row>
    <row r="922" spans="55:55" ht="15.75" hidden="1" customHeight="1">
      <c r="BC922" s="724"/>
    </row>
    <row r="923" spans="55:55" ht="15.75" hidden="1" customHeight="1">
      <c r="BC923" s="724"/>
    </row>
    <row r="924" spans="55:55" ht="15.75" hidden="1" customHeight="1">
      <c r="BC924" s="724"/>
    </row>
    <row r="925" spans="55:55" ht="15.75" hidden="1" customHeight="1">
      <c r="BC925" s="724"/>
    </row>
    <row r="926" spans="55:55" ht="15.75" hidden="1" customHeight="1">
      <c r="BC926" s="724"/>
    </row>
    <row r="927" spans="55:55" ht="15.75" hidden="1" customHeight="1">
      <c r="BC927" s="724"/>
    </row>
    <row r="928" spans="55:55" ht="15.75" hidden="1" customHeight="1">
      <c r="BC928" s="724"/>
    </row>
    <row r="929" spans="55:55" ht="15.75" hidden="1" customHeight="1">
      <c r="BC929" s="724"/>
    </row>
    <row r="930" spans="55:55" ht="15.75" hidden="1" customHeight="1">
      <c r="BC930" s="724"/>
    </row>
    <row r="931" spans="55:55" ht="15.75" hidden="1" customHeight="1">
      <c r="BC931" s="724"/>
    </row>
    <row r="932" spans="55:55" ht="15.75" hidden="1" customHeight="1">
      <c r="BC932" s="724"/>
    </row>
    <row r="933" spans="55:55" ht="15.75" hidden="1" customHeight="1">
      <c r="BC933" s="724"/>
    </row>
    <row r="934" spans="55:55" ht="15.75" hidden="1" customHeight="1">
      <c r="BC934" s="724"/>
    </row>
    <row r="935" spans="55:55" ht="15.75" hidden="1" customHeight="1">
      <c r="BC935" s="724"/>
    </row>
    <row r="936" spans="55:55" ht="15.75" hidden="1" customHeight="1">
      <c r="BC936" s="724"/>
    </row>
    <row r="937" spans="55:55" ht="15.75" hidden="1" customHeight="1">
      <c r="BC937" s="724"/>
    </row>
    <row r="938" spans="55:55" ht="15.75" hidden="1" customHeight="1">
      <c r="BC938" s="724"/>
    </row>
    <row r="939" spans="55:55" ht="15.75" hidden="1" customHeight="1">
      <c r="BC939" s="724"/>
    </row>
    <row r="940" spans="55:55" ht="15.75" hidden="1" customHeight="1">
      <c r="BC940" s="724"/>
    </row>
    <row r="941" spans="55:55" ht="15.75" hidden="1" customHeight="1">
      <c r="BC941" s="724"/>
    </row>
    <row r="942" spans="55:55" ht="15.75" hidden="1" customHeight="1">
      <c r="BC942" s="724"/>
    </row>
    <row r="943" spans="55:55" ht="15.75" hidden="1" customHeight="1">
      <c r="BC943" s="724"/>
    </row>
    <row r="944" spans="55:55" ht="15.75" hidden="1" customHeight="1">
      <c r="BC944" s="724"/>
    </row>
    <row r="945" spans="55:55" ht="15.75" hidden="1" customHeight="1">
      <c r="BC945" s="724"/>
    </row>
    <row r="946" spans="55:55" ht="15.75" hidden="1" customHeight="1">
      <c r="BC946" s="724"/>
    </row>
    <row r="947" spans="55:55" ht="15.75" hidden="1" customHeight="1">
      <c r="BC947" s="724"/>
    </row>
    <row r="948" spans="55:55" ht="15.75" hidden="1" customHeight="1">
      <c r="BC948" s="724"/>
    </row>
    <row r="949" spans="55:55" ht="15.75" hidden="1" customHeight="1">
      <c r="BC949" s="724"/>
    </row>
    <row r="950" spans="55:55" ht="15.75" hidden="1" customHeight="1">
      <c r="BC950" s="724"/>
    </row>
    <row r="951" spans="55:55" ht="15.75" hidden="1" customHeight="1">
      <c r="BC951" s="724"/>
    </row>
    <row r="952" spans="55:55" ht="15.75" hidden="1" customHeight="1">
      <c r="BC952" s="724"/>
    </row>
    <row r="953" spans="55:55" ht="15.75" hidden="1" customHeight="1">
      <c r="BC953" s="724"/>
    </row>
    <row r="954" spans="55:55" ht="15.75" hidden="1" customHeight="1">
      <c r="BC954" s="724"/>
    </row>
    <row r="955" spans="55:55" ht="15.75" hidden="1" customHeight="1">
      <c r="BC955" s="724"/>
    </row>
    <row r="956" spans="55:55" ht="15.75" hidden="1" customHeight="1">
      <c r="BC956" s="724"/>
    </row>
    <row r="957" spans="55:55" ht="15.75" hidden="1" customHeight="1">
      <c r="BC957" s="724"/>
    </row>
    <row r="958" spans="55:55" ht="15.75" hidden="1" customHeight="1">
      <c r="BC958" s="724"/>
    </row>
    <row r="959" spans="55:55" ht="15.75" hidden="1" customHeight="1">
      <c r="BC959" s="724"/>
    </row>
    <row r="960" spans="55:55" ht="15.75" hidden="1" customHeight="1">
      <c r="BC960" s="724"/>
    </row>
    <row r="961" spans="55:55" ht="15.75" hidden="1" customHeight="1">
      <c r="BC961" s="724"/>
    </row>
    <row r="962" spans="55:55" ht="15.75" hidden="1" customHeight="1">
      <c r="BC962" s="724"/>
    </row>
    <row r="963" spans="55:55" ht="15.75" hidden="1" customHeight="1">
      <c r="BC963" s="724"/>
    </row>
    <row r="964" spans="55:55" ht="15.75" hidden="1" customHeight="1">
      <c r="BC964" s="724"/>
    </row>
    <row r="965" spans="55:55" ht="15.75" hidden="1" customHeight="1">
      <c r="BC965" s="724"/>
    </row>
    <row r="966" spans="55:55" ht="15.75" hidden="1" customHeight="1">
      <c r="BC966" s="724"/>
    </row>
    <row r="967" spans="55:55" ht="15.75" hidden="1" customHeight="1">
      <c r="BC967" s="724"/>
    </row>
    <row r="968" spans="55:55" ht="15.75" hidden="1" customHeight="1">
      <c r="BC968" s="724"/>
    </row>
    <row r="969" spans="55:55" ht="15.75" hidden="1" customHeight="1">
      <c r="BC969" s="724"/>
    </row>
    <row r="970" spans="55:55" ht="15.75" hidden="1" customHeight="1">
      <c r="BC970" s="724"/>
    </row>
    <row r="971" spans="55:55" ht="15.75" hidden="1" customHeight="1">
      <c r="BC971" s="724"/>
    </row>
    <row r="972" spans="55:55" ht="15.75" hidden="1" customHeight="1">
      <c r="BC972" s="724"/>
    </row>
    <row r="973" spans="55:55" ht="15.75" hidden="1" customHeight="1">
      <c r="BC973" s="724"/>
    </row>
    <row r="974" spans="55:55" ht="15.75" hidden="1" customHeight="1">
      <c r="BC974" s="724"/>
    </row>
    <row r="975" spans="55:55" ht="15.75" hidden="1" customHeight="1">
      <c r="BC975" s="724"/>
    </row>
    <row r="976" spans="55:55" ht="15.75" hidden="1" customHeight="1">
      <c r="BC976" s="724"/>
    </row>
    <row r="977" spans="55:55" ht="15.75" hidden="1" customHeight="1">
      <c r="BC977" s="724"/>
    </row>
    <row r="978" spans="55:55" ht="15.75" hidden="1" customHeight="1">
      <c r="BC978" s="724"/>
    </row>
    <row r="979" spans="55:55" ht="15.75" hidden="1" customHeight="1">
      <c r="BC979" s="724"/>
    </row>
    <row r="980" spans="55:55" ht="15.75" hidden="1" customHeight="1">
      <c r="BC980" s="724"/>
    </row>
    <row r="981" spans="55:55" ht="15.75" hidden="1" customHeight="1">
      <c r="BC981" s="724"/>
    </row>
    <row r="982" spans="55:55" ht="15.75" hidden="1" customHeight="1">
      <c r="BC982" s="724"/>
    </row>
    <row r="983" spans="55:55" ht="15.75" hidden="1" customHeight="1">
      <c r="BC983" s="724"/>
    </row>
    <row r="984" spans="55:55" ht="15.75" hidden="1" customHeight="1">
      <c r="BC984" s="724"/>
    </row>
    <row r="985" spans="55:55" ht="15.75" hidden="1" customHeight="1">
      <c r="BC985" s="724"/>
    </row>
    <row r="986" spans="55:55" ht="15.75" hidden="1" customHeight="1">
      <c r="BC986" s="724"/>
    </row>
    <row r="987" spans="55:55" ht="15.75" hidden="1" customHeight="1">
      <c r="BC987" s="724"/>
    </row>
    <row r="988" spans="55:55" ht="15.75" hidden="1" customHeight="1">
      <c r="BC988" s="724"/>
    </row>
    <row r="989" spans="55:55" ht="15.75" hidden="1" customHeight="1">
      <c r="BC989" s="724"/>
    </row>
    <row r="990" spans="55:55" ht="15.75" hidden="1" customHeight="1">
      <c r="BC990" s="724"/>
    </row>
    <row r="991" spans="55:55" ht="15.75" hidden="1" customHeight="1">
      <c r="BC991" s="724"/>
    </row>
    <row r="992" spans="55:55" ht="15.75" hidden="1" customHeight="1">
      <c r="BC992" s="724"/>
    </row>
    <row r="993" spans="55:55" ht="15.75" hidden="1" customHeight="1">
      <c r="BC993" s="724"/>
    </row>
    <row r="994" spans="55:55" ht="15.75" hidden="1" customHeight="1">
      <c r="BC994" s="724"/>
    </row>
    <row r="995" spans="55:55" ht="15.75" hidden="1" customHeight="1">
      <c r="BC995" s="724"/>
    </row>
    <row r="996" spans="55:55" ht="15.75" hidden="1" customHeight="1">
      <c r="BC996" s="724"/>
    </row>
    <row r="997" spans="55:55" ht="15.75" hidden="1" customHeight="1">
      <c r="BC997" s="724"/>
    </row>
    <row r="998" spans="55:55" ht="15.75" hidden="1" customHeight="1">
      <c r="BC998" s="724"/>
    </row>
    <row r="999" spans="55:55" ht="15.75" hidden="1" customHeight="1">
      <c r="BC999" s="724"/>
    </row>
    <row r="1000" spans="55:55" ht="15.75" hidden="1" customHeight="1">
      <c r="BC1000" s="724"/>
    </row>
    <row r="1001" spans="55:55" ht="15.75" hidden="1" customHeight="1">
      <c r="BC1001" s="724"/>
    </row>
    <row r="1002" spans="55:55" ht="15.75" hidden="1" customHeight="1">
      <c r="BC1002" s="724"/>
    </row>
    <row r="1003" spans="55:55" ht="15.75" hidden="1" customHeight="1">
      <c r="BC1003" s="724"/>
    </row>
    <row r="1004" spans="55:55" ht="15.75" hidden="1" customHeight="1">
      <c r="BC1004" s="724"/>
    </row>
    <row r="1005" spans="55:55" ht="15.75" hidden="1" customHeight="1">
      <c r="BC1005" s="724"/>
    </row>
    <row r="1006" spans="55:55" ht="15.75" hidden="1" customHeight="1">
      <c r="BC1006" s="724"/>
    </row>
    <row r="1007" spans="55:55" ht="15.75" hidden="1" customHeight="1">
      <c r="BC1007" s="724"/>
    </row>
    <row r="1008" spans="55:55" ht="15.75" hidden="1" customHeight="1">
      <c r="BC1008" s="724"/>
    </row>
    <row r="1009" spans="55:55" ht="15.75" hidden="1" customHeight="1">
      <c r="BC1009" s="724"/>
    </row>
    <row r="1010" spans="55:55" ht="15.75" hidden="1" customHeight="1">
      <c r="BC1010" s="724"/>
    </row>
    <row r="1011" spans="55:55" ht="15.75" hidden="1" customHeight="1">
      <c r="BC1011" s="724"/>
    </row>
    <row r="1012" spans="55:55" ht="15.75" hidden="1" customHeight="1">
      <c r="BC1012" s="724"/>
    </row>
    <row r="1013" spans="55:55" ht="15.75" hidden="1" customHeight="1">
      <c r="BC1013" s="724"/>
    </row>
    <row r="1014" spans="55:55" ht="15.75" hidden="1" customHeight="1">
      <c r="BC1014" s="724"/>
    </row>
    <row r="1015" spans="55:55" ht="15.75" hidden="1" customHeight="1">
      <c r="BC1015" s="724"/>
    </row>
    <row r="1016" spans="55:55" ht="15.75" hidden="1" customHeight="1">
      <c r="BC1016" s="724"/>
    </row>
    <row r="1017" spans="55:55" ht="15.75" hidden="1" customHeight="1">
      <c r="BC1017" s="724"/>
    </row>
    <row r="1018" spans="55:55" ht="15.75" hidden="1" customHeight="1">
      <c r="BC1018" s="724"/>
    </row>
    <row r="1019" spans="55:55" ht="15.75" hidden="1" customHeight="1">
      <c r="BC1019" s="724"/>
    </row>
    <row r="1020" spans="55:55" ht="15.75" hidden="1" customHeight="1">
      <c r="BC1020" s="724"/>
    </row>
    <row r="1021" spans="55:55" ht="15.75" hidden="1" customHeight="1">
      <c r="BC1021" s="724"/>
    </row>
    <row r="1022" spans="55:55" ht="15.75" hidden="1" customHeight="1">
      <c r="BC1022" s="724"/>
    </row>
    <row r="1023" spans="55:55" ht="15.75" hidden="1" customHeight="1">
      <c r="BC1023" s="724"/>
    </row>
    <row r="1024" spans="55:55" ht="15.75" hidden="1" customHeight="1">
      <c r="BC1024" s="724"/>
    </row>
    <row r="1025" spans="55:55" ht="15.75" hidden="1" customHeight="1">
      <c r="BC1025" s="724"/>
    </row>
    <row r="1026" spans="55:55" ht="15.75" hidden="1" customHeight="1">
      <c r="BC1026" s="724"/>
    </row>
    <row r="1027" spans="55:55" ht="15.75" hidden="1" customHeight="1">
      <c r="BC1027" s="724"/>
    </row>
    <row r="1028" spans="55:55" ht="15.75" hidden="1" customHeight="1">
      <c r="BC1028" s="724"/>
    </row>
    <row r="1029" spans="55:55" ht="15.75" hidden="1" customHeight="1">
      <c r="BC1029" s="724"/>
    </row>
    <row r="1030" spans="55:55" ht="15.75" hidden="1" customHeight="1">
      <c r="BC1030" s="724"/>
    </row>
    <row r="1031" spans="55:55" ht="15.75" hidden="1" customHeight="1">
      <c r="BC1031" s="724"/>
    </row>
    <row r="1032" spans="55:55" ht="15.75" hidden="1" customHeight="1">
      <c r="BC1032" s="724"/>
    </row>
    <row r="1033" spans="55:55" ht="15.75" hidden="1" customHeight="1">
      <c r="BC1033" s="724"/>
    </row>
    <row r="1034" spans="55:55" ht="15.75" hidden="1" customHeight="1">
      <c r="BC1034" s="724"/>
    </row>
    <row r="1035" spans="55:55" ht="15.75" hidden="1" customHeight="1">
      <c r="BC1035" s="724"/>
    </row>
    <row r="1036" spans="55:55" ht="15.75" hidden="1" customHeight="1">
      <c r="BC1036" s="724"/>
    </row>
    <row r="1037" spans="55:55" ht="15.75" hidden="1" customHeight="1">
      <c r="BC1037" s="724"/>
    </row>
    <row r="1038" spans="55:55" ht="15.75" hidden="1" customHeight="1">
      <c r="BC1038" s="724"/>
    </row>
    <row r="1039" spans="55:55" ht="15.75" hidden="1" customHeight="1">
      <c r="BC1039" s="724"/>
    </row>
    <row r="1040" spans="55:55" ht="15.75" hidden="1" customHeight="1">
      <c r="BC1040" s="724"/>
    </row>
    <row r="1041" spans="55:55" ht="15.75" hidden="1" customHeight="1">
      <c r="BC1041" s="724"/>
    </row>
    <row r="1042" spans="55:55" ht="15.75" hidden="1" customHeight="1">
      <c r="BC1042" s="724"/>
    </row>
    <row r="1043" spans="55:55" ht="15.75" hidden="1" customHeight="1">
      <c r="BC1043" s="724"/>
    </row>
    <row r="1044" spans="55:55" ht="15.75" hidden="1" customHeight="1">
      <c r="BC1044" s="724"/>
    </row>
    <row r="1045" spans="55:55" ht="15.75" hidden="1" customHeight="1">
      <c r="BC1045" s="724"/>
    </row>
    <row r="1046" spans="55:55" ht="15.75" hidden="1" customHeight="1">
      <c r="BC1046" s="724"/>
    </row>
    <row r="1047" spans="55:55" ht="15.75" hidden="1" customHeight="1">
      <c r="BC1047" s="724"/>
    </row>
    <row r="1048" spans="55:55" ht="15.75" hidden="1" customHeight="1">
      <c r="BC1048" s="724"/>
    </row>
    <row r="1049" spans="55:55" ht="15.75" hidden="1" customHeight="1">
      <c r="BC1049" s="724"/>
    </row>
    <row r="1050" spans="55:55" ht="15.75" hidden="1" customHeight="1">
      <c r="BC1050" s="724"/>
    </row>
    <row r="1051" spans="55:55" ht="15.75" hidden="1" customHeight="1">
      <c r="BC1051" s="724"/>
    </row>
    <row r="1052" spans="55:55" ht="15.75" hidden="1" customHeight="1">
      <c r="BC1052" s="724"/>
    </row>
    <row r="1053" spans="55:55" ht="15.75" hidden="1" customHeight="1">
      <c r="BC1053" s="724"/>
    </row>
    <row r="1054" spans="55:55" ht="15.75" hidden="1" customHeight="1">
      <c r="BC1054" s="724"/>
    </row>
    <row r="1055" spans="55:55" ht="15.75" hidden="1" customHeight="1">
      <c r="BC1055" s="724"/>
    </row>
    <row r="1056" spans="55:55" ht="15.75" hidden="1" customHeight="1">
      <c r="BC1056" s="724"/>
    </row>
    <row r="1057" spans="55:55" ht="15.75" hidden="1" customHeight="1">
      <c r="BC1057" s="724"/>
    </row>
    <row r="1058" spans="55:55" ht="15.75" hidden="1" customHeight="1">
      <c r="BC1058" s="724"/>
    </row>
    <row r="1059" spans="55:55" ht="15.75" hidden="1" customHeight="1">
      <c r="BC1059" s="724"/>
    </row>
    <row r="1060" spans="55:55" ht="15.75" hidden="1" customHeight="1">
      <c r="BC1060" s="724"/>
    </row>
    <row r="1061" spans="55:55" ht="15.75" hidden="1" customHeight="1">
      <c r="BC1061" s="724"/>
    </row>
    <row r="1062" spans="55:55" ht="15.75" hidden="1" customHeight="1">
      <c r="BC1062" s="724"/>
    </row>
    <row r="1063" spans="55:55" ht="15.75" hidden="1" customHeight="1">
      <c r="BC1063" s="724"/>
    </row>
    <row r="1064" spans="55:55" ht="15.75" hidden="1" customHeight="1">
      <c r="BC1064" s="724"/>
    </row>
    <row r="1065" spans="55:55" ht="15.75" hidden="1" customHeight="1">
      <c r="BC1065" s="724"/>
    </row>
    <row r="1066" spans="55:55" ht="15.75" hidden="1" customHeight="1">
      <c r="BC1066" s="724"/>
    </row>
    <row r="1067" spans="55:55" ht="15.75" hidden="1" customHeight="1">
      <c r="BC1067" s="724"/>
    </row>
    <row r="1068" spans="55:55" ht="15.75" hidden="1" customHeight="1">
      <c r="BC1068" s="724"/>
    </row>
    <row r="1069" spans="55:55" ht="15.75" hidden="1" customHeight="1">
      <c r="BC1069" s="724"/>
    </row>
    <row r="1070" spans="55:55" ht="15.75" hidden="1" customHeight="1">
      <c r="BC1070" s="724"/>
    </row>
    <row r="1071" spans="55:55" ht="15.75" hidden="1" customHeight="1">
      <c r="BC1071" s="724"/>
    </row>
    <row r="1072" spans="55:55" ht="15.75" hidden="1" customHeight="1">
      <c r="BC1072" s="724"/>
    </row>
    <row r="1073" spans="55:55" ht="15.75" hidden="1" customHeight="1">
      <c r="BC1073" s="724"/>
    </row>
    <row r="1074" spans="55:55" ht="15.75" hidden="1" customHeight="1">
      <c r="BC1074" s="724"/>
    </row>
    <row r="1075" spans="55:55" ht="15.75" hidden="1" customHeight="1">
      <c r="BC1075" s="724"/>
    </row>
    <row r="1076" spans="55:55" ht="15.75" hidden="1" customHeight="1">
      <c r="BC1076" s="724"/>
    </row>
    <row r="1077" spans="55:55" ht="15.75" hidden="1" customHeight="1">
      <c r="BC1077" s="724"/>
    </row>
    <row r="1078" spans="55:55" ht="15.75" hidden="1" customHeight="1">
      <c r="BC1078" s="724"/>
    </row>
    <row r="1079" spans="55:55" ht="15.75" hidden="1" customHeight="1">
      <c r="BC1079" s="724"/>
    </row>
    <row r="1080" spans="55:55" ht="15.75" hidden="1" customHeight="1">
      <c r="BC1080" s="724"/>
    </row>
    <row r="1081" spans="55:55" ht="15.75" hidden="1" customHeight="1">
      <c r="BC1081" s="724"/>
    </row>
    <row r="1082" spans="55:55" ht="15.75" hidden="1" customHeight="1">
      <c r="BC1082" s="724"/>
    </row>
    <row r="1083" spans="55:55" ht="15.75" hidden="1" customHeight="1">
      <c r="BC1083" s="724"/>
    </row>
    <row r="1084" spans="55:55" ht="15.75" hidden="1" customHeight="1">
      <c r="BC1084" s="724"/>
    </row>
    <row r="1085" spans="55:55" ht="15.75" hidden="1" customHeight="1">
      <c r="BC1085" s="724"/>
    </row>
    <row r="1086" spans="55:55" ht="15.75" hidden="1" customHeight="1">
      <c r="BC1086" s="724"/>
    </row>
    <row r="1087" spans="55:55" ht="15.75" hidden="1" customHeight="1">
      <c r="BC1087" s="724"/>
    </row>
    <row r="1088" spans="55:55" ht="15.75" hidden="1" customHeight="1">
      <c r="BC1088" s="724"/>
    </row>
    <row r="1089" spans="55:55" ht="15.75" hidden="1" customHeight="1">
      <c r="BC1089" s="724"/>
    </row>
    <row r="1090" spans="55:55" ht="15.75" hidden="1" customHeight="1">
      <c r="BC1090" s="724"/>
    </row>
    <row r="1091" spans="55:55" ht="15.75" hidden="1" customHeight="1">
      <c r="BC1091" s="724"/>
    </row>
    <row r="1092" spans="55:55" ht="15.75" hidden="1" customHeight="1">
      <c r="BC1092" s="724"/>
    </row>
    <row r="1093" spans="55:55" ht="15.75" hidden="1" customHeight="1">
      <c r="BC1093" s="724"/>
    </row>
    <row r="1094" spans="55:55" ht="15.75" hidden="1" customHeight="1">
      <c r="BC1094" s="724"/>
    </row>
    <row r="1095" spans="55:55" ht="15.75" hidden="1" customHeight="1">
      <c r="BC1095" s="724"/>
    </row>
    <row r="1096" spans="55:55" ht="15.75" hidden="1" customHeight="1">
      <c r="BC1096" s="724"/>
    </row>
    <row r="1097" spans="55:55" ht="15.75" hidden="1" customHeight="1">
      <c r="BC1097" s="724"/>
    </row>
    <row r="1098" spans="55:55" ht="15.75" hidden="1" customHeight="1">
      <c r="BC1098" s="724"/>
    </row>
    <row r="1099" spans="55:55" ht="15.75" hidden="1" customHeight="1">
      <c r="BC1099" s="724"/>
    </row>
    <row r="1100" spans="55:55" ht="15.75" hidden="1" customHeight="1">
      <c r="BC1100" s="724"/>
    </row>
    <row r="1101" spans="55:55" ht="15.75" hidden="1" customHeight="1">
      <c r="BC1101" s="724"/>
    </row>
    <row r="1102" spans="55:55" ht="15.75" hidden="1" customHeight="1">
      <c r="BC1102" s="724"/>
    </row>
    <row r="1103" spans="55:55" ht="15.75" hidden="1" customHeight="1">
      <c r="BC1103" s="724"/>
    </row>
    <row r="1104" spans="55:55" ht="15.75" hidden="1" customHeight="1">
      <c r="BC1104" s="724"/>
    </row>
    <row r="1105" spans="55:55" ht="15.75" hidden="1" customHeight="1">
      <c r="BC1105" s="724"/>
    </row>
    <row r="1106" spans="55:55" ht="15.75" hidden="1" customHeight="1">
      <c r="BC1106" s="724"/>
    </row>
    <row r="1107" spans="55:55" ht="15.75" hidden="1" customHeight="1">
      <c r="BC1107" s="724"/>
    </row>
    <row r="1108" spans="55:55" ht="15.75" hidden="1" customHeight="1">
      <c r="BC1108" s="724"/>
    </row>
    <row r="1109" spans="55:55" ht="15.75" hidden="1" customHeight="1">
      <c r="BC1109" s="724"/>
    </row>
    <row r="1110" spans="55:55" ht="15.75" hidden="1" customHeight="1">
      <c r="BC1110" s="724"/>
    </row>
    <row r="1111" spans="55:55" ht="15.75" hidden="1" customHeight="1">
      <c r="BC1111" s="724"/>
    </row>
    <row r="1112" spans="55:55" ht="15.75" hidden="1" customHeight="1">
      <c r="BC1112" s="724"/>
    </row>
    <row r="1113" spans="55:55" ht="15.75" hidden="1" customHeight="1">
      <c r="BC1113" s="724"/>
    </row>
    <row r="1114" spans="55:55" ht="15.75" hidden="1" customHeight="1">
      <c r="BC1114" s="724"/>
    </row>
    <row r="1115" spans="55:55" ht="15.75" hidden="1" customHeight="1">
      <c r="BC1115" s="724"/>
    </row>
    <row r="1116" spans="55:55" ht="15.75" hidden="1" customHeight="1">
      <c r="BC1116" s="724"/>
    </row>
    <row r="1117" spans="55:55" ht="15.75" hidden="1" customHeight="1">
      <c r="BC1117" s="724"/>
    </row>
    <row r="1118" spans="55:55" ht="15.75" hidden="1" customHeight="1">
      <c r="BC1118" s="724"/>
    </row>
    <row r="1119" spans="55:55" ht="15.75" hidden="1" customHeight="1">
      <c r="BC1119" s="724"/>
    </row>
    <row r="1120" spans="55:55" ht="15.75" hidden="1" customHeight="1">
      <c r="BC1120" s="724"/>
    </row>
    <row r="1121" spans="55:55" ht="15.75" hidden="1" customHeight="1">
      <c r="BC1121" s="724"/>
    </row>
    <row r="1122" spans="55:55" ht="15.75" hidden="1" customHeight="1">
      <c r="BC1122" s="724"/>
    </row>
    <row r="1123" spans="55:55" ht="15.75" hidden="1" customHeight="1">
      <c r="BC1123" s="724"/>
    </row>
    <row r="1124" spans="55:55" ht="15.75" hidden="1" customHeight="1">
      <c r="BC1124" s="724"/>
    </row>
    <row r="1125" spans="55:55" ht="15.75" hidden="1" customHeight="1">
      <c r="BC1125" s="724"/>
    </row>
    <row r="1126" spans="55:55" ht="15.75" hidden="1" customHeight="1">
      <c r="BC1126" s="724"/>
    </row>
    <row r="1127" spans="55:55" ht="15.75" hidden="1" customHeight="1">
      <c r="BC1127" s="724"/>
    </row>
    <row r="1128" spans="55:55" ht="15.75" hidden="1" customHeight="1">
      <c r="BC1128" s="724"/>
    </row>
    <row r="1129" spans="55:55" ht="15.75" hidden="1" customHeight="1">
      <c r="BC1129" s="724"/>
    </row>
    <row r="1130" spans="55:55" ht="15.75" hidden="1" customHeight="1">
      <c r="BC1130" s="724"/>
    </row>
    <row r="1131" spans="55:55" ht="15.75" hidden="1" customHeight="1">
      <c r="BC1131" s="724"/>
    </row>
    <row r="1132" spans="55:55" ht="15.75" hidden="1" customHeight="1">
      <c r="BC1132" s="724"/>
    </row>
    <row r="1133" spans="55:55" ht="15.75" hidden="1" customHeight="1">
      <c r="BC1133" s="724"/>
    </row>
    <row r="1134" spans="55:55" ht="15.75" hidden="1" customHeight="1">
      <c r="BC1134" s="724"/>
    </row>
    <row r="1135" spans="55:55" ht="15.75" hidden="1" customHeight="1">
      <c r="BC1135" s="724"/>
    </row>
    <row r="1136" spans="55:55" ht="15.75" hidden="1" customHeight="1">
      <c r="BC1136" s="724"/>
    </row>
    <row r="1137" spans="55:55" ht="15.75" hidden="1" customHeight="1">
      <c r="BC1137" s="724"/>
    </row>
    <row r="1138" spans="55:55" ht="15.75" hidden="1" customHeight="1">
      <c r="BC1138" s="724"/>
    </row>
    <row r="1139" spans="55:55" ht="15.75" hidden="1" customHeight="1">
      <c r="BC1139" s="724"/>
    </row>
    <row r="1140" spans="55:55" ht="15.75" hidden="1" customHeight="1">
      <c r="BC1140" s="724"/>
    </row>
    <row r="1141" spans="55:55" ht="15.75" hidden="1" customHeight="1">
      <c r="BC1141" s="724"/>
    </row>
    <row r="1142" spans="55:55" ht="15.75" hidden="1" customHeight="1">
      <c r="BC1142" s="724"/>
    </row>
    <row r="1143" spans="55:55" ht="15.75" hidden="1" customHeight="1">
      <c r="BC1143" s="724"/>
    </row>
    <row r="1144" spans="55:55" ht="15.75" hidden="1" customHeight="1">
      <c r="BC1144" s="724"/>
    </row>
    <row r="1145" spans="55:55" ht="15.75" hidden="1" customHeight="1">
      <c r="BC1145" s="724"/>
    </row>
    <row r="1146" spans="55:55" ht="15.75" hidden="1" customHeight="1">
      <c r="BC1146" s="724"/>
    </row>
    <row r="1147" spans="55:55" ht="15.75" hidden="1" customHeight="1">
      <c r="BC1147" s="724"/>
    </row>
    <row r="1148" spans="55:55" ht="15.75" hidden="1" customHeight="1">
      <c r="BC1148" s="724"/>
    </row>
    <row r="1149" spans="55:55" ht="15.75" hidden="1" customHeight="1">
      <c r="BC1149" s="724"/>
    </row>
    <row r="1150" spans="55:55" ht="15.75" hidden="1" customHeight="1">
      <c r="BC1150" s="724"/>
    </row>
    <row r="1151" spans="55:55" ht="15.75" hidden="1" customHeight="1">
      <c r="BC1151" s="724"/>
    </row>
    <row r="1152" spans="55:55" ht="15.75" hidden="1" customHeight="1">
      <c r="BC1152" s="724"/>
    </row>
    <row r="1153" spans="55:55" ht="15.75" hidden="1" customHeight="1">
      <c r="BC1153" s="724"/>
    </row>
    <row r="1154" spans="55:55" ht="15.75" hidden="1" customHeight="1">
      <c r="BC1154" s="724"/>
    </row>
    <row r="1155" spans="55:55" ht="15.75" hidden="1" customHeight="1">
      <c r="BC1155" s="724"/>
    </row>
    <row r="1156" spans="55:55" ht="15.75" hidden="1" customHeight="1">
      <c r="BC1156" s="724"/>
    </row>
    <row r="1157" spans="55:55" ht="15.75" hidden="1" customHeight="1">
      <c r="BC1157" s="724"/>
    </row>
    <row r="1158" spans="55:55" ht="15.75" hidden="1" customHeight="1">
      <c r="BC1158" s="724"/>
    </row>
    <row r="1159" spans="55:55" ht="15.75" hidden="1" customHeight="1">
      <c r="BC1159" s="724"/>
    </row>
    <row r="1160" spans="55:55" ht="15.75" hidden="1" customHeight="1">
      <c r="BC1160" s="724"/>
    </row>
    <row r="1161" spans="55:55" ht="15.75" hidden="1" customHeight="1">
      <c r="BC1161" s="724"/>
    </row>
    <row r="1162" spans="55:55" ht="15.75" hidden="1" customHeight="1">
      <c r="BC1162" s="724"/>
    </row>
    <row r="1163" spans="55:55" ht="15.75" hidden="1" customHeight="1">
      <c r="BC1163" s="724"/>
    </row>
    <row r="1164" spans="55:55" ht="15.75" hidden="1" customHeight="1">
      <c r="BC1164" s="724"/>
    </row>
    <row r="1165" spans="55:55" ht="15.75" hidden="1" customHeight="1">
      <c r="BC1165" s="724"/>
    </row>
    <row r="1166" spans="55:55" ht="15.75" hidden="1" customHeight="1">
      <c r="BC1166" s="724"/>
    </row>
    <row r="1167" spans="55:55" ht="15.75" hidden="1" customHeight="1">
      <c r="BC1167" s="724"/>
    </row>
    <row r="1168" spans="55:55" ht="15.75" hidden="1" customHeight="1">
      <c r="BC1168" s="724"/>
    </row>
    <row r="1169" spans="55:55" ht="15.75" hidden="1" customHeight="1">
      <c r="BC1169" s="724"/>
    </row>
    <row r="1170" spans="55:55" ht="15.75" hidden="1" customHeight="1">
      <c r="BC1170" s="724"/>
    </row>
    <row r="1171" spans="55:55" ht="15.75" hidden="1" customHeight="1">
      <c r="BC1171" s="724"/>
    </row>
    <row r="1172" spans="55:55" ht="15.75" hidden="1" customHeight="1">
      <c r="BC1172" s="724"/>
    </row>
    <row r="1173" spans="55:55" ht="15.75" hidden="1" customHeight="1">
      <c r="BC1173" s="724"/>
    </row>
    <row r="1174" spans="55:55" ht="15.75" hidden="1" customHeight="1">
      <c r="BC1174" s="724"/>
    </row>
    <row r="1175" spans="55:55" ht="15.75" hidden="1" customHeight="1">
      <c r="BC1175" s="724"/>
    </row>
    <row r="1176" spans="55:55" ht="15.75" hidden="1" customHeight="1">
      <c r="BC1176" s="724"/>
    </row>
    <row r="1177" spans="55:55" ht="15.75" hidden="1" customHeight="1">
      <c r="BC1177" s="724"/>
    </row>
    <row r="1178" spans="55:55" ht="15.75" hidden="1" customHeight="1">
      <c r="BC1178" s="724"/>
    </row>
    <row r="1179" spans="55:55" ht="15.75" hidden="1" customHeight="1">
      <c r="BC1179" s="724"/>
    </row>
    <row r="1180" spans="55:55" ht="15.75" hidden="1" customHeight="1">
      <c r="BC1180" s="724"/>
    </row>
    <row r="1181" spans="55:55" ht="15.75" hidden="1" customHeight="1">
      <c r="BC1181" s="724"/>
    </row>
    <row r="1182" spans="55:55" ht="15.75" hidden="1" customHeight="1">
      <c r="BC1182" s="724"/>
    </row>
    <row r="1183" spans="55:55" ht="15.75" hidden="1" customHeight="1">
      <c r="BC1183" s="724"/>
    </row>
    <row r="1184" spans="55:55" ht="15.75" hidden="1" customHeight="1">
      <c r="BC1184" s="724"/>
    </row>
    <row r="1185" spans="55:55" ht="15.75" hidden="1" customHeight="1">
      <c r="BC1185" s="724"/>
    </row>
    <row r="1186" spans="55:55" ht="15.75" hidden="1" customHeight="1">
      <c r="BC1186" s="724"/>
    </row>
    <row r="1187" spans="55:55" ht="15.75" hidden="1" customHeight="1">
      <c r="BC1187" s="724"/>
    </row>
    <row r="1188" spans="55:55" ht="15.75" hidden="1" customHeight="1">
      <c r="BC1188" s="724"/>
    </row>
    <row r="1189" spans="55:55" ht="15.75" hidden="1" customHeight="1">
      <c r="BC1189" s="724"/>
    </row>
    <row r="1190" spans="55:55" ht="15.75" hidden="1" customHeight="1">
      <c r="BC1190" s="724"/>
    </row>
    <row r="1191" spans="55:55" ht="15.75" hidden="1" customHeight="1">
      <c r="BC1191" s="724"/>
    </row>
    <row r="1192" spans="55:55" ht="15.75" hidden="1" customHeight="1">
      <c r="BC1192" s="724"/>
    </row>
    <row r="1193" spans="55:55" ht="15.75" hidden="1" customHeight="1">
      <c r="BC1193" s="724"/>
    </row>
    <row r="1194" spans="55:55" ht="15.75" hidden="1" customHeight="1">
      <c r="BC1194" s="724"/>
    </row>
    <row r="1195" spans="55:55" ht="15.75" hidden="1" customHeight="1">
      <c r="BC1195" s="724"/>
    </row>
    <row r="1196" spans="55:55" ht="15.75" hidden="1" customHeight="1">
      <c r="BC1196" s="724"/>
    </row>
    <row r="1197" spans="55:55" ht="15.75" hidden="1" customHeight="1">
      <c r="BC1197" s="724"/>
    </row>
    <row r="1198" spans="55:55" ht="15.75" hidden="1" customHeight="1">
      <c r="BC1198" s="724"/>
    </row>
    <row r="1199" spans="55:55" ht="15.75" hidden="1" customHeight="1">
      <c r="BC1199" s="724"/>
    </row>
    <row r="1200" spans="55:55" ht="15.75" hidden="1" customHeight="1">
      <c r="BC1200" s="724"/>
    </row>
    <row r="1201" spans="55:55" ht="15.75" hidden="1" customHeight="1">
      <c r="BC1201" s="724"/>
    </row>
    <row r="1202" spans="55:55" ht="15.75" hidden="1" customHeight="1">
      <c r="BC1202" s="724"/>
    </row>
    <row r="1203" spans="55:55" ht="15.75" hidden="1" customHeight="1">
      <c r="BC1203" s="724"/>
    </row>
    <row r="1204" spans="55:55" ht="15.75" hidden="1" customHeight="1">
      <c r="BC1204" s="724"/>
    </row>
    <row r="1205" spans="55:55" ht="15.75" hidden="1" customHeight="1">
      <c r="BC1205" s="724"/>
    </row>
    <row r="1206" spans="55:55" ht="15.75" hidden="1" customHeight="1">
      <c r="BC1206" s="724"/>
    </row>
    <row r="1207" spans="55:55" ht="15.75" hidden="1" customHeight="1">
      <c r="BC1207" s="724"/>
    </row>
    <row r="1208" spans="55:55" ht="15.75" hidden="1" customHeight="1">
      <c r="BC1208" s="724"/>
    </row>
    <row r="1209" spans="55:55" ht="15.75" hidden="1" customHeight="1">
      <c r="BC1209" s="724"/>
    </row>
    <row r="1210" spans="55:55" ht="15.75" hidden="1" customHeight="1">
      <c r="BC1210" s="724"/>
    </row>
    <row r="1211" spans="55:55" ht="15.75" hidden="1" customHeight="1">
      <c r="BC1211" s="724"/>
    </row>
    <row r="1212" spans="55:55" ht="15.75" hidden="1" customHeight="1">
      <c r="BC1212" s="724"/>
    </row>
    <row r="1213" spans="55:55" ht="15.75" hidden="1" customHeight="1">
      <c r="BC1213" s="724"/>
    </row>
    <row r="1214" spans="55:55" ht="15.75" hidden="1" customHeight="1">
      <c r="BC1214" s="724"/>
    </row>
    <row r="1215" spans="55:55" ht="15.75" hidden="1" customHeight="1">
      <c r="BC1215" s="724"/>
    </row>
    <row r="1216" spans="55:55" ht="15.75" hidden="1" customHeight="1">
      <c r="BC1216" s="724"/>
    </row>
    <row r="1217" spans="55:55" ht="15.75" hidden="1" customHeight="1">
      <c r="BC1217" s="724"/>
    </row>
    <row r="1218" spans="55:55" ht="15.75" hidden="1" customHeight="1">
      <c r="BC1218" s="724"/>
    </row>
    <row r="1219" spans="55:55" ht="15.75" hidden="1" customHeight="1">
      <c r="BC1219" s="724"/>
    </row>
    <row r="1220" spans="55:55" ht="15.75" hidden="1" customHeight="1">
      <c r="BC1220" s="724"/>
    </row>
    <row r="1221" spans="55:55" ht="15.75" hidden="1" customHeight="1">
      <c r="BC1221" s="724"/>
    </row>
    <row r="1222" spans="55:55" ht="15.75" hidden="1" customHeight="1">
      <c r="BC1222" s="724"/>
    </row>
    <row r="1223" spans="55:55" ht="15.75" hidden="1" customHeight="1">
      <c r="BC1223" s="724"/>
    </row>
    <row r="1224" spans="55:55" ht="15.75" hidden="1" customHeight="1">
      <c r="BC1224" s="724"/>
    </row>
    <row r="1225" spans="55:55" ht="15.75" hidden="1" customHeight="1">
      <c r="BC1225" s="724"/>
    </row>
    <row r="1226" spans="55:55" ht="15.75" hidden="1" customHeight="1">
      <c r="BC1226" s="724"/>
    </row>
    <row r="1227" spans="55:55" ht="15.75" hidden="1" customHeight="1">
      <c r="BC1227" s="724"/>
    </row>
    <row r="1228" spans="55:55" ht="15.75" hidden="1" customHeight="1">
      <c r="BC1228" s="724"/>
    </row>
    <row r="1229" spans="55:55" ht="15.75" hidden="1" customHeight="1">
      <c r="BC1229" s="724"/>
    </row>
    <row r="1230" spans="55:55" ht="15.75" hidden="1" customHeight="1">
      <c r="BC1230" s="724"/>
    </row>
    <row r="1231" spans="55:55" ht="15.75" hidden="1" customHeight="1">
      <c r="BC1231" s="724"/>
    </row>
    <row r="1232" spans="55:55" ht="15.75" hidden="1" customHeight="1">
      <c r="BC1232" s="724"/>
    </row>
    <row r="1233" spans="55:55" ht="15.75" hidden="1" customHeight="1">
      <c r="BC1233" s="724"/>
    </row>
    <row r="1234" spans="55:55" ht="15.75" hidden="1" customHeight="1">
      <c r="BC1234" s="724"/>
    </row>
    <row r="1235" spans="55:55" ht="15.75" hidden="1" customHeight="1">
      <c r="BC1235" s="724"/>
    </row>
    <row r="1236" spans="55:55" ht="15.75" hidden="1" customHeight="1">
      <c r="BC1236" s="724"/>
    </row>
    <row r="1237" spans="55:55" ht="15.75" hidden="1" customHeight="1">
      <c r="BC1237" s="724"/>
    </row>
    <row r="1238" spans="55:55" ht="15.75" hidden="1" customHeight="1">
      <c r="BC1238" s="724"/>
    </row>
    <row r="1239" spans="55:55" ht="15.75" hidden="1" customHeight="1">
      <c r="BC1239" s="724"/>
    </row>
    <row r="1240" spans="55:55" ht="15.75" hidden="1" customHeight="1">
      <c r="BC1240" s="724"/>
    </row>
    <row r="1241" spans="55:55" ht="15.75" hidden="1" customHeight="1">
      <c r="BC1241" s="724"/>
    </row>
    <row r="1242" spans="55:55" ht="15.75" hidden="1" customHeight="1">
      <c r="BC1242" s="724"/>
    </row>
    <row r="1243" spans="55:55" ht="15.75" hidden="1" customHeight="1">
      <c r="BC1243" s="724"/>
    </row>
    <row r="1244" spans="55:55" ht="15.75" hidden="1" customHeight="1">
      <c r="BC1244" s="724"/>
    </row>
    <row r="1245" spans="55:55" ht="15.75" hidden="1" customHeight="1">
      <c r="BC1245" s="724"/>
    </row>
    <row r="1246" spans="55:55" ht="15.75" hidden="1" customHeight="1">
      <c r="BC1246" s="724"/>
    </row>
    <row r="1247" spans="55:55" ht="15.75" hidden="1" customHeight="1">
      <c r="BC1247" s="724"/>
    </row>
    <row r="1248" spans="55:55" ht="15.75" hidden="1" customHeight="1">
      <c r="BC1248" s="724"/>
    </row>
    <row r="1249" spans="55:55" ht="15.75" hidden="1" customHeight="1">
      <c r="BC1249" s="724"/>
    </row>
    <row r="1250" spans="55:55" ht="15.75" hidden="1" customHeight="1">
      <c r="BC1250" s="724"/>
    </row>
    <row r="1251" spans="55:55" ht="15.75" hidden="1" customHeight="1">
      <c r="BC1251" s="724"/>
    </row>
    <row r="1252" spans="55:55" ht="15.75" hidden="1" customHeight="1">
      <c r="BC1252" s="724"/>
    </row>
    <row r="1253" spans="55:55" ht="15.75" hidden="1" customHeight="1">
      <c r="BC1253" s="724"/>
    </row>
    <row r="1254" spans="55:55" ht="15.75" hidden="1" customHeight="1">
      <c r="BC1254" s="724"/>
    </row>
    <row r="1255" spans="55:55" ht="15.75" hidden="1" customHeight="1">
      <c r="BC1255" s="724"/>
    </row>
    <row r="1256" spans="55:55" ht="15.75" hidden="1" customHeight="1">
      <c r="BC1256" s="724"/>
    </row>
    <row r="1257" spans="55:55" ht="15.75" hidden="1" customHeight="1">
      <c r="BC1257" s="724"/>
    </row>
    <row r="1258" spans="55:55" ht="15.75" hidden="1" customHeight="1">
      <c r="BC1258" s="724"/>
    </row>
    <row r="1259" spans="55:55" ht="15.75" hidden="1" customHeight="1">
      <c r="BC1259" s="724"/>
    </row>
    <row r="1260" spans="55:55" ht="15.75" hidden="1" customHeight="1">
      <c r="BC1260" s="724"/>
    </row>
    <row r="1261" spans="55:55" ht="15.75" hidden="1" customHeight="1">
      <c r="BC1261" s="724"/>
    </row>
    <row r="1262" spans="55:55" ht="15.75" hidden="1" customHeight="1">
      <c r="BC1262" s="724"/>
    </row>
    <row r="1263" spans="55:55" ht="15.75" hidden="1" customHeight="1">
      <c r="BC1263" s="724"/>
    </row>
    <row r="1264" spans="55:55" ht="15.75" hidden="1" customHeight="1">
      <c r="BC1264" s="724"/>
    </row>
    <row r="1265" spans="55:55" ht="15.75" hidden="1" customHeight="1">
      <c r="BC1265" s="724"/>
    </row>
    <row r="1266" spans="55:55" ht="15.75" hidden="1" customHeight="1">
      <c r="BC1266" s="724"/>
    </row>
    <row r="1267" spans="55:55" ht="15.75" hidden="1" customHeight="1">
      <c r="BC1267" s="724"/>
    </row>
    <row r="1268" spans="55:55" ht="15.75" hidden="1" customHeight="1">
      <c r="BC1268" s="724"/>
    </row>
    <row r="1269" spans="55:55" ht="15.75" hidden="1" customHeight="1">
      <c r="BC1269" s="724"/>
    </row>
    <row r="1270" spans="55:55" ht="15.75" hidden="1" customHeight="1">
      <c r="BC1270" s="724"/>
    </row>
    <row r="1271" spans="55:55" ht="15.75" hidden="1" customHeight="1">
      <c r="BC1271" s="724"/>
    </row>
    <row r="1272" spans="55:55" ht="15.75" hidden="1" customHeight="1">
      <c r="BC1272" s="724"/>
    </row>
    <row r="1273" spans="55:55" ht="15.75" hidden="1" customHeight="1">
      <c r="BC1273" s="724"/>
    </row>
    <row r="1274" spans="55:55" ht="15.75" hidden="1" customHeight="1">
      <c r="BC1274" s="724"/>
    </row>
    <row r="1275" spans="55:55" ht="15.75" hidden="1" customHeight="1">
      <c r="BC1275" s="724"/>
    </row>
    <row r="1276" spans="55:55" ht="15.75" hidden="1" customHeight="1">
      <c r="BC1276" s="724"/>
    </row>
    <row r="1277" spans="55:55" ht="15.75" hidden="1" customHeight="1">
      <c r="BC1277" s="724"/>
    </row>
    <row r="1278" spans="55:55" ht="15.75" hidden="1" customHeight="1">
      <c r="BC1278" s="724"/>
    </row>
    <row r="1279" spans="55:55" ht="15.75" hidden="1" customHeight="1">
      <c r="BC1279" s="724"/>
    </row>
    <row r="1280" spans="55:55" ht="15.75" hidden="1" customHeight="1">
      <c r="BC1280" s="724"/>
    </row>
    <row r="1281" spans="55:55" ht="15.75" hidden="1" customHeight="1">
      <c r="BC1281" s="724"/>
    </row>
    <row r="1282" spans="55:55" ht="15.75" hidden="1" customHeight="1">
      <c r="BC1282" s="724"/>
    </row>
    <row r="1283" spans="55:55" ht="15.75" hidden="1" customHeight="1">
      <c r="BC1283" s="724"/>
    </row>
    <row r="1284" spans="55:55" ht="15.75" hidden="1" customHeight="1">
      <c r="BC1284" s="724"/>
    </row>
    <row r="1285" spans="55:55" ht="15.75" hidden="1" customHeight="1">
      <c r="BC1285" s="724"/>
    </row>
    <row r="1286" spans="55:55" ht="15.75" hidden="1" customHeight="1">
      <c r="BC1286" s="724"/>
    </row>
    <row r="1287" spans="55:55" ht="15.75" hidden="1" customHeight="1">
      <c r="BC1287" s="724"/>
    </row>
    <row r="1288" spans="55:55" ht="15.75" hidden="1" customHeight="1">
      <c r="BC1288" s="724"/>
    </row>
    <row r="1289" spans="55:55" ht="15.75" hidden="1" customHeight="1">
      <c r="BC1289" s="724"/>
    </row>
    <row r="1290" spans="55:55" ht="15.75" hidden="1" customHeight="1">
      <c r="BC1290" s="724"/>
    </row>
    <row r="1291" spans="55:55" ht="15.75" hidden="1" customHeight="1">
      <c r="BC1291" s="724"/>
    </row>
    <row r="1292" spans="55:55" ht="15.75" hidden="1" customHeight="1">
      <c r="BC1292" s="724"/>
    </row>
    <row r="1293" spans="55:55" ht="15.75" hidden="1" customHeight="1">
      <c r="BC1293" s="724"/>
    </row>
    <row r="1294" spans="55:55" ht="15.75" hidden="1" customHeight="1">
      <c r="BC1294" s="724"/>
    </row>
    <row r="1295" spans="55:55" ht="15.75" hidden="1" customHeight="1">
      <c r="BC1295" s="724"/>
    </row>
    <row r="1296" spans="55:55" ht="15.75" hidden="1" customHeight="1">
      <c r="BC1296" s="724"/>
    </row>
    <row r="1297" spans="55:55" ht="15.75" hidden="1" customHeight="1">
      <c r="BC1297" s="724"/>
    </row>
    <row r="1298" spans="55:55" ht="15.75" hidden="1" customHeight="1">
      <c r="BC1298" s="724"/>
    </row>
    <row r="1299" spans="55:55" ht="15.75" hidden="1" customHeight="1">
      <c r="BC1299" s="724"/>
    </row>
    <row r="1300" spans="55:55" ht="15.75" hidden="1" customHeight="1">
      <c r="BC1300" s="724"/>
    </row>
    <row r="1301" spans="55:55" ht="15.75" hidden="1" customHeight="1">
      <c r="BC1301" s="724"/>
    </row>
    <row r="1302" spans="55:55" ht="15.75" hidden="1" customHeight="1">
      <c r="BC1302" s="724"/>
    </row>
    <row r="1303" spans="55:55" ht="15.75" hidden="1" customHeight="1">
      <c r="BC1303" s="724"/>
    </row>
    <row r="1304" spans="55:55" ht="15.75" hidden="1" customHeight="1">
      <c r="BC1304" s="724"/>
    </row>
    <row r="1305" spans="55:55" ht="15.75" hidden="1" customHeight="1">
      <c r="BC1305" s="724"/>
    </row>
    <row r="1306" spans="55:55" ht="15.75" hidden="1" customHeight="1">
      <c r="BC1306" s="724"/>
    </row>
    <row r="1307" spans="55:55" ht="15.75" hidden="1" customHeight="1">
      <c r="BC1307" s="724"/>
    </row>
    <row r="1308" spans="55:55" ht="15.75" hidden="1" customHeight="1">
      <c r="BC1308" s="724"/>
    </row>
    <row r="1309" spans="55:55" ht="15.75" hidden="1" customHeight="1">
      <c r="BC1309" s="724"/>
    </row>
    <row r="1310" spans="55:55" ht="15.75" hidden="1" customHeight="1">
      <c r="BC1310" s="724"/>
    </row>
    <row r="1311" spans="55:55" ht="15.75" hidden="1" customHeight="1">
      <c r="BC1311" s="724"/>
    </row>
    <row r="1312" spans="55:55" ht="15.75" hidden="1" customHeight="1">
      <c r="BC1312" s="724"/>
    </row>
    <row r="1313" spans="55:55" ht="15.75" hidden="1" customHeight="1">
      <c r="BC1313" s="724"/>
    </row>
    <row r="1314" spans="55:55" ht="15.75" hidden="1" customHeight="1">
      <c r="BC1314" s="724"/>
    </row>
    <row r="1315" spans="55:55" ht="15.75" hidden="1" customHeight="1">
      <c r="BC1315" s="724"/>
    </row>
    <row r="1316" spans="55:55" ht="15.75" hidden="1" customHeight="1">
      <c r="BC1316" s="724"/>
    </row>
    <row r="1317" spans="55:55" ht="15.75" hidden="1" customHeight="1">
      <c r="BC1317" s="724"/>
    </row>
    <row r="1318" spans="55:55" ht="15.75" hidden="1" customHeight="1">
      <c r="BC1318" s="724"/>
    </row>
    <row r="1319" spans="55:55" ht="15.75" hidden="1" customHeight="1">
      <c r="BC1319" s="724"/>
    </row>
    <row r="1320" spans="55:55" ht="15.75" hidden="1" customHeight="1">
      <c r="BC1320" s="724"/>
    </row>
    <row r="1321" spans="55:55" ht="15.75" hidden="1" customHeight="1">
      <c r="BC1321" s="724"/>
    </row>
    <row r="1322" spans="55:55" ht="15.75" hidden="1" customHeight="1">
      <c r="BC1322" s="724"/>
    </row>
    <row r="1323" spans="55:55" ht="15.75" hidden="1" customHeight="1">
      <c r="BC1323" s="724"/>
    </row>
    <row r="1324" spans="55:55" ht="15.75" hidden="1" customHeight="1">
      <c r="BC1324" s="724"/>
    </row>
    <row r="1325" spans="55:55" ht="15.75" hidden="1" customHeight="1">
      <c r="BC1325" s="724"/>
    </row>
    <row r="1326" spans="55:55" ht="15.75" hidden="1" customHeight="1">
      <c r="BC1326" s="724"/>
    </row>
    <row r="1327" spans="55:55" ht="15.75" hidden="1" customHeight="1">
      <c r="BC1327" s="724"/>
    </row>
    <row r="1328" spans="55:55" ht="15.75" hidden="1" customHeight="1">
      <c r="BC1328" s="724"/>
    </row>
    <row r="1329" spans="55:55" ht="15.75" hidden="1" customHeight="1">
      <c r="BC1329" s="724"/>
    </row>
    <row r="1330" spans="55:55" ht="15.75" hidden="1" customHeight="1">
      <c r="BC1330" s="724"/>
    </row>
    <row r="1331" spans="55:55" ht="15.75" hidden="1" customHeight="1">
      <c r="BC1331" s="724"/>
    </row>
    <row r="1332" spans="55:55" ht="15.75" hidden="1" customHeight="1">
      <c r="BC1332" s="724"/>
    </row>
    <row r="1333" spans="55:55" ht="15.75" hidden="1" customHeight="1">
      <c r="BC1333" s="724"/>
    </row>
    <row r="1334" spans="55:55" ht="15.75" hidden="1" customHeight="1">
      <c r="BC1334" s="724"/>
    </row>
    <row r="1335" spans="55:55" ht="15.75" hidden="1" customHeight="1">
      <c r="BC1335" s="724"/>
    </row>
    <row r="1336" spans="55:55" ht="15.75" hidden="1" customHeight="1">
      <c r="BC1336" s="724"/>
    </row>
    <row r="1337" spans="55:55" ht="15.75" hidden="1" customHeight="1">
      <c r="BC1337" s="724"/>
    </row>
    <row r="1338" spans="55:55" ht="15.75" hidden="1" customHeight="1">
      <c r="BC1338" s="724"/>
    </row>
    <row r="1339" spans="55:55" ht="15.75" hidden="1" customHeight="1">
      <c r="BC1339" s="724"/>
    </row>
    <row r="1340" spans="55:55" ht="15.75" hidden="1" customHeight="1">
      <c r="BC1340" s="724"/>
    </row>
    <row r="1341" spans="55:55" ht="15.75" hidden="1" customHeight="1">
      <c r="BC1341" s="724"/>
    </row>
    <row r="1342" spans="55:55" ht="15.75" hidden="1" customHeight="1">
      <c r="BC1342" s="724"/>
    </row>
    <row r="1343" spans="55:55" ht="15.75" hidden="1" customHeight="1">
      <c r="BC1343" s="724"/>
    </row>
    <row r="1344" spans="55:55" ht="15.75" hidden="1" customHeight="1">
      <c r="BC1344" s="724"/>
    </row>
    <row r="1345" spans="55:55" ht="15.75" hidden="1" customHeight="1">
      <c r="BC1345" s="724"/>
    </row>
    <row r="1346" spans="55:55" ht="15.75" hidden="1" customHeight="1">
      <c r="BC1346" s="724"/>
    </row>
    <row r="1347" spans="55:55" ht="15.75" hidden="1" customHeight="1">
      <c r="BC1347" s="724"/>
    </row>
    <row r="1348" spans="55:55" ht="15.75" hidden="1" customHeight="1">
      <c r="BC1348" s="724"/>
    </row>
    <row r="1349" spans="55:55" ht="15.75" hidden="1" customHeight="1">
      <c r="BC1349" s="724"/>
    </row>
    <row r="1350" spans="55:55" ht="15.75" hidden="1" customHeight="1">
      <c r="BC1350" s="724"/>
    </row>
    <row r="1351" spans="55:55" ht="15.75" hidden="1" customHeight="1">
      <c r="BC1351" s="724"/>
    </row>
    <row r="1352" spans="55:55" ht="15.75" hidden="1" customHeight="1">
      <c r="BC1352" s="724"/>
    </row>
    <row r="1353" spans="55:55" ht="15.75" hidden="1" customHeight="1">
      <c r="BC1353" s="724"/>
    </row>
    <row r="1354" spans="55:55" ht="15.75" hidden="1" customHeight="1">
      <c r="BC1354" s="724"/>
    </row>
    <row r="1355" spans="55:55" ht="15.75" hidden="1" customHeight="1">
      <c r="BC1355" s="724"/>
    </row>
    <row r="1356" spans="55:55" ht="15.75" hidden="1" customHeight="1">
      <c r="BC1356" s="724"/>
    </row>
    <row r="1357" spans="55:55" ht="15.75" hidden="1" customHeight="1">
      <c r="BC1357" s="724"/>
    </row>
    <row r="1358" spans="55:55" ht="15.75" hidden="1" customHeight="1">
      <c r="BC1358" s="724"/>
    </row>
    <row r="1359" spans="55:55" ht="15.75" hidden="1" customHeight="1">
      <c r="BC1359" s="724"/>
    </row>
    <row r="1360" spans="55:55" ht="15.75" hidden="1" customHeight="1">
      <c r="BC1360" s="724"/>
    </row>
    <row r="1361" spans="55:55" ht="15.75" hidden="1" customHeight="1">
      <c r="BC1361" s="724"/>
    </row>
    <row r="1362" spans="55:55" ht="15.75" hidden="1" customHeight="1">
      <c r="BC1362" s="724"/>
    </row>
    <row r="1363" spans="55:55" ht="15.75" hidden="1" customHeight="1">
      <c r="BC1363" s="724"/>
    </row>
    <row r="1364" spans="55:55" ht="15.75" hidden="1" customHeight="1">
      <c r="BC1364" s="724"/>
    </row>
    <row r="1365" spans="55:55" ht="15.75" hidden="1" customHeight="1">
      <c r="BC1365" s="724"/>
    </row>
    <row r="1366" spans="55:55" ht="15.75" hidden="1" customHeight="1">
      <c r="BC1366" s="724"/>
    </row>
    <row r="1367" spans="55:55" ht="15.75" hidden="1" customHeight="1">
      <c r="BC1367" s="724"/>
    </row>
    <row r="1368" spans="55:55" ht="15.75" hidden="1" customHeight="1">
      <c r="BC1368" s="724"/>
    </row>
    <row r="1369" spans="55:55" ht="15.75" hidden="1" customHeight="1">
      <c r="BC1369" s="724"/>
    </row>
    <row r="1370" spans="55:55" ht="15.75" hidden="1" customHeight="1">
      <c r="BC1370" s="724"/>
    </row>
    <row r="1371" spans="55:55" ht="15.75" hidden="1" customHeight="1">
      <c r="BC1371" s="724"/>
    </row>
    <row r="1372" spans="55:55" ht="15.75" hidden="1" customHeight="1">
      <c r="BC1372" s="724"/>
    </row>
    <row r="1373" spans="55:55" ht="15.75" hidden="1" customHeight="1">
      <c r="BC1373" s="724"/>
    </row>
    <row r="1374" spans="55:55" ht="15.75" hidden="1" customHeight="1">
      <c r="BC1374" s="724"/>
    </row>
    <row r="1375" spans="55:55" ht="15.75" hidden="1" customHeight="1">
      <c r="BC1375" s="724"/>
    </row>
    <row r="1376" spans="55:55" ht="15.75" hidden="1" customHeight="1">
      <c r="BC1376" s="724"/>
    </row>
    <row r="1377" spans="55:55" ht="15.75" hidden="1" customHeight="1">
      <c r="BC1377" s="724"/>
    </row>
    <row r="1378" spans="55:55" ht="15.75" hidden="1" customHeight="1">
      <c r="BC1378" s="724"/>
    </row>
    <row r="1379" spans="55:55" ht="15.75" hidden="1" customHeight="1">
      <c r="BC1379" s="724"/>
    </row>
    <row r="1380" spans="55:55" ht="15.75" hidden="1" customHeight="1">
      <c r="BC1380" s="724"/>
    </row>
    <row r="1381" spans="55:55" ht="15.75" hidden="1" customHeight="1">
      <c r="BC1381" s="724"/>
    </row>
    <row r="1382" spans="55:55" ht="15.75" hidden="1" customHeight="1">
      <c r="BC1382" s="724"/>
    </row>
    <row r="1383" spans="55:55" ht="15.75" hidden="1" customHeight="1">
      <c r="BC1383" s="724"/>
    </row>
    <row r="1384" spans="55:55" ht="15.75" hidden="1" customHeight="1">
      <c r="BC1384" s="724"/>
    </row>
    <row r="1385" spans="55:55" ht="15.75" hidden="1" customHeight="1">
      <c r="BC1385" s="724"/>
    </row>
    <row r="1386" spans="55:55" ht="15.75" hidden="1" customHeight="1">
      <c r="BC1386" s="724"/>
    </row>
    <row r="1387" spans="55:55" ht="15.75" hidden="1" customHeight="1">
      <c r="BC1387" s="724"/>
    </row>
    <row r="1388" spans="55:55" ht="15.75" hidden="1" customHeight="1">
      <c r="BC1388" s="724"/>
    </row>
    <row r="1389" spans="55:55" ht="15.75" hidden="1" customHeight="1">
      <c r="BC1389" s="724"/>
    </row>
    <row r="1390" spans="55:55" ht="15.75" hidden="1" customHeight="1">
      <c r="BC1390" s="724"/>
    </row>
    <row r="1391" spans="55:55" ht="15.75" hidden="1" customHeight="1">
      <c r="BC1391" s="724"/>
    </row>
    <row r="1392" spans="55:55" ht="15.75" hidden="1" customHeight="1">
      <c r="BC1392" s="724"/>
    </row>
    <row r="1393" spans="55:55" ht="15.75" hidden="1" customHeight="1">
      <c r="BC1393" s="724"/>
    </row>
    <row r="1394" spans="55:55" ht="15.75" hidden="1" customHeight="1">
      <c r="BC1394" s="724"/>
    </row>
    <row r="1395" spans="55:55" ht="15.75" hidden="1" customHeight="1">
      <c r="BC1395" s="724"/>
    </row>
    <row r="1396" spans="55:55" ht="15.75" hidden="1" customHeight="1">
      <c r="BC1396" s="724"/>
    </row>
    <row r="1397" spans="55:55" ht="15.75" hidden="1" customHeight="1">
      <c r="BC1397" s="724"/>
    </row>
    <row r="1398" spans="55:55" ht="15.75" hidden="1" customHeight="1">
      <c r="BC1398" s="724"/>
    </row>
    <row r="1399" spans="55:55" ht="15.75" hidden="1" customHeight="1">
      <c r="BC1399" s="724"/>
    </row>
    <row r="1400" spans="55:55" ht="15.75" hidden="1" customHeight="1">
      <c r="BC1400" s="724"/>
    </row>
    <row r="1401" spans="55:55" ht="15.75" hidden="1" customHeight="1">
      <c r="BC1401" s="724"/>
    </row>
    <row r="1402" spans="55:55" ht="15.75" hidden="1" customHeight="1">
      <c r="BC1402" s="724"/>
    </row>
    <row r="1403" spans="55:55" ht="15.75" hidden="1" customHeight="1">
      <c r="BC1403" s="724"/>
    </row>
    <row r="1404" spans="55:55" ht="15.75" hidden="1" customHeight="1">
      <c r="BC1404" s="724"/>
    </row>
    <row r="1405" spans="55:55" ht="15.75" hidden="1" customHeight="1">
      <c r="BC1405" s="724"/>
    </row>
    <row r="1406" spans="55:55" ht="15.75" hidden="1" customHeight="1">
      <c r="BC1406" s="724"/>
    </row>
    <row r="1407" spans="55:55" ht="15.75" hidden="1" customHeight="1">
      <c r="BC1407" s="724"/>
    </row>
    <row r="1408" spans="55:55" ht="15.75" hidden="1" customHeight="1">
      <c r="BC1408" s="724"/>
    </row>
    <row r="1409" spans="55:55" ht="15.75" hidden="1" customHeight="1">
      <c r="BC1409" s="724"/>
    </row>
    <row r="1410" spans="55:55" ht="15.75" hidden="1" customHeight="1">
      <c r="BC1410" s="724"/>
    </row>
    <row r="1411" spans="55:55" ht="15.75" hidden="1" customHeight="1">
      <c r="BC1411" s="724"/>
    </row>
    <row r="1412" spans="55:55" ht="15.75" hidden="1" customHeight="1">
      <c r="BC1412" s="724"/>
    </row>
    <row r="1413" spans="55:55" ht="15.75" hidden="1" customHeight="1">
      <c r="BC1413" s="724"/>
    </row>
    <row r="1414" spans="55:55" ht="15.75" hidden="1" customHeight="1">
      <c r="BC1414" s="724"/>
    </row>
    <row r="1415" spans="55:55" ht="15.75" hidden="1" customHeight="1">
      <c r="BC1415" s="724"/>
    </row>
    <row r="1416" spans="55:55" ht="15.75" hidden="1" customHeight="1">
      <c r="BC1416" s="724"/>
    </row>
    <row r="1417" spans="55:55" ht="15.75" hidden="1" customHeight="1">
      <c r="BC1417" s="724"/>
    </row>
    <row r="1418" spans="55:55" ht="15.75" hidden="1" customHeight="1">
      <c r="BC1418" s="724"/>
    </row>
    <row r="1419" spans="55:55" ht="15.75" hidden="1" customHeight="1">
      <c r="BC1419" s="724"/>
    </row>
    <row r="1420" spans="55:55" ht="15.75" hidden="1" customHeight="1">
      <c r="BC1420" s="724"/>
    </row>
    <row r="1421" spans="55:55" ht="15.75" hidden="1" customHeight="1">
      <c r="BC1421" s="724"/>
    </row>
    <row r="1422" spans="55:55" ht="15.75" hidden="1" customHeight="1">
      <c r="BC1422" s="724"/>
    </row>
    <row r="1423" spans="55:55" ht="15.75" hidden="1" customHeight="1">
      <c r="BC1423" s="724"/>
    </row>
    <row r="1424" spans="55:55" ht="15.75" hidden="1" customHeight="1">
      <c r="BC1424" s="724"/>
    </row>
    <row r="1425" spans="55:55" ht="15.75" hidden="1" customHeight="1">
      <c r="BC1425" s="724"/>
    </row>
    <row r="1426" spans="55:55" ht="15.75" hidden="1" customHeight="1">
      <c r="BC1426" s="724"/>
    </row>
    <row r="1427" spans="55:55" ht="15.75" hidden="1" customHeight="1">
      <c r="BC1427" s="724"/>
    </row>
    <row r="1428" spans="55:55" ht="15.75" hidden="1" customHeight="1">
      <c r="BC1428" s="724"/>
    </row>
    <row r="1429" spans="55:55" ht="15.75" hidden="1" customHeight="1">
      <c r="BC1429" s="724"/>
    </row>
    <row r="1430" spans="55:55" ht="15.75" hidden="1" customHeight="1">
      <c r="BC1430" s="724"/>
    </row>
    <row r="1431" spans="55:55" ht="15.75" hidden="1" customHeight="1">
      <c r="BC1431" s="724"/>
    </row>
    <row r="1432" spans="55:55" ht="15.75" hidden="1" customHeight="1">
      <c r="BC1432" s="724"/>
    </row>
    <row r="1433" spans="55:55" ht="15.75" hidden="1" customHeight="1">
      <c r="BC1433" s="724"/>
    </row>
    <row r="1434" spans="55:55" ht="15.75" hidden="1" customHeight="1">
      <c r="BC1434" s="724"/>
    </row>
    <row r="1435" spans="55:55" ht="15.75" hidden="1" customHeight="1">
      <c r="BC1435" s="724"/>
    </row>
    <row r="1436" spans="55:55" ht="15.75" hidden="1" customHeight="1">
      <c r="BC1436" s="724"/>
    </row>
    <row r="1437" spans="55:55" ht="15.75" hidden="1" customHeight="1">
      <c r="BC1437" s="724"/>
    </row>
    <row r="1438" spans="55:55" ht="15.75" hidden="1" customHeight="1">
      <c r="BC1438" s="724"/>
    </row>
    <row r="1439" spans="55:55" ht="15.75" hidden="1" customHeight="1">
      <c r="BC1439" s="724"/>
    </row>
    <row r="1440" spans="55:55" ht="15.75" hidden="1" customHeight="1">
      <c r="BC1440" s="724"/>
    </row>
    <row r="1441" spans="55:55" ht="15.75" hidden="1" customHeight="1">
      <c r="BC1441" s="724"/>
    </row>
    <row r="1442" spans="55:55" ht="15.75" hidden="1" customHeight="1">
      <c r="BC1442" s="724"/>
    </row>
    <row r="1443" spans="55:55" ht="15.75" hidden="1" customHeight="1">
      <c r="BC1443" s="724"/>
    </row>
    <row r="1444" spans="55:55" ht="15.75" hidden="1" customHeight="1">
      <c r="BC1444" s="724"/>
    </row>
    <row r="1445" spans="55:55" ht="15.75" hidden="1" customHeight="1">
      <c r="BC1445" s="724"/>
    </row>
    <row r="1446" spans="55:55" ht="15.75" hidden="1" customHeight="1">
      <c r="BC1446" s="724"/>
    </row>
    <row r="1447" spans="55:55" ht="15.75" hidden="1" customHeight="1">
      <c r="BC1447" s="724"/>
    </row>
    <row r="1448" spans="55:55" ht="15.75" hidden="1" customHeight="1">
      <c r="BC1448" s="724"/>
    </row>
    <row r="1449" spans="55:55" ht="15.75" hidden="1" customHeight="1">
      <c r="BC1449" s="724"/>
    </row>
    <row r="1450" spans="55:55" ht="15.75" hidden="1" customHeight="1">
      <c r="BC1450" s="724"/>
    </row>
    <row r="1451" spans="55:55" ht="15.75" hidden="1" customHeight="1">
      <c r="BC1451" s="724"/>
    </row>
    <row r="1452" spans="55:55" ht="15.75" hidden="1" customHeight="1">
      <c r="BC1452" s="724"/>
    </row>
    <row r="1453" spans="55:55" ht="15.75" hidden="1" customHeight="1">
      <c r="BC1453" s="724"/>
    </row>
    <row r="1454" spans="55:55" ht="15.75" hidden="1" customHeight="1">
      <c r="BC1454" s="724"/>
    </row>
    <row r="1455" spans="55:55" ht="15.75" hidden="1" customHeight="1">
      <c r="BC1455" s="724"/>
    </row>
    <row r="1456" spans="55:55" ht="15.75" hidden="1" customHeight="1">
      <c r="BC1456" s="724"/>
    </row>
    <row r="1457" spans="55:55" ht="15.75" hidden="1" customHeight="1">
      <c r="BC1457" s="724"/>
    </row>
    <row r="1458" spans="55:55" ht="15.75" hidden="1" customHeight="1">
      <c r="BC1458" s="724"/>
    </row>
    <row r="1459" spans="55:55" ht="15.75" hidden="1" customHeight="1">
      <c r="BC1459" s="724"/>
    </row>
    <row r="1460" spans="55:55" ht="15.75" hidden="1" customHeight="1">
      <c r="BC1460" s="724"/>
    </row>
    <row r="1461" spans="55:55" ht="15.75" hidden="1" customHeight="1">
      <c r="BC1461" s="724"/>
    </row>
    <row r="1462" spans="55:55" ht="15.75" hidden="1" customHeight="1">
      <c r="BC1462" s="724"/>
    </row>
    <row r="1463" spans="55:55" ht="15.75" hidden="1" customHeight="1">
      <c r="BC1463" s="724"/>
    </row>
    <row r="1464" spans="55:55" ht="15.75" hidden="1" customHeight="1">
      <c r="BC1464" s="724"/>
    </row>
    <row r="1465" spans="55:55" ht="15.75" hidden="1" customHeight="1">
      <c r="BC1465" s="724"/>
    </row>
    <row r="1466" spans="55:55" ht="15.75" hidden="1" customHeight="1">
      <c r="BC1466" s="724"/>
    </row>
    <row r="1467" spans="55:55" ht="15.75" hidden="1" customHeight="1">
      <c r="BC1467" s="724"/>
    </row>
    <row r="1468" spans="55:55" ht="15.75" hidden="1" customHeight="1">
      <c r="BC1468" s="724"/>
    </row>
    <row r="1469" spans="55:55" ht="15.75" hidden="1" customHeight="1">
      <c r="BC1469" s="724"/>
    </row>
    <row r="1470" spans="55:55" ht="15.75" hidden="1" customHeight="1">
      <c r="BC1470" s="724"/>
    </row>
    <row r="1471" spans="55:55" ht="15.75" hidden="1" customHeight="1">
      <c r="BC1471" s="724"/>
    </row>
    <row r="1472" spans="55:55" ht="15.75" hidden="1" customHeight="1">
      <c r="BC1472" s="724"/>
    </row>
    <row r="1473" spans="55:55" ht="15.75" hidden="1" customHeight="1">
      <c r="BC1473" s="724"/>
    </row>
    <row r="1474" spans="55:55" ht="15.75" hidden="1" customHeight="1">
      <c r="BC1474" s="724"/>
    </row>
    <row r="1475" spans="55:55" ht="15.75" hidden="1" customHeight="1">
      <c r="BC1475" s="724"/>
    </row>
    <row r="1476" spans="55:55" ht="15.75" hidden="1" customHeight="1">
      <c r="BC1476" s="724"/>
    </row>
    <row r="1477" spans="55:55" ht="15.75" hidden="1" customHeight="1">
      <c r="BC1477" s="724"/>
    </row>
    <row r="1478" spans="55:55" ht="15.75" hidden="1" customHeight="1">
      <c r="BC1478" s="724"/>
    </row>
    <row r="1479" spans="55:55" ht="15.75" hidden="1" customHeight="1">
      <c r="BC1479" s="724"/>
    </row>
    <row r="1480" spans="55:55" ht="15.75" hidden="1" customHeight="1">
      <c r="BC1480" s="724"/>
    </row>
    <row r="1481" spans="55:55" ht="15.75" hidden="1" customHeight="1">
      <c r="BC1481" s="724"/>
    </row>
    <row r="1482" spans="55:55" ht="15.75" hidden="1" customHeight="1">
      <c r="BC1482" s="724"/>
    </row>
    <row r="1483" spans="55:55" ht="15.75" hidden="1" customHeight="1">
      <c r="BC1483" s="724"/>
    </row>
    <row r="1484" spans="55:55" ht="15.75" hidden="1" customHeight="1">
      <c r="BC1484" s="724"/>
    </row>
    <row r="1485" spans="55:55" ht="15.75" hidden="1" customHeight="1">
      <c r="BC1485" s="724"/>
    </row>
    <row r="1486" spans="55:55" ht="15.75" hidden="1" customHeight="1">
      <c r="BC1486" s="724"/>
    </row>
    <row r="1487" spans="55:55" ht="15.75" hidden="1" customHeight="1">
      <c r="BC1487" s="724"/>
    </row>
    <row r="1488" spans="55:55" ht="15.75" hidden="1" customHeight="1">
      <c r="BC1488" s="724"/>
    </row>
    <row r="1489" spans="55:55" ht="15.75" hidden="1" customHeight="1">
      <c r="BC1489" s="724"/>
    </row>
    <row r="1490" spans="55:55" ht="15.75" hidden="1" customHeight="1">
      <c r="BC1490" s="724"/>
    </row>
    <row r="1491" spans="55:55" ht="15.75" hidden="1" customHeight="1">
      <c r="BC1491" s="724"/>
    </row>
    <row r="1492" spans="55:55" ht="15.75" hidden="1" customHeight="1">
      <c r="BC1492" s="724"/>
    </row>
    <row r="1493" spans="55:55" ht="15.75" hidden="1" customHeight="1">
      <c r="BC1493" s="724"/>
    </row>
    <row r="1494" spans="55:55" ht="15.75" hidden="1" customHeight="1">
      <c r="BC1494" s="724"/>
    </row>
    <row r="1495" spans="55:55" ht="15.75" hidden="1" customHeight="1">
      <c r="BC1495" s="724"/>
    </row>
    <row r="1496" spans="55:55" ht="15.75" hidden="1" customHeight="1">
      <c r="BC1496" s="724"/>
    </row>
    <row r="1497" spans="55:55" ht="15.75" hidden="1" customHeight="1">
      <c r="BC1497" s="724"/>
    </row>
    <row r="1498" spans="55:55" ht="15.75" hidden="1" customHeight="1">
      <c r="BC1498" s="724"/>
    </row>
    <row r="1499" spans="55:55" ht="15.75" hidden="1" customHeight="1">
      <c r="BC1499" s="724"/>
    </row>
    <row r="1500" spans="55:55" ht="15.75" hidden="1" customHeight="1">
      <c r="BC1500" s="724"/>
    </row>
    <row r="1501" spans="55:55" ht="15.75" hidden="1" customHeight="1">
      <c r="BC1501" s="724"/>
    </row>
    <row r="1502" spans="55:55" ht="15.75" hidden="1" customHeight="1">
      <c r="BC1502" s="724"/>
    </row>
    <row r="1503" spans="55:55" ht="15.75" hidden="1" customHeight="1">
      <c r="BC1503" s="724"/>
    </row>
    <row r="1504" spans="55:55" ht="15.75" hidden="1" customHeight="1">
      <c r="BC1504" s="724"/>
    </row>
    <row r="1505" spans="55:55" ht="15.75" hidden="1" customHeight="1">
      <c r="BC1505" s="724"/>
    </row>
    <row r="1506" spans="55:55" ht="15.75" hidden="1" customHeight="1">
      <c r="BC1506" s="724"/>
    </row>
    <row r="1507" spans="55:55" ht="15.75" hidden="1" customHeight="1">
      <c r="BC1507" s="724"/>
    </row>
    <row r="1508" spans="55:55" ht="15.75" hidden="1" customHeight="1">
      <c r="BC1508" s="724"/>
    </row>
    <row r="1509" spans="55:55" ht="15.75" hidden="1" customHeight="1">
      <c r="BC1509" s="724"/>
    </row>
    <row r="1510" spans="55:55" ht="15.75" hidden="1" customHeight="1">
      <c r="BC1510" s="724"/>
    </row>
    <row r="1511" spans="55:55" ht="15.75" hidden="1" customHeight="1">
      <c r="BC1511" s="724"/>
    </row>
    <row r="1512" spans="55:55" ht="15.75" hidden="1" customHeight="1">
      <c r="BC1512" s="724"/>
    </row>
    <row r="1513" spans="55:55" ht="15.75" hidden="1" customHeight="1">
      <c r="BC1513" s="724"/>
    </row>
    <row r="1514" spans="55:55" ht="15.75" hidden="1" customHeight="1">
      <c r="BC1514" s="724"/>
    </row>
    <row r="1515" spans="55:55" ht="15.75" hidden="1" customHeight="1">
      <c r="BC1515" s="724"/>
    </row>
    <row r="1516" spans="55:55" ht="15.75" hidden="1" customHeight="1">
      <c r="BC1516" s="724"/>
    </row>
    <row r="1517" spans="55:55" ht="15.75" hidden="1" customHeight="1">
      <c r="BC1517" s="724"/>
    </row>
    <row r="1518" spans="55:55" ht="15.75" hidden="1" customHeight="1">
      <c r="BC1518" s="724"/>
    </row>
    <row r="1519" spans="55:55" ht="15.75" hidden="1" customHeight="1">
      <c r="BC1519" s="724"/>
    </row>
    <row r="1520" spans="55:55" ht="15.75" hidden="1" customHeight="1">
      <c r="BC1520" s="724"/>
    </row>
    <row r="1521" spans="55:55" ht="15.75" hidden="1" customHeight="1">
      <c r="BC1521" s="724"/>
    </row>
    <row r="1522" spans="55:55" ht="15.75" hidden="1" customHeight="1">
      <c r="BC1522" s="724"/>
    </row>
    <row r="1523" spans="55:55" ht="15.75" hidden="1" customHeight="1">
      <c r="BC1523" s="724"/>
    </row>
    <row r="1524" spans="55:55" ht="15.75" hidden="1" customHeight="1">
      <c r="BC1524" s="724"/>
    </row>
    <row r="1525" spans="55:55" ht="15.75" hidden="1" customHeight="1">
      <c r="BC1525" s="724"/>
    </row>
    <row r="1526" spans="55:55" ht="15.75" hidden="1" customHeight="1">
      <c r="BC1526" s="724"/>
    </row>
    <row r="1527" spans="55:55" ht="15.75" hidden="1" customHeight="1">
      <c r="BC1527" s="724"/>
    </row>
    <row r="1528" spans="55:55" ht="15.75" hidden="1" customHeight="1">
      <c r="BC1528" s="724"/>
    </row>
    <row r="1529" spans="55:55" ht="15.75" hidden="1" customHeight="1">
      <c r="BC1529" s="724"/>
    </row>
    <row r="1530" spans="55:55" ht="15.75" hidden="1" customHeight="1">
      <c r="BC1530" s="724"/>
    </row>
    <row r="1531" spans="55:55" ht="15.75" hidden="1" customHeight="1">
      <c r="BC1531" s="724"/>
    </row>
    <row r="1532" spans="55:55" ht="15.75" hidden="1" customHeight="1">
      <c r="BC1532" s="724"/>
    </row>
    <row r="1533" spans="55:55" ht="15.75" hidden="1" customHeight="1">
      <c r="BC1533" s="724"/>
    </row>
    <row r="1534" spans="55:55" ht="15.75" hidden="1" customHeight="1">
      <c r="BC1534" s="724"/>
    </row>
    <row r="1535" spans="55:55" ht="15.75" hidden="1" customHeight="1">
      <c r="BC1535" s="724"/>
    </row>
    <row r="1536" spans="55:55" ht="15.75" hidden="1" customHeight="1">
      <c r="BC1536" s="724"/>
    </row>
    <row r="1537" spans="55:55" ht="15.75" hidden="1" customHeight="1">
      <c r="BC1537" s="724"/>
    </row>
    <row r="1538" spans="55:55" ht="15.75" hidden="1" customHeight="1">
      <c r="BC1538" s="724"/>
    </row>
    <row r="1539" spans="55:55" ht="15.75" hidden="1" customHeight="1">
      <c r="BC1539" s="724"/>
    </row>
    <row r="1540" spans="55:55" ht="15.75" hidden="1" customHeight="1">
      <c r="BC1540" s="724"/>
    </row>
    <row r="1541" spans="55:55" ht="15.75" hidden="1" customHeight="1">
      <c r="BC1541" s="724"/>
    </row>
    <row r="1542" spans="55:55" ht="15.75" hidden="1" customHeight="1">
      <c r="BC1542" s="724"/>
    </row>
    <row r="1543" spans="55:55" ht="15.75" hidden="1" customHeight="1">
      <c r="BC1543" s="724"/>
    </row>
    <row r="1544" spans="55:55" ht="15.75" hidden="1" customHeight="1">
      <c r="BC1544" s="724"/>
    </row>
    <row r="1545" spans="55:55" ht="15.75" hidden="1" customHeight="1">
      <c r="BC1545" s="724"/>
    </row>
    <row r="1546" spans="55:55" ht="15.75" hidden="1" customHeight="1">
      <c r="BC1546" s="724"/>
    </row>
    <row r="1547" spans="55:55" ht="15.75" hidden="1" customHeight="1">
      <c r="BC1547" s="724"/>
    </row>
    <row r="1548" spans="55:55" ht="15.75" hidden="1" customHeight="1">
      <c r="BC1548" s="724"/>
    </row>
    <row r="1549" spans="55:55" ht="15.75" hidden="1" customHeight="1">
      <c r="BC1549" s="724"/>
    </row>
    <row r="1550" spans="55:55" ht="15.75" hidden="1" customHeight="1">
      <c r="BC1550" s="724"/>
    </row>
    <row r="1551" spans="55:55" ht="15.75" hidden="1" customHeight="1">
      <c r="BC1551" s="724"/>
    </row>
    <row r="1552" spans="55:55" ht="15.75" hidden="1" customHeight="1">
      <c r="BC1552" s="724"/>
    </row>
    <row r="1553" spans="55:55" ht="15.75" hidden="1" customHeight="1">
      <c r="BC1553" s="724"/>
    </row>
    <row r="1554" spans="55:55" ht="15.75" hidden="1" customHeight="1">
      <c r="BC1554" s="724"/>
    </row>
    <row r="1555" spans="55:55" ht="15.75" hidden="1" customHeight="1">
      <c r="BC1555" s="724"/>
    </row>
    <row r="1556" spans="55:55" ht="15.75" hidden="1" customHeight="1">
      <c r="BC1556" s="724"/>
    </row>
    <row r="1557" spans="55:55" ht="15.75" hidden="1" customHeight="1">
      <c r="BC1557" s="724"/>
    </row>
    <row r="1558" spans="55:55" ht="15.75" hidden="1" customHeight="1">
      <c r="BC1558" s="724"/>
    </row>
    <row r="1559" spans="55:55" ht="15.75" hidden="1" customHeight="1">
      <c r="BC1559" s="724"/>
    </row>
    <row r="1560" spans="55:55" ht="15.75" hidden="1" customHeight="1">
      <c r="BC1560" s="724"/>
    </row>
    <row r="1561" spans="55:55" ht="15.75" hidden="1" customHeight="1">
      <c r="BC1561" s="724"/>
    </row>
    <row r="1562" spans="55:55" ht="15.75" hidden="1" customHeight="1">
      <c r="BC1562" s="724"/>
    </row>
    <row r="1563" spans="55:55" ht="15.75" hidden="1" customHeight="1">
      <c r="BC1563" s="724"/>
    </row>
    <row r="1564" spans="55:55" ht="15.75" hidden="1" customHeight="1">
      <c r="BC1564" s="724"/>
    </row>
    <row r="1565" spans="55:55" ht="15.75" hidden="1" customHeight="1">
      <c r="BC1565" s="724"/>
    </row>
    <row r="1566" spans="55:55" ht="15.75" hidden="1" customHeight="1">
      <c r="BC1566" s="724"/>
    </row>
    <row r="1567" spans="55:55" ht="15.75" hidden="1" customHeight="1">
      <c r="BC1567" s="724"/>
    </row>
    <row r="1568" spans="55:55" ht="15.75" hidden="1" customHeight="1">
      <c r="BC1568" s="724"/>
    </row>
    <row r="1569" spans="55:55" ht="15.75" hidden="1" customHeight="1">
      <c r="BC1569" s="724"/>
    </row>
    <row r="1570" spans="55:55" ht="15.75" hidden="1" customHeight="1">
      <c r="BC1570" s="724"/>
    </row>
    <row r="1571" spans="55:55" ht="15.75" hidden="1" customHeight="1">
      <c r="BC1571" s="724"/>
    </row>
    <row r="1572" spans="55:55" ht="15.75" hidden="1" customHeight="1">
      <c r="BC1572" s="724"/>
    </row>
    <row r="1573" spans="55:55" ht="15.75" hidden="1" customHeight="1">
      <c r="BC1573" s="724"/>
    </row>
    <row r="1574" spans="55:55" ht="15.75" hidden="1" customHeight="1">
      <c r="BC1574" s="724"/>
    </row>
    <row r="1575" spans="55:55" ht="15.75" hidden="1" customHeight="1">
      <c r="BC1575" s="724"/>
    </row>
    <row r="1576" spans="55:55" ht="15.75" hidden="1" customHeight="1">
      <c r="BC1576" s="724"/>
    </row>
    <row r="1577" spans="55:55" ht="15.75" hidden="1" customHeight="1">
      <c r="BC1577" s="724"/>
    </row>
    <row r="1578" spans="55:55" ht="15.75" hidden="1" customHeight="1">
      <c r="BC1578" s="724"/>
    </row>
    <row r="1579" spans="55:55" ht="15.75" hidden="1" customHeight="1">
      <c r="BC1579" s="724"/>
    </row>
    <row r="1580" spans="55:55" ht="15.75" hidden="1" customHeight="1">
      <c r="BC1580" s="724"/>
    </row>
    <row r="1581" spans="55:55" ht="15.75" hidden="1" customHeight="1">
      <c r="BC1581" s="724"/>
    </row>
    <row r="1582" spans="55:55" ht="15.75" hidden="1" customHeight="1">
      <c r="BC1582" s="724"/>
    </row>
    <row r="1583" spans="55:55" ht="15.75" hidden="1" customHeight="1">
      <c r="BC1583" s="724"/>
    </row>
    <row r="1584" spans="55:55" ht="15.75" hidden="1" customHeight="1">
      <c r="BC1584" s="724"/>
    </row>
    <row r="1585" spans="55:55" ht="15.75" hidden="1" customHeight="1">
      <c r="BC1585" s="724"/>
    </row>
    <row r="1586" spans="55:55" ht="15.75" hidden="1" customHeight="1">
      <c r="BC1586" s="724"/>
    </row>
    <row r="1587" spans="55:55" ht="15.75" hidden="1" customHeight="1">
      <c r="BC1587" s="724"/>
    </row>
    <row r="1588" spans="55:55" ht="15.75" hidden="1" customHeight="1">
      <c r="BC1588" s="724"/>
    </row>
    <row r="1589" spans="55:55" ht="15.75" hidden="1" customHeight="1">
      <c r="BC1589" s="724"/>
    </row>
    <row r="1590" spans="55:55" ht="15.75" hidden="1" customHeight="1">
      <c r="BC1590" s="724"/>
    </row>
    <row r="1591" spans="55:55" ht="15.75" hidden="1" customHeight="1">
      <c r="BC1591" s="724"/>
    </row>
    <row r="1592" spans="55:55" ht="15.75" hidden="1" customHeight="1">
      <c r="BC1592" s="724"/>
    </row>
    <row r="1593" spans="55:55" ht="15.75" hidden="1" customHeight="1">
      <c r="BC1593" s="724"/>
    </row>
    <row r="1594" spans="55:55" ht="15.75" hidden="1" customHeight="1">
      <c r="BC1594" s="724"/>
    </row>
    <row r="1595" spans="55:55" ht="15.75" hidden="1" customHeight="1">
      <c r="BC1595" s="724"/>
    </row>
    <row r="1596" spans="55:55" ht="15.75" hidden="1" customHeight="1">
      <c r="BC1596" s="724"/>
    </row>
    <row r="1597" spans="55:55" ht="15.75" hidden="1" customHeight="1">
      <c r="BC1597" s="724"/>
    </row>
    <row r="1598" spans="55:55" ht="15.75" hidden="1" customHeight="1">
      <c r="BC1598" s="724"/>
    </row>
    <row r="1599" spans="55:55" ht="15.75" hidden="1" customHeight="1">
      <c r="BC1599" s="724"/>
    </row>
    <row r="1600" spans="55:55" ht="15.75" hidden="1" customHeight="1">
      <c r="BC1600" s="724"/>
    </row>
    <row r="1601" spans="55:55" ht="15.75" hidden="1" customHeight="1">
      <c r="BC1601" s="724"/>
    </row>
    <row r="1602" spans="55:55" ht="15.75" hidden="1" customHeight="1">
      <c r="BC1602" s="724"/>
    </row>
    <row r="1603" spans="55:55" ht="15.75" hidden="1" customHeight="1">
      <c r="BC1603" s="724"/>
    </row>
    <row r="1604" spans="55:55" ht="15.75" hidden="1" customHeight="1">
      <c r="BC1604" s="724"/>
    </row>
    <row r="1605" spans="55:55" ht="15.75" hidden="1" customHeight="1">
      <c r="BC1605" s="724"/>
    </row>
    <row r="1606" spans="55:55" ht="15.75" hidden="1" customHeight="1">
      <c r="BC1606" s="724"/>
    </row>
    <row r="1607" spans="55:55" ht="15.75" hidden="1" customHeight="1">
      <c r="BC1607" s="724"/>
    </row>
    <row r="1608" spans="55:55" ht="15.75" hidden="1" customHeight="1">
      <c r="BC1608" s="724"/>
    </row>
    <row r="1609" spans="55:55" ht="15.75" hidden="1" customHeight="1">
      <c r="BC1609" s="724"/>
    </row>
    <row r="1610" spans="55:55" ht="15.75" hidden="1" customHeight="1">
      <c r="BC1610" s="724"/>
    </row>
    <row r="1611" spans="55:55" ht="15.75" hidden="1" customHeight="1">
      <c r="BC1611" s="724"/>
    </row>
    <row r="1612" spans="55:55" ht="15.75" hidden="1" customHeight="1">
      <c r="BC1612" s="724"/>
    </row>
    <row r="1613" spans="55:55" ht="15.75" hidden="1" customHeight="1">
      <c r="BC1613" s="724"/>
    </row>
    <row r="1614" spans="55:55" ht="15.75" hidden="1" customHeight="1">
      <c r="BC1614" s="724"/>
    </row>
    <row r="1615" spans="55:55" ht="15.75" hidden="1" customHeight="1">
      <c r="BC1615" s="724"/>
    </row>
    <row r="1616" spans="55:55" ht="15.75" hidden="1" customHeight="1">
      <c r="BC1616" s="724"/>
    </row>
    <row r="1617" spans="55:55" ht="15.75" hidden="1" customHeight="1">
      <c r="BC1617" s="724"/>
    </row>
    <row r="1618" spans="55:55" ht="15.75" hidden="1" customHeight="1">
      <c r="BC1618" s="724"/>
    </row>
    <row r="1619" spans="55:55" ht="15.75" hidden="1" customHeight="1">
      <c r="BC1619" s="724"/>
    </row>
    <row r="1620" spans="55:55" ht="15.75" hidden="1" customHeight="1">
      <c r="BC1620" s="724"/>
    </row>
    <row r="1621" spans="55:55" ht="15.75" hidden="1" customHeight="1">
      <c r="BC1621" s="724"/>
    </row>
    <row r="1622" spans="55:55" ht="15.75" hidden="1" customHeight="1">
      <c r="BC1622" s="724"/>
    </row>
    <row r="1623" spans="55:55" ht="15.75" hidden="1" customHeight="1">
      <c r="BC1623" s="724"/>
    </row>
    <row r="1624" spans="55:55" ht="15.75" hidden="1" customHeight="1">
      <c r="BC1624" s="724"/>
    </row>
    <row r="1625" spans="55:55" ht="15.75" hidden="1" customHeight="1">
      <c r="BC1625" s="724"/>
    </row>
    <row r="1626" spans="55:55" ht="15.75" hidden="1" customHeight="1">
      <c r="BC1626" s="724"/>
    </row>
    <row r="1627" spans="55:55" ht="15.75" hidden="1" customHeight="1">
      <c r="BC1627" s="724"/>
    </row>
    <row r="1628" spans="55:55" ht="15.75" hidden="1" customHeight="1">
      <c r="BC1628" s="724"/>
    </row>
    <row r="1629" spans="55:55" ht="15.75" hidden="1" customHeight="1">
      <c r="BC1629" s="724"/>
    </row>
    <row r="1630" spans="55:55" ht="15.75" hidden="1" customHeight="1">
      <c r="BC1630" s="724"/>
    </row>
    <row r="1631" spans="55:55" ht="15.75" hidden="1" customHeight="1">
      <c r="BC1631" s="724"/>
    </row>
    <row r="1632" spans="55:55" ht="15.75" hidden="1" customHeight="1">
      <c r="BC1632" s="724"/>
    </row>
    <row r="1633" spans="55:55" ht="15.75" hidden="1" customHeight="1">
      <c r="BC1633" s="724"/>
    </row>
    <row r="1634" spans="55:55" ht="15.75" hidden="1" customHeight="1">
      <c r="BC1634" s="724"/>
    </row>
    <row r="1635" spans="55:55" ht="15.75" hidden="1" customHeight="1">
      <c r="BC1635" s="724"/>
    </row>
    <row r="1636" spans="55:55" ht="15.75" hidden="1" customHeight="1">
      <c r="BC1636" s="724"/>
    </row>
    <row r="1637" spans="55:55" ht="15.75" hidden="1" customHeight="1">
      <c r="BC1637" s="724"/>
    </row>
    <row r="1638" spans="55:55" ht="15.75" hidden="1" customHeight="1">
      <c r="BC1638" s="724"/>
    </row>
    <row r="1639" spans="55:55" ht="15.75" hidden="1" customHeight="1">
      <c r="BC1639" s="724"/>
    </row>
    <row r="1640" spans="55:55" ht="15.75" hidden="1" customHeight="1">
      <c r="BC1640" s="724"/>
    </row>
    <row r="1641" spans="55:55" ht="15.75" hidden="1" customHeight="1">
      <c r="BC1641" s="724"/>
    </row>
    <row r="1642" spans="55:55" ht="15.75" hidden="1" customHeight="1">
      <c r="BC1642" s="724"/>
    </row>
    <row r="1643" spans="55:55" ht="15.75" hidden="1" customHeight="1">
      <c r="BC1643" s="724"/>
    </row>
    <row r="1644" spans="55:55" ht="15.75" hidden="1" customHeight="1">
      <c r="BC1644" s="724"/>
    </row>
    <row r="1645" spans="55:55" ht="15.75" hidden="1" customHeight="1">
      <c r="BC1645" s="724"/>
    </row>
    <row r="1646" spans="55:55" ht="15.75" hidden="1" customHeight="1">
      <c r="BC1646" s="724"/>
    </row>
    <row r="1647" spans="55:55" ht="15.75" hidden="1" customHeight="1">
      <c r="BC1647" s="724"/>
    </row>
    <row r="1648" spans="55:55" ht="15.75" hidden="1" customHeight="1">
      <c r="BC1648" s="724"/>
    </row>
    <row r="1649" spans="55:55" ht="15.75" hidden="1" customHeight="1">
      <c r="BC1649" s="724"/>
    </row>
    <row r="1650" spans="55:55" ht="15.75" hidden="1" customHeight="1">
      <c r="BC1650" s="724"/>
    </row>
    <row r="1651" spans="55:55" ht="15.75" hidden="1" customHeight="1">
      <c r="BC1651" s="724"/>
    </row>
    <row r="1652" spans="55:55" ht="15.75" hidden="1" customHeight="1">
      <c r="BC1652" s="724"/>
    </row>
    <row r="1653" spans="55:55" ht="15.75" hidden="1" customHeight="1">
      <c r="BC1653" s="724"/>
    </row>
    <row r="1654" spans="55:55" ht="15.75" hidden="1" customHeight="1">
      <c r="BC1654" s="724"/>
    </row>
    <row r="1655" spans="55:55" ht="15.75" hidden="1" customHeight="1">
      <c r="BC1655" s="724"/>
    </row>
    <row r="1656" spans="55:55" ht="15.75" hidden="1" customHeight="1">
      <c r="BC1656" s="724"/>
    </row>
    <row r="1657" spans="55:55" ht="15.75" hidden="1" customHeight="1">
      <c r="BC1657" s="724"/>
    </row>
    <row r="1658" spans="55:55" ht="15.75" hidden="1" customHeight="1">
      <c r="BC1658" s="724"/>
    </row>
    <row r="1659" spans="55:55" ht="15.75" hidden="1" customHeight="1">
      <c r="BC1659" s="724"/>
    </row>
    <row r="1660" spans="55:55" ht="15.75" hidden="1" customHeight="1">
      <c r="BC1660" s="724"/>
    </row>
    <row r="1661" spans="55:55" ht="15.75" hidden="1" customHeight="1">
      <c r="BC1661" s="724"/>
    </row>
    <row r="1662" spans="55:55" ht="15.75" hidden="1" customHeight="1">
      <c r="BC1662" s="724"/>
    </row>
    <row r="1663" spans="55:55" ht="15.75" hidden="1" customHeight="1">
      <c r="BC1663" s="724"/>
    </row>
    <row r="1664" spans="55:55" ht="15.75" hidden="1" customHeight="1">
      <c r="BC1664" s="724"/>
    </row>
    <row r="1665" spans="55:55" ht="15.75" hidden="1" customHeight="1">
      <c r="BC1665" s="724"/>
    </row>
    <row r="1666" spans="55:55" ht="15.75" hidden="1" customHeight="1">
      <c r="BC1666" s="724"/>
    </row>
    <row r="1667" spans="55:55" ht="15.75" hidden="1" customHeight="1">
      <c r="BC1667" s="724"/>
    </row>
    <row r="1668" spans="55:55" ht="15.75" hidden="1" customHeight="1">
      <c r="BC1668" s="724"/>
    </row>
    <row r="1669" spans="55:55" ht="15.75" hidden="1" customHeight="1">
      <c r="BC1669" s="724"/>
    </row>
    <row r="1670" spans="55:55" ht="15.75" hidden="1" customHeight="1">
      <c r="BC1670" s="724"/>
    </row>
    <row r="1671" spans="55:55" ht="15.75" hidden="1" customHeight="1">
      <c r="BC1671" s="724"/>
    </row>
    <row r="1672" spans="55:55" ht="15.75" hidden="1" customHeight="1">
      <c r="BC1672" s="724"/>
    </row>
    <row r="1673" spans="55:55" ht="15.75" hidden="1" customHeight="1">
      <c r="BC1673" s="724"/>
    </row>
    <row r="1674" spans="55:55" ht="15.75" hidden="1" customHeight="1">
      <c r="BC1674" s="724"/>
    </row>
    <row r="1675" spans="55:55" ht="15.75" hidden="1" customHeight="1">
      <c r="BC1675" s="724"/>
    </row>
    <row r="1676" spans="55:55" ht="15.75" hidden="1" customHeight="1">
      <c r="BC1676" s="724"/>
    </row>
    <row r="1677" spans="55:55" ht="15.75" hidden="1" customHeight="1">
      <c r="BC1677" s="724"/>
    </row>
    <row r="1678" spans="55:55" ht="15.75" hidden="1" customHeight="1">
      <c r="BC1678" s="724"/>
    </row>
    <row r="1679" spans="55:55" ht="15.75" hidden="1" customHeight="1">
      <c r="BC1679" s="724"/>
    </row>
    <row r="1680" spans="55:55" ht="15.75" hidden="1" customHeight="1">
      <c r="BC1680" s="724"/>
    </row>
    <row r="1681" spans="55:55" ht="15.75" hidden="1" customHeight="1">
      <c r="BC1681" s="724"/>
    </row>
    <row r="1682" spans="55:55" ht="15.75" hidden="1" customHeight="1">
      <c r="BC1682" s="724"/>
    </row>
    <row r="1683" spans="55:55" ht="15.75" hidden="1" customHeight="1">
      <c r="BC1683" s="724"/>
    </row>
    <row r="1684" spans="55:55" ht="15.75" hidden="1" customHeight="1">
      <c r="BC1684" s="724"/>
    </row>
    <row r="1685" spans="55:55" ht="15.75" hidden="1" customHeight="1">
      <c r="BC1685" s="724"/>
    </row>
    <row r="1686" spans="55:55" ht="15.75" hidden="1" customHeight="1">
      <c r="BC1686" s="724"/>
    </row>
    <row r="1687" spans="55:55" ht="15.75" hidden="1" customHeight="1">
      <c r="BC1687" s="724"/>
    </row>
    <row r="1688" spans="55:55" ht="15.75" hidden="1" customHeight="1">
      <c r="BC1688" s="724"/>
    </row>
    <row r="1689" spans="55:55" ht="15.75" hidden="1" customHeight="1">
      <c r="BC1689" s="724"/>
    </row>
    <row r="1690" spans="55:55" ht="15.75" hidden="1" customHeight="1">
      <c r="BC1690" s="724"/>
    </row>
    <row r="1691" spans="55:55" ht="15.75" hidden="1" customHeight="1">
      <c r="BC1691" s="724"/>
    </row>
    <row r="1692" spans="55:55" ht="15.75" hidden="1" customHeight="1">
      <c r="BC1692" s="724"/>
    </row>
    <row r="1693" spans="55:55" ht="15.75" hidden="1" customHeight="1">
      <c r="BC1693" s="724"/>
    </row>
    <row r="1694" spans="55:55" ht="15.75" hidden="1" customHeight="1">
      <c r="BC1694" s="724"/>
    </row>
    <row r="1695" spans="55:55" ht="15.75" hidden="1" customHeight="1">
      <c r="BC1695" s="724"/>
    </row>
    <row r="1696" spans="55:55" ht="15.75" hidden="1" customHeight="1">
      <c r="BC1696" s="724"/>
    </row>
    <row r="1697" spans="55:55" ht="15.75" hidden="1" customHeight="1">
      <c r="BC1697" s="724"/>
    </row>
    <row r="1698" spans="55:55" ht="15.75" hidden="1" customHeight="1">
      <c r="BC1698" s="724"/>
    </row>
    <row r="1699" spans="55:55" ht="15.75" hidden="1" customHeight="1">
      <c r="BC1699" s="724"/>
    </row>
    <row r="1700" spans="55:55" ht="15.75" hidden="1" customHeight="1">
      <c r="BC1700" s="724"/>
    </row>
    <row r="1701" spans="55:55" ht="15.75" hidden="1" customHeight="1">
      <c r="BC1701" s="724"/>
    </row>
    <row r="1702" spans="55:55" ht="15.75" hidden="1" customHeight="1">
      <c r="BC1702" s="724"/>
    </row>
    <row r="1703" spans="55:55" ht="15.75" hidden="1" customHeight="1">
      <c r="BC1703" s="724"/>
    </row>
    <row r="1704" spans="55:55" ht="15.75" hidden="1" customHeight="1">
      <c r="BC1704" s="724"/>
    </row>
    <row r="1705" spans="55:55" ht="15.75" hidden="1" customHeight="1">
      <c r="BC1705" s="724"/>
    </row>
    <row r="1706" spans="55:55" ht="15.75" hidden="1" customHeight="1">
      <c r="BC1706" s="724"/>
    </row>
    <row r="1707" spans="55:55" ht="15.75" hidden="1" customHeight="1">
      <c r="BC1707" s="724"/>
    </row>
    <row r="1708" spans="55:55" ht="15.75" hidden="1" customHeight="1">
      <c r="BC1708" s="724"/>
    </row>
    <row r="1709" spans="55:55" ht="15.75" hidden="1" customHeight="1">
      <c r="BC1709" s="724"/>
    </row>
    <row r="1710" spans="55:55" ht="15.75" hidden="1" customHeight="1">
      <c r="BC1710" s="724"/>
    </row>
    <row r="1711" spans="55:55" ht="15.75" hidden="1" customHeight="1">
      <c r="BC1711" s="724"/>
    </row>
    <row r="1712" spans="55:55" ht="15.75" hidden="1" customHeight="1">
      <c r="BC1712" s="724"/>
    </row>
    <row r="1713" spans="55:55" ht="15.75" hidden="1" customHeight="1">
      <c r="BC1713" s="724"/>
    </row>
    <row r="1714" spans="55:55" ht="15.75" hidden="1" customHeight="1">
      <c r="BC1714" s="724"/>
    </row>
    <row r="1715" spans="55:55" ht="15.75" hidden="1" customHeight="1">
      <c r="BC1715" s="724"/>
    </row>
    <row r="1716" spans="55:55" ht="15.75" hidden="1" customHeight="1">
      <c r="BC1716" s="724"/>
    </row>
    <row r="1717" spans="55:55" ht="15.75" hidden="1" customHeight="1">
      <c r="BC1717" s="724"/>
    </row>
    <row r="1718" spans="55:55" ht="15.75" hidden="1" customHeight="1">
      <c r="BC1718" s="724"/>
    </row>
    <row r="1719" spans="55:55" ht="15.75" hidden="1" customHeight="1">
      <c r="BC1719" s="724"/>
    </row>
    <row r="1720" spans="55:55" ht="15.75" hidden="1" customHeight="1">
      <c r="BC1720" s="724"/>
    </row>
    <row r="1721" spans="55:55" ht="15.75" hidden="1" customHeight="1">
      <c r="BC1721" s="724"/>
    </row>
    <row r="1722" spans="55:55" ht="15.75" hidden="1" customHeight="1">
      <c r="BC1722" s="724"/>
    </row>
    <row r="1723" spans="55:55" ht="15.75" hidden="1" customHeight="1">
      <c r="BC1723" s="724"/>
    </row>
    <row r="1724" spans="55:55" ht="15.75" hidden="1" customHeight="1">
      <c r="BC1724" s="724"/>
    </row>
    <row r="1725" spans="55:55" ht="15.75" hidden="1" customHeight="1">
      <c r="BC1725" s="724"/>
    </row>
    <row r="1726" spans="55:55" ht="15.75" hidden="1" customHeight="1">
      <c r="BC1726" s="724"/>
    </row>
    <row r="1727" spans="55:55" ht="15.75" hidden="1" customHeight="1">
      <c r="BC1727" s="724"/>
    </row>
    <row r="1728" spans="55:55" ht="15.75" hidden="1" customHeight="1">
      <c r="BC1728" s="724"/>
    </row>
    <row r="1729" spans="55:55" ht="15.75" hidden="1" customHeight="1">
      <c r="BC1729" s="724"/>
    </row>
    <row r="1730" spans="55:55" ht="15.75" hidden="1" customHeight="1">
      <c r="BC1730" s="724"/>
    </row>
    <row r="1731" spans="55:55" ht="15.75" hidden="1" customHeight="1">
      <c r="BC1731" s="724"/>
    </row>
    <row r="1732" spans="55:55" ht="15.75" hidden="1" customHeight="1">
      <c r="BC1732" s="724"/>
    </row>
    <row r="1733" spans="55:55" ht="15.75" hidden="1" customHeight="1">
      <c r="BC1733" s="724"/>
    </row>
    <row r="1734" spans="55:55" ht="15.75" hidden="1" customHeight="1">
      <c r="BC1734" s="724"/>
    </row>
    <row r="1735" spans="55:55" ht="15.75" hidden="1" customHeight="1">
      <c r="BC1735" s="724"/>
    </row>
    <row r="1736" spans="55:55" ht="15.75" hidden="1" customHeight="1">
      <c r="BC1736" s="724"/>
    </row>
    <row r="1737" spans="55:55" ht="15.75" hidden="1" customHeight="1">
      <c r="BC1737" s="724"/>
    </row>
    <row r="1738" spans="55:55" ht="15.75" hidden="1" customHeight="1">
      <c r="BC1738" s="724"/>
    </row>
    <row r="1739" spans="55:55" ht="15.75" hidden="1" customHeight="1">
      <c r="BC1739" s="724"/>
    </row>
    <row r="1740" spans="55:55" ht="15.75" hidden="1" customHeight="1">
      <c r="BC1740" s="724"/>
    </row>
    <row r="1741" spans="55:55" ht="15.75" hidden="1" customHeight="1">
      <c r="BC1741" s="724"/>
    </row>
    <row r="1742" spans="55:55" ht="15.75" hidden="1" customHeight="1">
      <c r="BC1742" s="724"/>
    </row>
    <row r="1743" spans="55:55" ht="15.75" hidden="1" customHeight="1">
      <c r="BC1743" s="724"/>
    </row>
    <row r="1744" spans="55:55" ht="15.75" hidden="1" customHeight="1">
      <c r="BC1744" s="724"/>
    </row>
    <row r="1745" spans="55:55" ht="15.75" hidden="1" customHeight="1">
      <c r="BC1745" s="724"/>
    </row>
    <row r="1746" spans="55:55" ht="15.75" hidden="1" customHeight="1">
      <c r="BC1746" s="724"/>
    </row>
    <row r="1747" spans="55:55" ht="15.75" hidden="1" customHeight="1">
      <c r="BC1747" s="724"/>
    </row>
    <row r="1748" spans="55:55" ht="15.75" hidden="1" customHeight="1">
      <c r="BC1748" s="724"/>
    </row>
    <row r="1749" spans="55:55" ht="15.75" hidden="1" customHeight="1">
      <c r="BC1749" s="724"/>
    </row>
    <row r="1750" spans="55:55" ht="15.75" hidden="1" customHeight="1">
      <c r="BC1750" s="724"/>
    </row>
    <row r="1751" spans="55:55" ht="15.75" hidden="1" customHeight="1">
      <c r="BC1751" s="724"/>
    </row>
    <row r="1752" spans="55:55" ht="15.75" hidden="1" customHeight="1">
      <c r="BC1752" s="724"/>
    </row>
    <row r="1753" spans="55:55" ht="15.75" hidden="1" customHeight="1">
      <c r="BC1753" s="724"/>
    </row>
    <row r="1754" spans="55:55" ht="15.75" hidden="1" customHeight="1">
      <c r="BC1754" s="724"/>
    </row>
    <row r="1755" spans="55:55" ht="15.75" hidden="1" customHeight="1">
      <c r="BC1755" s="724"/>
    </row>
    <row r="1756" spans="55:55" ht="15.75" hidden="1" customHeight="1">
      <c r="BC1756" s="724"/>
    </row>
    <row r="1757" spans="55:55" ht="15.75" hidden="1" customHeight="1">
      <c r="BC1757" s="724"/>
    </row>
    <row r="1758" spans="55:55" ht="15.75" hidden="1" customHeight="1">
      <c r="BC1758" s="724"/>
    </row>
    <row r="1759" spans="55:55" ht="15.75" hidden="1" customHeight="1">
      <c r="BC1759" s="724"/>
    </row>
    <row r="1760" spans="55:55" ht="15.75" hidden="1" customHeight="1">
      <c r="BC1760" s="724"/>
    </row>
    <row r="1761" spans="55:55" ht="15.75" hidden="1" customHeight="1">
      <c r="BC1761" s="724"/>
    </row>
    <row r="1762" spans="55:55" ht="15.75" hidden="1" customHeight="1">
      <c r="BC1762" s="724"/>
    </row>
    <row r="1763" spans="55:55" ht="15.75" hidden="1" customHeight="1">
      <c r="BC1763" s="724"/>
    </row>
    <row r="1764" spans="55:55" ht="15.75" hidden="1" customHeight="1">
      <c r="BC1764" s="724"/>
    </row>
    <row r="1765" spans="55:55" ht="15.75" hidden="1" customHeight="1">
      <c r="BC1765" s="724"/>
    </row>
    <row r="1766" spans="55:55" ht="15.75" hidden="1" customHeight="1">
      <c r="BC1766" s="724"/>
    </row>
    <row r="1767" spans="55:55" ht="15.75" hidden="1" customHeight="1">
      <c r="BC1767" s="724"/>
    </row>
    <row r="1768" spans="55:55" ht="15.75" hidden="1" customHeight="1">
      <c r="BC1768" s="724"/>
    </row>
    <row r="1769" spans="55:55" ht="15.75" hidden="1" customHeight="1">
      <c r="BC1769" s="724"/>
    </row>
    <row r="1770" spans="55:55" ht="24.75" customHeight="1">
      <c r="BC1770" s="724"/>
    </row>
    <row r="1771" spans="55:55" ht="18" customHeight="1">
      <c r="BC1771" s="724"/>
    </row>
    <row r="1772" spans="55:55" ht="18" customHeight="1">
      <c r="BC1772" s="724"/>
    </row>
    <row r="1773" spans="55:55" ht="18" hidden="1" customHeight="1">
      <c r="BC1773" s="724"/>
    </row>
    <row r="1774" spans="55:55" ht="18" hidden="1" customHeight="1">
      <c r="BC1774" s="724"/>
    </row>
    <row r="1775" spans="55:55" ht="18" customHeight="1">
      <c r="BC1775" s="724"/>
    </row>
    <row r="1776" spans="55:55" ht="18" customHeight="1">
      <c r="BC1776" s="724"/>
    </row>
    <row r="1777" spans="55:55" ht="18" customHeight="1">
      <c r="BC1777" s="724"/>
    </row>
    <row r="1778" spans="55:55" ht="18" customHeight="1">
      <c r="BC1778" s="724"/>
    </row>
    <row r="1779" spans="55:55" ht="18" customHeight="1">
      <c r="BC1779" s="724"/>
    </row>
    <row r="1780" spans="55:55" ht="18" customHeight="1">
      <c r="BC1780" s="724"/>
    </row>
    <row r="1781" spans="55:55" ht="18" hidden="1" customHeight="1">
      <c r="BC1781" s="724"/>
    </row>
    <row r="1782" spans="55:55" ht="18" hidden="1" customHeight="1">
      <c r="BC1782" s="724"/>
    </row>
    <row r="1783" spans="55:55" ht="18" hidden="1" customHeight="1">
      <c r="BC1783" s="724"/>
    </row>
    <row r="1784" spans="55:55" ht="18" customHeight="1">
      <c r="BC1784" s="724"/>
    </row>
    <row r="1785" spans="55:55" ht="18" customHeight="1">
      <c r="BC1785" s="724"/>
    </row>
    <row r="1786" spans="55:55" ht="18" customHeight="1">
      <c r="BC1786" s="724"/>
    </row>
    <row r="1787" spans="55:55" ht="18" customHeight="1">
      <c r="BC1787" s="724"/>
    </row>
    <row r="1788" spans="55:55" ht="18" customHeight="1">
      <c r="BC1788" s="724"/>
    </row>
    <row r="1789" spans="55:55" ht="18" customHeight="1">
      <c r="BC1789" s="724"/>
    </row>
    <row r="1790" spans="55:55" ht="18" customHeight="1">
      <c r="BC1790" s="724"/>
    </row>
    <row r="1791" spans="55:55" ht="18" customHeight="1">
      <c r="BC1791" s="724"/>
    </row>
    <row r="1792" spans="55:55" ht="18" hidden="1" customHeight="1">
      <c r="BC1792" s="724"/>
    </row>
    <row r="1793" spans="55:55" ht="18" customHeight="1">
      <c r="BC1793" s="724"/>
    </row>
    <row r="1794" spans="55:55" ht="18" customHeight="1">
      <c r="BC1794" s="724"/>
    </row>
    <row r="1795" spans="55:55" ht="18" hidden="1" customHeight="1">
      <c r="BC1795" s="724"/>
    </row>
    <row r="1796" spans="55:55" ht="18" customHeight="1">
      <c r="BC1796" s="724"/>
    </row>
    <row r="1797" spans="55:55" ht="18" customHeight="1">
      <c r="BC1797" s="724"/>
    </row>
    <row r="1798" spans="55:55" ht="18" customHeight="1">
      <c r="BC1798" s="724"/>
    </row>
    <row r="1799" spans="55:55" ht="18" customHeight="1">
      <c r="BC1799" s="724"/>
    </row>
    <row r="1800" spans="55:55" ht="18" customHeight="1">
      <c r="BC1800" s="724"/>
    </row>
    <row r="1801" spans="55:55" ht="18" customHeight="1">
      <c r="BC1801" s="724"/>
    </row>
    <row r="1802" spans="55:55" ht="18" hidden="1" customHeight="1">
      <c r="BC1802" s="724"/>
    </row>
    <row r="1803" spans="55:55" ht="18" hidden="1" customHeight="1">
      <c r="BC1803" s="724"/>
    </row>
    <row r="1804" spans="55:55" ht="18" hidden="1" customHeight="1">
      <c r="BC1804" s="724"/>
    </row>
    <row r="1805" spans="55:55" ht="18" hidden="1" customHeight="1">
      <c r="BC1805" s="724"/>
    </row>
    <row r="1806" spans="55:55" ht="18" customHeight="1">
      <c r="BC1806" s="724"/>
    </row>
    <row r="1807" spans="55:55" ht="18" customHeight="1">
      <c r="BC1807" s="724"/>
    </row>
    <row r="1808" spans="55:55" ht="18" customHeight="1">
      <c r="BC1808" s="724"/>
    </row>
    <row r="1809" spans="55:55" ht="18" customHeight="1">
      <c r="BC1809" s="724"/>
    </row>
    <row r="1810" spans="55:55" ht="18" customHeight="1"/>
    <row r="1817" spans="55:55" ht="18" customHeight="1"/>
    <row r="1818" spans="55:55" ht="18" customHeight="1"/>
    <row r="1819" spans="55:55" ht="18" customHeight="1"/>
    <row r="1820" spans="55:55" ht="18" customHeight="1"/>
    <row r="1821" spans="55:55" ht="18" customHeight="1"/>
    <row r="1822" spans="55:55" ht="18" customHeight="1"/>
    <row r="1833" ht="18" customHeight="1"/>
    <row r="1834" ht="18" customHeight="1"/>
    <row r="1835" ht="18" customHeight="1"/>
    <row r="1836" ht="18" customHeight="1"/>
    <row r="1837" ht="18" customHeight="1"/>
    <row r="1838" ht="18" customHeight="1"/>
    <row r="1843" ht="18" customHeight="1"/>
    <row r="1844" ht="18" customHeight="1"/>
    <row r="1845" ht="18" customHeight="1"/>
    <row r="1846" ht="18" customHeight="1"/>
    <row r="1847" ht="18" customHeight="1"/>
    <row r="1848" ht="18" customHeight="1"/>
    <row r="1849" ht="18" customHeight="1"/>
    <row r="1850" ht="18" customHeight="1"/>
    <row r="1856" ht="18" customHeight="1"/>
    <row r="1857" ht="18" customHeight="1"/>
    <row r="1858" ht="18" customHeight="1"/>
    <row r="1859" ht="18" customHeight="1"/>
    <row r="1862" ht="18" customHeight="1"/>
    <row r="1863" ht="18" customHeight="1"/>
    <row r="1864" ht="18" customHeight="1"/>
    <row r="1865" ht="18" customHeight="1"/>
    <row r="1866" ht="18" customHeight="1"/>
    <row r="1867" ht="18" customHeight="1"/>
    <row r="1869" ht="18" customHeight="1"/>
    <row r="1870" ht="18" customHeight="1"/>
    <row r="1871" ht="18" customHeight="1"/>
    <row r="1872" ht="18" customHeight="1"/>
    <row r="1873" ht="18" customHeight="1"/>
    <row r="1874" ht="18" customHeight="1"/>
    <row r="1875" ht="18" customHeight="1"/>
    <row r="1877" ht="18" customHeight="1"/>
    <row r="1878" ht="18" customHeight="1"/>
    <row r="1880" ht="18" customHeight="1"/>
    <row r="1881" ht="18" customHeight="1"/>
    <row r="1882" ht="18" customHeight="1"/>
    <row r="1883" ht="18" customHeight="1"/>
    <row r="1884" ht="18" customHeight="1"/>
    <row r="1885" ht="18" customHeight="1"/>
    <row r="1886" ht="18" customHeight="1"/>
    <row r="1887" ht="18" customHeight="1"/>
    <row r="1888" ht="18" customHeight="1"/>
    <row r="1889" ht="18" customHeight="1"/>
    <row r="1890" ht="18" customHeight="1"/>
    <row r="1891" ht="18" customHeight="1"/>
    <row r="1892" ht="18" customHeight="1"/>
    <row r="1893" ht="18" customHeight="1"/>
    <row r="1894" ht="18" customHeight="1"/>
    <row r="1895" ht="18" customHeight="1"/>
    <row r="1896" ht="18" customHeight="1"/>
    <row r="1897" ht="18" customHeight="1"/>
    <row r="1898" ht="18" customHeight="1"/>
    <row r="1899" ht="18" customHeight="1"/>
    <row r="1900" ht="18" customHeight="1"/>
    <row r="1901" ht="18" customHeight="1"/>
    <row r="1902" ht="18" customHeight="1"/>
    <row r="1903" ht="18" customHeight="1"/>
    <row r="1904" ht="18" customHeight="1"/>
    <row r="1905" ht="18" customHeight="1"/>
    <row r="1906" ht="18" customHeight="1"/>
    <row r="1907" ht="18" customHeight="1"/>
    <row r="1908" ht="18" customHeight="1"/>
    <row r="1909" ht="18" customHeight="1"/>
    <row r="1910" ht="18" customHeight="1"/>
    <row r="1911" ht="18" customHeight="1"/>
    <row r="1912" ht="18" customHeight="1"/>
    <row r="1913" ht="18" customHeight="1"/>
    <row r="1914" ht="18" customHeight="1"/>
    <row r="1915" ht="18" customHeight="1"/>
    <row r="1916" ht="18" customHeight="1"/>
    <row r="1917" ht="18" customHeight="1"/>
    <row r="1918" ht="18" customHeight="1"/>
    <row r="1919" ht="18" customHeight="1"/>
    <row r="1920" ht="18" customHeight="1"/>
    <row r="1921" ht="18" customHeight="1"/>
    <row r="1922" ht="18" customHeight="1"/>
    <row r="1923" ht="18" customHeight="1"/>
    <row r="1924" ht="18" customHeight="1"/>
    <row r="1925" ht="18" customHeight="1"/>
    <row r="1926" ht="18" customHeight="1"/>
    <row r="1927" ht="18" customHeight="1"/>
    <row r="1928" ht="18" customHeight="1"/>
    <row r="1929" ht="18" customHeight="1"/>
    <row r="1930" ht="18" customHeight="1"/>
    <row r="1931" ht="18" customHeight="1"/>
    <row r="1932" ht="18" customHeight="1"/>
    <row r="1933" ht="18" customHeight="1"/>
    <row r="1934" ht="18" customHeight="1"/>
    <row r="1935" ht="18" customHeight="1"/>
    <row r="1936" ht="18" customHeight="1"/>
    <row r="1937" ht="18" customHeight="1"/>
    <row r="1938" ht="18" customHeight="1"/>
    <row r="1939" ht="18" customHeight="1"/>
    <row r="1940" ht="18" customHeight="1"/>
    <row r="1941" ht="18" customHeight="1"/>
    <row r="1942" ht="18" customHeight="1"/>
    <row r="1943" ht="18" customHeight="1"/>
    <row r="1944" ht="18" customHeight="1"/>
    <row r="1945" ht="18" customHeight="1"/>
    <row r="1946" ht="18" customHeight="1"/>
    <row r="1947" ht="18" customHeight="1"/>
    <row r="1948" ht="18" customHeight="1"/>
    <row r="1949" ht="18" customHeight="1"/>
    <row r="1950" ht="18" customHeight="1"/>
    <row r="1951" ht="18" customHeight="1"/>
    <row r="1952" ht="18" customHeight="1"/>
    <row r="1953" ht="18" customHeight="1"/>
    <row r="1954" ht="18" customHeight="1"/>
    <row r="1955" ht="18" customHeight="1"/>
    <row r="1956" ht="18" customHeight="1"/>
    <row r="1957" ht="18" customHeight="1"/>
    <row r="1958" ht="18" customHeight="1"/>
    <row r="1959" ht="18" customHeight="1"/>
    <row r="1960" ht="18" customHeight="1"/>
    <row r="1961" ht="18" customHeight="1"/>
    <row r="1962" ht="18" customHeight="1"/>
    <row r="1963" ht="18" customHeight="1"/>
    <row r="1964" ht="18" customHeight="1"/>
    <row r="1965" ht="18" customHeight="1"/>
    <row r="1966" ht="18" customHeight="1"/>
    <row r="1967" ht="18" customHeight="1"/>
    <row r="1968" ht="18" customHeight="1"/>
    <row r="1969" ht="18" customHeight="1"/>
    <row r="1970" ht="18" customHeight="1"/>
    <row r="1971" ht="18" customHeight="1"/>
    <row r="1972" ht="18" customHeight="1"/>
    <row r="1973" ht="18" customHeight="1"/>
    <row r="1974" ht="18" customHeight="1"/>
    <row r="1975" ht="18" customHeight="1"/>
    <row r="1976" ht="18" customHeight="1"/>
    <row r="1977" ht="18" customHeight="1"/>
    <row r="1978" ht="18" customHeight="1"/>
    <row r="1979" ht="18" customHeight="1"/>
    <row r="1980" ht="18" customHeight="1"/>
    <row r="1981" ht="18" customHeight="1"/>
    <row r="1982" ht="18" customHeight="1"/>
    <row r="1983" ht="18" customHeight="1"/>
    <row r="1984" ht="18" customHeight="1"/>
    <row r="1985" ht="18" customHeight="1"/>
    <row r="1986" ht="18" customHeight="1"/>
    <row r="1987" ht="18" customHeight="1"/>
    <row r="1988" ht="18" customHeight="1"/>
    <row r="1989" ht="18" customHeight="1"/>
    <row r="1990" ht="18" customHeight="1"/>
    <row r="1991" ht="18" customHeight="1"/>
    <row r="1992" ht="18" customHeight="1"/>
    <row r="1993" ht="18" customHeight="1"/>
    <row r="1994" ht="18" customHeight="1"/>
    <row r="1995" ht="18" customHeight="1"/>
    <row r="1996" ht="18" customHeight="1"/>
    <row r="1997" ht="18" customHeight="1"/>
  </sheetData>
  <sheetProtection autoFilter="0"/>
  <protectedRanges>
    <protectedRange sqref="BC1" name="Range1"/>
  </protectedRanges>
  <autoFilter ref="BC1:BC743" xr:uid="{00000000-0009-0000-0000-000028000000}">
    <filterColumn colId="0">
      <filters>
        <filter val="QDGS"/>
      </filters>
    </filterColumn>
  </autoFilter>
  <dataConsolidate/>
  <mergeCells count="756">
    <mergeCell ref="BE45:DE45"/>
    <mergeCell ref="DH45:FH45"/>
    <mergeCell ref="FK45:HK45"/>
    <mergeCell ref="HN45:IV45"/>
    <mergeCell ref="B320:BB320"/>
    <mergeCell ref="E130:BB130"/>
    <mergeCell ref="E122:BB122"/>
    <mergeCell ref="B118:BB118"/>
    <mergeCell ref="E134:BB134"/>
    <mergeCell ref="F105:BB105"/>
    <mergeCell ref="B137:BB137"/>
    <mergeCell ref="E210:BB210"/>
    <mergeCell ref="B211:BB211"/>
    <mergeCell ref="B213:BB213"/>
    <mergeCell ref="G208:P208"/>
    <mergeCell ref="T206:AK206"/>
    <mergeCell ref="AC152:BB152"/>
    <mergeCell ref="AC157:BB157"/>
    <mergeCell ref="C201:BB201"/>
    <mergeCell ref="B192:BB192"/>
    <mergeCell ref="B193:BB193"/>
    <mergeCell ref="B197:BB197"/>
    <mergeCell ref="B198:BB198"/>
    <mergeCell ref="C200:BB200"/>
    <mergeCell ref="AD736:BA736"/>
    <mergeCell ref="B663:BB663"/>
    <mergeCell ref="F653:BB653"/>
    <mergeCell ref="C730:AB730"/>
    <mergeCell ref="AC730:BB730"/>
    <mergeCell ref="E660:BB660"/>
    <mergeCell ref="B728:BB728"/>
    <mergeCell ref="E672:AV672"/>
    <mergeCell ref="F657:BB657"/>
    <mergeCell ref="B658:BB658"/>
    <mergeCell ref="AC731:BA731"/>
    <mergeCell ref="E656:BB656"/>
    <mergeCell ref="B662:BB662"/>
    <mergeCell ref="D664:BB664"/>
    <mergeCell ref="E665:BB665"/>
    <mergeCell ref="B667:BB667"/>
    <mergeCell ref="E668:BB668"/>
    <mergeCell ref="B704:BB704"/>
    <mergeCell ref="F708:BB708"/>
    <mergeCell ref="F713:BB713"/>
    <mergeCell ref="E721:G721"/>
    <mergeCell ref="D720:BB720"/>
    <mergeCell ref="H721:BB721"/>
    <mergeCell ref="D705:BB705"/>
    <mergeCell ref="T250:AK250"/>
    <mergeCell ref="T254:AK254"/>
    <mergeCell ref="R208:BB208"/>
    <mergeCell ref="AC229:BB229"/>
    <mergeCell ref="AC234:BB234"/>
    <mergeCell ref="R306:AA306"/>
    <mergeCell ref="D302:BB302"/>
    <mergeCell ref="J257:O257"/>
    <mergeCell ref="G254:P254"/>
    <mergeCell ref="B277:BB277"/>
    <mergeCell ref="B278:BB278"/>
    <mergeCell ref="G253:P253"/>
    <mergeCell ref="F261:G261"/>
    <mergeCell ref="H261:BB261"/>
    <mergeCell ref="R253:BB253"/>
    <mergeCell ref="J256:O256"/>
    <mergeCell ref="Q256:BB256"/>
    <mergeCell ref="AC268:BB268"/>
    <mergeCell ref="C300:BB300"/>
    <mergeCell ref="B236:BB236"/>
    <mergeCell ref="B237:BB237"/>
    <mergeCell ref="B240:BB240"/>
    <mergeCell ref="B241:BB241"/>
    <mergeCell ref="B239:BB239"/>
    <mergeCell ref="F87:BB87"/>
    <mergeCell ref="B88:BB88"/>
    <mergeCell ref="E108:BB108"/>
    <mergeCell ref="F104:BB104"/>
    <mergeCell ref="B95:BB95"/>
    <mergeCell ref="AQ96:AY96"/>
    <mergeCell ref="E90:BB90"/>
    <mergeCell ref="F91:BB91"/>
    <mergeCell ref="F94:BB94"/>
    <mergeCell ref="D103:BB103"/>
    <mergeCell ref="AQ92:AY92"/>
    <mergeCell ref="E93:BB93"/>
    <mergeCell ref="E89:BB89"/>
    <mergeCell ref="B194:BB194"/>
    <mergeCell ref="B195:BB195"/>
    <mergeCell ref="F111:BB111"/>
    <mergeCell ref="B123:BB123"/>
    <mergeCell ref="C608:BB608"/>
    <mergeCell ref="D611:BB611"/>
    <mergeCell ref="C299:BB299"/>
    <mergeCell ref="AP346:AY346"/>
    <mergeCell ref="F347:BB347"/>
    <mergeCell ref="F348:BB348"/>
    <mergeCell ref="AB306:AF306"/>
    <mergeCell ref="C301:BB301"/>
    <mergeCell ref="G306:P306"/>
    <mergeCell ref="B386:BB386"/>
    <mergeCell ref="D370:BB370"/>
    <mergeCell ref="E371:BB371"/>
    <mergeCell ref="F373:BB373"/>
    <mergeCell ref="D467:BB467"/>
    <mergeCell ref="E385:BB385"/>
    <mergeCell ref="E380:BB380"/>
    <mergeCell ref="B381:BB381"/>
    <mergeCell ref="B321:BB321"/>
    <mergeCell ref="D322:BB322"/>
    <mergeCell ref="T209:AK209"/>
    <mergeCell ref="G612:P612"/>
    <mergeCell ref="C592:BB592"/>
    <mergeCell ref="E632:BB632"/>
    <mergeCell ref="C606:BB606"/>
    <mergeCell ref="C595:BB595"/>
    <mergeCell ref="R615:AA615"/>
    <mergeCell ref="C597:BB597"/>
    <mergeCell ref="C598:BB598"/>
    <mergeCell ref="R612:BB612"/>
    <mergeCell ref="AB615:AF615"/>
    <mergeCell ref="B629:BB629"/>
    <mergeCell ref="C610:BB610"/>
    <mergeCell ref="C593:BB593"/>
    <mergeCell ref="C607:BB607"/>
    <mergeCell ref="C599:BB599"/>
    <mergeCell ref="C600:BB600"/>
    <mergeCell ref="C602:BB602"/>
    <mergeCell ref="C605:BB605"/>
    <mergeCell ref="C601:BB601"/>
    <mergeCell ref="C603:BB603"/>
    <mergeCell ref="C604:BB604"/>
    <mergeCell ref="AG614:BB614"/>
    <mergeCell ref="G613:P613"/>
    <mergeCell ref="C609:BB609"/>
    <mergeCell ref="B630:BB630"/>
    <mergeCell ref="B631:BB631"/>
    <mergeCell ref="E628:BB628"/>
    <mergeCell ref="G305:P305"/>
    <mergeCell ref="G303:P303"/>
    <mergeCell ref="G304:P304"/>
    <mergeCell ref="G312:P312"/>
    <mergeCell ref="AB312:AF312"/>
    <mergeCell ref="AG312:BB312"/>
    <mergeCell ref="R312:AA312"/>
    <mergeCell ref="R304:BB304"/>
    <mergeCell ref="AG305:BB305"/>
    <mergeCell ref="R305:AA305"/>
    <mergeCell ref="AB305:AF305"/>
    <mergeCell ref="AG306:BB306"/>
    <mergeCell ref="G310:P310"/>
    <mergeCell ref="D309:BB309"/>
    <mergeCell ref="G307:P307"/>
    <mergeCell ref="F327:BB327"/>
    <mergeCell ref="E323:BB323"/>
    <mergeCell ref="B324:BB324"/>
    <mergeCell ref="R613:BB613"/>
    <mergeCell ref="E342:BB342"/>
    <mergeCell ref="AP345:AY345"/>
    <mergeCell ref="BE320:DE320"/>
    <mergeCell ref="BG322:DE322"/>
    <mergeCell ref="G314:P314"/>
    <mergeCell ref="G313:P313"/>
    <mergeCell ref="R314:BB314"/>
    <mergeCell ref="R313:AA313"/>
    <mergeCell ref="BE321:DE321"/>
    <mergeCell ref="AB313:AF313"/>
    <mergeCell ref="AG313:BB313"/>
    <mergeCell ref="G315:P315"/>
    <mergeCell ref="R315:S315"/>
    <mergeCell ref="T40:AK40"/>
    <mergeCell ref="R37:AA37"/>
    <mergeCell ref="G31:P31"/>
    <mergeCell ref="R31:AA31"/>
    <mergeCell ref="AB31:AF31"/>
    <mergeCell ref="G30:P30"/>
    <mergeCell ref="AG31:BB31"/>
    <mergeCell ref="G32:P32"/>
    <mergeCell ref="R32:BB32"/>
    <mergeCell ref="D34:BB34"/>
    <mergeCell ref="G35:P35"/>
    <mergeCell ref="R35:BB35"/>
    <mergeCell ref="R33:S33"/>
    <mergeCell ref="G33:P33"/>
    <mergeCell ref="T33:AK33"/>
    <mergeCell ref="B45:BB45"/>
    <mergeCell ref="B2:BB2"/>
    <mergeCell ref="B3:BB3"/>
    <mergeCell ref="B4:BB4"/>
    <mergeCell ref="B5:BB5"/>
    <mergeCell ref="C18:BB18"/>
    <mergeCell ref="C19:BB19"/>
    <mergeCell ref="B6:BB6"/>
    <mergeCell ref="B7:BB7"/>
    <mergeCell ref="C14:BB14"/>
    <mergeCell ref="C17:BB17"/>
    <mergeCell ref="C12:BB12"/>
    <mergeCell ref="C13:BB13"/>
    <mergeCell ref="C11:BB11"/>
    <mergeCell ref="C15:BB15"/>
    <mergeCell ref="C16:BB16"/>
    <mergeCell ref="B8:BB8"/>
    <mergeCell ref="C9:BB9"/>
    <mergeCell ref="B10:BB10"/>
    <mergeCell ref="C22:BB22"/>
    <mergeCell ref="C23:BB23"/>
    <mergeCell ref="C26:BB26"/>
    <mergeCell ref="G36:P36"/>
    <mergeCell ref="R36:BB36"/>
    <mergeCell ref="G28:P28"/>
    <mergeCell ref="R28:BB28"/>
    <mergeCell ref="D27:BB27"/>
    <mergeCell ref="C20:BB20"/>
    <mergeCell ref="C21:BB21"/>
    <mergeCell ref="C24:BB24"/>
    <mergeCell ref="C25:BB25"/>
    <mergeCell ref="G39:P39"/>
    <mergeCell ref="R39:BB39"/>
    <mergeCell ref="G37:P37"/>
    <mergeCell ref="AB37:AF37"/>
    <mergeCell ref="AG37:BB37"/>
    <mergeCell ref="G38:P38"/>
    <mergeCell ref="AB38:AF38"/>
    <mergeCell ref="AG38:BB38"/>
    <mergeCell ref="R38:AA38"/>
    <mergeCell ref="G29:P29"/>
    <mergeCell ref="R30:AA30"/>
    <mergeCell ref="AB30:AF30"/>
    <mergeCell ref="AG30:BB30"/>
    <mergeCell ref="R29:BB29"/>
    <mergeCell ref="B46:BB46"/>
    <mergeCell ref="B54:BB54"/>
    <mergeCell ref="B55:BB55"/>
    <mergeCell ref="B47:BB47"/>
    <mergeCell ref="G40:P40"/>
    <mergeCell ref="R40:S40"/>
    <mergeCell ref="T466:AK466"/>
    <mergeCell ref="T469:AK469"/>
    <mergeCell ref="F64:BB64"/>
    <mergeCell ref="F65:BB65"/>
    <mergeCell ref="F66:BB66"/>
    <mergeCell ref="B67:BB67"/>
    <mergeCell ref="D48:BB48"/>
    <mergeCell ref="D62:BB62"/>
    <mergeCell ref="C289:BB289"/>
    <mergeCell ref="B283:BB283"/>
    <mergeCell ref="D247:BB247"/>
    <mergeCell ref="G248:P248"/>
    <mergeCell ref="C287:BB287"/>
    <mergeCell ref="C288:BB288"/>
    <mergeCell ref="G250:P250"/>
    <mergeCell ref="C255:BB255"/>
    <mergeCell ref="D251:BB251"/>
    <mergeCell ref="B282:BB282"/>
    <mergeCell ref="E63:BB63"/>
    <mergeCell ref="F52:BB52"/>
    <mergeCell ref="G53:BB53"/>
    <mergeCell ref="G56:BB56"/>
    <mergeCell ref="B57:BB57"/>
    <mergeCell ref="D59:BB59"/>
    <mergeCell ref="E60:BB60"/>
    <mergeCell ref="B61:BB61"/>
    <mergeCell ref="B49:BB49"/>
    <mergeCell ref="B50:BB50"/>
    <mergeCell ref="B51:BB51"/>
    <mergeCell ref="B58:BB58"/>
    <mergeCell ref="E68:BB68"/>
    <mergeCell ref="D69:BB69"/>
    <mergeCell ref="T72:AN72"/>
    <mergeCell ref="AP70:AY70"/>
    <mergeCell ref="T70:AN70"/>
    <mergeCell ref="AP75:AY75"/>
    <mergeCell ref="T73:AN73"/>
    <mergeCell ref="T75:AN75"/>
    <mergeCell ref="AP76:AY76"/>
    <mergeCell ref="B86:BB86"/>
    <mergeCell ref="T71:AN71"/>
    <mergeCell ref="AP71:AY71"/>
    <mergeCell ref="T74:AN74"/>
    <mergeCell ref="AP74:AY74"/>
    <mergeCell ref="AP72:AY72"/>
    <mergeCell ref="AP73:AY73"/>
    <mergeCell ref="F84:BB84"/>
    <mergeCell ref="T78:AN78"/>
    <mergeCell ref="AP77:AY77"/>
    <mergeCell ref="AP78:AY78"/>
    <mergeCell ref="AP81:AY81"/>
    <mergeCell ref="F85:BB85"/>
    <mergeCell ref="T79:AN79"/>
    <mergeCell ref="F82:BB82"/>
    <mergeCell ref="F83:BB83"/>
    <mergeCell ref="AP79:AY79"/>
    <mergeCell ref="T77:AN77"/>
    <mergeCell ref="AP80:AY80"/>
    <mergeCell ref="E112:BB112"/>
    <mergeCell ref="B113:BB113"/>
    <mergeCell ref="B119:BB119"/>
    <mergeCell ref="E120:BB120"/>
    <mergeCell ref="E117:BB117"/>
    <mergeCell ref="E126:BB126"/>
    <mergeCell ref="F110:BB110"/>
    <mergeCell ref="B106:BB106"/>
    <mergeCell ref="D107:BB107"/>
    <mergeCell ref="F109:BB109"/>
    <mergeCell ref="B114:BB114"/>
    <mergeCell ref="E132:BB132"/>
    <mergeCell ref="B133:BB133"/>
    <mergeCell ref="D135:BB135"/>
    <mergeCell ref="E136:G136"/>
    <mergeCell ref="H136:BB136"/>
    <mergeCell ref="E115:BB115"/>
    <mergeCell ref="E116:BB116"/>
    <mergeCell ref="E131:BB131"/>
    <mergeCell ref="D129:BB129"/>
    <mergeCell ref="B121:BB121"/>
    <mergeCell ref="E125:BB125"/>
    <mergeCell ref="E127:BB127"/>
    <mergeCell ref="D124:BB124"/>
    <mergeCell ref="E128:BB128"/>
    <mergeCell ref="E138:G138"/>
    <mergeCell ref="H138:BB138"/>
    <mergeCell ref="E146:G146"/>
    <mergeCell ref="H146:BB146"/>
    <mergeCell ref="E139:G139"/>
    <mergeCell ref="H139:BB139"/>
    <mergeCell ref="B147:BB147"/>
    <mergeCell ref="B149:BB149"/>
    <mergeCell ref="C151:AB151"/>
    <mergeCell ref="AC151:BB151"/>
    <mergeCell ref="E148:G148"/>
    <mergeCell ref="H148:BB148"/>
    <mergeCell ref="B196:BB196"/>
    <mergeCell ref="B215:BB215"/>
    <mergeCell ref="G205:P205"/>
    <mergeCell ref="R205:BB205"/>
    <mergeCell ref="D207:BB207"/>
    <mergeCell ref="B212:BB212"/>
    <mergeCell ref="G209:P209"/>
    <mergeCell ref="R209:S209"/>
    <mergeCell ref="R206:S206"/>
    <mergeCell ref="D214:BB214"/>
    <mergeCell ref="G206:P206"/>
    <mergeCell ref="C203:BB203"/>
    <mergeCell ref="D204:BB204"/>
    <mergeCell ref="C202:BB202"/>
    <mergeCell ref="C199:BB199"/>
    <mergeCell ref="B238:BB238"/>
    <mergeCell ref="F224:BB224"/>
    <mergeCell ref="AP222:AY222"/>
    <mergeCell ref="D216:BB216"/>
    <mergeCell ref="AP217:AY217"/>
    <mergeCell ref="AP219:AY219"/>
    <mergeCell ref="AP220:AY220"/>
    <mergeCell ref="AP221:AY221"/>
    <mergeCell ref="AP223:AY223"/>
    <mergeCell ref="AP218:AY218"/>
    <mergeCell ref="F225:BB225"/>
    <mergeCell ref="F227:BB227"/>
    <mergeCell ref="C228:AB228"/>
    <mergeCell ref="AC228:BB228"/>
    <mergeCell ref="B226:BB226"/>
    <mergeCell ref="B244:BB244"/>
    <mergeCell ref="C242:BB242"/>
    <mergeCell ref="B279:BB279"/>
    <mergeCell ref="Y264:AJ264"/>
    <mergeCell ref="J258:O258"/>
    <mergeCell ref="K262:W262"/>
    <mergeCell ref="Q258:BB258"/>
    <mergeCell ref="C259:BB259"/>
    <mergeCell ref="F260:G260"/>
    <mergeCell ref="K263:W263"/>
    <mergeCell ref="G249:P249"/>
    <mergeCell ref="R249:BB249"/>
    <mergeCell ref="C246:BB246"/>
    <mergeCell ref="B245:BB245"/>
    <mergeCell ref="B243:BB243"/>
    <mergeCell ref="R250:S250"/>
    <mergeCell ref="R248:BB248"/>
    <mergeCell ref="F265:G265"/>
    <mergeCell ref="Q257:BB257"/>
    <mergeCell ref="Y262:AJ262"/>
    <mergeCell ref="R252:BB252"/>
    <mergeCell ref="G252:P252"/>
    <mergeCell ref="H260:BB260"/>
    <mergeCell ref="R254:S254"/>
    <mergeCell ref="Y263:AJ263"/>
    <mergeCell ref="C268:AB268"/>
    <mergeCell ref="C291:BB291"/>
    <mergeCell ref="K264:W264"/>
    <mergeCell ref="C290:BB290"/>
    <mergeCell ref="B280:BB280"/>
    <mergeCell ref="C266:BB266"/>
    <mergeCell ref="F267:BB267"/>
    <mergeCell ref="C286:BB286"/>
    <mergeCell ref="B285:BB285"/>
    <mergeCell ref="AC269:BB269"/>
    <mergeCell ref="AC274:BB274"/>
    <mergeCell ref="B281:BB281"/>
    <mergeCell ref="C284:BB284"/>
    <mergeCell ref="C298:BB298"/>
    <mergeCell ref="B325:BB325"/>
    <mergeCell ref="B326:BB326"/>
    <mergeCell ref="C297:BB297"/>
    <mergeCell ref="R307:BB307"/>
    <mergeCell ref="R310:BB310"/>
    <mergeCell ref="G308:P308"/>
    <mergeCell ref="R308:S308"/>
    <mergeCell ref="T308:AK308"/>
    <mergeCell ref="R303:BB303"/>
    <mergeCell ref="T315:AK315"/>
    <mergeCell ref="G311:P311"/>
    <mergeCell ref="R311:BB311"/>
    <mergeCell ref="D354:BB354"/>
    <mergeCell ref="B353:BB353"/>
    <mergeCell ref="B351:BB351"/>
    <mergeCell ref="C292:BB292"/>
    <mergeCell ref="C293:BB293"/>
    <mergeCell ref="C294:BB294"/>
    <mergeCell ref="C295:BB295"/>
    <mergeCell ref="C296:BB296"/>
    <mergeCell ref="G328:BB328"/>
    <mergeCell ref="Q344:AN344"/>
    <mergeCell ref="B335:BB335"/>
    <mergeCell ref="D336:BB336"/>
    <mergeCell ref="E337:BB337"/>
    <mergeCell ref="F338:BB338"/>
    <mergeCell ref="D343:BB343"/>
    <mergeCell ref="AP344:AY344"/>
    <mergeCell ref="B341:BB341"/>
    <mergeCell ref="F340:BB340"/>
    <mergeCell ref="B332:BB332"/>
    <mergeCell ref="B330:BB330"/>
    <mergeCell ref="B329:BB329"/>
    <mergeCell ref="B331:BB331"/>
    <mergeCell ref="D333:BB333"/>
    <mergeCell ref="F339:BB339"/>
    <mergeCell ref="F372:BB372"/>
    <mergeCell ref="E355:BB355"/>
    <mergeCell ref="F359:BB359"/>
    <mergeCell ref="B384:BB384"/>
    <mergeCell ref="B382:BB382"/>
    <mergeCell ref="F368:BB368"/>
    <mergeCell ref="D366:BB366"/>
    <mergeCell ref="B360:BB360"/>
    <mergeCell ref="F367:BB367"/>
    <mergeCell ref="AQ361:AY361"/>
    <mergeCell ref="E358:BB358"/>
    <mergeCell ref="B369:BB369"/>
    <mergeCell ref="Q345:AN345"/>
    <mergeCell ref="F349:BB349"/>
    <mergeCell ref="F374:BB374"/>
    <mergeCell ref="E375:BB375"/>
    <mergeCell ref="AQ357:AY357"/>
    <mergeCell ref="E383:BB383"/>
    <mergeCell ref="H399:BB399"/>
    <mergeCell ref="E393:BB393"/>
    <mergeCell ref="B394:BB394"/>
    <mergeCell ref="B376:BB376"/>
    <mergeCell ref="B377:BB377"/>
    <mergeCell ref="E378:BB378"/>
    <mergeCell ref="E388:BB388"/>
    <mergeCell ref="D397:BB397"/>
    <mergeCell ref="B396:BB396"/>
    <mergeCell ref="E395:BB395"/>
    <mergeCell ref="F398:BB398"/>
    <mergeCell ref="B392:BB392"/>
    <mergeCell ref="E379:BB379"/>
    <mergeCell ref="B390:BB390"/>
    <mergeCell ref="D387:BB387"/>
    <mergeCell ref="F352:BB352"/>
    <mergeCell ref="F350:BB350"/>
    <mergeCell ref="F356:BB356"/>
    <mergeCell ref="B457:BB457"/>
    <mergeCell ref="E416:G416"/>
    <mergeCell ref="H407:BB407"/>
    <mergeCell ref="H415:BB415"/>
    <mergeCell ref="B389:BB389"/>
    <mergeCell ref="E391:BB391"/>
    <mergeCell ref="H410:BB410"/>
    <mergeCell ref="H404:BB404"/>
    <mergeCell ref="H402:BB402"/>
    <mergeCell ref="H403:BB403"/>
    <mergeCell ref="H416:BB416"/>
    <mergeCell ref="F409:BB409"/>
    <mergeCell ref="E415:G415"/>
    <mergeCell ref="D412:BB412"/>
    <mergeCell ref="H400:BB400"/>
    <mergeCell ref="H413:BB413"/>
    <mergeCell ref="B411:BB411"/>
    <mergeCell ref="B405:BB405"/>
    <mergeCell ref="B414:BB414"/>
    <mergeCell ref="H406:BB406"/>
    <mergeCell ref="AC423:BB423"/>
    <mergeCell ref="H401:BB401"/>
    <mergeCell ref="B408:BB408"/>
    <mergeCell ref="E413:G413"/>
    <mergeCell ref="C462:BB462"/>
    <mergeCell ref="C463:BB463"/>
    <mergeCell ref="D464:BB464"/>
    <mergeCell ref="G465:P465"/>
    <mergeCell ref="R465:BB465"/>
    <mergeCell ref="AC422:BB422"/>
    <mergeCell ref="B453:BB453"/>
    <mergeCell ref="E417:G417"/>
    <mergeCell ref="B418:BB418"/>
    <mergeCell ref="E419:G419"/>
    <mergeCell ref="H419:BB419"/>
    <mergeCell ref="H417:BB417"/>
    <mergeCell ref="B420:BB420"/>
    <mergeCell ref="C422:AB422"/>
    <mergeCell ref="AC428:BB428"/>
    <mergeCell ref="C461:BB461"/>
    <mergeCell ref="B451:BB451"/>
    <mergeCell ref="B452:BB452"/>
    <mergeCell ref="B456:BB456"/>
    <mergeCell ref="C459:BB459"/>
    <mergeCell ref="C460:BB460"/>
    <mergeCell ref="B455:BB455"/>
    <mergeCell ref="B454:BB454"/>
    <mergeCell ref="C458:BB458"/>
    <mergeCell ref="B473:BB473"/>
    <mergeCell ref="B472:BB472"/>
    <mergeCell ref="F482:BB482"/>
    <mergeCell ref="E476:BB476"/>
    <mergeCell ref="D477:BB477"/>
    <mergeCell ref="AP480:AY480"/>
    <mergeCell ref="G466:P466"/>
    <mergeCell ref="R466:S466"/>
    <mergeCell ref="R469:S469"/>
    <mergeCell ref="G469:P469"/>
    <mergeCell ref="R468:BB468"/>
    <mergeCell ref="AP478:AY478"/>
    <mergeCell ref="AP479:AY479"/>
    <mergeCell ref="AP481:AY481"/>
    <mergeCell ref="E470:BB470"/>
    <mergeCell ref="G468:P468"/>
    <mergeCell ref="E475:BB475"/>
    <mergeCell ref="D474:BB474"/>
    <mergeCell ref="B471:BB471"/>
    <mergeCell ref="AL577:BB577"/>
    <mergeCell ref="F572:BB572"/>
    <mergeCell ref="F567:BB567"/>
    <mergeCell ref="D568:BB568"/>
    <mergeCell ref="C594:BB594"/>
    <mergeCell ref="H517:I517"/>
    <mergeCell ref="H511:I511"/>
    <mergeCell ref="H512:I512"/>
    <mergeCell ref="C498:BB498"/>
    <mergeCell ref="H513:I513"/>
    <mergeCell ref="E505:BB505"/>
    <mergeCell ref="F504:BB504"/>
    <mergeCell ref="H510:I510"/>
    <mergeCell ref="B499:BB499"/>
    <mergeCell ref="B508:BB508"/>
    <mergeCell ref="B500:BB500"/>
    <mergeCell ref="B501:BB501"/>
    <mergeCell ref="H515:I515"/>
    <mergeCell ref="H514:I514"/>
    <mergeCell ref="B503:BB503"/>
    <mergeCell ref="F506:BB506"/>
    <mergeCell ref="F507:AB507"/>
    <mergeCell ref="H516:I516"/>
    <mergeCell ref="B502:BB502"/>
    <mergeCell ref="G614:P614"/>
    <mergeCell ref="R614:AA614"/>
    <mergeCell ref="AB614:AF614"/>
    <mergeCell ref="G619:P619"/>
    <mergeCell ref="R619:BB619"/>
    <mergeCell ref="C590:BB590"/>
    <mergeCell ref="C596:BB596"/>
    <mergeCell ref="D565:E565"/>
    <mergeCell ref="F565:BB565"/>
    <mergeCell ref="C591:BB591"/>
    <mergeCell ref="D571:E571"/>
    <mergeCell ref="F571:BB571"/>
    <mergeCell ref="AL576:BB576"/>
    <mergeCell ref="B588:BB588"/>
    <mergeCell ref="B589:BB589"/>
    <mergeCell ref="F570:BB570"/>
    <mergeCell ref="D569:BB569"/>
    <mergeCell ref="B584:BB584"/>
    <mergeCell ref="F566:BB566"/>
    <mergeCell ref="B587:BB587"/>
    <mergeCell ref="D566:E566"/>
    <mergeCell ref="AL581:BB582"/>
    <mergeCell ref="B585:BB585"/>
    <mergeCell ref="B586:BB586"/>
    <mergeCell ref="G620:P620"/>
    <mergeCell ref="R620:BB620"/>
    <mergeCell ref="AG615:BB615"/>
    <mergeCell ref="G615:P615"/>
    <mergeCell ref="D618:BB618"/>
    <mergeCell ref="R617:S617"/>
    <mergeCell ref="T617:AI617"/>
    <mergeCell ref="AJ617:AN617"/>
    <mergeCell ref="G623:P623"/>
    <mergeCell ref="R623:BB623"/>
    <mergeCell ref="AO617:BB617"/>
    <mergeCell ref="G616:P616"/>
    <mergeCell ref="R616:BB616"/>
    <mergeCell ref="G617:P617"/>
    <mergeCell ref="B700:BB700"/>
    <mergeCell ref="F690:BB690"/>
    <mergeCell ref="F691:BB691"/>
    <mergeCell ref="F685:BB685"/>
    <mergeCell ref="B652:BB652"/>
    <mergeCell ref="F654:BB654"/>
    <mergeCell ref="B655:BB655"/>
    <mergeCell ref="R624:S624"/>
    <mergeCell ref="T624:AI624"/>
    <mergeCell ref="AJ624:AN624"/>
    <mergeCell ref="AO624:BB624"/>
    <mergeCell ref="G624:P624"/>
    <mergeCell ref="G634:BB634"/>
    <mergeCell ref="G635:BB635"/>
    <mergeCell ref="B651:BB651"/>
    <mergeCell ref="F650:BB650"/>
    <mergeCell ref="F643:BB643"/>
    <mergeCell ref="E648:BB648"/>
    <mergeCell ref="D637:BB637"/>
    <mergeCell ref="E638:BB638"/>
    <mergeCell ref="B639:BB639"/>
    <mergeCell ref="E646:BB646"/>
    <mergeCell ref="D647:BB647"/>
    <mergeCell ref="D640:BB640"/>
    <mergeCell ref="B699:BB699"/>
    <mergeCell ref="F706:BB706"/>
    <mergeCell ref="B707:BB707"/>
    <mergeCell ref="F717:BB717"/>
    <mergeCell ref="D714:BB714"/>
    <mergeCell ref="F710:BB710"/>
    <mergeCell ref="F716:BB716"/>
    <mergeCell ref="B625:BB625"/>
    <mergeCell ref="B626:BB626"/>
    <mergeCell ref="D627:BB627"/>
    <mergeCell ref="F649:BB649"/>
    <mergeCell ref="E641:BB641"/>
    <mergeCell ref="G636:BB636"/>
    <mergeCell ref="G633:BB633"/>
    <mergeCell ref="F642:BB642"/>
    <mergeCell ref="B702:BB702"/>
    <mergeCell ref="F696:BB696"/>
    <mergeCell ref="B695:BB695"/>
    <mergeCell ref="F692:BB692"/>
    <mergeCell ref="D688:BB688"/>
    <mergeCell ref="E689:BB689"/>
    <mergeCell ref="E697:BB697"/>
    <mergeCell ref="E693:BB693"/>
    <mergeCell ref="B694:BB694"/>
    <mergeCell ref="E334:BB334"/>
    <mergeCell ref="B666:BB666"/>
    <mergeCell ref="D675:BB675"/>
    <mergeCell ref="E673:BB673"/>
    <mergeCell ref="B674:BB674"/>
    <mergeCell ref="D669:BB669"/>
    <mergeCell ref="X493:BB493"/>
    <mergeCell ref="E682:BB682"/>
    <mergeCell ref="F659:BB659"/>
    <mergeCell ref="E676:BB676"/>
    <mergeCell ref="E679:BB679"/>
    <mergeCell ref="AR677:AZ677"/>
    <mergeCell ref="E678:AV678"/>
    <mergeCell ref="E680:BB680"/>
    <mergeCell ref="B681:BB681"/>
    <mergeCell ref="G621:P621"/>
    <mergeCell ref="R621:AA621"/>
    <mergeCell ref="AB621:AF621"/>
    <mergeCell ref="AG621:BB621"/>
    <mergeCell ref="R622:AA622"/>
    <mergeCell ref="AB622:AF622"/>
    <mergeCell ref="AG622:BB622"/>
    <mergeCell ref="G622:P622"/>
    <mergeCell ref="T671:AC671"/>
    <mergeCell ref="B661:BB661"/>
    <mergeCell ref="E723:G723"/>
    <mergeCell ref="B709:BB709"/>
    <mergeCell ref="E727:G727"/>
    <mergeCell ref="H727:BB727"/>
    <mergeCell ref="E725:G725"/>
    <mergeCell ref="E724:G724"/>
    <mergeCell ref="H724:BB724"/>
    <mergeCell ref="H725:BB725"/>
    <mergeCell ref="B726:BB726"/>
    <mergeCell ref="H723:BB723"/>
    <mergeCell ref="B722:BB722"/>
    <mergeCell ref="F719:BB719"/>
    <mergeCell ref="F712:BB712"/>
    <mergeCell ref="F711:BB711"/>
    <mergeCell ref="F715:BB715"/>
    <mergeCell ref="E703:BB703"/>
    <mergeCell ref="F686:BB686"/>
    <mergeCell ref="E683:BB683"/>
    <mergeCell ref="D684:BB684"/>
    <mergeCell ref="B718:BB718"/>
    <mergeCell ref="B687:BB687"/>
    <mergeCell ref="E701:BB701"/>
    <mergeCell ref="E698:BB698"/>
    <mergeCell ref="X496:BB496"/>
    <mergeCell ref="X494:BB494"/>
    <mergeCell ref="B496:W496"/>
    <mergeCell ref="B493:W493"/>
    <mergeCell ref="B494:W494"/>
    <mergeCell ref="B495:W495"/>
    <mergeCell ref="X495:BB495"/>
    <mergeCell ref="F483:BB483"/>
    <mergeCell ref="F485:BB485"/>
    <mergeCell ref="AC487:BB487"/>
    <mergeCell ref="AC492:BB492"/>
    <mergeCell ref="C486:AB486"/>
    <mergeCell ref="AC486:BB486"/>
    <mergeCell ref="B484:BB484"/>
    <mergeCell ref="H518:I518"/>
    <mergeCell ref="H519:I519"/>
    <mergeCell ref="H555:I555"/>
    <mergeCell ref="H556:I556"/>
    <mergeCell ref="H527:I527"/>
    <mergeCell ref="H522:I522"/>
    <mergeCell ref="H523:I523"/>
    <mergeCell ref="H537:I537"/>
    <mergeCell ref="H525:I525"/>
    <mergeCell ref="H536:I536"/>
    <mergeCell ref="H540:I540"/>
    <mergeCell ref="H546:I546"/>
    <mergeCell ref="H547:I547"/>
    <mergeCell ref="H548:I548"/>
    <mergeCell ref="H543:I543"/>
    <mergeCell ref="H541:I541"/>
    <mergeCell ref="H535:I535"/>
    <mergeCell ref="H538:I538"/>
    <mergeCell ref="H539:I539"/>
    <mergeCell ref="H545:I545"/>
    <mergeCell ref="H520:I520"/>
    <mergeCell ref="H521:I521"/>
    <mergeCell ref="H552:I552"/>
    <mergeCell ref="H553:I553"/>
    <mergeCell ref="H524:I524"/>
    <mergeCell ref="H526:I526"/>
    <mergeCell ref="H542:I542"/>
    <mergeCell ref="H534:I534"/>
    <mergeCell ref="H544:I544"/>
    <mergeCell ref="H532:I532"/>
    <mergeCell ref="H573:BB573"/>
    <mergeCell ref="H533:I533"/>
    <mergeCell ref="H528:I528"/>
    <mergeCell ref="H529:I529"/>
    <mergeCell ref="H530:I530"/>
    <mergeCell ref="H531:I531"/>
    <mergeCell ref="H554:I554"/>
    <mergeCell ref="H551:I551"/>
    <mergeCell ref="H549:I549"/>
    <mergeCell ref="H550:I550"/>
    <mergeCell ref="H557:I557"/>
    <mergeCell ref="H558:I558"/>
    <mergeCell ref="H559:I559"/>
    <mergeCell ref="H560:I560"/>
    <mergeCell ref="H562:I562"/>
    <mergeCell ref="H561:I561"/>
    <mergeCell ref="H563:I563"/>
  </mergeCells>
  <phoneticPr fontId="75" type="noConversion"/>
  <pageMargins left="0.78740157480314965" right="0.39370078740157483" top="0.59055118110236227" bottom="0.59055118110236227" header="0.51181102362204722" footer="0.51181102362204722"/>
  <pageSetup paperSize="9" orientation="portrait" blackAndWhite="1" r:id="rId1"/>
  <headerFooter alignWithMargins="0"/>
  <cellWatches>
    <cellWatch r="BE84"/>
    <cellWatch r="T78"/>
    <cellWatch r="T73"/>
  </cellWatche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0">
    <tabColor indexed="32"/>
  </sheetPr>
  <dimension ref="A1:BC78"/>
  <sheetViews>
    <sheetView showGridLines="0" view="pageLayout" topLeftCell="E19" zoomScaleNormal="85" workbookViewId="0">
      <selection activeCell="Y22" sqref="Y22:AG22"/>
    </sheetView>
  </sheetViews>
  <sheetFormatPr defaultColWidth="0" defaultRowHeight="15.75" zeroHeight="1"/>
  <cols>
    <col min="1" max="1" width="4.5" style="728" customWidth="1"/>
    <col min="2" max="6" width="4.5" style="729" customWidth="1"/>
    <col min="7" max="7" width="5.1640625" style="729" customWidth="1"/>
    <col min="8" max="40" width="4" style="729" customWidth="1"/>
    <col min="41" max="41" width="11.83203125" style="729" bestFit="1" customWidth="1"/>
    <col min="42" max="42" width="14.83203125" style="729" hidden="1" customWidth="1"/>
    <col min="43" max="16384" width="12.1640625" style="729" hidden="1"/>
  </cols>
  <sheetData>
    <row r="1" spans="1:55" s="728" customFormat="1">
      <c r="A1" s="2267"/>
      <c r="B1" s="2267"/>
      <c r="C1" s="2267"/>
      <c r="D1" s="2267"/>
      <c r="E1" s="2267"/>
      <c r="F1" s="2267"/>
      <c r="G1" s="2267"/>
      <c r="H1" s="2267"/>
      <c r="I1" s="2267"/>
      <c r="J1" s="2267"/>
      <c r="K1" s="2267"/>
      <c r="L1" s="2267"/>
      <c r="M1" s="2267"/>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c r="AL1" s="2267"/>
      <c r="AM1" s="2267"/>
      <c r="AN1" s="2267"/>
      <c r="AO1" s="2267"/>
    </row>
    <row r="2" spans="1:55">
      <c r="A2" s="2267"/>
      <c r="B2" s="2203" t="s">
        <v>319</v>
      </c>
      <c r="C2" s="2203"/>
      <c r="D2" s="2203"/>
      <c r="E2" s="2203"/>
      <c r="F2" s="2203"/>
      <c r="G2" s="2203"/>
      <c r="H2" s="2203"/>
      <c r="I2" s="2203"/>
      <c r="J2" s="2203"/>
      <c r="K2" s="2203"/>
      <c r="L2" s="2203"/>
      <c r="M2" s="38"/>
      <c r="N2" s="38"/>
      <c r="O2" s="38"/>
      <c r="P2" s="38"/>
      <c r="Q2" s="38"/>
      <c r="R2" s="38"/>
      <c r="S2" s="38"/>
      <c r="AB2" s="2158" t="s">
        <v>3785</v>
      </c>
      <c r="AC2" s="2158"/>
      <c r="AD2" s="2158"/>
      <c r="AE2" s="2158"/>
      <c r="AF2" s="2158"/>
      <c r="AG2" s="2158"/>
      <c r="AH2" s="2158"/>
      <c r="AI2" s="2158"/>
      <c r="AJ2" s="2158"/>
      <c r="AK2" s="2158"/>
      <c r="AL2" s="2158"/>
      <c r="AM2" s="2158"/>
      <c r="AN2" s="2158"/>
      <c r="AO2" s="2267"/>
    </row>
    <row r="3" spans="1:55">
      <c r="A3" s="2267"/>
      <c r="B3" s="2215" t="s">
        <v>318</v>
      </c>
      <c r="C3" s="2215"/>
      <c r="D3" s="2215"/>
      <c r="E3" s="2215"/>
      <c r="F3" s="2215"/>
      <c r="G3" s="2215"/>
      <c r="H3" s="2215"/>
      <c r="I3" s="2215"/>
      <c r="J3" s="2215"/>
      <c r="K3" s="2215"/>
      <c r="L3" s="2215"/>
      <c r="M3" s="38"/>
      <c r="N3" s="38"/>
      <c r="O3" s="38"/>
      <c r="P3" s="38"/>
      <c r="Q3" s="38"/>
      <c r="R3" s="38"/>
      <c r="S3" s="38"/>
      <c r="AB3" s="2158" t="s">
        <v>3786</v>
      </c>
      <c r="AC3" s="2158"/>
      <c r="AD3" s="2158"/>
      <c r="AE3" s="2158"/>
      <c r="AF3" s="2158"/>
      <c r="AG3" s="2158"/>
      <c r="AH3" s="2158"/>
      <c r="AI3" s="2158"/>
      <c r="AJ3" s="2158"/>
      <c r="AK3" s="2158"/>
      <c r="AL3" s="2158"/>
      <c r="AM3" s="2158"/>
      <c r="AN3" s="2158"/>
      <c r="AO3" s="2267"/>
    </row>
    <row r="4" spans="1:55">
      <c r="A4" s="2267"/>
      <c r="B4" s="2158" t="s">
        <v>943</v>
      </c>
      <c r="C4" s="2158"/>
      <c r="D4" s="2158"/>
      <c r="E4" s="2158"/>
      <c r="F4" s="2158"/>
      <c r="G4" s="2158"/>
      <c r="H4" s="2158"/>
      <c r="I4" s="2158"/>
      <c r="J4" s="2158"/>
      <c r="K4" s="2158"/>
      <c r="L4" s="2158"/>
      <c r="M4" s="38"/>
      <c r="N4" s="38"/>
      <c r="O4" s="38"/>
      <c r="P4" s="38"/>
      <c r="Q4" s="38"/>
      <c r="R4" s="38"/>
      <c r="S4" s="38"/>
      <c r="AB4" s="2158" t="s">
        <v>3787</v>
      </c>
      <c r="AC4" s="2158"/>
      <c r="AD4" s="2158"/>
      <c r="AE4" s="2158"/>
      <c r="AF4" s="2158"/>
      <c r="AG4" s="2158"/>
      <c r="AH4" s="2158"/>
      <c r="AI4" s="2158"/>
      <c r="AJ4" s="2158"/>
      <c r="AK4" s="2158"/>
      <c r="AL4" s="2158"/>
      <c r="AM4" s="2158"/>
      <c r="AN4" s="2158"/>
      <c r="AO4" s="2267"/>
    </row>
    <row r="5" spans="1:55">
      <c r="A5" s="2267"/>
      <c r="B5" s="2158" t="str">
        <f>+"Số: "&amp;NL!U2&amp;"/XNHT-PCHG"</f>
        <v>Số: 01/XNHT-PCHG</v>
      </c>
      <c r="C5" s="2158"/>
      <c r="D5" s="2158"/>
      <c r="E5" s="2158"/>
      <c r="F5" s="2158"/>
      <c r="G5" s="2158"/>
      <c r="H5" s="2158"/>
      <c r="I5" s="2158"/>
      <c r="J5" s="2158"/>
      <c r="K5" s="2158"/>
      <c r="L5" s="2158"/>
      <c r="M5" s="38"/>
      <c r="N5" s="38"/>
      <c r="O5" s="38"/>
      <c r="P5" s="38"/>
      <c r="Q5" s="38"/>
      <c r="R5" s="38"/>
      <c r="S5" s="38"/>
      <c r="AB5" s="2158" t="s">
        <v>1749</v>
      </c>
      <c r="AC5" s="2158"/>
      <c r="AD5" s="2158"/>
      <c r="AE5" s="2158"/>
      <c r="AF5" s="2158"/>
      <c r="AG5" s="2158"/>
      <c r="AH5" s="2158"/>
      <c r="AI5" s="2158"/>
      <c r="AJ5" s="2158"/>
      <c r="AK5" s="2158"/>
      <c r="AL5" s="2158"/>
      <c r="AM5" s="2158"/>
      <c r="AN5" s="2158"/>
      <c r="AO5" s="2267"/>
    </row>
    <row r="6" spans="1:55">
      <c r="A6" s="2267"/>
      <c r="B6" s="730"/>
      <c r="C6" s="730"/>
      <c r="D6" s="730"/>
      <c r="E6" s="730"/>
      <c r="F6" s="730"/>
      <c r="G6" s="730"/>
      <c r="H6" s="730"/>
      <c r="I6" s="730"/>
      <c r="J6" s="730"/>
      <c r="K6" s="38"/>
      <c r="L6" s="38"/>
      <c r="M6" s="38"/>
      <c r="N6" s="38"/>
      <c r="O6" s="38"/>
      <c r="P6" s="38"/>
      <c r="Q6" s="38"/>
      <c r="R6" s="38"/>
      <c r="S6" s="38"/>
      <c r="T6" s="38"/>
      <c r="U6" s="730"/>
      <c r="V6" s="730"/>
      <c r="W6" s="730"/>
      <c r="X6" s="730"/>
      <c r="Y6" s="730"/>
      <c r="Z6" s="730"/>
      <c r="AA6" s="730"/>
      <c r="AB6" s="38"/>
      <c r="AO6" s="2267"/>
    </row>
    <row r="7" spans="1:55" ht="18.75">
      <c r="A7" s="2267"/>
      <c r="B7" s="38"/>
      <c r="C7" s="38"/>
      <c r="D7" s="38"/>
      <c r="E7" s="2232" t="s">
        <v>421</v>
      </c>
      <c r="F7" s="2111"/>
      <c r="G7" s="2111"/>
      <c r="H7" s="2111"/>
      <c r="I7" s="2111"/>
      <c r="J7" s="2111"/>
      <c r="K7" s="2111"/>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267"/>
    </row>
    <row r="8" spans="1:55" ht="18.75">
      <c r="A8" s="2267"/>
      <c r="B8" s="38"/>
      <c r="C8" s="38"/>
      <c r="D8" s="38"/>
      <c r="E8" s="38"/>
      <c r="F8" s="38"/>
      <c r="G8" s="38"/>
      <c r="H8" s="38"/>
      <c r="I8" s="38"/>
      <c r="J8" s="38"/>
      <c r="K8" s="38"/>
      <c r="L8" s="38"/>
      <c r="M8" s="38"/>
      <c r="N8" s="38"/>
      <c r="O8" s="731"/>
      <c r="P8" s="38"/>
      <c r="Q8" s="38"/>
      <c r="R8" s="38"/>
      <c r="S8" s="38"/>
      <c r="T8" s="38"/>
      <c r="U8" s="38"/>
      <c r="V8" s="38"/>
      <c r="W8" s="38"/>
      <c r="X8" s="38"/>
      <c r="Y8" s="38"/>
      <c r="Z8" s="38"/>
      <c r="AA8" s="38"/>
      <c r="AB8" s="38"/>
      <c r="AO8" s="2267"/>
    </row>
    <row r="9" spans="1:55" ht="18.75">
      <c r="A9" s="2267"/>
      <c r="B9" s="732"/>
      <c r="C9" s="38"/>
      <c r="D9" s="38"/>
      <c r="E9" s="2213" t="s">
        <v>6266</v>
      </c>
      <c r="F9" s="2213"/>
      <c r="G9" s="2213"/>
      <c r="H9" s="2213"/>
      <c r="I9" s="2213"/>
      <c r="J9" s="2213"/>
      <c r="K9" s="2213"/>
      <c r="L9" s="2213"/>
      <c r="M9" s="2213"/>
      <c r="N9" s="2213"/>
      <c r="O9" s="2213"/>
      <c r="P9" s="2213"/>
      <c r="Q9" s="2213"/>
      <c r="R9" s="2213"/>
      <c r="S9" s="2213"/>
      <c r="T9" s="2213"/>
      <c r="U9" s="2213"/>
      <c r="V9" s="2213"/>
      <c r="W9" s="2213"/>
      <c r="X9" s="2213"/>
      <c r="Y9" s="2213"/>
      <c r="Z9" s="2213"/>
      <c r="AA9" s="2213"/>
      <c r="AB9" s="2213"/>
      <c r="AC9" s="2213"/>
      <c r="AD9" s="2213"/>
      <c r="AE9" s="2213"/>
      <c r="AF9" s="2213"/>
      <c r="AG9" s="2213"/>
      <c r="AH9" s="2213"/>
      <c r="AI9" s="2213"/>
      <c r="AJ9" s="2213"/>
      <c r="AK9" s="2213"/>
      <c r="AL9" s="2213"/>
      <c r="AM9" s="2213"/>
      <c r="AN9" s="2213"/>
      <c r="AO9" s="2267"/>
    </row>
    <row r="10" spans="1:55">
      <c r="A10" s="2267"/>
      <c r="B10" s="38"/>
      <c r="C10" s="2203" t="s">
        <v>1750</v>
      </c>
      <c r="D10" s="2231"/>
      <c r="E10" s="2231"/>
      <c r="F10" s="2231"/>
      <c r="G10" s="2231"/>
      <c r="H10" s="2231"/>
      <c r="I10" s="2231"/>
      <c r="J10" s="2231"/>
      <c r="K10" s="2231"/>
      <c r="L10" s="2231"/>
      <c r="M10" s="2231"/>
      <c r="N10" s="2231"/>
      <c r="O10" s="2231"/>
      <c r="P10" s="2231"/>
      <c r="Q10" s="2231"/>
      <c r="R10" s="2231"/>
      <c r="S10" s="2231"/>
      <c r="T10" s="2231"/>
      <c r="U10" s="2231"/>
      <c r="V10" s="2231"/>
      <c r="W10" s="2231"/>
      <c r="X10" s="2231"/>
      <c r="Y10" s="2231"/>
      <c r="Z10" s="2231"/>
      <c r="AA10" s="2231"/>
      <c r="AB10" s="2231"/>
      <c r="AC10" s="2231"/>
      <c r="AD10" s="2231"/>
      <c r="AE10" s="2231"/>
      <c r="AF10" s="2231"/>
      <c r="AG10" s="2231"/>
      <c r="AH10" s="2231"/>
      <c r="AI10" s="2231"/>
      <c r="AJ10" s="2231"/>
      <c r="AK10" s="2231"/>
      <c r="AL10" s="2231"/>
      <c r="AM10" s="2231"/>
      <c r="AN10" s="2231"/>
      <c r="AO10" s="2267"/>
    </row>
    <row r="11" spans="1:55" ht="18.75">
      <c r="A11" s="2267"/>
      <c r="B11" s="37"/>
      <c r="D11" s="38"/>
      <c r="E11" s="733" t="str">
        <f>"Căn cứ theo hợp đồng "&amp;IF(NL!U20=NL!U21,"tổng thầu ","tư vấn KSTK ")&amp;IF(NL!U20=NL!U21,$B$547,HĐ!$B$8)&amp;" ngày "&amp;TEXT(NL!U8,"dd/ mm/ yyyy")&amp;" do Công ty Điện Lực Hậu Giang thiết lập. "</f>
        <v xml:space="preserve">Căn cứ theo hợp đồng tư vấn KSTK Số: 01/HĐKSTK-PCHG ngày 11/ 01/ 2017 do Công ty Điện Lực Hậu Giang thiết lập. </v>
      </c>
      <c r="F11" s="38"/>
      <c r="G11" s="38"/>
      <c r="H11" s="38"/>
      <c r="I11" s="38"/>
      <c r="J11" s="38"/>
      <c r="K11" s="38"/>
      <c r="L11" s="38"/>
      <c r="M11" s="38"/>
      <c r="N11" s="38"/>
      <c r="O11" s="38"/>
      <c r="P11" s="38"/>
      <c r="Q11" s="38"/>
      <c r="R11" s="38"/>
      <c r="S11" s="38"/>
      <c r="T11" s="38"/>
      <c r="U11" s="38"/>
      <c r="V11" s="38"/>
      <c r="W11" s="38"/>
      <c r="X11" s="38"/>
      <c r="Y11" s="38"/>
      <c r="Z11" s="38"/>
      <c r="AA11" s="38"/>
      <c r="AB11" s="38"/>
      <c r="AO11" s="2267"/>
      <c r="AZ11" s="734"/>
      <c r="BA11" s="734"/>
      <c r="BB11" s="734"/>
      <c r="BC11" s="734"/>
    </row>
    <row r="12" spans="1:55" ht="18.75">
      <c r="A12" s="2267"/>
      <c r="B12" s="37"/>
      <c r="D12" s="38"/>
      <c r="E12" s="733"/>
      <c r="F12" s="38"/>
      <c r="G12" s="38"/>
      <c r="H12" s="38"/>
      <c r="I12" s="38"/>
      <c r="J12" s="38"/>
      <c r="K12" s="38"/>
      <c r="L12" s="38"/>
      <c r="M12" s="38"/>
      <c r="N12" s="38"/>
      <c r="O12" s="38"/>
      <c r="P12" s="38"/>
      <c r="Q12" s="38"/>
      <c r="R12" s="38"/>
      <c r="S12" s="38"/>
      <c r="T12" s="38"/>
      <c r="U12" s="38"/>
      <c r="V12" s="38"/>
      <c r="W12" s="38"/>
      <c r="X12" s="38"/>
      <c r="Y12" s="38"/>
      <c r="Z12" s="38"/>
      <c r="AA12" s="38"/>
      <c r="AB12" s="38"/>
      <c r="AO12" s="2267"/>
      <c r="AZ12" s="734"/>
      <c r="BA12" s="734"/>
      <c r="BB12" s="734"/>
      <c r="BC12" s="734"/>
    </row>
    <row r="13" spans="1:55">
      <c r="A13" s="2267"/>
      <c r="B13" s="735"/>
      <c r="C13" s="735"/>
      <c r="D13" s="735"/>
      <c r="E13" s="735"/>
      <c r="F13" s="735"/>
      <c r="G13" s="735"/>
      <c r="H13" s="735"/>
      <c r="I13" s="2235" t="s">
        <v>504</v>
      </c>
      <c r="J13" s="2236"/>
      <c r="K13" s="2236"/>
      <c r="L13" s="2236"/>
      <c r="M13" s="2241" t="str">
        <f>NL!U3</f>
        <v>XÂY DỰNG ĐƯỜNG DÂY TRUNG HẠ ÁP &amp; TRẠM BIẾN ÁP</v>
      </c>
      <c r="N13" s="2241"/>
      <c r="O13" s="2241"/>
      <c r="P13" s="2241"/>
      <c r="Q13" s="2241"/>
      <c r="R13" s="2241"/>
      <c r="S13" s="2241"/>
      <c r="T13" s="2241"/>
      <c r="U13" s="2241"/>
      <c r="V13" s="2241"/>
      <c r="W13" s="2241"/>
      <c r="X13" s="2241"/>
      <c r="Y13" s="2241"/>
      <c r="Z13" s="2241"/>
      <c r="AA13" s="2241"/>
      <c r="AB13" s="2241"/>
      <c r="AC13" s="2241"/>
      <c r="AD13" s="2241"/>
      <c r="AE13" s="2241"/>
      <c r="AF13" s="2241"/>
      <c r="AG13" s="2241"/>
      <c r="AH13" s="2241"/>
      <c r="AI13" s="736"/>
      <c r="AJ13" s="736"/>
      <c r="AK13" s="736"/>
      <c r="AL13" s="736"/>
      <c r="AM13" s="736"/>
      <c r="AN13" s="736"/>
      <c r="AO13" s="2267"/>
      <c r="AZ13" s="734"/>
      <c r="BA13" s="734"/>
      <c r="BB13" s="734"/>
      <c r="BC13" s="734"/>
    </row>
    <row r="14" spans="1:55">
      <c r="A14" s="2267"/>
      <c r="B14" s="737"/>
      <c r="C14" s="737"/>
      <c r="D14" s="737"/>
      <c r="E14" s="737"/>
      <c r="F14" s="737"/>
      <c r="G14" s="737"/>
      <c r="H14" s="737"/>
      <c r="I14" s="737"/>
      <c r="J14" s="737"/>
      <c r="K14" s="737"/>
      <c r="L14" s="737"/>
      <c r="M14" s="2241" t="str">
        <f>NL!U4</f>
        <v>HUYỆN CHÂU THÀNH, TX NGÃ BẢY</v>
      </c>
      <c r="N14" s="2241"/>
      <c r="O14" s="2241"/>
      <c r="P14" s="2241"/>
      <c r="Q14" s="2241"/>
      <c r="R14" s="2241"/>
      <c r="S14" s="2241"/>
      <c r="T14" s="2241"/>
      <c r="U14" s="2241"/>
      <c r="V14" s="2241"/>
      <c r="W14" s="2241"/>
      <c r="X14" s="2241"/>
      <c r="Y14" s="2241"/>
      <c r="Z14" s="2241"/>
      <c r="AA14" s="2241"/>
      <c r="AB14" s="2241"/>
      <c r="AC14" s="2241"/>
      <c r="AD14" s="2241"/>
      <c r="AE14" s="2241"/>
      <c r="AF14" s="2241"/>
      <c r="AG14" s="2241"/>
      <c r="AH14" s="2241"/>
      <c r="AI14" s="736"/>
      <c r="AJ14" s="736"/>
      <c r="AK14" s="736"/>
      <c r="AL14" s="736"/>
      <c r="AM14" s="736"/>
      <c r="AN14" s="736"/>
      <c r="AO14" s="2267"/>
      <c r="AZ14" s="734"/>
      <c r="BA14" s="734"/>
      <c r="BB14" s="734"/>
      <c r="BC14" s="734"/>
    </row>
    <row r="15" spans="1:55">
      <c r="A15" s="2267"/>
      <c r="I15" s="2237" t="s">
        <v>505</v>
      </c>
      <c r="J15" s="2238"/>
      <c r="K15" s="2238"/>
      <c r="L15" s="2238"/>
      <c r="M15" s="2241" t="str">
        <f>NL!U5</f>
        <v>Huyện Châu Thành &amp; Tx.Ngã Bảy, tỉnh Hậu Giang</v>
      </c>
      <c r="N15" s="2241"/>
      <c r="O15" s="2241"/>
      <c r="P15" s="2241"/>
      <c r="Q15" s="2241"/>
      <c r="R15" s="2241"/>
      <c r="S15" s="2241"/>
      <c r="T15" s="2241"/>
      <c r="U15" s="2241"/>
      <c r="V15" s="2241"/>
      <c r="W15" s="2241"/>
      <c r="X15" s="2241"/>
      <c r="Y15" s="2241"/>
      <c r="Z15" s="2241"/>
      <c r="AA15" s="2241"/>
      <c r="AB15" s="2241"/>
      <c r="AC15" s="2241"/>
      <c r="AD15" s="2241"/>
      <c r="AE15" s="2241"/>
      <c r="AF15" s="2241"/>
      <c r="AG15" s="2241"/>
      <c r="AH15" s="2241"/>
      <c r="AI15" s="738"/>
      <c r="AJ15" s="738"/>
      <c r="AK15" s="738"/>
      <c r="AL15" s="738"/>
      <c r="AM15" s="738"/>
      <c r="AN15" s="738"/>
      <c r="AO15" s="2267"/>
      <c r="AP15" s="2252" t="s">
        <v>5301</v>
      </c>
      <c r="AQ15" s="2253"/>
      <c r="AR15" s="2253"/>
      <c r="AS15" s="2253"/>
      <c r="AT15" s="2254"/>
      <c r="AU15" s="2252" t="s">
        <v>5302</v>
      </c>
      <c r="AV15" s="2253"/>
      <c r="AW15" s="2253"/>
      <c r="AX15" s="2253"/>
      <c r="AY15" s="2254"/>
      <c r="AZ15" s="734"/>
      <c r="BA15" s="734"/>
      <c r="BB15" s="734"/>
      <c r="BC15" s="734"/>
    </row>
    <row r="16" spans="1:55">
      <c r="A16" s="2267"/>
      <c r="AO16" s="2267"/>
      <c r="AP16" s="2255" t="s">
        <v>5303</v>
      </c>
      <c r="AQ16" s="2256"/>
      <c r="AR16" s="739" t="s">
        <v>3306</v>
      </c>
      <c r="AS16" s="2201">
        <f>ROUND('II.9.tuvan'!M6/1.1,0)</f>
        <v>40062250</v>
      </c>
      <c r="AT16" s="2202"/>
      <c r="AU16" s="2255" t="s">
        <v>5303</v>
      </c>
      <c r="AV16" s="2256"/>
      <c r="AW16" s="739" t="s">
        <v>3306</v>
      </c>
      <c r="AX16" s="2201">
        <f>ROUND('II.9.tuvan'!M47/1.1,0)</f>
        <v>160452992</v>
      </c>
      <c r="AY16" s="2202"/>
      <c r="BB16" s="740"/>
      <c r="BC16" s="740"/>
    </row>
    <row r="17" spans="1:55" ht="17.25" customHeight="1">
      <c r="A17" s="2267"/>
      <c r="C17" s="2216" t="s">
        <v>5865</v>
      </c>
      <c r="D17" s="2242" t="s">
        <v>4304</v>
      </c>
      <c r="E17" s="2243"/>
      <c r="F17" s="2243"/>
      <c r="G17" s="2243"/>
      <c r="H17" s="2243"/>
      <c r="I17" s="2243"/>
      <c r="J17" s="2243"/>
      <c r="K17" s="2239" t="s">
        <v>5304</v>
      </c>
      <c r="L17" s="2239"/>
      <c r="M17" s="2239" t="s">
        <v>5305</v>
      </c>
      <c r="N17" s="2239"/>
      <c r="O17" s="2239"/>
      <c r="P17" s="2233" t="s">
        <v>87</v>
      </c>
      <c r="Q17" s="2233"/>
      <c r="R17" s="2233"/>
      <c r="S17" s="2233"/>
      <c r="T17" s="2233"/>
      <c r="U17" s="2233"/>
      <c r="V17" s="2233"/>
      <c r="W17" s="2233"/>
      <c r="X17" s="2233"/>
      <c r="Y17" s="2239" t="s">
        <v>5306</v>
      </c>
      <c r="Z17" s="2239"/>
      <c r="AA17" s="2239"/>
      <c r="AB17" s="2239"/>
      <c r="AC17" s="2239"/>
      <c r="AD17" s="2239"/>
      <c r="AE17" s="2239"/>
      <c r="AF17" s="2239"/>
      <c r="AG17" s="2239"/>
      <c r="AH17" s="2216" t="s">
        <v>5870</v>
      </c>
      <c r="AI17" s="2216"/>
      <c r="AJ17" s="2216"/>
      <c r="AK17" s="2216"/>
      <c r="AL17" s="2217"/>
      <c r="AM17" s="2217"/>
      <c r="AO17" s="2267"/>
      <c r="AP17" s="2250" t="s">
        <v>5307</v>
      </c>
      <c r="AQ17" s="2251"/>
      <c r="AR17" s="742" t="s">
        <v>3306</v>
      </c>
      <c r="AS17" s="2248"/>
      <c r="AT17" s="2249"/>
      <c r="AU17" s="2250" t="s">
        <v>5307</v>
      </c>
      <c r="AV17" s="2251"/>
      <c r="AW17" s="742" t="s">
        <v>3306</v>
      </c>
      <c r="AX17" s="2246">
        <f>ROUND('II.9.tuvan'!M59/1.1,0)</f>
        <v>11131647</v>
      </c>
      <c r="AY17" s="2247"/>
      <c r="BB17" s="743"/>
      <c r="BC17" s="743"/>
    </row>
    <row r="18" spans="1:55" ht="17.25" customHeight="1">
      <c r="A18" s="2267"/>
      <c r="C18" s="2230"/>
      <c r="D18" s="2244"/>
      <c r="E18" s="2245"/>
      <c r="F18" s="2245"/>
      <c r="G18" s="2245"/>
      <c r="H18" s="2245"/>
      <c r="I18" s="2245"/>
      <c r="J18" s="2245"/>
      <c r="K18" s="2240"/>
      <c r="L18" s="2240"/>
      <c r="M18" s="2240"/>
      <c r="N18" s="2240"/>
      <c r="O18" s="2240"/>
      <c r="P18" s="2234"/>
      <c r="Q18" s="2234"/>
      <c r="R18" s="2234"/>
      <c r="S18" s="2234"/>
      <c r="T18" s="2234"/>
      <c r="U18" s="2234"/>
      <c r="V18" s="2234"/>
      <c r="W18" s="2234"/>
      <c r="X18" s="2234"/>
      <c r="Y18" s="2240"/>
      <c r="Z18" s="2240"/>
      <c r="AA18" s="2240"/>
      <c r="AB18" s="2240"/>
      <c r="AC18" s="2240"/>
      <c r="AD18" s="2240"/>
      <c r="AE18" s="2240"/>
      <c r="AF18" s="2240"/>
      <c r="AG18" s="2240"/>
      <c r="AH18" s="2230"/>
      <c r="AI18" s="2230"/>
      <c r="AJ18" s="2230"/>
      <c r="AK18" s="2230"/>
      <c r="AL18" s="2230"/>
      <c r="AM18" s="2230"/>
      <c r="AO18" s="2267"/>
      <c r="AP18" s="2250" t="s">
        <v>5309</v>
      </c>
      <c r="AQ18" s="2251"/>
      <c r="AR18" s="742" t="s">
        <v>3306</v>
      </c>
      <c r="AS18" s="2246">
        <f>ROUND('II.9.tuvan'!M23/1.1,0)</f>
        <v>36876291</v>
      </c>
      <c r="AT18" s="2247"/>
      <c r="AU18" s="2250" t="s">
        <v>5309</v>
      </c>
      <c r="AV18" s="2251"/>
      <c r="AW18" s="742" t="s">
        <v>3306</v>
      </c>
      <c r="AX18" s="2246">
        <f>ROUND('II.9.tuvan'!M53/1.1,0)</f>
        <v>43647829</v>
      </c>
      <c r="AY18" s="2247"/>
      <c r="BB18" s="743"/>
      <c r="BC18" s="743"/>
    </row>
    <row r="19" spans="1:55">
      <c r="A19" s="2267"/>
      <c r="C19" s="741" t="s">
        <v>5018</v>
      </c>
      <c r="D19" s="2216" t="s">
        <v>5021</v>
      </c>
      <c r="E19" s="2216"/>
      <c r="F19" s="2216"/>
      <c r="G19" s="2216"/>
      <c r="H19" s="2216"/>
      <c r="I19" s="2216"/>
      <c r="J19" s="2216"/>
      <c r="K19" s="2216" t="s">
        <v>5023</v>
      </c>
      <c r="L19" s="2216"/>
      <c r="M19" s="2216" t="s">
        <v>3301</v>
      </c>
      <c r="N19" s="2216"/>
      <c r="O19" s="2216"/>
      <c r="P19" s="2216" t="s">
        <v>3853</v>
      </c>
      <c r="Q19" s="2216"/>
      <c r="R19" s="2216"/>
      <c r="S19" s="2216"/>
      <c r="T19" s="2216"/>
      <c r="U19" s="2216"/>
      <c r="V19" s="2216"/>
      <c r="W19" s="2216"/>
      <c r="X19" s="2216"/>
      <c r="Y19" s="2216" t="s">
        <v>3854</v>
      </c>
      <c r="Z19" s="2216"/>
      <c r="AA19" s="2216"/>
      <c r="AB19" s="2216"/>
      <c r="AC19" s="2216"/>
      <c r="AD19" s="2216"/>
      <c r="AE19" s="2216"/>
      <c r="AF19" s="2216"/>
      <c r="AG19" s="2216"/>
      <c r="AH19" s="2216" t="s">
        <v>5866</v>
      </c>
      <c r="AI19" s="2216"/>
      <c r="AJ19" s="2216"/>
      <c r="AK19" s="2216"/>
      <c r="AL19" s="2217"/>
      <c r="AM19" s="2217"/>
      <c r="AO19" s="2267"/>
      <c r="AP19" s="2199" t="s">
        <v>5310</v>
      </c>
      <c r="AQ19" s="2200"/>
      <c r="AR19" s="742" t="s">
        <v>3306</v>
      </c>
      <c r="AS19" s="2257">
        <f>SUM(AS16:AT18)</f>
        <v>76938541</v>
      </c>
      <c r="AT19" s="2258"/>
      <c r="AU19" s="2199" t="s">
        <v>5310</v>
      </c>
      <c r="AV19" s="2200"/>
      <c r="AW19" s="742" t="s">
        <v>3306</v>
      </c>
      <c r="AX19" s="2257">
        <f>SUM(AX16:AY18)</f>
        <v>215232468</v>
      </c>
      <c r="AY19" s="2258"/>
      <c r="BB19" s="744"/>
      <c r="BC19" s="744"/>
    </row>
    <row r="20" spans="1:55" ht="17.25" customHeight="1">
      <c r="A20" s="2267"/>
      <c r="C20" s="745">
        <v>1</v>
      </c>
      <c r="D20" s="746" t="s">
        <v>4306</v>
      </c>
      <c r="E20" s="747"/>
      <c r="F20" s="747"/>
      <c r="G20" s="747"/>
      <c r="H20" s="747"/>
      <c r="I20" s="747"/>
      <c r="J20" s="747"/>
      <c r="K20" s="2207" t="s">
        <v>4308</v>
      </c>
      <c r="L20" s="2207"/>
      <c r="M20" s="2208">
        <v>1</v>
      </c>
      <c r="N20" s="2208"/>
      <c r="O20" s="2208"/>
      <c r="P20" s="2218">
        <f>AS20</f>
        <v>38469271</v>
      </c>
      <c r="Q20" s="2219"/>
      <c r="R20" s="2219"/>
      <c r="S20" s="2219"/>
      <c r="T20" s="2219"/>
      <c r="U20" s="2219"/>
      <c r="V20" s="2219"/>
      <c r="W20" s="2219"/>
      <c r="X20" s="2220"/>
      <c r="Y20" s="2218">
        <f>P20</f>
        <v>38469271</v>
      </c>
      <c r="Z20" s="2219"/>
      <c r="AA20" s="2219"/>
      <c r="AB20" s="2219"/>
      <c r="AC20" s="2219"/>
      <c r="AD20" s="2219"/>
      <c r="AE20" s="2219"/>
      <c r="AF20" s="2219"/>
      <c r="AG20" s="2220"/>
      <c r="AH20" s="2261"/>
      <c r="AI20" s="2262"/>
      <c r="AJ20" s="2262"/>
      <c r="AK20" s="2262"/>
      <c r="AL20" s="2262"/>
      <c r="AM20" s="2263"/>
      <c r="AO20" s="2267"/>
      <c r="AP20" s="748" t="s">
        <v>4307</v>
      </c>
      <c r="AQ20" s="749"/>
      <c r="AR20" s="749"/>
      <c r="AS20" s="2259">
        <f>ROUND(AS19*0.5,0)</f>
        <v>38469271</v>
      </c>
      <c r="AT20" s="2259"/>
      <c r="AU20" s="748" t="s">
        <v>4307</v>
      </c>
      <c r="AW20" s="750"/>
      <c r="AX20" s="2259">
        <f>ROUND(AX19*0.5,0)</f>
        <v>107616234</v>
      </c>
      <c r="AY20" s="2259"/>
      <c r="AZ20" s="744"/>
    </row>
    <row r="21" spans="1:55" ht="17.25" customHeight="1">
      <c r="A21" s="2267"/>
      <c r="C21" s="751">
        <v>2</v>
      </c>
      <c r="D21" s="746" t="s">
        <v>4305</v>
      </c>
      <c r="E21" s="747"/>
      <c r="F21" s="747"/>
      <c r="G21" s="747"/>
      <c r="H21" s="747"/>
      <c r="I21" s="747"/>
      <c r="J21" s="747"/>
      <c r="K21" s="2207"/>
      <c r="L21" s="2207"/>
      <c r="M21" s="2208"/>
      <c r="N21" s="2208"/>
      <c r="O21" s="2208"/>
      <c r="P21" s="2209">
        <f>AX20</f>
        <v>107616234</v>
      </c>
      <c r="Q21" s="2210"/>
      <c r="R21" s="2210"/>
      <c r="S21" s="2210"/>
      <c r="T21" s="2210"/>
      <c r="U21" s="2210"/>
      <c r="V21" s="2210"/>
      <c r="W21" s="2210"/>
      <c r="X21" s="2211"/>
      <c r="Y21" s="2209">
        <f>P21</f>
        <v>107616234</v>
      </c>
      <c r="Z21" s="2210"/>
      <c r="AA21" s="2210"/>
      <c r="AB21" s="2210"/>
      <c r="AC21" s="2210"/>
      <c r="AD21" s="2210"/>
      <c r="AE21" s="2210"/>
      <c r="AF21" s="2210"/>
      <c r="AG21" s="2211"/>
      <c r="AH21" s="2264"/>
      <c r="AI21" s="2265"/>
      <c r="AJ21" s="2265"/>
      <c r="AK21" s="2265"/>
      <c r="AL21" s="2265"/>
      <c r="AM21" s="2266"/>
      <c r="AN21" s="752"/>
      <c r="AO21" s="2267"/>
      <c r="AP21" s="753"/>
      <c r="AQ21" s="754"/>
      <c r="AR21" s="754"/>
      <c r="AS21" s="755"/>
      <c r="AT21" s="755"/>
      <c r="AU21" s="756"/>
      <c r="AV21" s="756"/>
      <c r="AW21" s="744"/>
      <c r="AX21" s="744"/>
      <c r="AY21" s="744"/>
      <c r="AZ21" s="744"/>
    </row>
    <row r="22" spans="1:55" ht="18.75">
      <c r="A22" s="2267"/>
      <c r="B22" s="37"/>
      <c r="C22" s="2217" t="s">
        <v>6346</v>
      </c>
      <c r="D22" s="2217"/>
      <c r="E22" s="2217"/>
      <c r="F22" s="2217"/>
      <c r="G22" s="2217"/>
      <c r="H22" s="2217"/>
      <c r="I22" s="2217"/>
      <c r="J22" s="2217"/>
      <c r="K22" s="2217"/>
      <c r="L22" s="2217"/>
      <c r="M22" s="2217"/>
      <c r="N22" s="2217"/>
      <c r="O22" s="2217"/>
      <c r="P22" s="2217"/>
      <c r="Q22" s="2217"/>
      <c r="R22" s="2217"/>
      <c r="S22" s="2217"/>
      <c r="T22" s="2217"/>
      <c r="U22" s="2217"/>
      <c r="V22" s="2217"/>
      <c r="W22" s="2217"/>
      <c r="X22" s="2217"/>
      <c r="Y22" s="2205">
        <f>SUM(Y20:AG21)</f>
        <v>146085505</v>
      </c>
      <c r="Z22" s="2206"/>
      <c r="AA22" s="2206"/>
      <c r="AB22" s="2206"/>
      <c r="AC22" s="2206"/>
      <c r="AD22" s="2206"/>
      <c r="AE22" s="2206"/>
      <c r="AF22" s="2206"/>
      <c r="AG22" s="2206"/>
      <c r="AH22" s="2260"/>
      <c r="AI22" s="2260"/>
      <c r="AJ22" s="2260"/>
      <c r="AK22" s="2260"/>
      <c r="AL22" s="2260"/>
      <c r="AM22" s="2260"/>
      <c r="AO22" s="2267"/>
      <c r="AP22" s="10"/>
      <c r="AQ22" s="757"/>
      <c r="AR22" s="757"/>
      <c r="AS22" s="757"/>
      <c r="AT22" s="757"/>
      <c r="AU22" s="757"/>
      <c r="AV22" s="757"/>
      <c r="AW22" s="757"/>
      <c r="AX22" s="757"/>
      <c r="AY22" s="757"/>
      <c r="AZ22" s="757"/>
    </row>
    <row r="23" spans="1:55">
      <c r="A23" s="2267"/>
      <c r="B23" s="38"/>
      <c r="C23" s="38"/>
      <c r="D23" s="729" t="s">
        <v>500</v>
      </c>
      <c r="E23" s="38"/>
      <c r="F23" s="38"/>
      <c r="G23" s="38"/>
      <c r="H23" s="38"/>
      <c r="I23" s="38"/>
      <c r="J23" s="38"/>
      <c r="K23" s="38"/>
      <c r="L23" s="38"/>
      <c r="M23" s="38"/>
      <c r="N23" s="38"/>
      <c r="O23" s="38"/>
      <c r="P23" s="38"/>
      <c r="Q23" s="38"/>
      <c r="R23" s="38"/>
      <c r="S23" s="38"/>
      <c r="T23" s="38"/>
      <c r="U23" s="38"/>
      <c r="V23" s="38"/>
      <c r="W23" s="38"/>
      <c r="X23" s="38"/>
      <c r="Y23" s="38"/>
      <c r="Z23" s="38"/>
      <c r="AA23" s="38"/>
      <c r="AB23" s="38"/>
      <c r="AO23" s="2267"/>
      <c r="AP23" s="10"/>
      <c r="AQ23" s="757"/>
      <c r="AR23" s="757"/>
      <c r="AS23" s="757"/>
      <c r="AT23" s="757"/>
      <c r="AU23" s="757"/>
      <c r="AV23" s="757"/>
      <c r="AW23" s="757"/>
      <c r="AX23" s="757"/>
      <c r="AY23" s="757"/>
      <c r="AZ23" s="757"/>
    </row>
    <row r="24" spans="1:55">
      <c r="A24" s="2267"/>
      <c r="B24" s="38"/>
      <c r="C24" s="38"/>
      <c r="D24" s="2213" t="e">
        <v>#NAME?</v>
      </c>
      <c r="E24" s="2213"/>
      <c r="F24" s="2213"/>
      <c r="G24" s="2213"/>
      <c r="H24" s="2213"/>
      <c r="I24" s="2213"/>
      <c r="J24" s="2213"/>
      <c r="K24" s="2213"/>
      <c r="L24" s="2213"/>
      <c r="M24" s="2213"/>
      <c r="N24" s="2213"/>
      <c r="O24" s="2213"/>
      <c r="P24" s="2213"/>
      <c r="Q24" s="2213"/>
      <c r="R24" s="2213"/>
      <c r="S24" s="2213"/>
      <c r="T24" s="2213"/>
      <c r="U24" s="2213"/>
      <c r="V24" s="2213"/>
      <c r="W24" s="2213"/>
      <c r="X24" s="2213"/>
      <c r="Y24" s="2213"/>
      <c r="Z24" s="2213"/>
      <c r="AA24" s="2213"/>
      <c r="AB24" s="2213"/>
      <c r="AC24" s="2213"/>
      <c r="AD24" s="2213"/>
      <c r="AE24" s="2213"/>
      <c r="AF24" s="2213"/>
      <c r="AG24" s="2213"/>
      <c r="AH24" s="2213"/>
      <c r="AI24" s="2213"/>
      <c r="AJ24" s="2213"/>
      <c r="AK24" s="2213"/>
      <c r="AL24" s="2213"/>
      <c r="AM24" s="2213"/>
      <c r="AO24" s="2267"/>
      <c r="AP24" s="10"/>
      <c r="AQ24" s="757"/>
      <c r="AR24" s="757"/>
      <c r="AS24" s="757"/>
      <c r="AT24" s="757"/>
      <c r="AU24" s="757"/>
      <c r="AV24" s="757"/>
      <c r="AW24" s="757"/>
      <c r="AX24" s="757"/>
      <c r="AY24" s="757"/>
      <c r="AZ24" s="757"/>
    </row>
    <row r="25" spans="1:55" ht="18.75">
      <c r="A25" s="2267"/>
      <c r="B25" s="731"/>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O25" s="2267"/>
      <c r="AP25" s="10"/>
      <c r="AQ25" s="757"/>
      <c r="AR25" s="757"/>
      <c r="AS25" s="757"/>
      <c r="AT25" s="757"/>
      <c r="AU25" s="757"/>
      <c r="AV25" s="757"/>
      <c r="AW25" s="758"/>
      <c r="AX25" s="758"/>
      <c r="AY25" s="758"/>
      <c r="AZ25" s="758"/>
    </row>
    <row r="26" spans="1:55" ht="16.5">
      <c r="A26" s="2267"/>
      <c r="B26" s="38"/>
      <c r="C26" s="38"/>
      <c r="D26" s="38"/>
      <c r="E26" s="38"/>
      <c r="F26" s="38"/>
      <c r="G26" s="38"/>
      <c r="H26" s="38"/>
      <c r="I26" s="38"/>
      <c r="J26" s="38"/>
      <c r="K26" s="38"/>
      <c r="N26" s="2203"/>
      <c r="O26" s="2215"/>
      <c r="P26" s="2215"/>
      <c r="Q26" s="2215"/>
      <c r="R26" s="2215"/>
      <c r="S26" s="2215"/>
      <c r="T26" s="2215"/>
      <c r="U26" s="38"/>
      <c r="AA26" s="38"/>
      <c r="AB26" s="38"/>
      <c r="AD26" s="351"/>
      <c r="AE26" s="351"/>
      <c r="AF26" s="351"/>
      <c r="AG26" s="2214" t="s">
        <v>422</v>
      </c>
      <c r="AH26" s="2214"/>
      <c r="AI26" s="2214"/>
      <c r="AJ26" s="2214"/>
      <c r="AK26" s="2214"/>
      <c r="AL26" s="2214"/>
      <c r="AM26" s="2214"/>
      <c r="AO26" s="2267"/>
      <c r="AP26" s="10"/>
      <c r="AQ26" s="758"/>
    </row>
    <row r="27" spans="1:55" ht="16.5">
      <c r="A27" s="2267"/>
      <c r="B27" s="38"/>
      <c r="C27" s="38"/>
      <c r="D27" s="2215" t="s">
        <v>501</v>
      </c>
      <c r="E27" s="2215"/>
      <c r="F27" s="2215"/>
      <c r="G27" s="2215"/>
      <c r="H27" s="2215"/>
      <c r="I27" s="38"/>
      <c r="J27" s="38"/>
      <c r="K27" s="38"/>
      <c r="L27" s="2215" t="s">
        <v>5556</v>
      </c>
      <c r="M27" s="2215"/>
      <c r="N27" s="2215"/>
      <c r="O27" s="2215"/>
      <c r="P27" s="2215"/>
      <c r="Q27" s="2215"/>
      <c r="R27" s="2215"/>
      <c r="S27" s="2215"/>
      <c r="T27" s="2215"/>
      <c r="U27" s="38"/>
      <c r="W27" s="2215" t="s">
        <v>3002</v>
      </c>
      <c r="X27" s="2215"/>
      <c r="Y27" s="2215"/>
      <c r="Z27" s="2215"/>
      <c r="AA27" s="2215"/>
      <c r="AB27" s="2215"/>
      <c r="AC27" s="2215"/>
      <c r="AD27" s="2215"/>
      <c r="AE27" s="351"/>
      <c r="AF27" s="351"/>
      <c r="AG27" s="2214" t="s">
        <v>5441</v>
      </c>
      <c r="AH27" s="2214"/>
      <c r="AI27" s="2214"/>
      <c r="AJ27" s="2214"/>
      <c r="AK27" s="2214"/>
      <c r="AL27" s="2214"/>
      <c r="AM27" s="2214"/>
      <c r="AO27" s="2267"/>
    </row>
    <row r="28" spans="1:55" ht="20.100000000000001" customHeight="1">
      <c r="A28" s="2267"/>
      <c r="B28" s="37"/>
      <c r="C28" s="38"/>
      <c r="D28" s="38"/>
      <c r="E28" s="38"/>
      <c r="F28" s="38"/>
      <c r="G28" s="38"/>
      <c r="H28" s="38"/>
      <c r="I28" s="38"/>
      <c r="J28" s="38"/>
      <c r="K28" s="38"/>
      <c r="N28" s="38"/>
      <c r="O28" s="38"/>
      <c r="P28" s="38"/>
      <c r="Q28" s="38"/>
      <c r="R28" s="38"/>
      <c r="S28" s="38"/>
      <c r="T28" s="38"/>
      <c r="U28" s="38"/>
      <c r="AA28" s="38"/>
      <c r="AB28" s="38"/>
      <c r="AD28" s="38"/>
      <c r="AE28" s="38"/>
      <c r="AF28" s="38"/>
      <c r="AG28" s="38"/>
      <c r="AH28" s="38"/>
      <c r="AO28" s="2267"/>
    </row>
    <row r="29" spans="1:55" ht="20.100000000000001" customHeight="1">
      <c r="A29" s="2267"/>
      <c r="B29" s="37"/>
      <c r="C29" s="38"/>
      <c r="D29" s="38"/>
      <c r="E29" s="38"/>
      <c r="F29" s="38"/>
      <c r="G29" s="38"/>
      <c r="H29" s="38"/>
      <c r="I29" s="38"/>
      <c r="J29" s="38"/>
      <c r="K29" s="38"/>
      <c r="N29" s="38"/>
      <c r="O29" s="38"/>
      <c r="P29" s="38"/>
      <c r="Q29" s="38"/>
      <c r="R29" s="38"/>
      <c r="S29" s="38"/>
      <c r="T29" s="38"/>
      <c r="U29" s="38"/>
      <c r="AA29" s="38"/>
      <c r="AB29" s="38"/>
      <c r="AD29" s="38"/>
      <c r="AE29" s="38"/>
      <c r="AF29" s="38"/>
      <c r="AG29" s="38"/>
      <c r="AH29" s="38"/>
      <c r="AO29" s="2267"/>
    </row>
    <row r="30" spans="1:55" ht="20.100000000000001" customHeight="1">
      <c r="A30" s="2267"/>
      <c r="B30" s="37"/>
      <c r="C30" s="38"/>
      <c r="D30" s="38"/>
      <c r="E30" s="38"/>
      <c r="F30" s="38"/>
      <c r="G30" s="38"/>
      <c r="H30" s="38"/>
      <c r="I30" s="38"/>
      <c r="J30" s="38"/>
      <c r="K30" s="38"/>
      <c r="N30" s="38"/>
      <c r="O30" s="38"/>
      <c r="P30" s="38"/>
      <c r="Q30" s="38"/>
      <c r="R30" s="38"/>
      <c r="S30" s="38"/>
      <c r="T30" s="38"/>
      <c r="U30" s="38"/>
      <c r="X30" s="2203"/>
      <c r="Y30" s="2203"/>
      <c r="Z30" s="2203"/>
      <c r="AA30" s="38"/>
      <c r="AB30" s="38"/>
      <c r="AD30" s="38"/>
      <c r="AE30" s="38"/>
      <c r="AF30" s="38"/>
      <c r="AG30" s="38"/>
      <c r="AH30" s="38"/>
      <c r="AO30" s="2267"/>
    </row>
    <row r="31" spans="1:55" ht="20.100000000000001" customHeight="1">
      <c r="A31" s="2267"/>
      <c r="B31" s="38"/>
      <c r="C31" s="38"/>
      <c r="D31" s="2212" t="str">
        <f>NL!U24</f>
        <v>Huỳnh Trúc Linh</v>
      </c>
      <c r="E31" s="2212"/>
      <c r="F31" s="2212"/>
      <c r="G31" s="2212"/>
      <c r="H31" s="2212"/>
      <c r="I31" s="38"/>
      <c r="J31" s="38"/>
      <c r="K31" s="38"/>
      <c r="L31" s="2212" t="str">
        <f>NL!U23</f>
        <v>Lê Nhựt Trường</v>
      </c>
      <c r="M31" s="2212"/>
      <c r="N31" s="2212"/>
      <c r="O31" s="2212"/>
      <c r="P31" s="2212"/>
      <c r="Q31" s="2212"/>
      <c r="R31" s="2212"/>
      <c r="S31" s="2212"/>
      <c r="T31" s="2212"/>
      <c r="U31" s="38"/>
      <c r="W31" s="2215" t="str">
        <f>NL!U22</f>
        <v>Nguyễn Bảo Khanh</v>
      </c>
      <c r="X31" s="2215"/>
      <c r="Y31" s="2215"/>
      <c r="Z31" s="2215"/>
      <c r="AA31" s="2215"/>
      <c r="AB31" s="2215"/>
      <c r="AC31" s="2215"/>
      <c r="AD31" s="2215"/>
      <c r="AE31" s="734"/>
      <c r="AF31" s="734"/>
      <c r="AG31" s="2212" t="s">
        <v>5442</v>
      </c>
      <c r="AH31" s="2212"/>
      <c r="AI31" s="2212"/>
      <c r="AJ31" s="2212"/>
      <c r="AK31" s="2212"/>
      <c r="AL31" s="2212"/>
      <c r="AM31" s="2212"/>
      <c r="AO31" s="2267"/>
    </row>
    <row r="32" spans="1:55" ht="18.75">
      <c r="A32" s="2267"/>
      <c r="B32" s="2203" t="s">
        <v>319</v>
      </c>
      <c r="C32" s="2203"/>
      <c r="D32" s="2203"/>
      <c r="E32" s="2203"/>
      <c r="F32" s="2203"/>
      <c r="G32" s="2203"/>
      <c r="H32" s="2203"/>
      <c r="I32" s="2203"/>
      <c r="J32" s="2203"/>
      <c r="K32" s="2203"/>
      <c r="L32" s="2203"/>
      <c r="M32" s="2232" t="s">
        <v>3469</v>
      </c>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32"/>
      <c r="AO32" s="2267"/>
    </row>
    <row r="33" spans="1:47">
      <c r="A33" s="2267"/>
      <c r="B33" s="2215" t="s">
        <v>318</v>
      </c>
      <c r="C33" s="2215"/>
      <c r="D33" s="2215"/>
      <c r="E33" s="2215"/>
      <c r="F33" s="2215"/>
      <c r="G33" s="2215"/>
      <c r="H33" s="2215"/>
      <c r="I33" s="2215"/>
      <c r="J33" s="2215"/>
      <c r="K33" s="2215"/>
      <c r="L33" s="2215"/>
      <c r="M33" s="2203" t="s">
        <v>503</v>
      </c>
      <c r="N33" s="2203"/>
      <c r="O33" s="2203"/>
      <c r="P33" s="2203"/>
      <c r="Q33" s="2203"/>
      <c r="R33" s="2203"/>
      <c r="S33" s="2203"/>
      <c r="T33" s="2203"/>
      <c r="U33" s="2203"/>
      <c r="V33" s="2203"/>
      <c r="W33" s="2203"/>
      <c r="X33" s="2203"/>
      <c r="Y33" s="2203"/>
      <c r="Z33" s="2203"/>
      <c r="AA33" s="2203"/>
      <c r="AB33" s="2203"/>
      <c r="AC33" s="2203"/>
      <c r="AD33" s="2203"/>
      <c r="AE33" s="2203"/>
      <c r="AF33" s="2203"/>
      <c r="AG33" s="2203"/>
      <c r="AH33" s="2203"/>
      <c r="AI33" s="2203"/>
      <c r="AJ33" s="2203"/>
      <c r="AK33" s="2203"/>
      <c r="AL33" s="2203"/>
      <c r="AM33" s="2203"/>
      <c r="AN33" s="2203"/>
      <c r="AO33" s="2267"/>
    </row>
    <row r="34" spans="1:47">
      <c r="A34" s="2267"/>
      <c r="B34" s="2158" t="s">
        <v>943</v>
      </c>
      <c r="C34" s="2158"/>
      <c r="D34" s="2158"/>
      <c r="E34" s="2158"/>
      <c r="F34" s="2158"/>
      <c r="G34" s="2158"/>
      <c r="H34" s="2158"/>
      <c r="I34" s="2158"/>
      <c r="J34" s="2158"/>
      <c r="K34" s="2158"/>
      <c r="L34" s="2158"/>
      <c r="M34" s="2204" t="str">
        <f>+"Từ ngày "&amp;+TEXT(NL!U7,"dd/ mm/ yyyy")&amp;" đến ngày "&amp;+TEXT(NL!U10,"dd/ mm/ yyyy")&amp;"."</f>
        <v>Từ ngày 09/ 01/ 2017 đến ngày 14/ 12/ 2018.</v>
      </c>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04"/>
      <c r="AO34" s="2267"/>
    </row>
    <row r="35" spans="1:47">
      <c r="A35" s="2267"/>
      <c r="B35" s="2203" t="str">
        <f>+"Số: "&amp;NL!U2&amp;"/CC-PCHG"</f>
        <v>Số: 01/CC-PCHG</v>
      </c>
      <c r="C35" s="2203"/>
      <c r="D35" s="2203"/>
      <c r="E35" s="2203"/>
      <c r="F35" s="2203"/>
      <c r="G35" s="2203"/>
      <c r="H35" s="2203"/>
      <c r="I35" s="2203"/>
      <c r="J35" s="2203"/>
      <c r="K35" s="2203"/>
      <c r="L35" s="2203"/>
      <c r="M35" s="761"/>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2267"/>
    </row>
    <row r="36" spans="1:47" ht="5.0999999999999996" hidden="1" customHeight="1">
      <c r="A36" s="2267"/>
      <c r="I36" s="760"/>
      <c r="J36" s="761"/>
      <c r="K36" s="761"/>
      <c r="L36" s="761"/>
      <c r="M36" s="761"/>
      <c r="N36" s="761"/>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2267"/>
    </row>
    <row r="37" spans="1:47" ht="5.0999999999999996" hidden="1" customHeight="1">
      <c r="A37" s="2267"/>
      <c r="Q37" s="759"/>
      <c r="AO37" s="2267"/>
    </row>
    <row r="38" spans="1:47" ht="18" customHeight="1">
      <c r="A38" s="2267"/>
      <c r="B38" s="735"/>
      <c r="C38" s="735"/>
      <c r="D38" s="735"/>
      <c r="E38" s="735"/>
      <c r="F38" s="735"/>
      <c r="G38" s="735"/>
      <c r="H38" s="735"/>
      <c r="I38" s="2235" t="s">
        <v>504</v>
      </c>
      <c r="J38" s="2236"/>
      <c r="K38" s="2236"/>
      <c r="L38" s="2236"/>
      <c r="M38" s="2241" t="str">
        <f>NL!U3</f>
        <v>XÂY DỰNG ĐƯỜNG DÂY TRUNG HẠ ÁP &amp; TRẠM BIẾN ÁP</v>
      </c>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736"/>
      <c r="AJ38" s="736"/>
      <c r="AK38" s="736"/>
      <c r="AL38" s="736"/>
      <c r="AM38" s="736"/>
      <c r="AN38" s="736"/>
      <c r="AO38" s="2267"/>
    </row>
    <row r="39" spans="1:47" ht="18" customHeight="1">
      <c r="A39" s="2267"/>
      <c r="B39" s="737"/>
      <c r="C39" s="737"/>
      <c r="D39" s="737"/>
      <c r="E39" s="737"/>
      <c r="F39" s="737"/>
      <c r="G39" s="737"/>
      <c r="H39" s="737"/>
      <c r="I39" s="737"/>
      <c r="J39" s="737"/>
      <c r="K39" s="737"/>
      <c r="L39" s="737"/>
      <c r="M39" s="2241" t="str">
        <f>NL!U4</f>
        <v>HUYỆN CHÂU THÀNH, TX NGÃ BẢY</v>
      </c>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736"/>
      <c r="AJ39" s="736"/>
      <c r="AK39" s="736"/>
      <c r="AL39" s="736"/>
      <c r="AM39" s="736"/>
      <c r="AN39" s="736"/>
      <c r="AO39" s="2267"/>
    </row>
    <row r="40" spans="1:47">
      <c r="A40" s="2267"/>
      <c r="I40" s="2237" t="s">
        <v>505</v>
      </c>
      <c r="J40" s="2238"/>
      <c r="K40" s="2238"/>
      <c r="L40" s="2238"/>
      <c r="M40" s="2241" t="str">
        <f>NL!U5</f>
        <v>Huyện Châu Thành &amp; Tx.Ngã Bảy, tỉnh Hậu Giang</v>
      </c>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738"/>
      <c r="AJ40" s="738"/>
      <c r="AK40" s="738"/>
      <c r="AL40" s="738"/>
      <c r="AM40" s="738"/>
      <c r="AN40" s="738"/>
      <c r="AO40" s="2267"/>
    </row>
    <row r="41" spans="1:47" ht="5.0999999999999996" customHeight="1">
      <c r="A41" s="2267"/>
      <c r="AO41" s="2269"/>
    </row>
    <row r="42" spans="1:47" s="762" customFormat="1">
      <c r="A42" s="2267"/>
      <c r="B42" s="2227" t="s">
        <v>6342</v>
      </c>
      <c r="C42" s="2221" t="s">
        <v>424</v>
      </c>
      <c r="D42" s="2221"/>
      <c r="E42" s="2221"/>
      <c r="F42" s="2221"/>
      <c r="G42" s="2222"/>
      <c r="H42" s="290" t="s">
        <v>423</v>
      </c>
      <c r="I42" s="290"/>
      <c r="J42" s="290"/>
      <c r="K42" s="290"/>
      <c r="L42" s="290"/>
      <c r="M42" s="290"/>
      <c r="N42" s="290"/>
      <c r="O42" s="290"/>
      <c r="P42" s="290"/>
      <c r="Q42" s="290"/>
      <c r="R42" s="290"/>
      <c r="S42" s="290"/>
      <c r="T42" s="290"/>
      <c r="U42" s="290"/>
      <c r="V42" s="290"/>
      <c r="W42" s="290"/>
      <c r="X42" s="291" t="s">
        <v>5559</v>
      </c>
      <c r="Y42" s="291"/>
      <c r="Z42" s="291"/>
      <c r="AA42" s="291"/>
      <c r="AB42" s="291"/>
      <c r="AC42" s="291"/>
      <c r="AD42" s="291"/>
      <c r="AE42" s="291"/>
      <c r="AF42" s="291"/>
      <c r="AG42" s="291"/>
      <c r="AH42" s="291"/>
      <c r="AI42" s="291"/>
      <c r="AJ42" s="291"/>
      <c r="AK42" s="291"/>
      <c r="AL42" s="291"/>
      <c r="AM42" s="291"/>
      <c r="AN42" s="291"/>
      <c r="AO42" s="301">
        <v>40909</v>
      </c>
    </row>
    <row r="43" spans="1:47" s="762" customFormat="1">
      <c r="A43" s="2267"/>
      <c r="B43" s="2228"/>
      <c r="C43" s="2223"/>
      <c r="D43" s="2223"/>
      <c r="E43" s="2223"/>
      <c r="F43" s="2223"/>
      <c r="G43" s="2224"/>
      <c r="H43" s="292" t="s">
        <v>6090</v>
      </c>
      <c r="I43" s="292" t="s">
        <v>6091</v>
      </c>
      <c r="J43" s="292" t="s">
        <v>6092</v>
      </c>
      <c r="K43" s="292" t="s">
        <v>6093</v>
      </c>
      <c r="L43" s="292" t="s">
        <v>6094</v>
      </c>
      <c r="M43" s="292" t="s">
        <v>6095</v>
      </c>
      <c r="N43" s="292" t="s">
        <v>3855</v>
      </c>
      <c r="O43" s="292" t="s">
        <v>3856</v>
      </c>
      <c r="P43" s="292" t="s">
        <v>3857</v>
      </c>
      <c r="Q43" s="292" t="s">
        <v>3858</v>
      </c>
      <c r="R43" s="292" t="s">
        <v>3859</v>
      </c>
      <c r="S43" s="292" t="s">
        <v>3860</v>
      </c>
      <c r="T43" s="292" t="s">
        <v>3861</v>
      </c>
      <c r="U43" s="292" t="s">
        <v>3777</v>
      </c>
      <c r="V43" s="292" t="s">
        <v>3778</v>
      </c>
      <c r="W43" s="292" t="s">
        <v>3779</v>
      </c>
      <c r="X43" s="292" t="s">
        <v>2884</v>
      </c>
      <c r="Y43" s="292" t="s">
        <v>2828</v>
      </c>
      <c r="Z43" s="292" t="s">
        <v>2829</v>
      </c>
      <c r="AA43" s="292" t="s">
        <v>2830</v>
      </c>
      <c r="AB43" s="292" t="s">
        <v>2831</v>
      </c>
      <c r="AC43" s="292" t="s">
        <v>2832</v>
      </c>
      <c r="AD43" s="292" t="s">
        <v>1690</v>
      </c>
      <c r="AE43" s="292" t="s">
        <v>1691</v>
      </c>
      <c r="AF43" s="292" t="s">
        <v>1914</v>
      </c>
      <c r="AG43" s="292" t="s">
        <v>3780</v>
      </c>
      <c r="AH43" s="292" t="s">
        <v>3781</v>
      </c>
      <c r="AI43" s="292" t="s">
        <v>3782</v>
      </c>
      <c r="AJ43" s="292" t="s">
        <v>3783</v>
      </c>
      <c r="AK43" s="292" t="s">
        <v>3784</v>
      </c>
      <c r="AL43" s="292" t="s">
        <v>6089</v>
      </c>
      <c r="AM43" s="292" t="s">
        <v>6090</v>
      </c>
      <c r="AN43" s="292" t="s">
        <v>6091</v>
      </c>
      <c r="AO43" s="727" t="str">
        <f>+IF(AO44=1,"CN",IF(AO44=2,"Thứ Hai",IF(AO44=3,"Thứ Ba",IF(AO44=4,"Thứ Tư",IF(AO44=5,"Thứ Năm",IF(AO44=6,"Thứ Sáu",IF(AO44=7,"Thứ Bảy","")))))))</f>
        <v>CN</v>
      </c>
      <c r="AQ43" s="763"/>
    </row>
    <row r="44" spans="1:47" s="762" customFormat="1">
      <c r="A44" s="2267"/>
      <c r="B44" s="2229"/>
      <c r="C44" s="2225"/>
      <c r="D44" s="2225"/>
      <c r="E44" s="2225"/>
      <c r="F44" s="2225"/>
      <c r="G44" s="2226"/>
      <c r="H44" s="293" t="str">
        <f>+IF($AO$44=1,"CN",IF($AO$44=2,"T2",IF($AO$44=3,"T3",IF($AO$44=4,"T4",IF($AO$44=5,"T5",IF($AO$44=6,"T6",IF($AO$44=7,"T7","")))))))</f>
        <v>CN</v>
      </c>
      <c r="I44" s="293" t="str">
        <f>+IF($AO$44=7,"CN",IF($AO$44=1,"T2",IF($AO$44=2,"T3",IF($AO$44=3,"T4",IF($AO$44=4,"T5",IF($AO$44=5,"T6",IF($AO$44=6,"T7","")))))))</f>
        <v>T2</v>
      </c>
      <c r="J44" s="293" t="str">
        <f>+IF($AO$44=6,"CN",IF($AO$44=7,"T2",IF($AO$44=1,"T3",IF($AO$44=2,"T4",IF($AO$44=3,"T5",IF($AO$44=4,"T6",IF($AO$44=5,"T7","")))))))</f>
        <v>T3</v>
      </c>
      <c r="K44" s="293" t="str">
        <f>+IF($AO$44=5,"CN",IF($AO$44=6,"T2",IF($AO$44=7,"T3",IF($AO$44=1,"T4",IF($AO$44=2,"T5",IF($AO$44=3,"T6",IF($AO$44=4,"T7","")))))))</f>
        <v>T4</v>
      </c>
      <c r="L44" s="293" t="str">
        <f>+IF($AO$44=4,"CN",IF($AO$44=5,"T2",IF($AO$44=6,"T3",IF($AO$44=7,"T4",IF($AO$44=1,"T5",IF($AO$44=2,"T6",IF($AO$44=3,"T7","")))))))</f>
        <v>T5</v>
      </c>
      <c r="M44" s="293" t="str">
        <f>+IF($AO$44=3,"CN",IF($AO$44=4,"T2",IF($AO$44=5,"T3",IF($AO$44=6,"T4",IF($AO$44=7,"T5",IF($AO$44=1,"T6",IF($AO$44=2,"T7","")))))))</f>
        <v>T6</v>
      </c>
      <c r="N44" s="293" t="str">
        <f>+IF($AO$44=2,"CN",IF($AO$44=3,"T2",IF($AO$44=4,"T3",IF($AO$44=5,"T4",IF($AO$44=6,"T5",IF($AO$44=7,"T6",IF($AO$44=1,"T7","")))))))</f>
        <v>T7</v>
      </c>
      <c r="O44" s="293" t="str">
        <f>+IF($AO$44=1,"CN",IF($AO$44=2,"T2",IF($AO$44=3,"T3",IF($AO$44=4,"T4",IF($AO$44=5,"T5",IF($AO$44=6,"T6",IF($AO$44=7,"T7","")))))))</f>
        <v>CN</v>
      </c>
      <c r="P44" s="293" t="str">
        <f>+IF($AO$44=7,"CN",IF($AO$44=1,"T2",IF($AO$44=2,"T3",IF($AO$44=3,"T4",IF($AO$44=4,"T5",IF($AO$44=5,"T6",IF($AO$44=6,"T7","")))))))</f>
        <v>T2</v>
      </c>
      <c r="Q44" s="293" t="str">
        <f>+IF($AO$44=6,"CN",IF($AO$44=7,"T2",IF($AO$44=1,"T3",IF($AO$44=2,"T4",IF($AO$44=3,"T5",IF($AO$44=4,"T6",IF($AO$44=5,"T7","")))))))</f>
        <v>T3</v>
      </c>
      <c r="R44" s="293" t="str">
        <f>+IF($AO$44=5,"CN",IF($AO$44=6,"T2",IF($AO$44=7,"T3",IF($AO$44=1,"T4",IF($AO$44=2,"T5",IF($AO$44=3,"T6",IF($AO$44=4,"T7","")))))))</f>
        <v>T4</v>
      </c>
      <c r="S44" s="293" t="str">
        <f>+IF($AO$44=4,"CN",IF($AO$44=5,"T2",IF($AO$44=6,"T3",IF($AO$44=7,"T4",IF($AO$44=1,"T5",IF($AO$44=2,"T6",IF($AO$44=3,"T7","")))))))</f>
        <v>T5</v>
      </c>
      <c r="T44" s="293" t="str">
        <f>+IF($AO$44=3,"CN",IF($AO$44=4,"T2",IF($AO$44=5,"T3",IF($AO$44=6,"T4",IF($AO$44=7,"T5",IF($AO$44=1,"T6",IF($AO$44=2,"T7","")))))))</f>
        <v>T6</v>
      </c>
      <c r="U44" s="293" t="str">
        <f>+IF($AO$44=2,"CN",IF($AO$44=3,"T2",IF($AO$44=4,"T3",IF($AO$44=5,"T4",IF($AO$44=6,"T5",IF($AO$44=7,"T6",IF($AO$44=1,"T7","")))))))</f>
        <v>T7</v>
      </c>
      <c r="V44" s="293" t="str">
        <f>+IF($AO$44=1,"CN",IF($AO$44=2,"T2",IF($AO$44=3,"T3",IF($AO$44=4,"T4",IF($AO$44=5,"T5",IF($AO$44=6,"T6",IF($AO$44=7,"T7","")))))))</f>
        <v>CN</v>
      </c>
      <c r="W44" s="293" t="str">
        <f>+IF($AO$44=7,"CN",IF($AO$44=1,"T2",IF($AO$44=2,"T3",IF($AO$44=3,"T4",IF($AO$44=4,"T5",IF($AO$44=5,"T6",IF($AO$44=6,"T7","")))))))</f>
        <v>T2</v>
      </c>
      <c r="X44" s="293" t="str">
        <f>+IF($AO$44=6,"CN",IF($AO$44=7,"T2",IF($AO$44=1,"T3",IF($AO$44=2,"T4",IF($AO$44=3,"T5",IF($AO$44=4,"T6",IF($AO$44=5,"T7","")))))))</f>
        <v>T3</v>
      </c>
      <c r="Y44" s="293" t="str">
        <f>+IF($AO$44=5,"CN",IF($AO$44=6,"T2",IF($AO$44=7,"T3",IF($AO$44=1,"T4",IF($AO$44=2,"T5",IF($AO$44=3,"T6",IF($AO$44=4,"T7","")))))))</f>
        <v>T4</v>
      </c>
      <c r="Z44" s="293" t="str">
        <f>+IF($AO$44=4,"CN",IF($AO$44=5,"T2",IF($AO$44=6,"T3",IF($AO$44=7,"T4",IF($AO$44=1,"T5",IF($AO$44=2,"T6",IF($AO$44=3,"T7","")))))))</f>
        <v>T5</v>
      </c>
      <c r="AA44" s="293" t="str">
        <f>+IF($AO$44=3,"CN",IF($AO$44=4,"T2",IF($AO$44=5,"T3",IF($AO$44=6,"T4",IF($AO$44=7,"T5",IF($AO$44=1,"T6",IF($AO$44=2,"T7","")))))))</f>
        <v>T6</v>
      </c>
      <c r="AB44" s="293" t="str">
        <f>+IF($AO$44=2,"CN",IF($AO$44=3,"T2",IF($AO$44=4,"T3",IF($AO$44=5,"T4",IF($AO$44=6,"T5",IF($AO$44=7,"T6",IF($AO$44=1,"T7","")))))))</f>
        <v>T7</v>
      </c>
      <c r="AC44" s="293" t="str">
        <f>+IF($AO$44=1,"CN",IF($AO$44=2,"T2",IF($AO$44=3,"T3",IF($AO$44=4,"T4",IF($AO$44=5,"T5",IF($AO$44=6,"T6",IF($AO$44=7,"T7","")))))))</f>
        <v>CN</v>
      </c>
      <c r="AD44" s="293" t="str">
        <f>+IF($AO$44=7,"CN",IF($AO$44=1,"T2",IF($AO$44=2,"T3",IF($AO$44=3,"T4",IF($AO$44=4,"T5",IF($AO$44=5,"T6",IF($AO$44=6,"T7","")))))))</f>
        <v>T2</v>
      </c>
      <c r="AE44" s="293" t="str">
        <f>+IF($AO$44=6,"CN",IF($AO$44=7,"T2",IF($AO$44=1,"T3",IF($AO$44=2,"T4",IF($AO$44=3,"T5",IF($AO$44=4,"T6",IF($AO$44=5,"T7","")))))))</f>
        <v>T3</v>
      </c>
      <c r="AF44" s="293" t="str">
        <f>+IF($AO$44=5,"CN",IF($AO$44=6,"T2",IF($AO$44=7,"T3",IF($AO$44=1,"T4",IF($AO$44=2,"T5",IF($AO$44=3,"T6",IF($AO$44=4,"T7","")))))))</f>
        <v>T4</v>
      </c>
      <c r="AG44" s="293" t="str">
        <f>+IF($AO$44=4,"CN",IF($AO$44=5,"T2",IF($AO$44=6,"T3",IF($AO$44=7,"T4",IF($AO$44=1,"T5",IF($AO$44=2,"T6",IF($AO$44=3,"T7","")))))))</f>
        <v>T5</v>
      </c>
      <c r="AH44" s="293" t="str">
        <f>+IF($AO$44=3,"CN",IF($AO$44=4,"T2",IF($AO$44=5,"T3",IF($AO$44=6,"T4",IF($AO$44=7,"T5",IF($AO$44=1,"T6",IF($AO$44=2,"T7","")))))))</f>
        <v>T6</v>
      </c>
      <c r="AI44" s="293" t="str">
        <f>+IF($AO$44=2,"CN",IF($AO$44=3,"T2",IF($AO$44=4,"T3",IF($AO$44=5,"T4",IF($AO$44=6,"T5",IF($AO$44=7,"T6",IF($AO$44=1,"T7","")))))))</f>
        <v>T7</v>
      </c>
      <c r="AJ44" s="293" t="str">
        <f>+IF($AO$44=1,"CN",IF($AO$44=2,"T2",IF($AO$44=3,"T3",IF($AO$44=4,"T4",IF($AO$44=5,"T5",IF($AO$44=6,"T6",IF($AO$44=7,"T7","")))))))</f>
        <v>CN</v>
      </c>
      <c r="AK44" s="293" t="str">
        <f>+IF($AO$44=7,"CN",IF($AO$44=1,"T2",IF($AO$44=2,"T3",IF($AO$44=3,"T4",IF($AO$44=4,"T5",IF($AO$44=5,"T6",IF($AO$44=6,"T7","")))))))</f>
        <v>T2</v>
      </c>
      <c r="AL44" s="293" t="str">
        <f>+IF($AO$44=6,"CN",IF($AO$44=7,"T2",IF($AO$44=1,"T3",IF($AO$44=2,"T4",IF($AO$44=3,"T5",IF($AO$44=4,"T6",IF($AO$44=5,"T7","")))))))</f>
        <v>T3</v>
      </c>
      <c r="AM44" s="293" t="str">
        <f>+IF($AO$44=5,"CN",IF($AO$44=6,"T2",IF($AO$44=7,"T3",IF($AO$44=1,"T4",IF($AO$44=2,"T5",IF($AO$44=3,"T6",IF($AO$44=4,"T7","")))))))</f>
        <v>T4</v>
      </c>
      <c r="AN44" s="293" t="str">
        <f>+IF($AO$44=4,"CN",IF($AO$44=5,"T2",IF($AO$44=6,"T3",IF($AO$44=7,"T4",IF($AO$44=1,"T5",IF($AO$44=2,"T6",IF($AO$44=3,"T7","")))))))</f>
        <v>T5</v>
      </c>
      <c r="AO44" s="726">
        <f>IF(AO42="","CHÖA NHAÄP NGAØY",+WEEKDAY(AO42,1))</f>
        <v>1</v>
      </c>
      <c r="AP44" s="10"/>
      <c r="AQ44" s="763"/>
      <c r="AR44" s="764"/>
    </row>
    <row r="45" spans="1:47" ht="5.0999999999999996" customHeight="1">
      <c r="A45" s="2267"/>
      <c r="B45" s="897"/>
      <c r="C45" s="891"/>
      <c r="D45" s="891"/>
      <c r="E45" s="891"/>
      <c r="F45" s="891"/>
      <c r="G45" s="892"/>
      <c r="H45" s="294"/>
      <c r="I45" s="294"/>
      <c r="J45" s="294"/>
      <c r="K45" s="294"/>
      <c r="L45" s="294"/>
      <c r="M45" s="294"/>
      <c r="N45" s="294"/>
      <c r="O45" s="294"/>
      <c r="P45" s="294"/>
      <c r="Q45" s="294"/>
      <c r="R45" s="294"/>
      <c r="S45" s="294"/>
      <c r="T45" s="294"/>
      <c r="U45" s="295"/>
      <c r="V45" s="294"/>
      <c r="W45" s="294"/>
      <c r="X45" s="295"/>
      <c r="Y45" s="295"/>
      <c r="Z45" s="294"/>
      <c r="AA45" s="294"/>
      <c r="AB45" s="295"/>
      <c r="AC45" s="294"/>
      <c r="AD45" s="294"/>
      <c r="AE45" s="295"/>
      <c r="AF45" s="295"/>
      <c r="AG45" s="294"/>
      <c r="AH45" s="294"/>
      <c r="AI45" s="294"/>
      <c r="AJ45" s="294"/>
      <c r="AK45" s="294"/>
      <c r="AL45" s="294"/>
      <c r="AM45" s="294"/>
      <c r="AN45" s="294"/>
      <c r="AO45" s="2268"/>
      <c r="AP45" s="10"/>
      <c r="AQ45" s="10"/>
      <c r="AR45" s="10"/>
      <c r="AS45" s="10"/>
      <c r="AT45" s="10"/>
      <c r="AU45" s="10"/>
    </row>
    <row r="46" spans="1:47">
      <c r="A46" s="2267"/>
      <c r="B46" s="898">
        <v>1</v>
      </c>
      <c r="C46" s="886" t="s">
        <v>4502</v>
      </c>
      <c r="D46" s="893"/>
      <c r="E46" s="893"/>
      <c r="F46" s="893"/>
      <c r="G46" s="894"/>
      <c r="H46" s="296"/>
      <c r="I46" s="297"/>
      <c r="J46" s="297"/>
      <c r="K46" s="296"/>
      <c r="L46" s="297"/>
      <c r="M46" s="296"/>
      <c r="N46" s="296"/>
      <c r="O46" s="296"/>
      <c r="P46" s="296"/>
      <c r="Q46" s="296"/>
      <c r="R46" s="297"/>
      <c r="S46" s="297"/>
      <c r="T46" s="297"/>
      <c r="U46" s="298"/>
      <c r="V46" s="297"/>
      <c r="W46" s="296"/>
      <c r="X46" s="297"/>
      <c r="Y46" s="297"/>
      <c r="Z46" s="297"/>
      <c r="AA46" s="296"/>
      <c r="AB46" s="297"/>
      <c r="AC46" s="296"/>
      <c r="AD46" s="296"/>
      <c r="AE46" s="297"/>
      <c r="AF46" s="297"/>
      <c r="AG46" s="297"/>
      <c r="AH46" s="296"/>
      <c r="AI46" s="296"/>
      <c r="AJ46" s="296"/>
      <c r="AK46" s="296"/>
      <c r="AL46" s="296"/>
      <c r="AM46" s="296"/>
      <c r="AN46" s="296"/>
      <c r="AO46" s="2268"/>
      <c r="AP46" s="10"/>
      <c r="AQ46" s="10"/>
      <c r="AR46" s="10"/>
      <c r="AS46" s="10"/>
      <c r="AT46" s="10"/>
      <c r="AU46" s="10"/>
    </row>
    <row r="47" spans="1:47">
      <c r="A47" s="2267"/>
      <c r="B47" s="895">
        <v>2</v>
      </c>
      <c r="C47" s="885" t="s">
        <v>6350</v>
      </c>
      <c r="D47" s="893"/>
      <c r="E47" s="893"/>
      <c r="F47" s="893"/>
      <c r="G47" s="894"/>
      <c r="H47" s="296"/>
      <c r="I47" s="296"/>
      <c r="J47" s="297"/>
      <c r="K47" s="296"/>
      <c r="L47" s="296"/>
      <c r="M47" s="296"/>
      <c r="N47" s="296"/>
      <c r="O47" s="296"/>
      <c r="P47" s="296"/>
      <c r="Q47" s="296"/>
      <c r="R47" s="297"/>
      <c r="S47" s="296"/>
      <c r="T47" s="297"/>
      <c r="U47" s="296"/>
      <c r="V47" s="296"/>
      <c r="W47" s="296"/>
      <c r="X47" s="298"/>
      <c r="Y47" s="297"/>
      <c r="Z47" s="297"/>
      <c r="AA47" s="296"/>
      <c r="AB47" s="298"/>
      <c r="AC47" s="296"/>
      <c r="AD47" s="296"/>
      <c r="AE47" s="297"/>
      <c r="AF47" s="297"/>
      <c r="AG47" s="296"/>
      <c r="AH47" s="296"/>
      <c r="AI47" s="296"/>
      <c r="AJ47" s="296"/>
      <c r="AK47" s="296"/>
      <c r="AL47" s="296"/>
      <c r="AM47" s="296"/>
      <c r="AN47" s="296"/>
      <c r="AO47" s="2268"/>
      <c r="AP47" s="10"/>
      <c r="AQ47" s="10"/>
      <c r="AR47" s="10"/>
      <c r="AS47" s="10"/>
      <c r="AT47" s="10"/>
      <c r="AU47" s="10"/>
    </row>
    <row r="48" spans="1:47">
      <c r="A48" s="2267"/>
      <c r="B48" s="895">
        <v>3</v>
      </c>
      <c r="C48" s="885" t="s">
        <v>6351</v>
      </c>
      <c r="D48" s="893"/>
      <c r="E48" s="893"/>
      <c r="F48" s="893"/>
      <c r="G48" s="894"/>
      <c r="H48" s="296"/>
      <c r="I48" s="296"/>
      <c r="J48" s="297"/>
      <c r="K48" s="296"/>
      <c r="L48" s="296"/>
      <c r="M48" s="296"/>
      <c r="N48" s="296"/>
      <c r="O48" s="296"/>
      <c r="P48" s="296"/>
      <c r="Q48" s="296"/>
      <c r="R48" s="297"/>
      <c r="S48" s="296"/>
      <c r="T48" s="297"/>
      <c r="U48" s="296"/>
      <c r="V48" s="296"/>
      <c r="W48" s="296"/>
      <c r="X48" s="298"/>
      <c r="Y48" s="297"/>
      <c r="Z48" s="297"/>
      <c r="AA48" s="296"/>
      <c r="AB48" s="298"/>
      <c r="AC48" s="296"/>
      <c r="AD48" s="296"/>
      <c r="AE48" s="297"/>
      <c r="AF48" s="297"/>
      <c r="AG48" s="296"/>
      <c r="AH48" s="296"/>
      <c r="AI48" s="296"/>
      <c r="AJ48" s="296"/>
      <c r="AK48" s="296"/>
      <c r="AL48" s="296"/>
      <c r="AM48" s="296"/>
      <c r="AN48" s="296"/>
      <c r="AO48" s="2268"/>
      <c r="AP48" s="10"/>
      <c r="AQ48" s="10"/>
      <c r="AR48" s="10"/>
      <c r="AS48" s="10"/>
      <c r="AT48" s="10"/>
      <c r="AU48" s="10"/>
    </row>
    <row r="49" spans="1:47">
      <c r="A49" s="2267"/>
      <c r="B49" s="895">
        <v>4</v>
      </c>
      <c r="C49" s="885" t="s">
        <v>6352</v>
      </c>
      <c r="D49" s="893"/>
      <c r="E49" s="893"/>
      <c r="F49" s="893"/>
      <c r="G49" s="894"/>
      <c r="H49" s="296"/>
      <c r="I49" s="297"/>
      <c r="J49" s="297"/>
      <c r="K49" s="296"/>
      <c r="L49" s="296"/>
      <c r="M49" s="296"/>
      <c r="N49" s="296"/>
      <c r="O49" s="296"/>
      <c r="P49" s="296"/>
      <c r="Q49" s="296"/>
      <c r="R49" s="297"/>
      <c r="S49" s="297"/>
      <c r="T49" s="297"/>
      <c r="U49" s="296"/>
      <c r="V49" s="296"/>
      <c r="W49" s="296"/>
      <c r="X49" s="298"/>
      <c r="Y49" s="298"/>
      <c r="Z49" s="297"/>
      <c r="AA49" s="296"/>
      <c r="AB49" s="298"/>
      <c r="AC49" s="296"/>
      <c r="AD49" s="296"/>
      <c r="AE49" s="297"/>
      <c r="AF49" s="299"/>
      <c r="AG49" s="296"/>
      <c r="AH49" s="296"/>
      <c r="AI49" s="296"/>
      <c r="AJ49" s="296"/>
      <c r="AK49" s="296"/>
      <c r="AL49" s="296"/>
      <c r="AM49" s="296"/>
      <c r="AN49" s="296"/>
      <c r="AO49" s="2268"/>
      <c r="AP49" s="10"/>
      <c r="AQ49" s="10"/>
      <c r="AR49" s="10"/>
      <c r="AS49" s="10"/>
      <c r="AT49" s="10"/>
      <c r="AU49" s="10"/>
    </row>
    <row r="50" spans="1:47">
      <c r="A50" s="2267"/>
      <c r="B50" s="895">
        <v>5</v>
      </c>
      <c r="C50" s="885" t="s">
        <v>990</v>
      </c>
      <c r="D50" s="893"/>
      <c r="E50" s="893"/>
      <c r="F50" s="893"/>
      <c r="G50" s="894"/>
      <c r="H50" s="296"/>
      <c r="I50" s="297"/>
      <c r="J50" s="297"/>
      <c r="K50" s="296"/>
      <c r="L50" s="296"/>
      <c r="M50" s="296"/>
      <c r="N50" s="296"/>
      <c r="O50" s="296"/>
      <c r="P50" s="296"/>
      <c r="Q50" s="296"/>
      <c r="R50" s="297"/>
      <c r="S50" s="297"/>
      <c r="T50" s="297"/>
      <c r="U50" s="296" t="s">
        <v>5558</v>
      </c>
      <c r="V50" s="296"/>
      <c r="W50" s="296"/>
      <c r="X50" s="298"/>
      <c r="Y50" s="298"/>
      <c r="Z50" s="297"/>
      <c r="AA50" s="296"/>
      <c r="AB50" s="298"/>
      <c r="AC50" s="296"/>
      <c r="AD50" s="296"/>
      <c r="AE50" s="297"/>
      <c r="AF50" s="299"/>
      <c r="AG50" s="296"/>
      <c r="AH50" s="296"/>
      <c r="AI50" s="296"/>
      <c r="AJ50" s="296"/>
      <c r="AK50" s="296"/>
      <c r="AL50" s="296"/>
      <c r="AM50" s="296"/>
      <c r="AN50" s="296"/>
      <c r="AO50" s="2268"/>
      <c r="AP50" s="10"/>
      <c r="AQ50" s="10"/>
      <c r="AR50" s="10"/>
      <c r="AS50" s="10"/>
      <c r="AT50" s="10"/>
      <c r="AU50" s="10"/>
    </row>
    <row r="51" spans="1:47">
      <c r="A51" s="2267"/>
      <c r="B51" s="895">
        <v>6</v>
      </c>
      <c r="C51" s="885" t="s">
        <v>6353</v>
      </c>
      <c r="D51" s="893"/>
      <c r="E51" s="893"/>
      <c r="F51" s="893"/>
      <c r="G51" s="894"/>
      <c r="H51" s="296"/>
      <c r="I51" s="297"/>
      <c r="J51" s="297"/>
      <c r="K51" s="296"/>
      <c r="L51" s="296"/>
      <c r="M51" s="296"/>
      <c r="N51" s="296"/>
      <c r="O51" s="296"/>
      <c r="P51" s="296"/>
      <c r="Q51" s="296"/>
      <c r="R51" s="297"/>
      <c r="S51" s="297"/>
      <c r="T51" s="297"/>
      <c r="U51" s="296"/>
      <c r="V51" s="296"/>
      <c r="W51" s="296"/>
      <c r="X51" s="298"/>
      <c r="Y51" s="298"/>
      <c r="Z51" s="297"/>
      <c r="AA51" s="296"/>
      <c r="AB51" s="298"/>
      <c r="AC51" s="296"/>
      <c r="AD51" s="296"/>
      <c r="AE51" s="297"/>
      <c r="AF51" s="299"/>
      <c r="AG51" s="296"/>
      <c r="AH51" s="296"/>
      <c r="AI51" s="296"/>
      <c r="AJ51" s="296"/>
      <c r="AK51" s="296"/>
      <c r="AL51" s="296"/>
      <c r="AM51" s="296"/>
      <c r="AN51" s="296"/>
      <c r="AO51" s="2268"/>
      <c r="AP51" s="10"/>
      <c r="AQ51" s="10"/>
      <c r="AR51" s="10"/>
      <c r="AS51" s="10"/>
      <c r="AT51" s="10"/>
      <c r="AU51" s="10"/>
    </row>
    <row r="52" spans="1:47">
      <c r="A52" s="2267"/>
      <c r="B52" s="895">
        <v>7</v>
      </c>
      <c r="C52" s="885" t="s">
        <v>6354</v>
      </c>
      <c r="D52" s="893"/>
      <c r="E52" s="893"/>
      <c r="F52" s="893"/>
      <c r="G52" s="894"/>
      <c r="H52" s="296"/>
      <c r="I52" s="297"/>
      <c r="J52" s="297"/>
      <c r="K52" s="296"/>
      <c r="L52" s="296"/>
      <c r="M52" s="296"/>
      <c r="N52" s="296"/>
      <c r="O52" s="296"/>
      <c r="P52" s="296"/>
      <c r="Q52" s="296"/>
      <c r="R52" s="297"/>
      <c r="S52" s="297"/>
      <c r="T52" s="297"/>
      <c r="U52" s="296"/>
      <c r="V52" s="296"/>
      <c r="W52" s="296"/>
      <c r="X52" s="298"/>
      <c r="Y52" s="298"/>
      <c r="Z52" s="297"/>
      <c r="AA52" s="296"/>
      <c r="AB52" s="298"/>
      <c r="AC52" s="296"/>
      <c r="AD52" s="296"/>
      <c r="AE52" s="297"/>
      <c r="AF52" s="299"/>
      <c r="AG52" s="296"/>
      <c r="AH52" s="296"/>
      <c r="AI52" s="296"/>
      <c r="AJ52" s="296"/>
      <c r="AK52" s="296"/>
      <c r="AL52" s="296"/>
      <c r="AM52" s="296"/>
      <c r="AN52" s="296"/>
      <c r="AO52" s="2268"/>
      <c r="AP52" s="10"/>
      <c r="AQ52" s="10"/>
      <c r="AR52" s="10"/>
      <c r="AS52" s="10"/>
      <c r="AT52" s="10"/>
      <c r="AU52" s="10"/>
    </row>
    <row r="53" spans="1:47">
      <c r="A53" s="2267"/>
      <c r="B53" s="895">
        <v>8</v>
      </c>
      <c r="C53" s="885" t="s">
        <v>6357</v>
      </c>
      <c r="D53" s="893"/>
      <c r="E53" s="893"/>
      <c r="F53" s="893"/>
      <c r="G53" s="894"/>
      <c r="H53" s="296"/>
      <c r="I53" s="297"/>
      <c r="J53" s="297"/>
      <c r="K53" s="296"/>
      <c r="L53" s="296"/>
      <c r="M53" s="296"/>
      <c r="N53" s="296"/>
      <c r="O53" s="296"/>
      <c r="P53" s="296"/>
      <c r="Q53" s="296"/>
      <c r="R53" s="297"/>
      <c r="S53" s="297"/>
      <c r="T53" s="297"/>
      <c r="U53" s="296"/>
      <c r="V53" s="296"/>
      <c r="W53" s="296"/>
      <c r="X53" s="298"/>
      <c r="Y53" s="298"/>
      <c r="Z53" s="297"/>
      <c r="AA53" s="296"/>
      <c r="AB53" s="298"/>
      <c r="AC53" s="296"/>
      <c r="AD53" s="296"/>
      <c r="AE53" s="297"/>
      <c r="AF53" s="299"/>
      <c r="AG53" s="296"/>
      <c r="AH53" s="296"/>
      <c r="AI53" s="296"/>
      <c r="AJ53" s="296"/>
      <c r="AK53" s="296"/>
      <c r="AL53" s="296"/>
      <c r="AM53" s="296"/>
      <c r="AN53" s="296"/>
      <c r="AO53" s="2268"/>
      <c r="AP53" s="10"/>
      <c r="AQ53" s="10"/>
      <c r="AR53" s="10"/>
      <c r="AS53" s="10"/>
      <c r="AT53" s="10"/>
      <c r="AU53" s="10"/>
    </row>
    <row r="54" spans="1:47">
      <c r="A54" s="2267"/>
      <c r="B54" s="895">
        <v>9</v>
      </c>
      <c r="C54" s="885" t="s">
        <v>6358</v>
      </c>
      <c r="D54" s="893"/>
      <c r="E54" s="893"/>
      <c r="F54" s="893"/>
      <c r="G54" s="894"/>
      <c r="H54" s="296"/>
      <c r="I54" s="297"/>
      <c r="J54" s="297"/>
      <c r="K54" s="296"/>
      <c r="L54" s="296"/>
      <c r="M54" s="296"/>
      <c r="N54" s="296"/>
      <c r="O54" s="296"/>
      <c r="P54" s="296"/>
      <c r="Q54" s="296"/>
      <c r="R54" s="297"/>
      <c r="S54" s="297"/>
      <c r="T54" s="297"/>
      <c r="U54" s="296"/>
      <c r="V54" s="296"/>
      <c r="W54" s="296"/>
      <c r="X54" s="298"/>
      <c r="Y54" s="298"/>
      <c r="Z54" s="297"/>
      <c r="AA54" s="296"/>
      <c r="AB54" s="298"/>
      <c r="AC54" s="296"/>
      <c r="AD54" s="296"/>
      <c r="AE54" s="297"/>
      <c r="AF54" s="299"/>
      <c r="AG54" s="296"/>
      <c r="AH54" s="296"/>
      <c r="AI54" s="296"/>
      <c r="AJ54" s="296"/>
      <c r="AK54" s="296"/>
      <c r="AL54" s="296"/>
      <c r="AM54" s="296"/>
      <c r="AN54" s="296"/>
      <c r="AO54" s="2268"/>
      <c r="AP54" s="10"/>
      <c r="AQ54" s="10"/>
      <c r="AR54" s="10"/>
      <c r="AS54" s="10"/>
      <c r="AT54" s="10"/>
      <c r="AU54" s="10"/>
    </row>
    <row r="55" spans="1:47">
      <c r="A55" s="2267"/>
      <c r="B55" s="895">
        <v>10</v>
      </c>
      <c r="C55" s="885" t="s">
        <v>6359</v>
      </c>
      <c r="D55" s="886"/>
      <c r="E55" s="886"/>
      <c r="F55" s="886"/>
      <c r="G55" s="887"/>
      <c r="H55" s="296"/>
      <c r="I55" s="297"/>
      <c r="J55" s="297"/>
      <c r="K55" s="296"/>
      <c r="L55" s="296"/>
      <c r="M55" s="296"/>
      <c r="N55" s="296"/>
      <c r="O55" s="296"/>
      <c r="P55" s="296"/>
      <c r="Q55" s="296"/>
      <c r="R55" s="297"/>
      <c r="S55" s="297"/>
      <c r="T55" s="297"/>
      <c r="U55" s="296"/>
      <c r="V55" s="296"/>
      <c r="W55" s="296"/>
      <c r="X55" s="298"/>
      <c r="Y55" s="298"/>
      <c r="Z55" s="297"/>
      <c r="AA55" s="296"/>
      <c r="AB55" s="298"/>
      <c r="AC55" s="296"/>
      <c r="AD55" s="296"/>
      <c r="AE55" s="297"/>
      <c r="AF55" s="299"/>
      <c r="AG55" s="296"/>
      <c r="AH55" s="296"/>
      <c r="AI55" s="296"/>
      <c r="AJ55" s="296"/>
      <c r="AK55" s="296"/>
      <c r="AL55" s="296"/>
      <c r="AM55" s="296"/>
      <c r="AN55" s="296"/>
      <c r="AO55" s="2268"/>
      <c r="AP55" s="10"/>
      <c r="AQ55" s="10"/>
      <c r="AR55" s="10"/>
      <c r="AS55" s="10"/>
      <c r="AT55" s="10"/>
      <c r="AU55" s="10"/>
    </row>
    <row r="56" spans="1:47">
      <c r="A56" s="2267"/>
      <c r="B56" s="895">
        <v>11</v>
      </c>
      <c r="C56" s="885" t="s">
        <v>6360</v>
      </c>
      <c r="D56" s="886"/>
      <c r="E56" s="886"/>
      <c r="F56" s="886"/>
      <c r="G56" s="887"/>
      <c r="H56" s="296"/>
      <c r="I56" s="297"/>
      <c r="J56" s="297"/>
      <c r="K56" s="296"/>
      <c r="L56" s="296"/>
      <c r="M56" s="296"/>
      <c r="N56" s="296"/>
      <c r="O56" s="296"/>
      <c r="P56" s="296"/>
      <c r="Q56" s="296"/>
      <c r="R56" s="297"/>
      <c r="S56" s="297"/>
      <c r="T56" s="297"/>
      <c r="U56" s="296"/>
      <c r="V56" s="296"/>
      <c r="W56" s="296"/>
      <c r="X56" s="298"/>
      <c r="Y56" s="298"/>
      <c r="Z56" s="297"/>
      <c r="AA56" s="296"/>
      <c r="AB56" s="298"/>
      <c r="AC56" s="296"/>
      <c r="AD56" s="296"/>
      <c r="AE56" s="297"/>
      <c r="AF56" s="299"/>
      <c r="AG56" s="296"/>
      <c r="AH56" s="296"/>
      <c r="AI56" s="296"/>
      <c r="AJ56" s="296"/>
      <c r="AK56" s="296"/>
      <c r="AL56" s="296"/>
      <c r="AM56" s="296"/>
      <c r="AN56" s="296"/>
      <c r="AO56" s="2268"/>
      <c r="AP56" s="10"/>
      <c r="AQ56" s="10"/>
      <c r="AR56" s="10"/>
      <c r="AS56" s="10"/>
      <c r="AT56" s="10"/>
      <c r="AU56" s="10"/>
    </row>
    <row r="57" spans="1:47">
      <c r="A57" s="2267"/>
      <c r="B57" s="895">
        <v>12</v>
      </c>
      <c r="C57" s="885" t="s">
        <v>4373</v>
      </c>
      <c r="D57" s="886"/>
      <c r="E57" s="886"/>
      <c r="F57" s="886"/>
      <c r="G57" s="887"/>
      <c r="H57" s="296"/>
      <c r="I57" s="297"/>
      <c r="J57" s="297"/>
      <c r="K57" s="296"/>
      <c r="L57" s="296"/>
      <c r="M57" s="296"/>
      <c r="N57" s="296"/>
      <c r="O57" s="296"/>
      <c r="P57" s="296"/>
      <c r="Q57" s="296"/>
      <c r="R57" s="297"/>
      <c r="S57" s="297"/>
      <c r="T57" s="297"/>
      <c r="U57" s="296"/>
      <c r="V57" s="296"/>
      <c r="W57" s="296"/>
      <c r="X57" s="298"/>
      <c r="Y57" s="298"/>
      <c r="Z57" s="297"/>
      <c r="AA57" s="296"/>
      <c r="AB57" s="298"/>
      <c r="AC57" s="296"/>
      <c r="AD57" s="296"/>
      <c r="AE57" s="297"/>
      <c r="AF57" s="299"/>
      <c r="AG57" s="296"/>
      <c r="AH57" s="296"/>
      <c r="AI57" s="296"/>
      <c r="AJ57" s="296"/>
      <c r="AK57" s="296"/>
      <c r="AL57" s="296"/>
      <c r="AM57" s="296"/>
      <c r="AN57" s="296"/>
      <c r="AO57" s="2268"/>
      <c r="AP57" s="10"/>
      <c r="AQ57" s="10"/>
      <c r="AR57" s="10"/>
      <c r="AS57" s="10"/>
      <c r="AT57" s="10"/>
      <c r="AU57" s="10"/>
    </row>
    <row r="58" spans="1:47">
      <c r="A58" s="2267"/>
      <c r="B58" s="895">
        <v>13</v>
      </c>
      <c r="C58" s="885" t="s">
        <v>4374</v>
      </c>
      <c r="D58" s="886"/>
      <c r="E58" s="886"/>
      <c r="F58" s="886"/>
      <c r="G58" s="887"/>
      <c r="H58" s="296"/>
      <c r="I58" s="297"/>
      <c r="J58" s="297"/>
      <c r="K58" s="296"/>
      <c r="L58" s="296"/>
      <c r="M58" s="296"/>
      <c r="N58" s="296"/>
      <c r="O58" s="296"/>
      <c r="P58" s="296"/>
      <c r="Q58" s="296"/>
      <c r="R58" s="297"/>
      <c r="S58" s="297"/>
      <c r="T58" s="297"/>
      <c r="U58" s="296"/>
      <c r="V58" s="296"/>
      <c r="W58" s="296"/>
      <c r="X58" s="298"/>
      <c r="Y58" s="298"/>
      <c r="Z58" s="297"/>
      <c r="AA58" s="296"/>
      <c r="AB58" s="298"/>
      <c r="AC58" s="296"/>
      <c r="AD58" s="296"/>
      <c r="AE58" s="297"/>
      <c r="AF58" s="299"/>
      <c r="AG58" s="296"/>
      <c r="AH58" s="296"/>
      <c r="AI58" s="296"/>
      <c r="AJ58" s="296"/>
      <c r="AK58" s="296"/>
      <c r="AL58" s="296"/>
      <c r="AM58" s="296"/>
      <c r="AN58" s="296"/>
      <c r="AO58" s="2268"/>
      <c r="AP58" s="10"/>
      <c r="AQ58" s="10"/>
      <c r="AR58" s="10"/>
      <c r="AS58" s="10"/>
      <c r="AT58" s="10"/>
      <c r="AU58" s="10"/>
    </row>
    <row r="59" spans="1:47">
      <c r="A59" s="2267"/>
      <c r="B59" s="896">
        <v>14</v>
      </c>
      <c r="C59" s="888" t="s">
        <v>4375</v>
      </c>
      <c r="D59" s="889"/>
      <c r="E59" s="889"/>
      <c r="F59" s="889"/>
      <c r="G59" s="890"/>
      <c r="H59" s="300"/>
      <c r="I59" s="882"/>
      <c r="J59" s="882"/>
      <c r="K59" s="300"/>
      <c r="L59" s="300"/>
      <c r="M59" s="300"/>
      <c r="N59" s="300"/>
      <c r="O59" s="300"/>
      <c r="P59" s="300"/>
      <c r="Q59" s="300"/>
      <c r="R59" s="882"/>
      <c r="S59" s="882"/>
      <c r="T59" s="882"/>
      <c r="U59" s="300"/>
      <c r="V59" s="300"/>
      <c r="W59" s="300"/>
      <c r="X59" s="883"/>
      <c r="Y59" s="883"/>
      <c r="Z59" s="882"/>
      <c r="AA59" s="300"/>
      <c r="AB59" s="883"/>
      <c r="AC59" s="300"/>
      <c r="AD59" s="300"/>
      <c r="AE59" s="882"/>
      <c r="AF59" s="884"/>
      <c r="AG59" s="300"/>
      <c r="AH59" s="300"/>
      <c r="AI59" s="300"/>
      <c r="AJ59" s="300"/>
      <c r="AK59" s="300"/>
      <c r="AL59" s="300"/>
      <c r="AM59" s="300"/>
      <c r="AN59" s="300"/>
      <c r="AO59" s="2268"/>
      <c r="AP59" s="10"/>
      <c r="AQ59" s="10"/>
      <c r="AR59" s="10"/>
      <c r="AS59" s="10"/>
      <c r="AT59" s="10"/>
      <c r="AU59" s="10"/>
    </row>
    <row r="60" spans="1:47" ht="9.9499999999999993" customHeight="1">
      <c r="A60" s="2267"/>
      <c r="AO60" s="2268"/>
      <c r="AP60" s="10"/>
      <c r="AQ60" s="10"/>
      <c r="AR60" s="10"/>
      <c r="AS60" s="10"/>
      <c r="AT60" s="10"/>
      <c r="AU60" s="10"/>
    </row>
    <row r="61" spans="1:47">
      <c r="A61" s="2267"/>
      <c r="B61" s="2215" t="str">
        <f>IF(NL!U10="","CHƯA NHẬP NGÀY","Hậu Giang, ngày "&amp;DAY(NL!U10)&amp;" tháng "&amp;MONTH(NL!U10)&amp;" năm "&amp;YEAR(NL!U10))</f>
        <v>Hậu Giang, ngày 14 tháng 12 năm 2018</v>
      </c>
      <c r="C61" s="2215"/>
      <c r="D61" s="2215"/>
      <c r="E61" s="2215"/>
      <c r="F61" s="2215"/>
      <c r="G61" s="2215"/>
      <c r="H61" s="2215"/>
      <c r="I61" s="2215"/>
      <c r="J61" s="2215"/>
      <c r="K61" s="2215"/>
      <c r="L61" s="2215"/>
      <c r="AO61" s="2268"/>
      <c r="AP61" s="10"/>
      <c r="AQ61" s="10"/>
      <c r="AR61" s="10"/>
      <c r="AS61" s="10"/>
      <c r="AT61" s="10"/>
      <c r="AU61" s="10"/>
    </row>
    <row r="62" spans="1:47" ht="16.5">
      <c r="A62" s="2267"/>
      <c r="B62" s="2215" t="s">
        <v>506</v>
      </c>
      <c r="C62" s="2215"/>
      <c r="D62" s="2215"/>
      <c r="E62" s="2215"/>
      <c r="F62" s="2215"/>
      <c r="G62" s="2215"/>
      <c r="H62" s="2215"/>
      <c r="I62" s="2215"/>
      <c r="J62" s="2215"/>
      <c r="K62" s="2215"/>
      <c r="L62" s="2215"/>
      <c r="M62" s="2215" t="s">
        <v>5557</v>
      </c>
      <c r="N62" s="2215"/>
      <c r="O62" s="2215"/>
      <c r="P62" s="2215"/>
      <c r="Q62" s="2215"/>
      <c r="R62" s="2215"/>
      <c r="S62" s="2215"/>
      <c r="T62" s="2215"/>
      <c r="U62" s="2215"/>
      <c r="V62" s="2215"/>
      <c r="W62" s="2215" t="s">
        <v>388</v>
      </c>
      <c r="X62" s="2215"/>
      <c r="Y62" s="2215"/>
      <c r="Z62" s="2215"/>
      <c r="AA62" s="2215"/>
      <c r="AB62" s="2215"/>
      <c r="AC62" s="2215"/>
      <c r="AD62" s="2215"/>
      <c r="AE62" s="351"/>
      <c r="AF62" s="351"/>
      <c r="AG62" s="2214" t="s">
        <v>422</v>
      </c>
      <c r="AH62" s="2214"/>
      <c r="AI62" s="2214"/>
      <c r="AJ62" s="2214"/>
      <c r="AK62" s="2214"/>
      <c r="AL62" s="2214"/>
      <c r="AM62" s="2214"/>
      <c r="AN62" s="738"/>
      <c r="AO62" s="2268"/>
      <c r="AP62" s="10"/>
      <c r="AQ62" s="10"/>
      <c r="AR62" s="10"/>
      <c r="AS62" s="10"/>
      <c r="AT62" s="10"/>
      <c r="AU62" s="10"/>
    </row>
    <row r="63" spans="1:47" ht="16.5">
      <c r="A63" s="2267"/>
      <c r="AD63" s="351"/>
      <c r="AE63" s="351"/>
      <c r="AF63" s="351"/>
      <c r="AG63" s="2214" t="s">
        <v>5441</v>
      </c>
      <c r="AH63" s="2214"/>
      <c r="AI63" s="2214"/>
      <c r="AJ63" s="2214"/>
      <c r="AK63" s="2214"/>
      <c r="AL63" s="2214"/>
      <c r="AM63" s="2214"/>
      <c r="AO63" s="2268"/>
      <c r="AP63" s="10"/>
      <c r="AQ63" s="10"/>
      <c r="AR63" s="10"/>
      <c r="AS63" s="10"/>
      <c r="AT63" s="10"/>
      <c r="AU63" s="10"/>
    </row>
    <row r="64" spans="1:47">
      <c r="A64" s="2267"/>
      <c r="AD64" s="38"/>
      <c r="AE64" s="38"/>
      <c r="AF64" s="38"/>
      <c r="AG64" s="38"/>
      <c r="AH64" s="38"/>
      <c r="AO64" s="2268"/>
      <c r="AP64" s="10"/>
      <c r="AQ64" s="10"/>
      <c r="AR64" s="10"/>
      <c r="AS64" s="10"/>
      <c r="AT64" s="10"/>
      <c r="AU64" s="10"/>
    </row>
    <row r="65" spans="1:47">
      <c r="A65" s="2267"/>
      <c r="AD65" s="38"/>
      <c r="AE65" s="38"/>
      <c r="AF65" s="38"/>
      <c r="AG65" s="38"/>
      <c r="AH65" s="38"/>
      <c r="AO65" s="2268"/>
      <c r="AP65" s="10"/>
      <c r="AQ65" s="10"/>
      <c r="AR65" s="10"/>
      <c r="AS65" s="10"/>
      <c r="AT65" s="10"/>
      <c r="AU65" s="10"/>
    </row>
    <row r="66" spans="1:47">
      <c r="A66" s="2267"/>
      <c r="I66" s="738"/>
      <c r="T66" s="738"/>
      <c r="U66" s="738"/>
      <c r="AD66" s="38"/>
      <c r="AE66" s="38"/>
      <c r="AF66" s="38"/>
      <c r="AG66" s="38"/>
      <c r="AH66" s="38"/>
      <c r="AO66" s="2268"/>
    </row>
    <row r="67" spans="1:47">
      <c r="A67" s="2267"/>
      <c r="B67" s="2215" t="str">
        <f>D31</f>
        <v>Huỳnh Trúc Linh</v>
      </c>
      <c r="C67" s="2215"/>
      <c r="D67" s="2215"/>
      <c r="E67" s="2215"/>
      <c r="F67" s="2215"/>
      <c r="G67" s="2215"/>
      <c r="H67" s="2215"/>
      <c r="I67" s="2215"/>
      <c r="J67" s="2215"/>
      <c r="K67" s="2215"/>
      <c r="L67" s="2215"/>
      <c r="M67" s="2215" t="str">
        <f>L31</f>
        <v>Lê Nhựt Trường</v>
      </c>
      <c r="N67" s="2215"/>
      <c r="O67" s="2215"/>
      <c r="P67" s="2215"/>
      <c r="Q67" s="2215"/>
      <c r="R67" s="2215"/>
      <c r="S67" s="2215"/>
      <c r="T67" s="2215"/>
      <c r="U67" s="2215"/>
      <c r="V67" s="2215"/>
      <c r="W67" s="2215" t="str">
        <f>W31</f>
        <v>Nguyễn Bảo Khanh</v>
      </c>
      <c r="X67" s="2215"/>
      <c r="Y67" s="2215"/>
      <c r="Z67" s="2215"/>
      <c r="AA67" s="2215"/>
      <c r="AB67" s="2215"/>
      <c r="AC67" s="2215"/>
      <c r="AD67" s="2215"/>
      <c r="AE67" s="734"/>
      <c r="AF67" s="734"/>
      <c r="AG67" s="2212" t="s">
        <v>5442</v>
      </c>
      <c r="AH67" s="2212"/>
      <c r="AI67" s="2212"/>
      <c r="AJ67" s="2212"/>
      <c r="AK67" s="2212"/>
      <c r="AL67" s="2212"/>
      <c r="AM67" s="2212"/>
      <c r="AN67" s="738"/>
      <c r="AO67" s="2268"/>
    </row>
    <row r="68" spans="1:47" hidden="1">
      <c r="A68" s="2267"/>
      <c r="AO68" s="2268"/>
    </row>
    <row r="78" spans="1:47"/>
  </sheetData>
  <protectedRanges>
    <protectedRange sqref="B67:L67 D31:H31 AO42 H42:AN59" name="chcong"/>
  </protectedRanges>
  <mergeCells count="99">
    <mergeCell ref="A1:A68"/>
    <mergeCell ref="AO45:AO68"/>
    <mergeCell ref="AO1:AO41"/>
    <mergeCell ref="B1:AN1"/>
    <mergeCell ref="M32:AN32"/>
    <mergeCell ref="M39:AH39"/>
    <mergeCell ref="B4:L4"/>
    <mergeCell ref="B5:L5"/>
    <mergeCell ref="B32:L32"/>
    <mergeCell ref="B33:L33"/>
    <mergeCell ref="B67:L67"/>
    <mergeCell ref="M67:V67"/>
    <mergeCell ref="M40:AH40"/>
    <mergeCell ref="M62:V62"/>
    <mergeCell ref="B62:L62"/>
    <mergeCell ref="I40:L40"/>
    <mergeCell ref="AG67:AM67"/>
    <mergeCell ref="I38:L38"/>
    <mergeCell ref="M38:AH38"/>
    <mergeCell ref="AG62:AM62"/>
    <mergeCell ref="AG63:AM63"/>
    <mergeCell ref="W67:AD67"/>
    <mergeCell ref="AX19:AY19"/>
    <mergeCell ref="M19:O19"/>
    <mergeCell ref="AX20:AY20"/>
    <mergeCell ref="D27:H27"/>
    <mergeCell ref="AX18:AY18"/>
    <mergeCell ref="AS18:AT18"/>
    <mergeCell ref="AU18:AV18"/>
    <mergeCell ref="AS20:AT20"/>
    <mergeCell ref="N26:T26"/>
    <mergeCell ref="AH22:AM22"/>
    <mergeCell ref="AH20:AM21"/>
    <mergeCell ref="Y21:AG21"/>
    <mergeCell ref="C22:X22"/>
    <mergeCell ref="AP18:AQ18"/>
    <mergeCell ref="AU19:AV19"/>
    <mergeCell ref="AS19:AT19"/>
    <mergeCell ref="M13:AH13"/>
    <mergeCell ref="M14:AH14"/>
    <mergeCell ref="AX17:AY17"/>
    <mergeCell ref="AS17:AT17"/>
    <mergeCell ref="AP17:AQ17"/>
    <mergeCell ref="AU15:AY15"/>
    <mergeCell ref="AX16:AY16"/>
    <mergeCell ref="AP15:AT15"/>
    <mergeCell ref="AU17:AV17"/>
    <mergeCell ref="M17:O18"/>
    <mergeCell ref="AU16:AV16"/>
    <mergeCell ref="AP16:AQ16"/>
    <mergeCell ref="AH17:AM18"/>
    <mergeCell ref="Y17:AG18"/>
    <mergeCell ref="B2:L2"/>
    <mergeCell ref="B3:L3"/>
    <mergeCell ref="C17:C18"/>
    <mergeCell ref="C10:AN10"/>
    <mergeCell ref="E7:AN7"/>
    <mergeCell ref="E9:AN9"/>
    <mergeCell ref="P17:X18"/>
    <mergeCell ref="I13:L13"/>
    <mergeCell ref="I15:L15"/>
    <mergeCell ref="K17:L18"/>
    <mergeCell ref="M15:AH15"/>
    <mergeCell ref="AB2:AN2"/>
    <mergeCell ref="AB3:AN3"/>
    <mergeCell ref="AB4:AN4"/>
    <mergeCell ref="AB5:AN5"/>
    <mergeCell ref="D17:J18"/>
    <mergeCell ref="Y19:AG19"/>
    <mergeCell ref="AH19:AM19"/>
    <mergeCell ref="Y20:AG20"/>
    <mergeCell ref="D19:J19"/>
    <mergeCell ref="W62:AD62"/>
    <mergeCell ref="L31:T31"/>
    <mergeCell ref="K19:L19"/>
    <mergeCell ref="W31:AD31"/>
    <mergeCell ref="X30:Z30"/>
    <mergeCell ref="L27:T27"/>
    <mergeCell ref="P20:X20"/>
    <mergeCell ref="P19:X19"/>
    <mergeCell ref="B61:L61"/>
    <mergeCell ref="C42:G44"/>
    <mergeCell ref="B42:B44"/>
    <mergeCell ref="AP19:AQ19"/>
    <mergeCell ref="AS16:AT16"/>
    <mergeCell ref="B34:L34"/>
    <mergeCell ref="B35:L35"/>
    <mergeCell ref="M33:AN33"/>
    <mergeCell ref="M34:AN34"/>
    <mergeCell ref="Y22:AG22"/>
    <mergeCell ref="K20:L21"/>
    <mergeCell ref="M20:O21"/>
    <mergeCell ref="P21:X21"/>
    <mergeCell ref="D31:H31"/>
    <mergeCell ref="D24:AM24"/>
    <mergeCell ref="AG26:AM26"/>
    <mergeCell ref="AG27:AM27"/>
    <mergeCell ref="AG31:AM31"/>
    <mergeCell ref="W27:AD27"/>
  </mergeCells>
  <phoneticPr fontId="75" type="noConversion"/>
  <printOptions horizontalCentered="1"/>
  <pageMargins left="0.2" right="0.2" top="0.6" bottom="0.3" header="0.5" footer="0.5"/>
  <pageSetup paperSize="9" orientation="landscape"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tabColor indexed="32"/>
  </sheetPr>
  <dimension ref="A1:IV58"/>
  <sheetViews>
    <sheetView showGridLines="0" view="pageLayout" zoomScaleNormal="100" workbookViewId="0">
      <selection activeCell="B8" sqref="B8:L8"/>
    </sheetView>
  </sheetViews>
  <sheetFormatPr defaultColWidth="0" defaultRowHeight="12.75" zeroHeight="1"/>
  <cols>
    <col min="1" max="1" width="22.5" style="135" customWidth="1"/>
    <col min="2" max="2" width="7.83203125" style="135" customWidth="1"/>
    <col min="3" max="4" width="12.33203125" style="135" customWidth="1"/>
    <col min="5" max="5" width="13.5" style="135" customWidth="1"/>
    <col min="6" max="8" width="9.33203125" style="135" customWidth="1"/>
    <col min="9" max="9" width="13.1640625" style="135" bestFit="1" customWidth="1"/>
    <col min="10" max="10" width="9.6640625" style="135" customWidth="1"/>
    <col min="11" max="11" width="8.5" style="135" customWidth="1"/>
    <col min="12" max="12" width="4" style="135" customWidth="1"/>
    <col min="13" max="16384" width="6.6640625" style="135" hidden="1"/>
  </cols>
  <sheetData>
    <row r="1" spans="1:256">
      <c r="A1" s="720"/>
      <c r="B1" s="720"/>
      <c r="C1" s="720"/>
      <c r="D1" s="720"/>
      <c r="E1" s="720"/>
      <c r="F1" s="720"/>
      <c r="G1" s="720"/>
      <c r="H1" s="720"/>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0"/>
      <c r="AO1" s="720"/>
      <c r="AP1" s="720"/>
      <c r="AQ1" s="720"/>
      <c r="AR1" s="720"/>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720"/>
      <c r="BU1" s="720"/>
      <c r="BV1" s="720"/>
      <c r="BW1" s="720"/>
      <c r="BX1" s="720"/>
      <c r="BY1" s="720"/>
      <c r="BZ1" s="720"/>
      <c r="CA1" s="720"/>
      <c r="CB1" s="720"/>
      <c r="CC1" s="720"/>
      <c r="CD1" s="720"/>
      <c r="CE1" s="720"/>
      <c r="CF1" s="720"/>
      <c r="CG1" s="720"/>
      <c r="CH1" s="720"/>
      <c r="CI1" s="720"/>
      <c r="CJ1" s="720"/>
      <c r="CK1" s="720"/>
      <c r="CL1" s="720"/>
      <c r="CM1" s="720"/>
      <c r="CN1" s="720"/>
      <c r="CO1" s="720"/>
      <c r="CP1" s="720"/>
      <c r="CQ1" s="720"/>
      <c r="CR1" s="720"/>
      <c r="CS1" s="720"/>
      <c r="CT1" s="720"/>
      <c r="CU1" s="720"/>
      <c r="CV1" s="720"/>
      <c r="CW1" s="720"/>
      <c r="CX1" s="720"/>
      <c r="CY1" s="720"/>
      <c r="CZ1" s="720"/>
      <c r="DA1" s="720"/>
      <c r="DB1" s="720"/>
      <c r="DC1" s="720"/>
      <c r="DD1" s="720"/>
      <c r="DE1" s="720"/>
      <c r="DF1" s="720"/>
      <c r="DG1" s="720"/>
      <c r="DH1" s="720"/>
      <c r="DI1" s="720"/>
      <c r="DJ1" s="720"/>
      <c r="DK1" s="720"/>
      <c r="DL1" s="720"/>
      <c r="DM1" s="720"/>
      <c r="DN1" s="720"/>
      <c r="DO1" s="720"/>
      <c r="DP1" s="720"/>
      <c r="DQ1" s="720"/>
      <c r="DR1" s="720"/>
      <c r="DS1" s="720"/>
      <c r="DT1" s="720"/>
      <c r="DU1" s="720"/>
      <c r="DV1" s="720"/>
      <c r="DW1" s="720"/>
      <c r="DX1" s="720"/>
      <c r="DY1" s="720"/>
      <c r="DZ1" s="720"/>
      <c r="EA1" s="720"/>
      <c r="EB1" s="720"/>
      <c r="EC1" s="720"/>
      <c r="ED1" s="720"/>
      <c r="EE1" s="720"/>
      <c r="EF1" s="720"/>
      <c r="EG1" s="720"/>
      <c r="EH1" s="720"/>
      <c r="EI1" s="720"/>
      <c r="EJ1" s="720"/>
      <c r="EK1" s="720"/>
      <c r="EL1" s="720"/>
      <c r="EM1" s="720"/>
      <c r="EN1" s="720"/>
      <c r="EO1" s="720"/>
      <c r="EP1" s="720"/>
      <c r="EQ1" s="720"/>
      <c r="ER1" s="720"/>
      <c r="ES1" s="720"/>
      <c r="ET1" s="720"/>
      <c r="EU1" s="720"/>
      <c r="EV1" s="720"/>
      <c r="EW1" s="720"/>
      <c r="EX1" s="720"/>
      <c r="EY1" s="720"/>
      <c r="EZ1" s="720"/>
      <c r="FA1" s="720"/>
      <c r="FB1" s="720"/>
      <c r="FC1" s="720"/>
      <c r="FD1" s="720"/>
      <c r="FE1" s="720"/>
      <c r="FF1" s="720"/>
      <c r="FG1" s="720"/>
      <c r="FH1" s="720"/>
      <c r="FI1" s="720"/>
      <c r="FJ1" s="720"/>
      <c r="FK1" s="720"/>
      <c r="FL1" s="720"/>
      <c r="FM1" s="720"/>
      <c r="FN1" s="720"/>
      <c r="FO1" s="720"/>
      <c r="FP1" s="720"/>
      <c r="FQ1" s="720"/>
      <c r="FR1" s="720"/>
      <c r="FS1" s="720"/>
      <c r="FT1" s="720"/>
      <c r="FU1" s="720"/>
      <c r="FV1" s="720"/>
      <c r="FW1" s="720"/>
      <c r="FX1" s="720"/>
      <c r="FY1" s="720"/>
      <c r="FZ1" s="720"/>
      <c r="GA1" s="720"/>
      <c r="GB1" s="720"/>
      <c r="GC1" s="720"/>
      <c r="GD1" s="720"/>
      <c r="GE1" s="720"/>
      <c r="GF1" s="720"/>
      <c r="GG1" s="720"/>
      <c r="GH1" s="720"/>
      <c r="GI1" s="720"/>
      <c r="GJ1" s="720"/>
      <c r="GK1" s="720"/>
      <c r="GL1" s="720"/>
      <c r="GM1" s="720"/>
      <c r="GN1" s="720"/>
      <c r="GO1" s="720"/>
      <c r="GP1" s="720"/>
      <c r="GQ1" s="720"/>
      <c r="GR1" s="720"/>
      <c r="GS1" s="720"/>
      <c r="GT1" s="720"/>
      <c r="GU1" s="720"/>
      <c r="GV1" s="720"/>
      <c r="GW1" s="720"/>
      <c r="GX1" s="720"/>
      <c r="GY1" s="720"/>
      <c r="GZ1" s="720"/>
      <c r="HA1" s="720"/>
      <c r="HB1" s="720"/>
      <c r="HC1" s="720"/>
      <c r="HD1" s="720"/>
      <c r="HE1" s="720"/>
      <c r="HF1" s="720"/>
      <c r="HG1" s="720"/>
      <c r="HH1" s="720"/>
      <c r="HI1" s="720"/>
      <c r="HJ1" s="720"/>
      <c r="HK1" s="720"/>
      <c r="HL1" s="720"/>
      <c r="HM1" s="720"/>
      <c r="HN1" s="720"/>
      <c r="HO1" s="720"/>
      <c r="HP1" s="720"/>
      <c r="HQ1" s="720"/>
      <c r="HR1" s="720"/>
      <c r="HS1" s="720"/>
      <c r="HT1" s="720"/>
      <c r="HU1" s="720"/>
      <c r="HV1" s="720"/>
      <c r="HW1" s="720"/>
      <c r="HX1" s="720"/>
      <c r="HY1" s="720"/>
      <c r="HZ1" s="720"/>
      <c r="IA1" s="720"/>
      <c r="IB1" s="720"/>
      <c r="IC1" s="720"/>
      <c r="ID1" s="720"/>
      <c r="IE1" s="720"/>
      <c r="IF1" s="720"/>
      <c r="IG1" s="720"/>
      <c r="IH1" s="720"/>
      <c r="II1" s="720"/>
      <c r="IJ1" s="720"/>
      <c r="IK1" s="720"/>
      <c r="IL1" s="720"/>
      <c r="IM1" s="720"/>
      <c r="IN1" s="720"/>
      <c r="IO1" s="720"/>
      <c r="IP1" s="720"/>
      <c r="IQ1" s="720"/>
      <c r="IR1" s="720"/>
      <c r="IS1" s="720"/>
      <c r="IT1" s="720"/>
      <c r="IU1" s="720"/>
      <c r="IV1" s="720"/>
    </row>
    <row r="2" spans="1:256" ht="15">
      <c r="A2" s="720"/>
      <c r="B2" s="2170" t="s">
        <v>319</v>
      </c>
      <c r="C2" s="2170"/>
      <c r="D2" s="2170"/>
      <c r="E2" s="2170"/>
      <c r="F2" s="2170"/>
      <c r="G2" s="2160" t="s">
        <v>3049</v>
      </c>
      <c r="H2" s="2160"/>
      <c r="I2" s="2160"/>
      <c r="J2" s="2160"/>
      <c r="K2" s="2160"/>
      <c r="L2" s="2160"/>
    </row>
    <row r="3" spans="1:256" ht="14.25">
      <c r="A3" s="720"/>
      <c r="B3" s="2160" t="s">
        <v>318</v>
      </c>
      <c r="C3" s="2160"/>
      <c r="D3" s="2160"/>
      <c r="E3" s="2160"/>
      <c r="F3" s="2160"/>
      <c r="G3" s="2160" t="s">
        <v>5798</v>
      </c>
      <c r="H3" s="2160"/>
      <c r="I3" s="2160"/>
      <c r="J3" s="2160"/>
      <c r="K3" s="2160"/>
      <c r="L3" s="2160"/>
    </row>
    <row r="4" spans="1:256" ht="9.9499999999999993" customHeight="1">
      <c r="A4" s="720"/>
      <c r="B4" s="2283"/>
      <c r="C4" s="2283"/>
      <c r="D4" s="2283"/>
      <c r="E4" s="2283"/>
      <c r="G4" s="2278"/>
      <c r="H4" s="2278"/>
      <c r="I4" s="2278"/>
      <c r="J4" s="2278"/>
      <c r="K4" s="2278"/>
      <c r="L4" s="2278"/>
    </row>
    <row r="5" spans="1:256" ht="15">
      <c r="A5" s="720"/>
      <c r="B5" s="2285" t="str">
        <f>+"Số: "&amp;NL!U2&amp;"/DPT-PCHG"</f>
        <v>Số: 01/DPT-PCHG</v>
      </c>
      <c r="C5" s="2285"/>
      <c r="D5" s="2285"/>
      <c r="E5" s="2285"/>
      <c r="F5" s="2285"/>
      <c r="G5" s="2168" t="str">
        <f>IF(NL!U8="","Chưa nhập ngày","Hậu Giang, ngày "&amp;DAY(NL!U8)&amp;" tháng "&amp;MONTH(NL!U8)&amp;" năm "&amp;YEAR(NL!U8))</f>
        <v>Hậu Giang, ngày 11 tháng 1 năm 2017</v>
      </c>
      <c r="H5" s="2168"/>
      <c r="I5" s="2168"/>
      <c r="J5" s="2168"/>
      <c r="K5" s="2168"/>
      <c r="L5" s="2168"/>
      <c r="M5" s="90"/>
      <c r="N5" s="90"/>
      <c r="O5" s="90"/>
      <c r="P5" s="90"/>
      <c r="Q5" s="90"/>
      <c r="R5" s="90"/>
    </row>
    <row r="6" spans="1:256" ht="24" customHeight="1">
      <c r="A6" s="720"/>
      <c r="B6" s="2284" t="s">
        <v>3974</v>
      </c>
      <c r="C6" s="2284"/>
      <c r="D6" s="2284"/>
      <c r="E6" s="2284"/>
      <c r="F6" s="2284"/>
      <c r="G6" s="2284"/>
      <c r="H6" s="2284"/>
      <c r="I6" s="2284"/>
      <c r="J6" s="2284"/>
      <c r="K6" s="2284"/>
      <c r="L6" s="2284"/>
    </row>
    <row r="7" spans="1:256" ht="17.100000000000001" customHeight="1">
      <c r="A7" s="720"/>
      <c r="B7" s="2030" t="s">
        <v>1715</v>
      </c>
      <c r="C7" s="2030"/>
      <c r="D7" s="2030"/>
      <c r="E7" s="2030"/>
      <c r="F7" s="2030"/>
      <c r="G7" s="2030"/>
      <c r="H7" s="2030"/>
      <c r="I7" s="2030"/>
      <c r="J7" s="2030"/>
      <c r="K7" s="2030"/>
      <c r="L7" s="2030"/>
    </row>
    <row r="8" spans="1:256" ht="15.75">
      <c r="A8" s="720"/>
      <c r="B8" s="2030" t="str">
        <f>"Công trình: "&amp;NL!U3</f>
        <v>Công trình: XÂY DỰNG ĐƯỜNG DÂY TRUNG HẠ ÁP &amp; TRẠM BIẾN ÁP</v>
      </c>
      <c r="C8" s="2030"/>
      <c r="D8" s="2030"/>
      <c r="E8" s="2030"/>
      <c r="F8" s="2030"/>
      <c r="G8" s="2030"/>
      <c r="H8" s="2030"/>
      <c r="I8" s="2030"/>
      <c r="J8" s="2030"/>
      <c r="K8" s="2030"/>
      <c r="L8" s="2030"/>
    </row>
    <row r="9" spans="1:256" ht="15.75">
      <c r="A9" s="720"/>
      <c r="B9" s="2030" t="str">
        <f>NL!U4</f>
        <v>HUYỆN CHÂU THÀNH, TX NGÃ BẢY</v>
      </c>
      <c r="C9" s="2030"/>
      <c r="D9" s="2030"/>
      <c r="E9" s="2030"/>
      <c r="F9" s="2030"/>
      <c r="G9" s="2030"/>
      <c r="H9" s="2030"/>
      <c r="I9" s="2030"/>
      <c r="J9" s="2030"/>
      <c r="K9" s="2030"/>
      <c r="L9" s="2030"/>
    </row>
    <row r="10" spans="1:256" ht="15.75">
      <c r="A10" s="720"/>
      <c r="B10" s="2030" t="str">
        <f>"Địa điểm: "&amp;NL!U5</f>
        <v>Địa điểm: Huyện Châu Thành &amp; Tx.Ngã Bảy, tỉnh Hậu Giang</v>
      </c>
      <c r="C10" s="2030"/>
      <c r="D10" s="2030"/>
      <c r="E10" s="2030"/>
      <c r="F10" s="2030"/>
      <c r="G10" s="2030"/>
      <c r="H10" s="2030"/>
      <c r="I10" s="2030"/>
      <c r="J10" s="2030"/>
      <c r="K10" s="2030"/>
      <c r="L10" s="2030"/>
    </row>
    <row r="11" spans="1:256" ht="24.95" customHeight="1">
      <c r="A11" s="720"/>
      <c r="B11" s="2279" t="s">
        <v>3682</v>
      </c>
      <c r="C11" s="2279"/>
      <c r="D11" s="2279"/>
      <c r="E11" s="2279"/>
      <c r="F11" s="2279"/>
      <c r="G11" s="2279"/>
      <c r="H11" s="2279"/>
      <c r="I11" s="2279"/>
      <c r="J11" s="2279"/>
      <c r="K11" s="2279"/>
      <c r="L11" s="2279"/>
    </row>
    <row r="12" spans="1:256" ht="27" customHeight="1">
      <c r="A12" s="720"/>
      <c r="C12" s="2280" t="s">
        <v>4024</v>
      </c>
      <c r="D12" s="2280"/>
      <c r="E12" s="2280"/>
      <c r="F12" s="2280"/>
      <c r="G12" s="2280"/>
      <c r="H12" s="2280"/>
      <c r="I12" s="2280"/>
      <c r="J12" s="2280"/>
      <c r="K12" s="2280"/>
      <c r="L12" s="2280"/>
    </row>
    <row r="13" spans="1:256" ht="27" hidden="1" customHeight="1">
      <c r="A13" s="720"/>
      <c r="C13" s="2280" t="s">
        <v>2930</v>
      </c>
      <c r="D13" s="2280"/>
      <c r="E13" s="2280"/>
      <c r="F13" s="2280"/>
      <c r="G13" s="2280"/>
      <c r="H13" s="2280"/>
      <c r="I13" s="2280"/>
      <c r="J13" s="2280"/>
      <c r="K13" s="2280"/>
      <c r="L13" s="2280"/>
    </row>
    <row r="14" spans="1:256" ht="39.950000000000003" customHeight="1">
      <c r="A14" s="720"/>
      <c r="C14" s="2280" t="s">
        <v>106</v>
      </c>
      <c r="D14" s="2280"/>
      <c r="E14" s="2280"/>
      <c r="F14" s="2280"/>
      <c r="G14" s="2280"/>
      <c r="H14" s="2280"/>
      <c r="I14" s="2280"/>
      <c r="J14" s="2280"/>
      <c r="K14" s="2280"/>
      <c r="L14" s="2280"/>
    </row>
    <row r="15" spans="1:256" ht="14.25" customHeight="1">
      <c r="A15" s="720"/>
      <c r="C15" s="2280" t="str">
        <f>+"           Căn cứ báo cáo khảo sát thực tế của Công ty Điện lực Hậu Giang ngày : "&amp;IF(NL!U6="","",TEXT(NL!U6,"dd/ mm/ yyyy"))&amp;"."</f>
        <v xml:space="preserve">           Căn cứ báo cáo khảo sát thực tế của Công ty Điện lực Hậu Giang ngày : 05/ 01/ 2017.</v>
      </c>
      <c r="D15" s="2280"/>
      <c r="E15" s="2280"/>
      <c r="F15" s="2280"/>
      <c r="G15" s="2280"/>
      <c r="H15" s="2280"/>
      <c r="I15" s="2280"/>
      <c r="J15" s="2280"/>
      <c r="K15" s="2280"/>
      <c r="L15" s="2280"/>
    </row>
    <row r="16" spans="1:256" ht="21.95" customHeight="1">
      <c r="A16" s="720"/>
      <c r="B16" s="2279" t="s">
        <v>3974</v>
      </c>
      <c r="C16" s="2279"/>
      <c r="D16" s="2279"/>
      <c r="E16" s="2279"/>
      <c r="F16" s="2279"/>
      <c r="G16" s="2279"/>
      <c r="H16" s="2279"/>
      <c r="I16" s="2279"/>
      <c r="J16" s="2279"/>
      <c r="K16" s="2279"/>
      <c r="L16" s="2279"/>
    </row>
    <row r="17" spans="1:28" ht="15" customHeight="1">
      <c r="A17" s="720"/>
      <c r="B17" s="899" t="s">
        <v>2931</v>
      </c>
      <c r="C17" s="900"/>
      <c r="D17" s="900"/>
      <c r="E17" s="900"/>
    </row>
    <row r="18" spans="1:28" ht="14.25" customHeight="1">
      <c r="A18" s="720"/>
      <c r="B18" s="264"/>
      <c r="C18" s="2274" t="s">
        <v>523</v>
      </c>
      <c r="D18" s="2274"/>
      <c r="E18" s="2274" t="str">
        <f>NL!U29&amp;" kVA"</f>
        <v>22/0,4kV - 160 kVA</v>
      </c>
      <c r="F18" s="2274"/>
      <c r="G18" s="2274"/>
      <c r="H18" s="2274"/>
      <c r="I18" s="858"/>
      <c r="J18" s="153"/>
    </row>
    <row r="19" spans="1:28" ht="15.75" customHeight="1">
      <c r="A19" s="720"/>
      <c r="B19" s="264"/>
      <c r="C19" s="2276" t="s">
        <v>3506</v>
      </c>
      <c r="D19" s="2274"/>
      <c r="E19" s="2276" t="str">
        <f>NL!U32&amp;" kVAr"</f>
        <v>60 kVAr</v>
      </c>
      <c r="F19" s="2276"/>
      <c r="G19" s="2276"/>
      <c r="H19" s="2276"/>
      <c r="I19" s="264"/>
    </row>
    <row r="20" spans="1:28" ht="14.1" customHeight="1">
      <c r="A20" s="720"/>
      <c r="B20" s="2275" t="s">
        <v>3117</v>
      </c>
      <c r="C20" s="2276"/>
      <c r="D20" s="2276"/>
      <c r="E20" s="2276"/>
      <c r="F20" s="264"/>
      <c r="G20" s="264"/>
      <c r="H20" s="264"/>
      <c r="I20" s="264"/>
    </row>
    <row r="21" spans="1:28" ht="12.95" customHeight="1">
      <c r="A21" s="720"/>
      <c r="B21" s="152" t="s">
        <v>3522</v>
      </c>
      <c r="C21" s="827" t="str">
        <f>"Vị trí đấu nối tại trụ "&amp;NL!U43</f>
        <v>Vị trí đấu nối tại trụ 145 -  472PH</v>
      </c>
      <c r="D21" s="822"/>
      <c r="E21" s="823"/>
      <c r="F21" s="822"/>
      <c r="G21" s="152"/>
      <c r="H21" s="824"/>
    </row>
    <row r="22" spans="1:28" ht="12.95" customHeight="1">
      <c r="A22" s="720"/>
      <c r="B22" s="152" t="s">
        <v>3522</v>
      </c>
      <c r="C22" s="264" t="str">
        <f>"Công suất theo bảng kê thiết bị :    "&amp;NL!U28&amp;" kW"</f>
        <v>Công suất theo bảng kê thiết bị :    22 kW</v>
      </c>
      <c r="D22" s="264"/>
      <c r="E22" s="264"/>
      <c r="F22" s="264"/>
      <c r="G22" s="860" t="str">
        <f>"Knc: "&amp;VLOOKUP(NL!AU27,NL!AU28:BU38,20,FALSE)</f>
        <v>Knc: 0,8</v>
      </c>
      <c r="H22" s="822"/>
      <c r="I22" s="828"/>
      <c r="J22" s="826"/>
      <c r="K22" s="826"/>
      <c r="L22" s="826"/>
      <c r="M22" s="825"/>
      <c r="N22" s="825"/>
      <c r="O22" s="825"/>
      <c r="P22" s="825"/>
      <c r="Q22" s="825"/>
      <c r="R22" s="825"/>
      <c r="S22" s="825"/>
      <c r="T22" s="825"/>
      <c r="U22" s="825"/>
      <c r="V22" s="825"/>
      <c r="W22" s="825"/>
      <c r="X22" s="825"/>
      <c r="Y22" s="825"/>
      <c r="Z22" s="825"/>
      <c r="AA22" s="825"/>
      <c r="AB22" s="825"/>
    </row>
    <row r="23" spans="1:28" ht="12.95" customHeight="1">
      <c r="A23" s="720"/>
      <c r="B23" s="152" t="s">
        <v>3522</v>
      </c>
      <c r="C23" s="264" t="str">
        <f>"Xây dựng mới đường dây trung áp "&amp;NL!U39&amp;", chiều dài "&amp;NL!U40&amp;" m"</f>
        <v>Xây dựng mới đường dây trung áp 3 pha 4 dây 12,7/22kV, chiều dài 17 m</v>
      </c>
      <c r="D23" s="264"/>
      <c r="E23" s="264"/>
      <c r="F23" s="264"/>
      <c r="G23" s="264"/>
      <c r="H23" s="264"/>
      <c r="I23" s="264"/>
      <c r="J23" s="264"/>
    </row>
    <row r="24" spans="1:28" ht="12.95" customHeight="1">
      <c r="A24" s="720"/>
      <c r="B24" s="152" t="s">
        <v>3522</v>
      </c>
      <c r="C24" s="833" t="str">
        <f>"Loại dây trung áp: Cáp "&amp;NL!U46&amp;" cho dây pha và cáp "&amp;NL!U47&amp;" cho dây trung hòa"</f>
        <v>Loại dây trung áp: Cáp CXV 24kV 25mm2 cho dây pha và cáp C 25mm2 cho dây trung hòa</v>
      </c>
      <c r="D24" s="833"/>
      <c r="E24" s="827"/>
      <c r="F24" s="827"/>
      <c r="G24" s="264"/>
      <c r="H24" s="827"/>
    </row>
    <row r="25" spans="1:28" ht="12.95" customHeight="1">
      <c r="A25" s="720"/>
      <c r="B25" s="152" t="s">
        <v>3522</v>
      </c>
      <c r="C25" s="264" t="str">
        <f>"Xây dựng mới đường dây hạ áp "&amp;NL!U54&amp;", chiều dài "&amp;NL!U53&amp;" m"</f>
        <v>Xây dựng mới đường dây hạ áp 3 pha 4 dây 0,22/0,38kV, chiều dài 4653 m</v>
      </c>
    </row>
    <row r="26" spans="1:28" ht="12.95" customHeight="1">
      <c r="A26" s="720"/>
      <c r="B26" s="152" t="s">
        <v>3522</v>
      </c>
      <c r="C26" s="827" t="str">
        <f>"Loại dây hạ áp: Cáp "&amp;NL!U55&amp;" cho dây pha và "&amp;NL!U56&amp;" cho dây trung hòa"</f>
        <v>Loại dây hạ áp: Cáp nhôm LV-ABC 0,6/1kV 4x95mm2 cho dây pha và AC 50mm2 cho dây trung hòa</v>
      </c>
      <c r="D26" s="833"/>
      <c r="E26" s="827"/>
      <c r="F26" s="827"/>
      <c r="G26" s="264"/>
      <c r="H26" s="827"/>
    </row>
    <row r="27" spans="1:28" ht="12.95" customHeight="1">
      <c r="A27" s="720"/>
      <c r="B27" s="152" t="s">
        <v>3522</v>
      </c>
      <c r="C27" s="264" t="str">
        <f>"Kết cấu trạm biến áp: "&amp;NL!U26</f>
        <v>Kết cấu trạm biến áp: Trạm treo trên trụ BTLT 14m</v>
      </c>
    </row>
    <row r="28" spans="1:28" ht="12.95" customHeight="1">
      <c r="A28" s="720"/>
      <c r="B28" s="152" t="s">
        <v>3522</v>
      </c>
      <c r="C28" s="264" t="str">
        <f>"Hệ thống đo đếm: "&amp;NL!U58&amp;"; "&amp;NL!U59&amp;" (TSĐL)"</f>
        <v>Hệ thống đo đếm: Gián tiếp; Điện kế 1 pha 2 dây 5A - 220V (TSĐL)</v>
      </c>
    </row>
    <row r="29" spans="1:28" ht="12.95" customHeight="1">
      <c r="A29" s="720"/>
      <c r="B29" s="152"/>
      <c r="D29" s="152" t="s">
        <v>3047</v>
      </c>
      <c r="E29" s="2276" t="str">
        <f>+NL!U60</f>
        <v>12000/120V - 50VA</v>
      </c>
      <c r="F29" s="2276"/>
      <c r="G29" s="152" t="s">
        <v>3048</v>
      </c>
      <c r="H29" s="2277" t="str">
        <f>+NL!U61</f>
        <v>24kV 5-10/5A</v>
      </c>
      <c r="I29" s="2277"/>
    </row>
    <row r="30" spans="1:28" ht="12.95" customHeight="1">
      <c r="A30" s="720"/>
      <c r="B30" s="152" t="s">
        <v>3522</v>
      </c>
      <c r="C30" s="135" t="s">
        <v>1741</v>
      </c>
      <c r="D30" s="264" t="str">
        <f>+NL!U62</f>
        <v>Trung áp</v>
      </c>
    </row>
    <row r="31" spans="1:28" ht="12.95" customHeight="1">
      <c r="A31" s="720"/>
      <c r="B31" s="152" t="s">
        <v>3522</v>
      </c>
      <c r="C31" s="264" t="str">
        <f>"Bảo vệ trung áp: "&amp;NL!U64&amp;", với "&amp;NL!U65</f>
        <v>Bảo vệ trung áp: FCO 27kV - 100A, với dây chì 8K</v>
      </c>
      <c r="D31" s="264"/>
      <c r="E31" s="264"/>
      <c r="F31" s="264"/>
      <c r="G31" s="264"/>
      <c r="H31" s="264"/>
      <c r="I31" s="264"/>
    </row>
    <row r="32" spans="1:28" ht="12.95" customHeight="1">
      <c r="A32" s="720"/>
      <c r="B32" s="152" t="s">
        <v>3522</v>
      </c>
      <c r="C32" s="264" t="str">
        <f>"Bảo vệ hạ áp: "&amp;NL!U66</f>
        <v>Bảo vệ hạ áp: MCCB - 3 pha 600V - 250A</v>
      </c>
      <c r="E32" s="264"/>
      <c r="F32" s="857"/>
    </row>
    <row r="33" spans="1:15" ht="12.75" customHeight="1">
      <c r="A33" s="720"/>
      <c r="B33" s="152" t="s">
        <v>3522</v>
      </c>
      <c r="C33" s="135" t="s">
        <v>1743</v>
      </c>
      <c r="D33" s="859" t="str">
        <f>+NL!U67</f>
        <v>01</v>
      </c>
      <c r="E33" s="827" t="str">
        <f>"Cáp xuất HA: "&amp;NL!U68&amp;", chiều dài: "&amp;NL!U69&amp;" m"</f>
        <v>Cáp xuất HA: Cáp Cu/PVC 0,6/1kV (3x120 + 1x70)mm2, chiều dài: 10 m</v>
      </c>
      <c r="F33" s="264"/>
      <c r="H33" s="264"/>
      <c r="I33" s="264"/>
    </row>
    <row r="34" spans="1:15" ht="14.1" customHeight="1">
      <c r="A34" s="720"/>
      <c r="B34" s="2272" t="s">
        <v>521</v>
      </c>
      <c r="C34" s="2273"/>
      <c r="D34" s="2273"/>
      <c r="E34" s="2273"/>
    </row>
    <row r="35" spans="1:15" ht="12.95" customHeight="1">
      <c r="A35" s="720"/>
      <c r="B35" s="152" t="s">
        <v>3522</v>
      </c>
      <c r="C35" s="135" t="s">
        <v>217</v>
      </c>
    </row>
    <row r="36" spans="1:15" ht="12.95" customHeight="1">
      <c r="A36" s="720"/>
      <c r="B36" s="152" t="s">
        <v>3522</v>
      </c>
      <c r="C36" s="135" t="s">
        <v>218</v>
      </c>
    </row>
    <row r="37" spans="1:15" ht="12.95" customHeight="1">
      <c r="A37" s="720"/>
      <c r="B37" s="152" t="s">
        <v>3522</v>
      </c>
      <c r="C37" s="135" t="s">
        <v>4894</v>
      </c>
    </row>
    <row r="38" spans="1:15" ht="12.95" customHeight="1">
      <c r="A38" s="720"/>
      <c r="D38" s="135" t="s">
        <v>4895</v>
      </c>
      <c r="F38" s="135" t="s">
        <v>3423</v>
      </c>
    </row>
    <row r="39" spans="1:15" ht="12.95" customHeight="1">
      <c r="A39" s="720"/>
      <c r="D39" s="135" t="s">
        <v>5054</v>
      </c>
      <c r="F39" s="135" t="s">
        <v>5055</v>
      </c>
    </row>
    <row r="40" spans="1:15" ht="12.95" customHeight="1">
      <c r="A40" s="720"/>
      <c r="D40" s="135" t="s">
        <v>5056</v>
      </c>
      <c r="F40" s="135" t="s">
        <v>4503</v>
      </c>
    </row>
    <row r="41" spans="1:15" ht="14.1" customHeight="1">
      <c r="A41" s="720"/>
      <c r="B41" s="2272" t="s">
        <v>636</v>
      </c>
      <c r="C41" s="2272"/>
      <c r="D41" s="2272"/>
      <c r="E41" s="2272"/>
      <c r="F41" s="2272"/>
      <c r="G41" s="2272"/>
    </row>
    <row r="42" spans="1:15" ht="12.95" customHeight="1">
      <c r="A42" s="720"/>
      <c r="C42" s="135" t="s">
        <v>4504</v>
      </c>
      <c r="D42" s="2271" t="str">
        <f>IF(NL!U20=NL!U21,"Công ty Điện lực Hậu Giang tổng thầu","Công ty Điện lực Hậu Giang")</f>
        <v>Công ty Điện lực Hậu Giang</v>
      </c>
      <c r="E42" s="2271"/>
      <c r="F42" s="2271"/>
      <c r="G42" s="2271"/>
    </row>
    <row r="43" spans="1:15" ht="12.95" customHeight="1">
      <c r="A43" s="720"/>
      <c r="C43" s="2281" t="s">
        <v>4505</v>
      </c>
      <c r="D43" s="2281"/>
      <c r="E43" s="2281"/>
      <c r="F43" s="2270" t="str">
        <f>IF(NL!U20=NL!U21,"Công ty Điện lực Hậu Giang tổng thầu",NL!U20)</f>
        <v>Cty TNHH Cơ Điện Thới Hưng</v>
      </c>
      <c r="G43" s="2271"/>
      <c r="H43" s="2271"/>
      <c r="I43" s="2271"/>
    </row>
    <row r="44" spans="1:15" ht="12.95" customHeight="1">
      <c r="A44" s="720"/>
      <c r="C44" s="154" t="s">
        <v>4506</v>
      </c>
    </row>
    <row r="45" spans="1:15" ht="12.95" customHeight="1">
      <c r="A45" s="720"/>
      <c r="C45" s="135" t="s">
        <v>5729</v>
      </c>
    </row>
    <row r="46" spans="1:15" ht="26.1" customHeight="1">
      <c r="A46" s="720"/>
      <c r="B46" s="901" t="s">
        <v>522</v>
      </c>
      <c r="C46" s="2282" t="str">
        <f>"Các ông trưởng P. Kỹ thuật (đính kèm bản sao hồ sơ), KD, TCKT,"&amp;IF(OR(NL!U21="CNĐ Châu Thành A",NL!U21="CNĐ Châu Thành A (Ngã Sáu)",NL!U21="CNĐ Châu Thành A (Tân Hòa)"),NL!AI56,NL!U21)&amp;" căn cứ vào chức năng nhiệm vụ để thi hành quyết định này."</f>
        <v>Các ông trưởng P. Kỹ thuật (đính kèm bản sao hồ sơ), KD, TCKT,ĐL TP.Vị Thanh căn cứ vào chức năng nhiệm vụ để thi hành quyết định này.</v>
      </c>
      <c r="D46" s="2282"/>
      <c r="E46" s="2282"/>
      <c r="F46" s="2282"/>
      <c r="G46" s="2282"/>
      <c r="H46" s="2282"/>
      <c r="I46" s="2282"/>
      <c r="J46" s="2282"/>
      <c r="K46" s="2282"/>
      <c r="L46" s="2282"/>
    </row>
    <row r="47" spans="1:15" ht="16.5">
      <c r="A47" s="720"/>
      <c r="G47" s="119"/>
      <c r="H47" s="2022" t="s">
        <v>3046</v>
      </c>
      <c r="I47" s="2022"/>
      <c r="J47" s="2022"/>
      <c r="K47" s="2022"/>
      <c r="L47" s="2022"/>
      <c r="M47" s="718"/>
      <c r="N47" s="718"/>
      <c r="O47" s="718"/>
    </row>
    <row r="48" spans="1:15" ht="16.5">
      <c r="A48" s="720"/>
      <c r="B48" s="155" t="s">
        <v>2861</v>
      </c>
      <c r="H48" s="2022" t="s">
        <v>5441</v>
      </c>
      <c r="I48" s="2022"/>
      <c r="J48" s="2022"/>
      <c r="K48" s="2022"/>
      <c r="L48" s="2022"/>
      <c r="M48" s="718"/>
      <c r="N48" s="718"/>
      <c r="O48" s="718"/>
    </row>
    <row r="49" spans="1:15" ht="15.75">
      <c r="A49" s="720"/>
      <c r="B49" s="152" t="s">
        <v>6344</v>
      </c>
      <c r="C49" s="156" t="s">
        <v>2862</v>
      </c>
      <c r="N49" s="102"/>
      <c r="O49" s="102"/>
    </row>
    <row r="50" spans="1:15" ht="15.75">
      <c r="A50" s="720"/>
      <c r="B50" s="152" t="s">
        <v>6344</v>
      </c>
      <c r="C50" s="156" t="s">
        <v>4871</v>
      </c>
      <c r="N50" s="102"/>
      <c r="O50" s="102"/>
    </row>
    <row r="51" spans="1:15" ht="15.75">
      <c r="A51" s="720"/>
      <c r="B51" s="152"/>
      <c r="C51" s="156"/>
      <c r="N51" s="102"/>
      <c r="O51" s="102"/>
    </row>
    <row r="52" spans="1:15" ht="15.75">
      <c r="A52" s="720"/>
      <c r="N52" s="102"/>
      <c r="O52" s="102"/>
    </row>
    <row r="53" spans="1:15" ht="16.5">
      <c r="A53" s="720"/>
      <c r="H53" s="2022" t="s">
        <v>5442</v>
      </c>
      <c r="I53" s="2022"/>
      <c r="J53" s="2022"/>
      <c r="K53" s="2022"/>
      <c r="L53" s="2022"/>
      <c r="M53" s="719"/>
      <c r="N53" s="719"/>
      <c r="O53" s="719"/>
    </row>
    <row r="54" spans="1:15"/>
    <row r="55" spans="1:15"/>
    <row r="56" spans="1:15"/>
    <row r="57" spans="1:15"/>
    <row r="58" spans="1:15"/>
  </sheetData>
  <protectedRanges>
    <protectedRange sqref="I18:L21 B26:L26 C24 G20:G21 B18:B25 G23:G25 H18:H25 I23:L25 H27:L46 C20:C22 F18:F25 C18:E19 D20:E25 G18 B27:G52" name="nhap"/>
    <protectedRange sqref="H49:H52" name="nhap_1"/>
  </protectedRanges>
  <mergeCells count="35">
    <mergeCell ref="C14:L14"/>
    <mergeCell ref="E29:F29"/>
    <mergeCell ref="C15:L15"/>
    <mergeCell ref="B9:L9"/>
    <mergeCell ref="B10:L10"/>
    <mergeCell ref="C12:L12"/>
    <mergeCell ref="B16:L16"/>
    <mergeCell ref="B2:F2"/>
    <mergeCell ref="B4:E4"/>
    <mergeCell ref="B6:L6"/>
    <mergeCell ref="B3:F3"/>
    <mergeCell ref="B7:L7"/>
    <mergeCell ref="B5:F5"/>
    <mergeCell ref="H53:L53"/>
    <mergeCell ref="G2:L2"/>
    <mergeCell ref="G3:L3"/>
    <mergeCell ref="G4:L4"/>
    <mergeCell ref="G5:L5"/>
    <mergeCell ref="B11:L11"/>
    <mergeCell ref="C19:D19"/>
    <mergeCell ref="E18:H18"/>
    <mergeCell ref="E19:H19"/>
    <mergeCell ref="C13:L13"/>
    <mergeCell ref="H48:L48"/>
    <mergeCell ref="D42:G42"/>
    <mergeCell ref="C43:E43"/>
    <mergeCell ref="B41:G41"/>
    <mergeCell ref="C46:L46"/>
    <mergeCell ref="B8:L8"/>
    <mergeCell ref="F43:I43"/>
    <mergeCell ref="H47:L47"/>
    <mergeCell ref="B34:E34"/>
    <mergeCell ref="C18:D18"/>
    <mergeCell ref="B20:E20"/>
    <mergeCell ref="H29:I29"/>
  </mergeCells>
  <phoneticPr fontId="75" type="noConversion"/>
  <printOptions horizontalCentered="1"/>
  <pageMargins left="0.4" right="0.23" top="0.3" bottom="0.16" header="0.3" footer="0.1"/>
  <pageSetup paperSize="9" orientation="portrait" blackAndWhite="1" r:id="rId1"/>
  <headerFooter alignWithMargins="0"/>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indexed="32"/>
  </sheetPr>
  <dimension ref="A1:Z52"/>
  <sheetViews>
    <sheetView workbookViewId="0">
      <selection activeCell="E30" sqref="E30"/>
    </sheetView>
  </sheetViews>
  <sheetFormatPr defaultRowHeight="12.75"/>
  <cols>
    <col min="1" max="1" width="12.83203125" customWidth="1"/>
    <col min="2" max="2" width="37.33203125" customWidth="1"/>
    <col min="3" max="3" width="11.83203125" customWidth="1"/>
    <col min="4" max="4" width="12.5" customWidth="1"/>
    <col min="5" max="6" width="15.6640625" customWidth="1"/>
    <col min="8" max="8" width="14.5" bestFit="1" customWidth="1"/>
    <col min="9" max="9" width="10.1640625" bestFit="1" customWidth="1"/>
  </cols>
  <sheetData>
    <row r="1" spans="1:12" ht="21" customHeight="1">
      <c r="A1" s="978"/>
      <c r="B1" s="979"/>
      <c r="C1" s="979"/>
      <c r="D1" s="979"/>
      <c r="E1" s="979"/>
      <c r="F1" s="979"/>
    </row>
    <row r="2" spans="1:12" ht="18.75" customHeight="1">
      <c r="A2" s="978" t="s">
        <v>5994</v>
      </c>
      <c r="B2" s="979"/>
      <c r="C2" s="979"/>
      <c r="D2" s="979"/>
      <c r="E2" s="979"/>
      <c r="F2" s="979"/>
    </row>
    <row r="3" spans="1:12" ht="27.75" customHeight="1">
      <c r="A3" s="980"/>
      <c r="B3" s="981"/>
      <c r="C3" s="981"/>
      <c r="D3" s="981"/>
      <c r="E3" s="981"/>
      <c r="F3" s="981"/>
    </row>
    <row r="4" spans="1:12" s="982" customFormat="1" ht="35.25" customHeight="1">
      <c r="A4" s="2286" t="s">
        <v>5995</v>
      </c>
      <c r="B4" s="2286"/>
      <c r="C4" s="2286"/>
      <c r="D4" s="2286"/>
      <c r="E4" s="2286"/>
      <c r="F4" s="2286"/>
    </row>
    <row r="5" spans="1:12" s="982" customFormat="1" ht="35.25" hidden="1" customHeight="1">
      <c r="A5" s="983" t="s">
        <v>2216</v>
      </c>
      <c r="B5" s="983"/>
      <c r="C5" s="983"/>
      <c r="D5" s="983"/>
      <c r="E5" s="983"/>
      <c r="F5" s="983"/>
    </row>
    <row r="6" spans="1:12" s="982" customFormat="1" ht="26.25" customHeight="1">
      <c r="A6" s="984" t="s">
        <v>2079</v>
      </c>
    </row>
    <row r="7" spans="1:12" ht="34.5" customHeight="1">
      <c r="A7" s="985" t="s">
        <v>2680</v>
      </c>
      <c r="B7" s="985" t="s">
        <v>85</v>
      </c>
      <c r="C7" s="985" t="s">
        <v>87</v>
      </c>
      <c r="D7" s="985" t="s">
        <v>2217</v>
      </c>
      <c r="E7" s="985" t="s">
        <v>2218</v>
      </c>
      <c r="F7" s="985" t="s">
        <v>2219</v>
      </c>
    </row>
    <row r="8" spans="1:12" ht="16.5" customHeight="1">
      <c r="A8" s="986" t="s">
        <v>2220</v>
      </c>
      <c r="B8" s="987" t="s">
        <v>2221</v>
      </c>
      <c r="C8" s="988"/>
      <c r="D8" s="988"/>
      <c r="E8" s="988"/>
      <c r="F8" s="988"/>
    </row>
    <row r="9" spans="1:12" ht="16.5" customHeight="1">
      <c r="A9" s="989" t="s">
        <v>5018</v>
      </c>
      <c r="B9" s="990" t="s">
        <v>2222</v>
      </c>
      <c r="C9" s="991">
        <v>29353</v>
      </c>
      <c r="D9" s="992">
        <v>1</v>
      </c>
      <c r="E9" s="992"/>
      <c r="F9" s="993">
        <f>C9*D9</f>
        <v>29353</v>
      </c>
    </row>
    <row r="10" spans="1:12" ht="16.5" customHeight="1">
      <c r="A10" s="1002" t="s">
        <v>5021</v>
      </c>
      <c r="B10" s="1003" t="s">
        <v>2224</v>
      </c>
      <c r="C10" s="1004">
        <v>647791</v>
      </c>
      <c r="D10" s="1005">
        <v>1</v>
      </c>
      <c r="E10" s="1038">
        <f>I10</f>
        <v>0.82599999999999996</v>
      </c>
      <c r="F10" s="1006">
        <f>C10*D10*E10</f>
        <v>535075.36599999992</v>
      </c>
      <c r="H10" s="1039" t="s">
        <v>2516</v>
      </c>
      <c r="I10" s="1040">
        <v>0.82599999999999996</v>
      </c>
      <c r="J10" s="1041" t="s">
        <v>2517</v>
      </c>
      <c r="K10" s="1041"/>
      <c r="L10" s="1041"/>
    </row>
    <row r="11" spans="1:12" ht="16.5" customHeight="1">
      <c r="A11" s="1002" t="s">
        <v>5023</v>
      </c>
      <c r="B11" s="1003" t="s">
        <v>2788</v>
      </c>
      <c r="C11" s="1004">
        <v>4324</v>
      </c>
      <c r="D11" s="1005">
        <v>1</v>
      </c>
      <c r="E11" s="1042">
        <f>I11</f>
        <v>1</v>
      </c>
      <c r="F11" s="1006">
        <f>C11*D11*E11</f>
        <v>4324</v>
      </c>
      <c r="H11" s="1039" t="s">
        <v>4781</v>
      </c>
      <c r="I11" s="1040">
        <v>1</v>
      </c>
      <c r="J11" s="1041" t="s">
        <v>2517</v>
      </c>
    </row>
    <row r="12" spans="1:12" ht="16.5" customHeight="1">
      <c r="A12" s="1007" t="s">
        <v>3301</v>
      </c>
      <c r="B12" s="1008" t="s">
        <v>2913</v>
      </c>
      <c r="C12" s="1009"/>
      <c r="D12" s="1010"/>
      <c r="E12" s="1010"/>
      <c r="F12" s="1006">
        <f>SUM(F9:F11)</f>
        <v>568752.36599999992</v>
      </c>
    </row>
    <row r="13" spans="1:12" ht="16.5" customHeight="1">
      <c r="A13" s="1007" t="s">
        <v>2914</v>
      </c>
      <c r="B13" s="1008" t="s">
        <v>2915</v>
      </c>
      <c r="C13" s="1011" t="s">
        <v>5021</v>
      </c>
      <c r="D13" s="1012">
        <v>0.7</v>
      </c>
      <c r="E13" s="1010"/>
      <c r="F13" s="1006">
        <f>+D13*F10</f>
        <v>374552.75619999995</v>
      </c>
    </row>
    <row r="14" spans="1:12" ht="16.5" customHeight="1">
      <c r="A14" s="1013" t="s">
        <v>3853</v>
      </c>
      <c r="B14" s="1014" t="s">
        <v>2916</v>
      </c>
      <c r="C14" s="1015" t="s">
        <v>2917</v>
      </c>
      <c r="D14" s="1016"/>
      <c r="E14" s="1017"/>
      <c r="F14" s="1018">
        <f>+D14*(F12+F13)</f>
        <v>0</v>
      </c>
    </row>
    <row r="15" spans="1:12" ht="16.5" customHeight="1">
      <c r="A15" s="1019"/>
      <c r="B15" s="1020" t="s">
        <v>2918</v>
      </c>
      <c r="C15" s="1021" t="s">
        <v>2919</v>
      </c>
      <c r="D15" s="1022"/>
      <c r="E15" s="1023"/>
      <c r="F15" s="1024">
        <f>+ROUND(F12+F13+F14,0)</f>
        <v>943305</v>
      </c>
    </row>
    <row r="16" spans="1:12" ht="6.75" hidden="1" customHeight="1">
      <c r="A16" s="1025"/>
      <c r="B16" s="1026"/>
      <c r="C16" s="1027"/>
      <c r="D16" s="1028"/>
      <c r="E16" s="1028"/>
      <c r="F16" s="1029"/>
    </row>
    <row r="17" spans="1:9" ht="18.75" customHeight="1"/>
    <row r="18" spans="1:9" ht="18">
      <c r="F18" s="1233">
        <f>+ROUND(F15+F16+F17,0)</f>
        <v>943305</v>
      </c>
      <c r="G18" s="1043" t="s">
        <v>2920</v>
      </c>
      <c r="H18" s="1044">
        <f>F18/100</f>
        <v>9433.0499999999993</v>
      </c>
      <c r="I18" s="1045" t="s">
        <v>4782</v>
      </c>
    </row>
    <row r="20" spans="1:9" hidden="1"/>
    <row r="21" spans="1:9" hidden="1"/>
    <row r="22" spans="1:9" hidden="1"/>
    <row r="23" spans="1:9" hidden="1">
      <c r="B23" t="s">
        <v>2921</v>
      </c>
      <c r="D23" t="s">
        <v>2922</v>
      </c>
    </row>
    <row r="24" spans="1:9" hidden="1">
      <c r="B24">
        <f>255+160</f>
        <v>415</v>
      </c>
      <c r="D24" t="s">
        <v>2923</v>
      </c>
      <c r="E24">
        <v>0.159</v>
      </c>
      <c r="F24" t="s">
        <v>2924</v>
      </c>
    </row>
    <row r="25" spans="1:9" hidden="1">
      <c r="B25">
        <f>B24/2</f>
        <v>207.5</v>
      </c>
      <c r="D25" t="s">
        <v>2925</v>
      </c>
      <c r="E25">
        <v>0.30399999999999999</v>
      </c>
      <c r="F25" t="s">
        <v>2924</v>
      </c>
    </row>
    <row r="26" spans="1:9" ht="15.75" hidden="1">
      <c r="B26">
        <f>B25*3.14</f>
        <v>651.55000000000007</v>
      </c>
      <c r="D26" s="729" t="s">
        <v>5310</v>
      </c>
      <c r="E26">
        <f>E25+E24</f>
        <v>0.46299999999999997</v>
      </c>
    </row>
    <row r="27" spans="1:9" ht="15.75" hidden="1">
      <c r="B27">
        <f>B26/1000</f>
        <v>0.65155000000000007</v>
      </c>
      <c r="D27" s="729" t="s">
        <v>2926</v>
      </c>
      <c r="E27">
        <f>E26*0.01</f>
        <v>4.6299999999999996E-3</v>
      </c>
    </row>
    <row r="28" spans="1:9" hidden="1">
      <c r="B28">
        <f>B27*8.5</f>
        <v>5.5381750000000007</v>
      </c>
    </row>
    <row r="29" spans="1:9" hidden="1">
      <c r="D29" t="s">
        <v>2927</v>
      </c>
      <c r="E29">
        <f>E27+E26</f>
        <v>0.46762999999999999</v>
      </c>
      <c r="F29">
        <f>E29*B28</f>
        <v>2.5898167752500001</v>
      </c>
    </row>
    <row r="30" spans="1:9" ht="15.75">
      <c r="A30" s="984" t="s">
        <v>2078</v>
      </c>
    </row>
    <row r="31" spans="1:9" ht="34.5" customHeight="1">
      <c r="A31" s="985" t="s">
        <v>2680</v>
      </c>
      <c r="B31" s="985" t="s">
        <v>85</v>
      </c>
      <c r="C31" s="985" t="s">
        <v>87</v>
      </c>
      <c r="D31" s="985" t="s">
        <v>2217</v>
      </c>
      <c r="E31" s="985" t="s">
        <v>2218</v>
      </c>
      <c r="F31" s="985" t="s">
        <v>2219</v>
      </c>
    </row>
    <row r="32" spans="1:9" ht="16.5" customHeight="1">
      <c r="A32" s="986" t="s">
        <v>3753</v>
      </c>
      <c r="B32" s="987" t="s">
        <v>3754</v>
      </c>
      <c r="C32" s="988"/>
      <c r="D32" s="988"/>
      <c r="E32" s="988"/>
      <c r="F32" s="988"/>
    </row>
    <row r="33" spans="1:26" ht="16.5" customHeight="1">
      <c r="A33" s="989" t="s">
        <v>5018</v>
      </c>
      <c r="B33" s="990" t="s">
        <v>2222</v>
      </c>
      <c r="C33" s="991">
        <v>29353</v>
      </c>
      <c r="D33" s="992">
        <v>1</v>
      </c>
      <c r="E33" s="992"/>
      <c r="F33" s="993">
        <f>C33*D33</f>
        <v>29353</v>
      </c>
      <c r="G33" s="2287"/>
      <c r="H33" s="2288"/>
      <c r="I33" s="2288"/>
    </row>
    <row r="34" spans="1:26" ht="16.5" customHeight="1">
      <c r="A34" s="1002" t="s">
        <v>5021</v>
      </c>
      <c r="B34" s="1003" t="s">
        <v>2224</v>
      </c>
      <c r="C34" s="1004">
        <v>647791</v>
      </c>
      <c r="D34" s="1005">
        <v>1</v>
      </c>
      <c r="E34" s="1038">
        <f>I34</f>
        <v>0.86899999999999999</v>
      </c>
      <c r="F34" s="1006">
        <f>C34*D34*E34</f>
        <v>562930.37899999996</v>
      </c>
      <c r="H34" s="1039" t="s">
        <v>2516</v>
      </c>
      <c r="I34" s="1040">
        <v>0.86899999999999999</v>
      </c>
      <c r="J34" s="1041" t="s">
        <v>2517</v>
      </c>
      <c r="K34" s="1041"/>
      <c r="L34" s="1041"/>
    </row>
    <row r="35" spans="1:26" ht="16.5" customHeight="1">
      <c r="A35" s="1002" t="s">
        <v>5023</v>
      </c>
      <c r="B35" s="1003" t="s">
        <v>2788</v>
      </c>
      <c r="C35" s="1004">
        <v>4324</v>
      </c>
      <c r="D35" s="1005">
        <v>1</v>
      </c>
      <c r="E35" s="1046">
        <f>I35</f>
        <v>1</v>
      </c>
      <c r="F35" s="1006">
        <f>C35*D35*E35</f>
        <v>4324</v>
      </c>
      <c r="H35" s="1039" t="s">
        <v>4781</v>
      </c>
      <c r="I35" s="1040">
        <v>1</v>
      </c>
      <c r="J35" s="1041" t="s">
        <v>2517</v>
      </c>
    </row>
    <row r="36" spans="1:26" ht="16.5" customHeight="1">
      <c r="A36" s="1007" t="s">
        <v>3301</v>
      </c>
      <c r="B36" s="1008" t="s">
        <v>2913</v>
      </c>
      <c r="C36" s="1009"/>
      <c r="D36" s="1010"/>
      <c r="E36" s="1010"/>
      <c r="F36" s="1006">
        <f>SUM(F33:F35)</f>
        <v>596607.37899999996</v>
      </c>
    </row>
    <row r="37" spans="1:26" ht="16.5" customHeight="1">
      <c r="A37" s="1007" t="s">
        <v>2914</v>
      </c>
      <c r="B37" s="1008" t="s">
        <v>2915</v>
      </c>
      <c r="C37" s="1011" t="s">
        <v>5021</v>
      </c>
      <c r="D37" s="1012">
        <v>0.7</v>
      </c>
      <c r="E37" s="1010"/>
      <c r="F37" s="1006">
        <f>+D37*F34</f>
        <v>394051.26529999997</v>
      </c>
    </row>
    <row r="38" spans="1:26" ht="16.5" customHeight="1">
      <c r="A38" s="1013" t="s">
        <v>3853</v>
      </c>
      <c r="B38" s="1014" t="s">
        <v>2916</v>
      </c>
      <c r="C38" s="1015" t="s">
        <v>2917</v>
      </c>
      <c r="D38" s="1016"/>
      <c r="E38" s="1017"/>
      <c r="F38" s="1018">
        <f>+D38*(F36+F37)</f>
        <v>0</v>
      </c>
    </row>
    <row r="39" spans="1:26" ht="16.5" customHeight="1">
      <c r="A39" s="1019"/>
      <c r="B39" s="1020" t="s">
        <v>2918</v>
      </c>
      <c r="C39" s="1021" t="s">
        <v>2919</v>
      </c>
      <c r="D39" s="1022"/>
      <c r="E39" s="1023"/>
      <c r="F39" s="1024">
        <f>+ROUND(F36+F37+F38,0)</f>
        <v>990659</v>
      </c>
      <c r="H39" s="583"/>
    </row>
    <row r="41" spans="1:26" ht="18">
      <c r="F41" s="1031">
        <f>F39</f>
        <v>990659</v>
      </c>
      <c r="G41" s="1043" t="s">
        <v>2920</v>
      </c>
      <c r="H41" s="1044">
        <f>F41/100</f>
        <v>9906.59</v>
      </c>
      <c r="I41" s="1045" t="s">
        <v>4782</v>
      </c>
    </row>
    <row r="43" spans="1:26" ht="34.5" hidden="1" customHeight="1">
      <c r="A43" s="985" t="s">
        <v>2680</v>
      </c>
      <c r="B43" s="985" t="s">
        <v>85</v>
      </c>
      <c r="C43" s="985" t="s">
        <v>87</v>
      </c>
      <c r="D43" s="985" t="s">
        <v>2217</v>
      </c>
      <c r="E43" s="985" t="s">
        <v>2218</v>
      </c>
      <c r="F43" s="985" t="s">
        <v>2219</v>
      </c>
    </row>
    <row r="44" spans="1:26" ht="16.5" hidden="1" customHeight="1">
      <c r="A44" s="986" t="s">
        <v>3753</v>
      </c>
      <c r="B44" s="987" t="s">
        <v>3754</v>
      </c>
      <c r="C44" s="988"/>
      <c r="D44" s="988"/>
      <c r="E44" s="988"/>
      <c r="F44" s="988"/>
    </row>
    <row r="45" spans="1:26" ht="16.5" hidden="1" customHeight="1">
      <c r="A45" s="989" t="s">
        <v>5018</v>
      </c>
      <c r="B45" s="990" t="s">
        <v>2222</v>
      </c>
      <c r="C45" s="991">
        <v>27064</v>
      </c>
      <c r="D45" s="992">
        <v>1</v>
      </c>
      <c r="E45" s="992"/>
      <c r="F45" s="993">
        <f>C45*D45</f>
        <v>27064</v>
      </c>
      <c r="G45" s="2287"/>
      <c r="H45" s="2288"/>
      <c r="I45" s="2289"/>
      <c r="J45" s="994"/>
      <c r="K45" s="995"/>
      <c r="L45" s="996"/>
      <c r="M45" s="995"/>
      <c r="N45" s="996"/>
      <c r="O45" s="997">
        <v>1</v>
      </c>
      <c r="P45" s="996"/>
      <c r="Q45" s="998">
        <v>1.7</v>
      </c>
      <c r="R45" s="997">
        <v>1.2</v>
      </c>
      <c r="S45" s="999" t="s">
        <v>5644</v>
      </c>
      <c r="T45" s="1000">
        <v>144150</v>
      </c>
      <c r="U45" s="999"/>
      <c r="V45" s="997">
        <v>1</v>
      </c>
      <c r="W45" s="1000" t="s">
        <v>2223</v>
      </c>
      <c r="X45" s="1001">
        <f>1.06*1.76</f>
        <v>1.8656000000000001</v>
      </c>
      <c r="Y45" s="999" t="s">
        <v>4926</v>
      </c>
      <c r="Z45" s="999" t="s">
        <v>3306</v>
      </c>
    </row>
    <row r="46" spans="1:26" ht="16.5" hidden="1" customHeight="1">
      <c r="A46" s="1002" t="s">
        <v>5021</v>
      </c>
      <c r="B46" s="1003" t="s">
        <v>2224</v>
      </c>
      <c r="C46" s="1004">
        <v>139648</v>
      </c>
      <c r="D46" s="1005">
        <v>1</v>
      </c>
      <c r="E46" s="1005">
        <v>4.4290000000000003</v>
      </c>
      <c r="F46" s="1006">
        <f>C46*D46*E46</f>
        <v>618500.99200000009</v>
      </c>
      <c r="H46" s="1032">
        <f>1550/350</f>
        <v>4.4285714285714288</v>
      </c>
    </row>
    <row r="47" spans="1:26" ht="16.5" hidden="1" customHeight="1">
      <c r="A47" s="1002" t="s">
        <v>5023</v>
      </c>
      <c r="B47" s="1003" t="s">
        <v>2788</v>
      </c>
      <c r="C47" s="1004">
        <v>3218</v>
      </c>
      <c r="D47" s="1005">
        <v>1</v>
      </c>
      <c r="E47" s="1005">
        <v>1</v>
      </c>
      <c r="F47" s="1006">
        <f>C47*D47*E47</f>
        <v>3218</v>
      </c>
    </row>
    <row r="48" spans="1:26" ht="16.5" hidden="1" customHeight="1">
      <c r="A48" s="1007" t="s">
        <v>3301</v>
      </c>
      <c r="B48" s="1008" t="s">
        <v>2913</v>
      </c>
      <c r="C48" s="1009"/>
      <c r="D48" s="1010"/>
      <c r="E48" s="1010"/>
      <c r="F48" s="1006">
        <f>SUM(F45:F47)</f>
        <v>648782.99200000009</v>
      </c>
    </row>
    <row r="49" spans="1:7" ht="16.5" hidden="1" customHeight="1">
      <c r="A49" s="1007" t="s">
        <v>2914</v>
      </c>
      <c r="B49" s="1008" t="s">
        <v>2915</v>
      </c>
      <c r="C49" s="1011" t="s">
        <v>5021</v>
      </c>
      <c r="D49" s="1012">
        <v>0.7</v>
      </c>
      <c r="E49" s="1010"/>
      <c r="F49" s="1006">
        <f>+D49*F46</f>
        <v>432950.69440000004</v>
      </c>
    </row>
    <row r="50" spans="1:7" ht="16.5" hidden="1" customHeight="1">
      <c r="A50" s="1013" t="s">
        <v>3853</v>
      </c>
      <c r="B50" s="1014" t="s">
        <v>2916</v>
      </c>
      <c r="C50" s="1015" t="s">
        <v>2917</v>
      </c>
      <c r="D50" s="1016"/>
      <c r="E50" s="1017"/>
      <c r="F50" s="1018">
        <f>+D50*(F48+F49)</f>
        <v>0</v>
      </c>
    </row>
    <row r="51" spans="1:7" ht="16.5" hidden="1" customHeight="1">
      <c r="A51" s="1019"/>
      <c r="B51" s="1020" t="s">
        <v>2918</v>
      </c>
      <c r="C51" s="1021" t="s">
        <v>2919</v>
      </c>
      <c r="D51" s="1022"/>
      <c r="E51" s="1023"/>
      <c r="F51" s="1030">
        <f>+ROUND(F48+F49+F50,0)/100</f>
        <v>10817.34</v>
      </c>
      <c r="G51" t="s">
        <v>2920</v>
      </c>
    </row>
    <row r="52" spans="1:7" hidden="1"/>
  </sheetData>
  <mergeCells count="3">
    <mergeCell ref="A4:F4"/>
    <mergeCell ref="G45:I45"/>
    <mergeCell ref="G33:I33"/>
  </mergeCells>
  <phoneticPr fontId="152" type="noConversion"/>
  <pageMargins left="0.75" right="0.75" top="1" bottom="1" header="0.5" footer="0.5"/>
  <headerFooter alignWithMargins="0"/>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dimension ref="A1:M39"/>
  <sheetViews>
    <sheetView workbookViewId="0">
      <selection activeCell="C10" sqref="C10:D10"/>
    </sheetView>
  </sheetViews>
  <sheetFormatPr defaultColWidth="9.33203125" defaultRowHeight="12.75"/>
  <cols>
    <col min="1" max="1" width="5.1640625" style="589" bestFit="1" customWidth="1"/>
    <col min="2" max="2" width="35.83203125" style="1403" customWidth="1"/>
    <col min="3" max="3" width="10.5" style="1403" bestFit="1" customWidth="1"/>
    <col min="4" max="4" width="25.83203125" style="1403" customWidth="1"/>
    <col min="5" max="5" width="10.83203125" style="1403" customWidth="1"/>
    <col min="6" max="6" width="25.83203125" style="1403" customWidth="1"/>
    <col min="7" max="7" width="15.1640625" style="1403" customWidth="1"/>
    <col min="8" max="8" width="9.83203125" style="1403" bestFit="1" customWidth="1"/>
    <col min="9" max="9" width="9.83203125" style="1403" customWidth="1"/>
    <col min="10" max="10" width="30.83203125" style="1403" customWidth="1"/>
    <col min="11" max="16384" width="9.33203125" style="1403"/>
  </cols>
  <sheetData>
    <row r="1" spans="1:13" ht="33" customHeight="1">
      <c r="A1" s="2132" t="s">
        <v>4757</v>
      </c>
      <c r="B1" s="2132"/>
      <c r="C1" s="2132"/>
      <c r="D1" s="2132"/>
      <c r="E1" s="2132"/>
      <c r="F1" s="2132"/>
    </row>
    <row r="2" spans="1:13" hidden="1"/>
    <row r="3" spans="1:13" ht="15" customHeight="1">
      <c r="A3" s="1404" t="s">
        <v>6345</v>
      </c>
      <c r="B3" s="1404" t="s">
        <v>3311</v>
      </c>
      <c r="C3" s="1404" t="s">
        <v>5161</v>
      </c>
      <c r="D3" s="2295" t="s">
        <v>5162</v>
      </c>
      <c r="E3" s="2296"/>
      <c r="F3" s="1404" t="s">
        <v>5516</v>
      </c>
      <c r="J3" s="1405" t="s">
        <v>115</v>
      </c>
      <c r="K3" s="1406" t="s">
        <v>116</v>
      </c>
      <c r="L3" s="1406" t="s">
        <v>117</v>
      </c>
      <c r="M3" s="1406" t="s">
        <v>118</v>
      </c>
    </row>
    <row r="4" spans="1:13" ht="15.75">
      <c r="A4" s="1407" t="s">
        <v>5284</v>
      </c>
      <c r="B4" s="1408" t="s">
        <v>119</v>
      </c>
      <c r="C4" s="1407"/>
      <c r="D4" s="1409"/>
      <c r="E4" s="1410"/>
      <c r="F4" s="1411">
        <f>SUM(F5:F9,0)</f>
        <v>3609169</v>
      </c>
      <c r="G4" s="1412">
        <f>'II.9.tuvan'!M7</f>
        <v>44068475</v>
      </c>
      <c r="H4" s="1412">
        <f>G4-F4</f>
        <v>40459306</v>
      </c>
      <c r="I4" s="1432"/>
      <c r="J4" s="1413"/>
      <c r="K4" s="1414"/>
      <c r="L4" s="1414"/>
      <c r="M4" s="1414"/>
    </row>
    <row r="5" spans="1:13" ht="15.75">
      <c r="A5" s="231">
        <v>1</v>
      </c>
      <c r="B5" s="650" t="s">
        <v>120</v>
      </c>
      <c r="C5" s="231" t="s">
        <v>121</v>
      </c>
      <c r="D5" s="2297" t="s">
        <v>122</v>
      </c>
      <c r="E5" s="2298"/>
      <c r="F5" s="1415">
        <f>ROUND(F23,0)</f>
        <v>1306538</v>
      </c>
      <c r="J5" s="1416" t="s">
        <v>123</v>
      </c>
      <c r="K5" s="1416">
        <v>55</v>
      </c>
      <c r="L5" s="1416">
        <v>50</v>
      </c>
      <c r="M5" s="1416">
        <v>45</v>
      </c>
    </row>
    <row r="6" spans="1:13" ht="14.25">
      <c r="A6" s="571">
        <v>2</v>
      </c>
      <c r="B6" s="575" t="s">
        <v>124</v>
      </c>
      <c r="C6" s="571" t="s">
        <v>125</v>
      </c>
      <c r="D6" s="2293" t="str">
        <f>H6&amp;"% x CCG"</f>
        <v>55% x CCG</v>
      </c>
      <c r="E6" s="2294"/>
      <c r="F6" s="1417">
        <f>ROUND(H6%*F5,0)</f>
        <v>718596</v>
      </c>
      <c r="H6" s="1418">
        <f>IF(F5&lt;1000000000,K5,IF(1000000000&lt;F5&lt;5000000000,L5,M5))</f>
        <v>55</v>
      </c>
      <c r="J6" s="982" t="s">
        <v>126</v>
      </c>
    </row>
    <row r="7" spans="1:13" ht="14.25">
      <c r="A7" s="571">
        <v>3</v>
      </c>
      <c r="B7" s="575" t="s">
        <v>127</v>
      </c>
      <c r="C7" s="571" t="s">
        <v>128</v>
      </c>
      <c r="D7" s="2293" t="s">
        <v>129</v>
      </c>
      <c r="E7" s="2294"/>
      <c r="F7" s="1417">
        <f>1183217-118322+11832-1183+118-11+1+64646-6465+646-64+6</f>
        <v>1134421</v>
      </c>
    </row>
    <row r="8" spans="1:13" ht="14.25">
      <c r="A8" s="571">
        <v>4</v>
      </c>
      <c r="B8" s="575" t="s">
        <v>2916</v>
      </c>
      <c r="C8" s="571" t="s">
        <v>130</v>
      </c>
      <c r="D8" s="2293" t="s">
        <v>131</v>
      </c>
      <c r="E8" s="2294"/>
      <c r="F8" s="1417">
        <f>ROUND(6%*(F5+F6),0)</f>
        <v>121508</v>
      </c>
    </row>
    <row r="9" spans="1:13" ht="14.25">
      <c r="A9" s="571">
        <v>5</v>
      </c>
      <c r="B9" s="575" t="s">
        <v>132</v>
      </c>
      <c r="C9" s="571" t="s">
        <v>133</v>
      </c>
      <c r="D9" s="2293" t="s">
        <v>134</v>
      </c>
      <c r="E9" s="2294"/>
      <c r="F9" s="1417">
        <f>ROUND(10%*(F5+F6+F7+F8),0)</f>
        <v>328106</v>
      </c>
    </row>
    <row r="10" spans="1:13" ht="14.25">
      <c r="A10" s="571">
        <v>6</v>
      </c>
      <c r="B10" s="575" t="s">
        <v>135</v>
      </c>
      <c r="C10" s="571" t="s">
        <v>136</v>
      </c>
      <c r="D10" s="2293" t="s">
        <v>5285</v>
      </c>
      <c r="E10" s="2294"/>
      <c r="F10" s="1419"/>
    </row>
    <row r="11" spans="1:13" ht="15.75">
      <c r="A11" s="230" t="s">
        <v>1233</v>
      </c>
      <c r="B11" s="1420" t="s">
        <v>5286</v>
      </c>
      <c r="C11" s="230"/>
      <c r="D11" s="1421"/>
      <c r="E11" s="1422"/>
      <c r="F11" s="1423">
        <f>SUM(F12:F16,0)</f>
        <v>1726124</v>
      </c>
      <c r="G11" s="1412">
        <f>'II.9.tuvan'!M23</f>
        <v>40563919.677600011</v>
      </c>
      <c r="H11" s="1412">
        <f>G11-F11</f>
        <v>38837795.677600011</v>
      </c>
      <c r="I11" s="1432"/>
      <c r="J11" s="1424"/>
      <c r="K11" s="1425"/>
      <c r="L11" s="1425"/>
      <c r="M11" s="1425"/>
    </row>
    <row r="12" spans="1:13" ht="15" customHeight="1">
      <c r="A12" s="231">
        <v>1</v>
      </c>
      <c r="B12" s="650" t="s">
        <v>120</v>
      </c>
      <c r="C12" s="231" t="s">
        <v>121</v>
      </c>
      <c r="D12" s="2297" t="s">
        <v>5287</v>
      </c>
      <c r="E12" s="2298"/>
      <c r="F12" s="1174">
        <f>ROUND(F31,0)</f>
        <v>671154</v>
      </c>
      <c r="J12" s="1426"/>
      <c r="K12" s="1426"/>
      <c r="L12" s="1426"/>
      <c r="M12" s="1426"/>
    </row>
    <row r="13" spans="1:13" ht="15" customHeight="1">
      <c r="A13" s="571">
        <v>2</v>
      </c>
      <c r="B13" s="575" t="s">
        <v>124</v>
      </c>
      <c r="C13" s="571" t="s">
        <v>125</v>
      </c>
      <c r="D13" s="2293" t="str">
        <f>H6&amp;"% x CCG"</f>
        <v>55% x CCG</v>
      </c>
      <c r="E13" s="2294"/>
      <c r="F13" s="1152">
        <f>ROUND(H6%*F12,0)</f>
        <v>369135</v>
      </c>
      <c r="H13" s="982"/>
      <c r="I13" s="982"/>
    </row>
    <row r="14" spans="1:13" ht="15" customHeight="1">
      <c r="A14" s="571">
        <v>3</v>
      </c>
      <c r="B14" s="575" t="s">
        <v>127</v>
      </c>
      <c r="C14" s="571" t="s">
        <v>128</v>
      </c>
      <c r="D14" s="2293" t="s">
        <v>129</v>
      </c>
      <c r="E14" s="2294"/>
      <c r="F14" s="1152">
        <f>491599-49159+4915-491+49-5+1+21547-2154+215-21-1+3</f>
        <v>466498</v>
      </c>
    </row>
    <row r="15" spans="1:13" ht="15" customHeight="1">
      <c r="A15" s="571">
        <v>4</v>
      </c>
      <c r="B15" s="575" t="s">
        <v>2916</v>
      </c>
      <c r="C15" s="571" t="s">
        <v>130</v>
      </c>
      <c r="D15" s="2293" t="s">
        <v>131</v>
      </c>
      <c r="E15" s="2294"/>
      <c r="F15" s="1152">
        <f>ROUND(6%*(F12+F13),0)</f>
        <v>62417</v>
      </c>
    </row>
    <row r="16" spans="1:13" ht="14.25">
      <c r="A16" s="571">
        <v>5</v>
      </c>
      <c r="B16" s="575" t="s">
        <v>132</v>
      </c>
      <c r="C16" s="571" t="s">
        <v>133</v>
      </c>
      <c r="D16" s="2293" t="s">
        <v>134</v>
      </c>
      <c r="E16" s="2294"/>
      <c r="F16" s="1152">
        <f>ROUND(10%*(F12+F13+F14+F15),0)</f>
        <v>156920</v>
      </c>
    </row>
    <row r="17" spans="1:13" ht="14.25">
      <c r="A17" s="1427">
        <v>6</v>
      </c>
      <c r="B17" s="1428" t="s">
        <v>135</v>
      </c>
      <c r="C17" s="1427" t="s">
        <v>136</v>
      </c>
      <c r="D17" s="1934" t="s">
        <v>5285</v>
      </c>
      <c r="E17" s="1934"/>
      <c r="F17" s="1429"/>
    </row>
    <row r="18" spans="1:13">
      <c r="A18" s="2290" t="s">
        <v>5288</v>
      </c>
      <c r="B18" s="2291"/>
      <c r="C18" s="2291"/>
      <c r="D18" s="2291"/>
      <c r="E18" s="2292"/>
      <c r="F18" s="1430">
        <f>F4+F11</f>
        <v>5335293</v>
      </c>
      <c r="G18" s="1431">
        <f>'II.9.tuvan'!M5</f>
        <v>84632394.677600011</v>
      </c>
      <c r="H18" s="1412">
        <f>G18-F18</f>
        <v>79297101.677600011</v>
      </c>
      <c r="I18" s="1432"/>
      <c r="J18" s="1432"/>
    </row>
    <row r="19" spans="1:13">
      <c r="E19" s="1433"/>
      <c r="F19" s="1434"/>
      <c r="G19" s="1432"/>
      <c r="H19" s="1432"/>
      <c r="I19" s="1432"/>
    </row>
    <row r="20" spans="1:13" ht="20.100000000000001" customHeight="1">
      <c r="A20" s="1934" t="s">
        <v>5289</v>
      </c>
      <c r="B20" s="1934"/>
      <c r="C20" s="1934"/>
      <c r="D20" s="1934"/>
      <c r="E20" s="1934"/>
      <c r="F20" s="1934"/>
    </row>
    <row r="21" spans="1:13" ht="15" customHeight="1">
      <c r="A21" s="1404" t="s">
        <v>6345</v>
      </c>
      <c r="B21" s="1404" t="s">
        <v>424</v>
      </c>
      <c r="C21" s="1404" t="s">
        <v>5290</v>
      </c>
      <c r="D21" s="1404" t="s">
        <v>5291</v>
      </c>
      <c r="E21" s="1435" t="s">
        <v>210</v>
      </c>
      <c r="F21" s="1436" t="s">
        <v>5516</v>
      </c>
      <c r="J21" s="1424"/>
      <c r="K21" s="1425"/>
      <c r="L21" s="1425"/>
      <c r="M21" s="1425"/>
    </row>
    <row r="22" spans="1:13" ht="15" customHeight="1">
      <c r="A22" s="1437" t="s">
        <v>176</v>
      </c>
      <c r="B22" s="1437" t="s">
        <v>4275</v>
      </c>
      <c r="C22" s="1437" t="s">
        <v>4276</v>
      </c>
      <c r="D22" s="1437" t="str">
        <f>IF(NL!AS2=3,"(4)=(3)x2.000.000đ/26ngày","(4)=(3)x1.900.000/26")</f>
        <v>(4)=(3)x2.000.000đ/26ngày</v>
      </c>
      <c r="E22" s="1438" t="s">
        <v>5861</v>
      </c>
      <c r="F22" s="1438" t="s">
        <v>5292</v>
      </c>
      <c r="J22" s="1424"/>
      <c r="K22" s="1425"/>
      <c r="L22" s="1425"/>
      <c r="M22" s="1425"/>
    </row>
    <row r="23" spans="1:13" ht="15" customHeight="1">
      <c r="A23" s="1407" t="s">
        <v>5284</v>
      </c>
      <c r="B23" s="1408" t="s">
        <v>119</v>
      </c>
      <c r="C23" s="1407"/>
      <c r="D23" s="1407"/>
      <c r="E23" s="1407"/>
      <c r="F23" s="1411">
        <f>SUM(F24:F30,0)</f>
        <v>1306538</v>
      </c>
      <c r="J23" s="1424"/>
      <c r="K23" s="1425"/>
      <c r="L23" s="1425"/>
      <c r="M23" s="1425"/>
    </row>
    <row r="24" spans="1:13" ht="15" customHeight="1">
      <c r="A24" s="1439">
        <v>1</v>
      </c>
      <c r="B24" s="1440" t="s">
        <v>4502</v>
      </c>
      <c r="C24" s="1441">
        <f>2.34+(0.31)*5</f>
        <v>3.8899999999999997</v>
      </c>
      <c r="D24" s="1151">
        <f>ROUND(IF(NL!$AS$2=3,2000000*C24/26,1900000*C24/26),0)</f>
        <v>299231</v>
      </c>
      <c r="E24" s="1442">
        <v>0.5</v>
      </c>
      <c r="F24" s="1141">
        <f t="shared" ref="F24:F30" si="0">ROUND(E24*D24,0)</f>
        <v>149616</v>
      </c>
    </row>
    <row r="25" spans="1:13" ht="15" customHeight="1">
      <c r="A25" s="1443">
        <v>2</v>
      </c>
      <c r="B25" s="1444" t="s">
        <v>990</v>
      </c>
      <c r="C25" s="1445">
        <f>2.34+(0.31)*2</f>
        <v>2.96</v>
      </c>
      <c r="D25" s="1151">
        <f>ROUND(IF(NL!$AS$2=3,2000000*C25/26,1900000*C25/26),0)</f>
        <v>227692</v>
      </c>
      <c r="E25" s="28">
        <v>1</v>
      </c>
      <c r="F25" s="1142">
        <f t="shared" si="0"/>
        <v>227692</v>
      </c>
    </row>
    <row r="26" spans="1:13" ht="15" customHeight="1">
      <c r="A26" s="1443">
        <v>3</v>
      </c>
      <c r="B26" s="1444" t="s">
        <v>4375</v>
      </c>
      <c r="C26" s="1445">
        <f>2.34+(0.31)*2</f>
        <v>2.96</v>
      </c>
      <c r="D26" s="1151">
        <f>ROUND(IF(NL!$AS$2=3,2000000*C26/26,1900000*C26/26),0)</f>
        <v>227692</v>
      </c>
      <c r="E26" s="28">
        <v>0.5</v>
      </c>
      <c r="F26" s="1142">
        <f t="shared" si="0"/>
        <v>113846</v>
      </c>
    </row>
    <row r="27" spans="1:13" ht="15" customHeight="1">
      <c r="A27" s="1443">
        <v>4</v>
      </c>
      <c r="B27" s="1444" t="s">
        <v>4374</v>
      </c>
      <c r="C27" s="1446">
        <f>2.34+0.31</f>
        <v>2.65</v>
      </c>
      <c r="D27" s="1151">
        <f>ROUND(IF(NL!$AS$2=3,2000000*C27/26,1900000*C27/26),0)</f>
        <v>203846</v>
      </c>
      <c r="E27" s="28">
        <v>1</v>
      </c>
      <c r="F27" s="1142">
        <f t="shared" si="0"/>
        <v>203846</v>
      </c>
    </row>
    <row r="28" spans="1:13" ht="15" customHeight="1">
      <c r="A28" s="1443">
        <v>5</v>
      </c>
      <c r="B28" s="1444" t="s">
        <v>5293</v>
      </c>
      <c r="C28" s="1446">
        <f>2.34+0.31</f>
        <v>2.65</v>
      </c>
      <c r="D28" s="1151">
        <f>ROUND(IF(NL!$AS$2=3,2000000*C28/26,1900000*C28/26),0)</f>
        <v>203846</v>
      </c>
      <c r="E28" s="28">
        <v>2</v>
      </c>
      <c r="F28" s="1142">
        <f t="shared" si="0"/>
        <v>407692</v>
      </c>
    </row>
    <row r="29" spans="1:13" ht="15" customHeight="1">
      <c r="A29" s="1443">
        <v>6</v>
      </c>
      <c r="B29" s="1444" t="s">
        <v>5294</v>
      </c>
      <c r="C29" s="1446">
        <f>2.34+0.31</f>
        <v>2.65</v>
      </c>
      <c r="D29" s="1151">
        <f>ROUND(IF(NL!$AS$2=3,2000000*C29/26,1900000*C29/26),0)</f>
        <v>203846</v>
      </c>
      <c r="E29" s="1443">
        <v>1</v>
      </c>
      <c r="F29" s="1142">
        <f t="shared" si="0"/>
        <v>203846</v>
      </c>
    </row>
    <row r="30" spans="1:13" ht="15" customHeight="1">
      <c r="A30" s="1439">
        <v>7</v>
      </c>
      <c r="B30" s="1440" t="s">
        <v>5295</v>
      </c>
      <c r="C30" s="1447">
        <v>3.27</v>
      </c>
      <c r="D30" s="1151">
        <f>ROUND(IF(NL!$AS$2=3,2000000*C30/26,1900000*C30/26),0)</f>
        <v>251538</v>
      </c>
      <c r="E30" s="1078"/>
      <c r="F30" s="1142">
        <f t="shared" si="0"/>
        <v>0</v>
      </c>
      <c r="G30" s="1452"/>
    </row>
    <row r="31" spans="1:13" ht="15" customHeight="1">
      <c r="A31" s="230" t="s">
        <v>1233</v>
      </c>
      <c r="B31" s="1420" t="s">
        <v>5286</v>
      </c>
      <c r="C31" s="230"/>
      <c r="D31" s="230"/>
      <c r="E31" s="230"/>
      <c r="F31" s="1448">
        <f>SUM(F32:F38,0)</f>
        <v>671154</v>
      </c>
      <c r="J31" s="1424"/>
      <c r="K31" s="1425"/>
      <c r="L31" s="1425"/>
      <c r="M31" s="1425"/>
    </row>
    <row r="32" spans="1:13" ht="15" customHeight="1">
      <c r="A32" s="1439">
        <v>1</v>
      </c>
      <c r="B32" s="1440" t="s">
        <v>4502</v>
      </c>
      <c r="C32" s="1447">
        <f t="shared" ref="C32:C37" si="1">C24</f>
        <v>3.8899999999999997</v>
      </c>
      <c r="D32" s="1151">
        <f>ROUND(IF(NL!$AS$2=3,2000000*C32/26,1900000*C32/26),0)</f>
        <v>299231</v>
      </c>
      <c r="E32" s="1442">
        <v>0.5</v>
      </c>
      <c r="F32" s="1141">
        <f t="shared" ref="F32:F38" si="2">ROUND(E32*D32,0)</f>
        <v>149616</v>
      </c>
    </row>
    <row r="33" spans="1:6" ht="15" customHeight="1">
      <c r="A33" s="1443">
        <v>2</v>
      </c>
      <c r="B33" s="1444" t="s">
        <v>990</v>
      </c>
      <c r="C33" s="1447">
        <f t="shared" si="1"/>
        <v>2.96</v>
      </c>
      <c r="D33" s="1151">
        <f>ROUND(IF(NL!$AS$2=3,2000000*C33/26,1900000*C33/26),0)</f>
        <v>227692</v>
      </c>
      <c r="E33" s="28">
        <v>0.5</v>
      </c>
      <c r="F33" s="1142">
        <f t="shared" si="2"/>
        <v>113846</v>
      </c>
    </row>
    <row r="34" spans="1:6" ht="15" customHeight="1">
      <c r="A34" s="1443">
        <v>3</v>
      </c>
      <c r="B34" s="1444" t="s">
        <v>4375</v>
      </c>
      <c r="C34" s="1447">
        <f t="shared" si="1"/>
        <v>2.96</v>
      </c>
      <c r="D34" s="1151">
        <f>ROUND(IF(NL!$AS$2=3,2000000*C34/26,1900000*C34/26),0)</f>
        <v>227692</v>
      </c>
      <c r="E34" s="28"/>
      <c r="F34" s="1142">
        <f t="shared" si="2"/>
        <v>0</v>
      </c>
    </row>
    <row r="35" spans="1:6" ht="15" customHeight="1">
      <c r="A35" s="1443">
        <v>4</v>
      </c>
      <c r="B35" s="1444" t="s">
        <v>4374</v>
      </c>
      <c r="C35" s="1447">
        <f t="shared" si="1"/>
        <v>2.65</v>
      </c>
      <c r="D35" s="1151">
        <f>ROUND(IF(NL!$AS$2=3,2000000*C35/26,1900000*C35/26),0)</f>
        <v>203846</v>
      </c>
      <c r="E35" s="28">
        <v>0.5</v>
      </c>
      <c r="F35" s="1142">
        <f t="shared" si="2"/>
        <v>101923</v>
      </c>
    </row>
    <row r="36" spans="1:6" ht="15" customHeight="1">
      <c r="A36" s="1443">
        <v>5</v>
      </c>
      <c r="B36" s="1444" t="s">
        <v>5293</v>
      </c>
      <c r="C36" s="1447">
        <f t="shared" si="1"/>
        <v>2.65</v>
      </c>
      <c r="D36" s="1151">
        <f>ROUND(IF(NL!$AS$2=3,2000000*C36/26,1900000*C36/26),0)</f>
        <v>203846</v>
      </c>
      <c r="E36" s="28">
        <v>1</v>
      </c>
      <c r="F36" s="1142">
        <f t="shared" si="2"/>
        <v>203846</v>
      </c>
    </row>
    <row r="37" spans="1:6" ht="15" customHeight="1">
      <c r="A37" s="1443">
        <v>6</v>
      </c>
      <c r="B37" s="1444" t="s">
        <v>5294</v>
      </c>
      <c r="C37" s="1447">
        <f t="shared" si="1"/>
        <v>2.65</v>
      </c>
      <c r="D37" s="1151">
        <f>ROUND(IF(NL!$AS$2=3,2000000*C37/26,1900000*C37/26),0)</f>
        <v>203846</v>
      </c>
      <c r="E37" s="1451">
        <v>0.5</v>
      </c>
      <c r="F37" s="1142">
        <f t="shared" si="2"/>
        <v>101923</v>
      </c>
    </row>
    <row r="38" spans="1:6" ht="15" customHeight="1">
      <c r="A38" s="1439">
        <v>7</v>
      </c>
      <c r="B38" s="1440" t="s">
        <v>5295</v>
      </c>
      <c r="C38" s="1447">
        <f>C30</f>
        <v>3.27</v>
      </c>
      <c r="D38" s="1151">
        <f>ROUND(IF(NL!$AS$2=3,2000000*C38/26,1900000*C38/26),0)</f>
        <v>251538</v>
      </c>
      <c r="E38" s="1078"/>
      <c r="F38" s="1449">
        <f t="shared" si="2"/>
        <v>0</v>
      </c>
    </row>
    <row r="39" spans="1:6" ht="15" customHeight="1">
      <c r="A39" s="2290" t="s">
        <v>5288</v>
      </c>
      <c r="B39" s="2291"/>
      <c r="C39" s="2291"/>
      <c r="D39" s="2291"/>
      <c r="E39" s="2292"/>
      <c r="F39" s="1450">
        <f>F23+F31</f>
        <v>1977692</v>
      </c>
    </row>
  </sheetData>
  <mergeCells count="17">
    <mergeCell ref="A1:F1"/>
    <mergeCell ref="D3:E3"/>
    <mergeCell ref="D5:E5"/>
    <mergeCell ref="D6:E6"/>
    <mergeCell ref="D12:E12"/>
    <mergeCell ref="D13:E13"/>
    <mergeCell ref="D14:E14"/>
    <mergeCell ref="D15:E15"/>
    <mergeCell ref="D7:E7"/>
    <mergeCell ref="D8:E8"/>
    <mergeCell ref="D9:E9"/>
    <mergeCell ref="D10:E10"/>
    <mergeCell ref="A39:E39"/>
    <mergeCell ref="D16:E16"/>
    <mergeCell ref="D17:E17"/>
    <mergeCell ref="A18:E18"/>
    <mergeCell ref="A20:F20"/>
  </mergeCells>
  <phoneticPr fontId="152" type="noConversion"/>
  <printOptions horizontalCentered="1"/>
  <pageMargins left="0.35433070866141736" right="0.35433070866141736" top="0.59055118110236227" bottom="0.78740157480314965" header="0.51181102362204722" footer="0.51181102362204722"/>
  <pageSetup paperSize="9" scale="90" orientation="portrait"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dimension ref="A4:AH69"/>
  <sheetViews>
    <sheetView topLeftCell="B16" zoomScale="70" zoomScaleNormal="70" workbookViewId="0">
      <selection activeCell="B69" sqref="B69:AC69"/>
    </sheetView>
  </sheetViews>
  <sheetFormatPr defaultRowHeight="12.75"/>
  <cols>
    <col min="2" max="2" width="61.6640625" customWidth="1"/>
    <col min="4" max="6" width="0" hidden="1" customWidth="1"/>
    <col min="7" max="9" width="9.33203125" hidden="1" customWidth="1"/>
    <col min="10" max="10" width="10" customWidth="1"/>
    <col min="11" max="11" width="5.33203125" bestFit="1" customWidth="1"/>
    <col min="12" max="12" width="5" customWidth="1"/>
    <col min="13" max="13" width="5.6640625" customWidth="1"/>
    <col min="14" max="14" width="6.6640625" customWidth="1"/>
    <col min="15" max="17" width="5.5" customWidth="1"/>
    <col min="18" max="18" width="7.33203125" bestFit="1" customWidth="1"/>
    <col min="19" max="19" width="8.33203125" bestFit="1" customWidth="1"/>
    <col min="20" max="20" width="8.33203125" customWidth="1"/>
    <col min="21" max="21" width="9.33203125" bestFit="1" customWidth="1"/>
    <col min="22" max="23" width="9.33203125" customWidth="1"/>
    <col min="24" max="24" width="14" bestFit="1" customWidth="1"/>
    <col min="25" max="25" width="19.1640625" customWidth="1"/>
    <col min="26" max="26" width="19" customWidth="1"/>
    <col min="27" max="28" width="13.33203125" customWidth="1"/>
    <col min="29" max="29" width="15.6640625" bestFit="1" customWidth="1"/>
  </cols>
  <sheetData>
    <row r="4" spans="1:34">
      <c r="AD4" s="38" t="s">
        <v>6404</v>
      </c>
      <c r="AE4" s="38" t="s">
        <v>6405</v>
      </c>
      <c r="AF4" s="38" t="s">
        <v>6406</v>
      </c>
      <c r="AG4">
        <v>250</v>
      </c>
      <c r="AH4">
        <v>200</v>
      </c>
    </row>
    <row r="8" spans="1:34">
      <c r="D8" s="38" t="s">
        <v>6407</v>
      </c>
      <c r="E8" s="38" t="s">
        <v>6408</v>
      </c>
      <c r="F8" s="38" t="s">
        <v>6409</v>
      </c>
      <c r="G8" s="38" t="s">
        <v>6410</v>
      </c>
      <c r="H8" s="1522">
        <v>18323</v>
      </c>
      <c r="I8" s="1522">
        <v>34790</v>
      </c>
      <c r="K8" s="38" t="s">
        <v>6468</v>
      </c>
      <c r="L8" s="38" t="s">
        <v>6469</v>
      </c>
      <c r="M8" s="38" t="s">
        <v>6470</v>
      </c>
      <c r="N8" s="38" t="s">
        <v>6471</v>
      </c>
      <c r="O8" s="38" t="s">
        <v>6472</v>
      </c>
      <c r="P8" s="38">
        <v>200</v>
      </c>
      <c r="Q8" s="38">
        <v>125</v>
      </c>
      <c r="R8" s="38" t="s">
        <v>6473</v>
      </c>
      <c r="S8" s="38" t="s">
        <v>6474</v>
      </c>
      <c r="T8" s="38" t="s">
        <v>6475</v>
      </c>
      <c r="U8" s="38" t="s">
        <v>6476</v>
      </c>
      <c r="V8" s="38" t="s">
        <v>6477</v>
      </c>
      <c r="W8" s="1522">
        <v>34790</v>
      </c>
      <c r="X8" s="1522"/>
    </row>
    <row r="9" spans="1:34">
      <c r="B9" s="1523" t="s">
        <v>5771</v>
      </c>
      <c r="C9" s="1523"/>
      <c r="D9" s="1523"/>
      <c r="E9" s="1523"/>
      <c r="F9" s="1523"/>
      <c r="G9" s="1523"/>
      <c r="H9" s="1523"/>
      <c r="I9" s="1523"/>
      <c r="J9" s="1524"/>
      <c r="K9" s="1524"/>
      <c r="L9" s="1524"/>
      <c r="M9" s="1524"/>
      <c r="N9" s="1524"/>
      <c r="O9" s="1524"/>
      <c r="P9" s="1524"/>
      <c r="Q9" s="1524"/>
      <c r="R9" s="1524"/>
      <c r="S9" s="1524"/>
      <c r="T9" s="1524"/>
      <c r="U9" s="1524"/>
      <c r="V9" s="1524"/>
      <c r="W9" s="1524"/>
      <c r="X9" s="1524"/>
      <c r="Y9" s="1524"/>
      <c r="Z9" s="1524"/>
      <c r="AA9" s="1524">
        <v>196373640</v>
      </c>
      <c r="AB9" s="1524"/>
    </row>
    <row r="10" spans="1:34">
      <c r="B10" s="1523" t="s">
        <v>5772</v>
      </c>
      <c r="C10" s="1523"/>
      <c r="D10" s="1523"/>
      <c r="E10" s="1523"/>
      <c r="F10" s="1523"/>
      <c r="G10" s="1523"/>
      <c r="H10" s="1523"/>
      <c r="I10" s="1523"/>
      <c r="J10" s="1524"/>
      <c r="K10" s="1524"/>
      <c r="L10" s="1524"/>
      <c r="M10" s="1524"/>
      <c r="N10" s="1524"/>
      <c r="O10" s="1524"/>
      <c r="P10" s="1524"/>
      <c r="Q10" s="1524"/>
      <c r="R10" s="1524"/>
      <c r="S10" s="1524"/>
      <c r="T10" s="1524"/>
      <c r="U10" s="1524"/>
      <c r="V10" s="1524"/>
      <c r="W10" s="1524"/>
      <c r="X10" s="1524"/>
      <c r="Y10" s="1524"/>
      <c r="Z10" s="1524"/>
      <c r="AA10" s="1524">
        <v>6893436</v>
      </c>
      <c r="AB10" s="1524"/>
    </row>
    <row r="11" spans="1:34">
      <c r="B11" s="1523"/>
      <c r="C11" s="1523"/>
      <c r="D11" s="1523"/>
      <c r="E11" s="1523"/>
      <c r="F11" s="1523"/>
      <c r="G11" s="1523"/>
      <c r="H11" s="1523"/>
      <c r="I11" s="1523"/>
      <c r="J11" s="1524"/>
      <c r="K11" s="1524"/>
      <c r="L11" s="1524"/>
      <c r="M11" s="1524"/>
      <c r="N11" s="1524"/>
      <c r="O11" s="1524"/>
      <c r="P11" s="1524"/>
      <c r="Q11" s="1524"/>
      <c r="R11" s="1524"/>
      <c r="S11" s="1524"/>
      <c r="T11" s="1524"/>
      <c r="U11" s="1524"/>
      <c r="V11" s="1524"/>
      <c r="W11" s="1524"/>
      <c r="X11" s="1524"/>
      <c r="Y11" s="1524"/>
      <c r="Z11" s="1524"/>
      <c r="AA11" s="1524"/>
      <c r="AB11" s="1524"/>
    </row>
    <row r="12" spans="1:34">
      <c r="A12" s="38" t="s">
        <v>6411</v>
      </c>
      <c r="B12" s="1523" t="s">
        <v>6414</v>
      </c>
      <c r="C12" s="1523" t="s">
        <v>639</v>
      </c>
      <c r="D12" s="1523"/>
      <c r="E12" s="1523"/>
      <c r="F12" s="1523"/>
      <c r="G12" s="1523"/>
      <c r="H12" s="1523"/>
      <c r="I12" s="1523"/>
      <c r="J12" s="1525">
        <v>1475</v>
      </c>
      <c r="K12" s="1525"/>
      <c r="L12" s="1525"/>
      <c r="M12" s="1525"/>
      <c r="N12" s="1525"/>
      <c r="O12" s="1525"/>
      <c r="P12" s="1525"/>
      <c r="Q12" s="1525"/>
      <c r="R12" s="1525"/>
      <c r="S12" s="1525"/>
      <c r="T12" s="1525">
        <f>J12</f>
        <v>1475</v>
      </c>
      <c r="U12" s="1525"/>
      <c r="V12" s="1525"/>
      <c r="W12" s="1525"/>
      <c r="X12" s="1525">
        <f>(W12+V12+U12+T12+S12+R12+Q12+P12+O12+N12+M12+L12+K12)*Y12</f>
        <v>81862500</v>
      </c>
      <c r="Y12" s="1525">
        <v>55500</v>
      </c>
      <c r="AA12" s="1524"/>
      <c r="AB12" s="1524"/>
    </row>
    <row r="13" spans="1:34" s="806" customFormat="1">
      <c r="B13" s="806" t="s">
        <v>6415</v>
      </c>
      <c r="C13" s="806" t="s">
        <v>639</v>
      </c>
      <c r="J13" s="1627">
        <v>10927</v>
      </c>
      <c r="K13" s="1627"/>
      <c r="L13" s="1627"/>
      <c r="M13" s="1627"/>
      <c r="N13" s="1627"/>
      <c r="O13" s="1627"/>
      <c r="P13" s="1627"/>
      <c r="Q13" s="1627"/>
      <c r="R13" s="1627"/>
      <c r="S13" s="1627"/>
      <c r="T13" s="1627"/>
      <c r="U13" s="1627">
        <f>J13</f>
        <v>10927</v>
      </c>
      <c r="V13" s="1627"/>
      <c r="W13" s="1627"/>
      <c r="X13" s="1525">
        <f t="shared" ref="X13:X58" si="0">(W13+V13+U13+T13+S13+R13+Q13+P13+O13+N13+M13+L13+K13)*Y13</f>
        <v>1310147300</v>
      </c>
      <c r="Y13" s="1627">
        <v>119900</v>
      </c>
    </row>
    <row r="14" spans="1:34">
      <c r="B14" t="s">
        <v>6416</v>
      </c>
      <c r="C14" t="s">
        <v>2660</v>
      </c>
      <c r="J14" s="1525">
        <v>287</v>
      </c>
      <c r="K14" s="1525"/>
      <c r="L14" s="1525"/>
      <c r="M14" s="1525"/>
      <c r="N14" s="1525"/>
      <c r="O14" s="1525"/>
      <c r="P14" s="1525"/>
      <c r="Q14" s="1525"/>
      <c r="R14" s="1525">
        <f>J14</f>
        <v>287</v>
      </c>
      <c r="S14" s="1525"/>
      <c r="T14" s="1525"/>
      <c r="U14" s="1525"/>
      <c r="V14" s="1525"/>
      <c r="W14" s="1525"/>
      <c r="X14" s="1525">
        <f t="shared" si="0"/>
        <v>17334800</v>
      </c>
      <c r="Y14" s="1525">
        <v>60400</v>
      </c>
      <c r="AC14" s="1525"/>
    </row>
    <row r="15" spans="1:34">
      <c r="B15" t="s">
        <v>6417</v>
      </c>
      <c r="C15" t="s">
        <v>2660</v>
      </c>
      <c r="J15" s="1525">
        <v>2970</v>
      </c>
      <c r="K15" s="1525"/>
      <c r="L15" s="1525"/>
      <c r="M15" s="1525"/>
      <c r="N15" s="1525"/>
      <c r="O15" s="1525"/>
      <c r="P15" s="1525"/>
      <c r="Q15" s="1525"/>
      <c r="R15" s="1525"/>
      <c r="S15" s="1525">
        <f>J15</f>
        <v>2970</v>
      </c>
      <c r="T15" s="1525"/>
      <c r="U15" s="1525"/>
      <c r="V15" s="1525"/>
      <c r="W15" s="1525"/>
      <c r="X15" s="1525">
        <f t="shared" si="0"/>
        <v>183843000</v>
      </c>
      <c r="Y15" s="1525">
        <v>61900</v>
      </c>
      <c r="AC15" s="1525"/>
      <c r="AE15">
        <v>3</v>
      </c>
    </row>
    <row r="16" spans="1:34">
      <c r="B16" t="s">
        <v>6015</v>
      </c>
      <c r="C16" t="s">
        <v>1307</v>
      </c>
      <c r="J16" s="1524">
        <v>2</v>
      </c>
      <c r="K16" s="1524"/>
      <c r="L16" s="1524"/>
      <c r="M16" s="1524">
        <v>2</v>
      </c>
      <c r="N16" s="1524"/>
      <c r="O16" s="1524"/>
      <c r="P16" s="1524"/>
      <c r="Q16" s="1524"/>
      <c r="R16" s="1524"/>
      <c r="S16" s="1524"/>
      <c r="T16" s="1524"/>
      <c r="U16" s="1524"/>
      <c r="V16" s="1524"/>
      <c r="W16" s="1524"/>
      <c r="X16" s="1525">
        <f t="shared" si="0"/>
        <v>7040000</v>
      </c>
      <c r="Y16" s="1524">
        <v>3520000</v>
      </c>
      <c r="AC16" s="1525"/>
      <c r="AD16">
        <v>3</v>
      </c>
    </row>
    <row r="17" spans="2:29">
      <c r="B17" t="s">
        <v>1299</v>
      </c>
      <c r="C17" t="s">
        <v>1307</v>
      </c>
      <c r="J17" s="1524">
        <v>6</v>
      </c>
      <c r="K17" s="1524"/>
      <c r="L17" s="1524"/>
      <c r="M17" s="1524"/>
      <c r="N17" s="1524">
        <v>6</v>
      </c>
      <c r="O17" s="1524"/>
      <c r="P17" s="1524"/>
      <c r="Q17" s="1524"/>
      <c r="R17" s="1524"/>
      <c r="S17" s="1524"/>
      <c r="T17" s="1524"/>
      <c r="U17" s="1524"/>
      <c r="V17" s="1524"/>
      <c r="W17" s="1524"/>
      <c r="X17" s="1525">
        <f t="shared" si="0"/>
        <v>63000000</v>
      </c>
      <c r="Y17" s="1524">
        <v>10500000</v>
      </c>
    </row>
    <row r="18" spans="2:29">
      <c r="B18" t="s">
        <v>6413</v>
      </c>
      <c r="C18" t="s">
        <v>639</v>
      </c>
      <c r="J18" s="1524">
        <v>4846</v>
      </c>
      <c r="K18" s="1524"/>
      <c r="L18" s="1524"/>
      <c r="M18" s="1524"/>
      <c r="N18" s="1524"/>
      <c r="O18" s="1524"/>
      <c r="P18" s="1524"/>
      <c r="Q18" s="1524"/>
      <c r="R18" s="1524"/>
      <c r="S18" s="1524"/>
      <c r="T18" s="1524"/>
      <c r="U18" s="1524"/>
      <c r="V18" s="1524">
        <f>J18</f>
        <v>4846</v>
      </c>
      <c r="W18" s="1524"/>
      <c r="X18" s="1525">
        <f t="shared" si="0"/>
        <v>227762000</v>
      </c>
      <c r="Y18" s="1524">
        <v>47000</v>
      </c>
    </row>
    <row r="19" spans="2:29" s="1628" customFormat="1">
      <c r="B19" s="1628" t="s">
        <v>4793</v>
      </c>
      <c r="C19" s="1628" t="s">
        <v>152</v>
      </c>
      <c r="J19" s="1628">
        <v>3</v>
      </c>
      <c r="X19" s="1525">
        <f t="shared" si="0"/>
        <v>0</v>
      </c>
      <c r="Z19" s="1629"/>
      <c r="AC19" s="1527"/>
    </row>
    <row r="20" spans="2:29">
      <c r="B20" t="s">
        <v>6412</v>
      </c>
      <c r="C20" t="s">
        <v>1307</v>
      </c>
      <c r="J20">
        <v>1</v>
      </c>
      <c r="K20">
        <v>3</v>
      </c>
      <c r="X20" s="1525">
        <f t="shared" si="0"/>
        <v>175005000</v>
      </c>
      <c r="Y20" s="1524">
        <v>58335000</v>
      </c>
      <c r="AC20" s="1525"/>
    </row>
    <row r="21" spans="2:29">
      <c r="B21" t="s">
        <v>6015</v>
      </c>
      <c r="C21" t="s">
        <v>1307</v>
      </c>
      <c r="J21">
        <v>1</v>
      </c>
      <c r="M21">
        <v>3</v>
      </c>
      <c r="X21" s="1525">
        <f t="shared" si="0"/>
        <v>10560000</v>
      </c>
      <c r="Y21" s="1524">
        <v>3520000</v>
      </c>
    </row>
    <row r="22" spans="2:29">
      <c r="B22" t="s">
        <v>6014</v>
      </c>
      <c r="C22" t="s">
        <v>1307</v>
      </c>
      <c r="H22" s="1526"/>
      <c r="I22" s="1526"/>
      <c r="J22" s="1525">
        <v>1</v>
      </c>
      <c r="K22" s="1525"/>
      <c r="L22" s="1525">
        <v>3</v>
      </c>
      <c r="M22" s="1525"/>
      <c r="N22" s="1525"/>
      <c r="O22" s="1525"/>
      <c r="P22" s="1525"/>
      <c r="Q22" s="1525"/>
      <c r="R22" s="1525"/>
      <c r="S22" s="1525"/>
      <c r="T22" s="1525"/>
      <c r="U22" s="1525"/>
      <c r="V22" s="1525"/>
      <c r="W22" s="1525"/>
      <c r="X22" s="1525">
        <f t="shared" si="0"/>
        <v>3750000</v>
      </c>
      <c r="Y22" s="1524">
        <v>1250000</v>
      </c>
      <c r="AA22" s="1526"/>
      <c r="AC22" s="1525"/>
    </row>
    <row r="23" spans="2:29" s="1628" customFormat="1">
      <c r="B23" s="1628" t="s">
        <v>1949</v>
      </c>
      <c r="C23" s="1628" t="s">
        <v>152</v>
      </c>
      <c r="F23" s="1630"/>
      <c r="G23" s="1630"/>
      <c r="H23" s="1630"/>
      <c r="I23" s="1630"/>
      <c r="J23" s="1527">
        <v>3</v>
      </c>
      <c r="K23" s="1527"/>
      <c r="L23" s="1527"/>
      <c r="M23" s="1527"/>
      <c r="N23" s="1527"/>
      <c r="O23" s="1527"/>
      <c r="P23" s="1527"/>
      <c r="Q23" s="1527"/>
      <c r="R23" s="1527"/>
      <c r="S23" s="1527"/>
      <c r="T23" s="1527"/>
      <c r="U23" s="1527"/>
      <c r="V23" s="1527"/>
      <c r="W23" s="1527"/>
      <c r="X23" s="1525">
        <f t="shared" si="0"/>
        <v>0</v>
      </c>
      <c r="Y23" s="1527"/>
      <c r="Z23" s="1629"/>
      <c r="AA23" s="1527"/>
      <c r="AB23" s="1527"/>
      <c r="AC23" s="1527"/>
    </row>
    <row r="24" spans="2:29">
      <c r="B24" t="s">
        <v>4119</v>
      </c>
      <c r="C24" t="s">
        <v>1307</v>
      </c>
      <c r="F24" s="1526"/>
      <c r="G24" s="1526"/>
      <c r="H24" s="1526"/>
      <c r="I24" s="1526"/>
      <c r="J24" s="1525">
        <v>1</v>
      </c>
      <c r="K24" s="1525"/>
      <c r="L24" s="1525"/>
      <c r="M24" s="1525"/>
      <c r="N24" s="1525"/>
      <c r="O24" s="1525"/>
      <c r="P24" s="1525"/>
      <c r="Q24" s="1525">
        <v>3</v>
      </c>
      <c r="R24" s="1525"/>
      <c r="S24" s="1525"/>
      <c r="T24" s="1525"/>
      <c r="U24" s="1525"/>
      <c r="V24" s="1525"/>
      <c r="W24" s="1525"/>
      <c r="X24" s="1525">
        <f t="shared" si="0"/>
        <v>7848000</v>
      </c>
      <c r="Y24" s="1524">
        <v>2616000</v>
      </c>
      <c r="AA24" s="1525"/>
      <c r="AB24" s="1525"/>
      <c r="AC24" s="1525"/>
    </row>
    <row r="25" spans="2:29">
      <c r="F25" s="1526"/>
      <c r="G25" s="1526"/>
      <c r="H25" s="1526"/>
      <c r="I25" s="1526"/>
      <c r="J25" s="1525"/>
      <c r="K25" s="1525"/>
      <c r="L25" s="1525"/>
      <c r="M25" s="1525"/>
      <c r="N25" s="1525"/>
      <c r="O25" s="1525"/>
      <c r="P25" s="1525"/>
      <c r="Q25" s="1525"/>
      <c r="R25" s="1525"/>
      <c r="S25" s="1525"/>
      <c r="T25" s="1525"/>
      <c r="U25" s="1525"/>
      <c r="V25" s="1525"/>
      <c r="W25" s="1525"/>
      <c r="X25" s="1525">
        <f t="shared" si="0"/>
        <v>0</v>
      </c>
      <c r="Y25" s="1525"/>
      <c r="Z25" s="1524"/>
      <c r="AA25" s="1525"/>
      <c r="AB25" s="1525"/>
      <c r="AC25" s="1525"/>
    </row>
    <row r="26" spans="2:29">
      <c r="F26" s="1526"/>
      <c r="G26" s="1526"/>
      <c r="H26" s="1526"/>
      <c r="I26" s="1526"/>
      <c r="J26" s="1525"/>
      <c r="K26" s="1525"/>
      <c r="L26" s="1525"/>
      <c r="M26" s="1525"/>
      <c r="N26" s="1525"/>
      <c r="O26" s="1525"/>
      <c r="P26" s="1525"/>
      <c r="Q26" s="1525"/>
      <c r="R26" s="1525"/>
      <c r="S26" s="1525"/>
      <c r="T26" s="1525"/>
      <c r="U26" s="1525"/>
      <c r="V26" s="1525"/>
      <c r="W26" s="1525"/>
      <c r="X26" s="1525">
        <f t="shared" si="0"/>
        <v>0</v>
      </c>
      <c r="Y26" s="1525"/>
      <c r="Z26" s="1524"/>
      <c r="AA26" s="1525"/>
      <c r="AB26" s="1525"/>
      <c r="AC26" s="1525"/>
    </row>
    <row r="27" spans="2:29">
      <c r="B27" s="1525">
        <v>175741778</v>
      </c>
      <c r="F27" s="1526"/>
      <c r="G27" s="1526"/>
      <c r="H27" s="1526"/>
      <c r="I27" s="1526"/>
      <c r="J27" s="1525"/>
      <c r="K27" s="1525"/>
      <c r="L27" s="1525"/>
      <c r="M27" s="1525"/>
      <c r="N27" s="1525"/>
      <c r="O27" s="1525"/>
      <c r="P27" s="1525"/>
      <c r="Q27" s="1525"/>
      <c r="R27" s="1525"/>
      <c r="S27" s="1525"/>
      <c r="T27" s="1525"/>
      <c r="U27" s="1525"/>
      <c r="V27" s="1525"/>
      <c r="W27" s="1525"/>
      <c r="X27" s="1525">
        <f t="shared" si="0"/>
        <v>0</v>
      </c>
      <c r="Y27" s="1525">
        <v>193315956</v>
      </c>
      <c r="Z27" s="1524"/>
      <c r="AA27" s="1525"/>
      <c r="AB27" s="1525"/>
      <c r="AC27" s="1525"/>
    </row>
    <row r="28" spans="2:29">
      <c r="B28" s="1525">
        <v>6309450</v>
      </c>
      <c r="F28" s="1526"/>
      <c r="G28" s="1526"/>
      <c r="H28" s="1526"/>
      <c r="I28" s="1526"/>
      <c r="J28" s="1525"/>
      <c r="K28" s="1525"/>
      <c r="L28" s="1525"/>
      <c r="M28" s="1525"/>
      <c r="N28" s="1525"/>
      <c r="O28" s="1525"/>
      <c r="P28" s="1525"/>
      <c r="Q28" s="1525"/>
      <c r="R28" s="1525"/>
      <c r="S28" s="1525"/>
      <c r="T28" s="1525"/>
      <c r="U28" s="1525"/>
      <c r="V28" s="1525"/>
      <c r="W28" s="1525"/>
      <c r="X28" s="1525">
        <f t="shared" si="0"/>
        <v>0</v>
      </c>
      <c r="Y28" s="1525">
        <v>6940395</v>
      </c>
      <c r="Z28" s="1524"/>
      <c r="AA28" s="1525"/>
      <c r="AB28" s="1525"/>
      <c r="AC28" s="1525"/>
    </row>
    <row r="29" spans="2:29">
      <c r="B29" s="1525">
        <v>98234852</v>
      </c>
      <c r="G29" s="1526"/>
      <c r="H29" s="1526"/>
      <c r="I29" s="1526"/>
      <c r="J29" s="1525"/>
      <c r="K29" s="1525"/>
      <c r="L29" s="1525"/>
      <c r="M29" s="1525"/>
      <c r="N29" s="1525"/>
      <c r="O29" s="1525"/>
      <c r="P29" s="1525"/>
      <c r="Q29" s="1525"/>
      <c r="R29" s="1525"/>
      <c r="S29" s="1525"/>
      <c r="T29" s="1525"/>
      <c r="U29" s="1525"/>
      <c r="V29" s="1525"/>
      <c r="W29" s="1525"/>
      <c r="X29" s="1525">
        <f t="shared" si="0"/>
        <v>0</v>
      </c>
      <c r="Y29" s="1525">
        <v>108058337</v>
      </c>
      <c r="Z29" s="1524"/>
      <c r="AA29" s="1525"/>
      <c r="AB29" s="1525"/>
      <c r="AC29" s="1525"/>
    </row>
    <row r="30" spans="2:29">
      <c r="D30" s="1526"/>
      <c r="E30" s="1526"/>
      <c r="F30" s="1526"/>
      <c r="G30" s="1526"/>
      <c r="H30" s="1526"/>
      <c r="I30" s="1526"/>
      <c r="J30" s="1525"/>
      <c r="K30" s="1525"/>
      <c r="L30" s="1525"/>
      <c r="M30" s="1525"/>
      <c r="N30" s="1525"/>
      <c r="O30" s="1525"/>
      <c r="P30" s="1525"/>
      <c r="Q30" s="1525"/>
      <c r="R30" s="1525"/>
      <c r="S30" s="1525"/>
      <c r="T30" s="1525"/>
      <c r="U30" s="1525"/>
      <c r="V30" s="1525"/>
      <c r="W30" s="1525"/>
      <c r="X30" s="1525">
        <f t="shared" si="0"/>
        <v>0</v>
      </c>
      <c r="Y30" s="1525"/>
      <c r="Z30" s="1524"/>
      <c r="AA30" s="1525"/>
      <c r="AB30" s="1525"/>
      <c r="AC30" s="1525"/>
    </row>
    <row r="31" spans="2:29">
      <c r="E31" s="1526"/>
      <c r="F31" s="1526"/>
      <c r="G31" s="1526"/>
      <c r="H31" s="1526"/>
      <c r="I31" s="1526"/>
      <c r="J31" s="1525"/>
      <c r="K31" s="1525"/>
      <c r="L31" s="1525"/>
      <c r="M31" s="1525"/>
      <c r="N31" s="1525"/>
      <c r="O31" s="1525"/>
      <c r="P31" s="1525"/>
      <c r="Q31" s="1525"/>
      <c r="R31" s="1525"/>
      <c r="S31" s="1525"/>
      <c r="T31" s="1525"/>
      <c r="U31" s="1525"/>
      <c r="V31" s="1525"/>
      <c r="W31" s="1525"/>
      <c r="X31" s="1525">
        <f t="shared" si="0"/>
        <v>0</v>
      </c>
      <c r="Y31" s="1525"/>
      <c r="Z31" s="1524"/>
      <c r="AA31" s="1525"/>
      <c r="AB31" s="1525"/>
      <c r="AC31" s="1525"/>
    </row>
    <row r="32" spans="2:29">
      <c r="X32" s="1525">
        <f t="shared" si="0"/>
        <v>0</v>
      </c>
      <c r="Z32" s="1524"/>
    </row>
    <row r="33" spans="1:32">
      <c r="X33" s="1525">
        <f t="shared" si="0"/>
        <v>0</v>
      </c>
      <c r="Y33" s="1525"/>
      <c r="Z33" s="1524"/>
      <c r="AA33" s="1525"/>
      <c r="AC33" s="1525"/>
      <c r="AE33">
        <v>2</v>
      </c>
    </row>
    <row r="34" spans="1:32">
      <c r="X34" s="1525">
        <f t="shared" si="0"/>
        <v>0</v>
      </c>
      <c r="Z34" s="1524"/>
      <c r="AA34" s="1525"/>
      <c r="AC34" s="1525"/>
      <c r="AF34" s="38">
        <v>6</v>
      </c>
    </row>
    <row r="35" spans="1:32">
      <c r="X35" s="1525">
        <f t="shared" si="0"/>
        <v>0</v>
      </c>
      <c r="Z35" s="1524"/>
    </row>
    <row r="36" spans="1:32">
      <c r="A36" s="38" t="s">
        <v>6418</v>
      </c>
      <c r="B36" t="s">
        <v>6414</v>
      </c>
      <c r="C36" t="s">
        <v>639</v>
      </c>
      <c r="D36">
        <v>99</v>
      </c>
      <c r="E36">
        <v>99</v>
      </c>
      <c r="F36">
        <v>55500</v>
      </c>
      <c r="J36">
        <v>99</v>
      </c>
      <c r="T36">
        <f>J36</f>
        <v>99</v>
      </c>
      <c r="X36" s="1525">
        <f t="shared" si="0"/>
        <v>5494500</v>
      </c>
      <c r="Y36" s="1524">
        <v>55500</v>
      </c>
    </row>
    <row r="37" spans="1:32">
      <c r="B37" t="s">
        <v>6416</v>
      </c>
      <c r="C37" t="s">
        <v>2660</v>
      </c>
      <c r="D37">
        <v>19</v>
      </c>
      <c r="E37">
        <v>1881</v>
      </c>
      <c r="F37">
        <v>60400</v>
      </c>
      <c r="J37">
        <v>19</v>
      </c>
      <c r="R37">
        <f>J37</f>
        <v>19</v>
      </c>
      <c r="X37" s="1525">
        <f t="shared" si="0"/>
        <v>1147600</v>
      </c>
      <c r="Y37" s="1524">
        <v>60400</v>
      </c>
      <c r="AC37" s="1525"/>
    </row>
    <row r="38" spans="1:32">
      <c r="B38" t="s">
        <v>6015</v>
      </c>
      <c r="C38" t="s">
        <v>1307</v>
      </c>
      <c r="J38">
        <v>1</v>
      </c>
      <c r="M38">
        <v>1</v>
      </c>
      <c r="X38" s="1525">
        <f t="shared" si="0"/>
        <v>3520000</v>
      </c>
      <c r="Y38" s="1524">
        <v>3520000</v>
      </c>
      <c r="AC38" s="1525"/>
    </row>
    <row r="39" spans="1:32">
      <c r="B39" t="s">
        <v>6423</v>
      </c>
      <c r="C39" t="s">
        <v>639</v>
      </c>
      <c r="J39">
        <v>818</v>
      </c>
      <c r="W39">
        <f>J39</f>
        <v>818</v>
      </c>
      <c r="X39" s="1525">
        <f t="shared" si="0"/>
        <v>91043400</v>
      </c>
      <c r="Y39" s="1524">
        <v>111300</v>
      </c>
      <c r="AC39" s="1525"/>
    </row>
    <row r="40" spans="1:32">
      <c r="X40" s="1525">
        <f t="shared" si="0"/>
        <v>0</v>
      </c>
      <c r="Z40" s="1524"/>
    </row>
    <row r="41" spans="1:32" s="806" customFormat="1">
      <c r="B41" s="806" t="s">
        <v>6463</v>
      </c>
      <c r="C41" s="806" t="s">
        <v>152</v>
      </c>
      <c r="J41" s="806">
        <v>1</v>
      </c>
      <c r="X41" s="1525">
        <f t="shared" si="0"/>
        <v>0</v>
      </c>
      <c r="Z41" s="1625"/>
    </row>
    <row r="42" spans="1:32">
      <c r="B42" t="s">
        <v>6412</v>
      </c>
      <c r="C42" t="s">
        <v>1307</v>
      </c>
      <c r="J42">
        <v>1</v>
      </c>
      <c r="K42">
        <v>1</v>
      </c>
      <c r="X42" s="1525">
        <f t="shared" si="0"/>
        <v>58335000</v>
      </c>
      <c r="Y42" s="1524">
        <v>58335000</v>
      </c>
      <c r="AC42" s="1525"/>
    </row>
    <row r="43" spans="1:32">
      <c r="B43" t="s">
        <v>6015</v>
      </c>
      <c r="C43" t="s">
        <v>1307</v>
      </c>
      <c r="J43">
        <v>2</v>
      </c>
      <c r="M43">
        <v>2</v>
      </c>
      <c r="X43" s="1525">
        <f t="shared" si="0"/>
        <v>7040000</v>
      </c>
      <c r="Y43" s="1524">
        <v>3520000</v>
      </c>
      <c r="AC43" s="1525"/>
    </row>
    <row r="44" spans="1:32">
      <c r="B44" t="s">
        <v>6014</v>
      </c>
      <c r="C44" t="s">
        <v>1307</v>
      </c>
      <c r="J44">
        <v>2</v>
      </c>
      <c r="L44">
        <v>2</v>
      </c>
      <c r="X44" s="1525">
        <f t="shared" si="0"/>
        <v>2500000</v>
      </c>
      <c r="Y44" s="1524">
        <v>1250000</v>
      </c>
      <c r="AC44" s="1525"/>
    </row>
    <row r="45" spans="1:32">
      <c r="B45" t="s">
        <v>6019</v>
      </c>
      <c r="C45" t="s">
        <v>1307</v>
      </c>
      <c r="J45">
        <v>2</v>
      </c>
      <c r="X45" s="1525"/>
      <c r="Y45" s="1524">
        <v>0</v>
      </c>
      <c r="Z45" s="1524" t="s">
        <v>1838</v>
      </c>
    </row>
    <row r="46" spans="1:32">
      <c r="B46" t="s">
        <v>6015</v>
      </c>
      <c r="C46" t="s">
        <v>1307</v>
      </c>
      <c r="J46">
        <v>1</v>
      </c>
      <c r="X46" s="1525"/>
      <c r="Y46" s="1524">
        <v>0</v>
      </c>
      <c r="Z46" s="1524" t="s">
        <v>1838</v>
      </c>
    </row>
    <row r="47" spans="1:32">
      <c r="B47" t="s">
        <v>6014</v>
      </c>
      <c r="C47" t="s">
        <v>1307</v>
      </c>
      <c r="J47">
        <v>1</v>
      </c>
      <c r="X47" s="1525"/>
      <c r="Y47" s="1524">
        <v>0</v>
      </c>
      <c r="Z47" s="1524" t="s">
        <v>1838</v>
      </c>
      <c r="AC47" s="1525"/>
    </row>
    <row r="48" spans="1:32">
      <c r="X48" s="1525">
        <f t="shared" si="0"/>
        <v>0</v>
      </c>
      <c r="Z48" s="1524"/>
      <c r="AC48" s="1525"/>
    </row>
    <row r="49" spans="2:34" s="806" customFormat="1">
      <c r="B49" s="806" t="s">
        <v>6419</v>
      </c>
      <c r="C49" s="806" t="s">
        <v>152</v>
      </c>
      <c r="J49" s="806">
        <v>1</v>
      </c>
      <c r="X49" s="1525">
        <f t="shared" si="0"/>
        <v>0</v>
      </c>
      <c r="Z49" s="1625"/>
    </row>
    <row r="50" spans="2:34">
      <c r="B50" t="s">
        <v>6420</v>
      </c>
      <c r="C50" t="s">
        <v>1307</v>
      </c>
      <c r="J50">
        <v>1</v>
      </c>
      <c r="K50">
        <v>1</v>
      </c>
      <c r="X50" s="1525">
        <f t="shared" si="0"/>
        <v>77040000</v>
      </c>
      <c r="Y50" s="1524">
        <v>77040000</v>
      </c>
    </row>
    <row r="51" spans="2:34">
      <c r="B51" t="s">
        <v>6015</v>
      </c>
      <c r="C51" t="s">
        <v>1307</v>
      </c>
      <c r="J51">
        <v>1</v>
      </c>
      <c r="M51">
        <v>1</v>
      </c>
      <c r="X51" s="1525">
        <f t="shared" si="0"/>
        <v>3520000</v>
      </c>
      <c r="Y51" s="1524">
        <v>3520000</v>
      </c>
    </row>
    <row r="52" spans="2:34">
      <c r="B52" t="s">
        <v>6014</v>
      </c>
      <c r="C52" t="s">
        <v>1307</v>
      </c>
      <c r="J52">
        <v>1</v>
      </c>
      <c r="L52">
        <v>1</v>
      </c>
      <c r="X52" s="1525">
        <f t="shared" si="0"/>
        <v>1250000</v>
      </c>
      <c r="Y52" s="1524">
        <v>1250000</v>
      </c>
      <c r="AC52" s="1525"/>
    </row>
    <row r="53" spans="2:34">
      <c r="X53" s="1525">
        <f t="shared" si="0"/>
        <v>0</v>
      </c>
      <c r="Z53" s="1524"/>
      <c r="AC53" s="1525"/>
    </row>
    <row r="54" spans="2:34" s="806" customFormat="1">
      <c r="B54" s="806" t="s">
        <v>6421</v>
      </c>
      <c r="C54" s="806" t="s">
        <v>152</v>
      </c>
      <c r="J54" s="806">
        <v>1</v>
      </c>
      <c r="X54" s="1525">
        <f t="shared" si="0"/>
        <v>0</v>
      </c>
      <c r="Z54" s="1625"/>
    </row>
    <row r="55" spans="2:34">
      <c r="B55" t="s">
        <v>4125</v>
      </c>
      <c r="C55" t="s">
        <v>1307</v>
      </c>
      <c r="J55">
        <v>1</v>
      </c>
      <c r="O55">
        <v>1</v>
      </c>
      <c r="X55" s="1525">
        <f t="shared" si="0"/>
        <v>5588000</v>
      </c>
      <c r="Y55" s="1524">
        <v>5588000</v>
      </c>
    </row>
    <row r="56" spans="2:34">
      <c r="X56" s="1525">
        <f t="shared" si="0"/>
        <v>0</v>
      </c>
      <c r="AC56" s="1525"/>
    </row>
    <row r="57" spans="2:34" s="806" customFormat="1">
      <c r="B57" s="806" t="s">
        <v>6422</v>
      </c>
      <c r="C57" s="806" t="s">
        <v>152</v>
      </c>
      <c r="J57" s="1626">
        <v>1</v>
      </c>
      <c r="K57" s="1632"/>
      <c r="L57" s="1632"/>
      <c r="M57" s="1632"/>
      <c r="N57" s="1632"/>
      <c r="O57" s="1632"/>
      <c r="P57" s="1632"/>
      <c r="Q57" s="1632"/>
      <c r="R57" s="1632"/>
      <c r="S57" s="1632"/>
      <c r="T57" s="1632"/>
      <c r="U57" s="1632"/>
      <c r="V57" s="1632"/>
      <c r="W57" s="1632"/>
      <c r="X57" s="1525">
        <f t="shared" si="0"/>
        <v>0</v>
      </c>
      <c r="Z57" s="1625">
        <f>MBA!F6+VTTB!F8+CAP!F8</f>
        <v>2663511440</v>
      </c>
      <c r="AC57" s="1627"/>
    </row>
    <row r="58" spans="2:34">
      <c r="B58" t="s">
        <v>4113</v>
      </c>
      <c r="C58" t="s">
        <v>1307</v>
      </c>
      <c r="J58">
        <v>1</v>
      </c>
      <c r="P58">
        <v>1</v>
      </c>
      <c r="X58" s="1525">
        <f t="shared" si="0"/>
        <v>4438000</v>
      </c>
      <c r="Y58" s="1524">
        <v>4438000</v>
      </c>
    </row>
    <row r="59" spans="2:34">
      <c r="K59" s="1524">
        <f t="shared" ref="K59:X59" si="1">SUM(K9:K58)</f>
        <v>5</v>
      </c>
      <c r="L59" s="1524">
        <f t="shared" si="1"/>
        <v>6</v>
      </c>
      <c r="M59" s="1524">
        <f t="shared" si="1"/>
        <v>9</v>
      </c>
      <c r="N59" s="1524">
        <f t="shared" si="1"/>
        <v>6</v>
      </c>
      <c r="O59" s="1524">
        <f t="shared" si="1"/>
        <v>1</v>
      </c>
      <c r="P59" s="1524">
        <f t="shared" si="1"/>
        <v>1</v>
      </c>
      <c r="Q59" s="1524">
        <f t="shared" si="1"/>
        <v>3</v>
      </c>
      <c r="R59" s="1524">
        <f t="shared" si="1"/>
        <v>306</v>
      </c>
      <c r="S59" s="1524">
        <f t="shared" si="1"/>
        <v>2970</v>
      </c>
      <c r="T59" s="1524">
        <f t="shared" si="1"/>
        <v>1574</v>
      </c>
      <c r="U59" s="1524">
        <f t="shared" si="1"/>
        <v>10927</v>
      </c>
      <c r="V59" s="1524">
        <f t="shared" si="1"/>
        <v>4846</v>
      </c>
      <c r="W59" s="1524">
        <f t="shared" si="1"/>
        <v>818</v>
      </c>
      <c r="X59" s="1524">
        <f t="shared" si="1"/>
        <v>2349069100</v>
      </c>
      <c r="Z59" s="1524"/>
      <c r="AC59" s="1525"/>
    </row>
    <row r="60" spans="2:34">
      <c r="D60" s="1523">
        <f t="shared" ref="D60:I60" si="2">SUM(D11:D59)</f>
        <v>118</v>
      </c>
      <c r="E60" s="1523">
        <f t="shared" si="2"/>
        <v>1980</v>
      </c>
      <c r="F60" s="1523">
        <f t="shared" si="2"/>
        <v>115900</v>
      </c>
      <c r="G60" s="1523">
        <f t="shared" si="2"/>
        <v>0</v>
      </c>
      <c r="H60" s="1523">
        <f t="shared" si="2"/>
        <v>0</v>
      </c>
      <c r="I60" s="1523">
        <f t="shared" si="2"/>
        <v>0</v>
      </c>
      <c r="Z60" s="1527">
        <f>SUM(Z8:Z59)</f>
        <v>2663511440</v>
      </c>
      <c r="AA60" s="1524">
        <v>2349069100</v>
      </c>
      <c r="AB60" s="1526">
        <f>Z60-AA60</f>
        <v>314442340</v>
      </c>
      <c r="AD60">
        <f>SUM(AD8:AD59)</f>
        <v>3</v>
      </c>
      <c r="AE60">
        <f>SUM(AE8:AE59)</f>
        <v>5</v>
      </c>
      <c r="AF60">
        <f>SUM(AF8:AF59)</f>
        <v>6</v>
      </c>
      <c r="AG60">
        <f>SUM(AG8:AG59)</f>
        <v>0</v>
      </c>
      <c r="AH60">
        <f>SUM(AH8:AH59)</f>
        <v>0</v>
      </c>
    </row>
    <row r="62" spans="2:34" ht="18.75">
      <c r="B62" s="2132" t="s">
        <v>6478</v>
      </c>
      <c r="C62" s="2132"/>
      <c r="D62" s="2132"/>
      <c r="E62" s="2132"/>
      <c r="F62" s="2132"/>
      <c r="G62" s="2132"/>
      <c r="H62" s="2132"/>
      <c r="I62" s="2132"/>
      <c r="J62" s="2132"/>
      <c r="K62" s="2132"/>
      <c r="L62" s="2132"/>
      <c r="M62" s="2132"/>
      <c r="N62" s="2132"/>
      <c r="O62" s="2132"/>
      <c r="P62" s="2132"/>
      <c r="Q62" s="2132"/>
      <c r="R62" s="2132"/>
      <c r="S62" s="2132"/>
      <c r="T62" s="2132"/>
      <c r="U62" s="2132"/>
      <c r="V62" s="2132"/>
      <c r="W62" s="2132"/>
      <c r="X62" s="2132"/>
      <c r="Y62" s="2132"/>
      <c r="Z62" s="2132"/>
      <c r="AA62" s="2132"/>
      <c r="AB62" s="2132"/>
      <c r="AC62" s="2132"/>
    </row>
    <row r="63" spans="2:34" ht="18.75">
      <c r="B63" s="2132" t="s">
        <v>6479</v>
      </c>
      <c r="C63" s="2132"/>
      <c r="D63" s="2132"/>
      <c r="E63" s="2132"/>
      <c r="F63" s="2132"/>
      <c r="G63" s="2132"/>
      <c r="H63" s="2132"/>
      <c r="I63" s="2132"/>
      <c r="J63" s="2132"/>
      <c r="K63" s="2132"/>
      <c r="L63" s="2132"/>
      <c r="M63" s="2132"/>
      <c r="N63" s="2132"/>
      <c r="O63" s="2132"/>
      <c r="P63" s="2132"/>
      <c r="Q63" s="2132"/>
      <c r="R63" s="2132"/>
      <c r="S63" s="2132"/>
      <c r="T63" s="2132"/>
      <c r="U63" s="2132"/>
      <c r="V63" s="2132"/>
      <c r="W63" s="2132"/>
      <c r="X63" s="2132"/>
      <c r="Y63" s="2132"/>
      <c r="Z63" s="2132"/>
      <c r="AA63" s="2132"/>
      <c r="AB63" s="2132"/>
      <c r="AC63" s="2132"/>
    </row>
    <row r="64" spans="2:34" ht="18.75">
      <c r="B64" s="2132" t="s">
        <v>6480</v>
      </c>
      <c r="C64" s="2132"/>
      <c r="D64" s="2132"/>
      <c r="E64" s="2132"/>
      <c r="F64" s="2132"/>
      <c r="G64" s="2132"/>
      <c r="H64" s="2132"/>
      <c r="I64" s="2132"/>
      <c r="J64" s="2132"/>
      <c r="K64" s="2132"/>
      <c r="L64" s="2132"/>
      <c r="M64" s="2132"/>
      <c r="N64" s="2132"/>
      <c r="O64" s="2132"/>
      <c r="P64" s="2132"/>
      <c r="Q64" s="2132"/>
      <c r="R64" s="2132"/>
      <c r="S64" s="2132"/>
      <c r="T64" s="2132"/>
      <c r="U64" s="2132"/>
      <c r="V64" s="2132"/>
      <c r="W64" s="2132"/>
      <c r="X64" s="2132"/>
      <c r="Y64" s="2132"/>
      <c r="Z64" s="2132"/>
      <c r="AA64" s="2132"/>
      <c r="AB64" s="2132"/>
      <c r="AC64" s="2132"/>
    </row>
    <row r="65" spans="2:29" ht="18.75">
      <c r="B65" s="2132" t="s">
        <v>6481</v>
      </c>
      <c r="C65" s="2132"/>
      <c r="D65" s="2132"/>
      <c r="E65" s="2132"/>
      <c r="F65" s="2132"/>
      <c r="G65" s="2132"/>
      <c r="H65" s="2132"/>
      <c r="I65" s="2132"/>
      <c r="J65" s="2132"/>
      <c r="K65" s="2132"/>
      <c r="L65" s="2132"/>
      <c r="M65" s="2132"/>
      <c r="N65" s="2132"/>
      <c r="O65" s="2132"/>
      <c r="P65" s="2132"/>
      <c r="Q65" s="2132"/>
      <c r="R65" s="2132"/>
      <c r="S65" s="2132"/>
      <c r="T65" s="2132"/>
      <c r="U65" s="2132"/>
      <c r="V65" s="2132"/>
      <c r="W65" s="2132"/>
      <c r="X65" s="2132"/>
      <c r="Y65" s="2132"/>
      <c r="Z65" s="2132"/>
      <c r="AA65" s="2132"/>
      <c r="AB65" s="2132"/>
      <c r="AC65" s="2132"/>
    </row>
    <row r="66" spans="2:29" ht="18.75">
      <c r="B66" s="2132" t="s">
        <v>6482</v>
      </c>
      <c r="C66" s="2132"/>
      <c r="D66" s="2132"/>
      <c r="E66" s="2132"/>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row>
    <row r="67" spans="2:29" ht="18.75">
      <c r="B67" s="2132" t="s">
        <v>6484</v>
      </c>
      <c r="C67" s="2132"/>
      <c r="D67" s="2132"/>
      <c r="E67" s="2132"/>
      <c r="F67" s="2132"/>
      <c r="G67" s="2132"/>
      <c r="H67" s="2132"/>
      <c r="I67" s="2132"/>
      <c r="J67" s="2132"/>
      <c r="K67" s="2132"/>
      <c r="L67" s="2132"/>
      <c r="M67" s="2132"/>
      <c r="N67" s="2132"/>
      <c r="O67" s="2132"/>
      <c r="P67" s="2132"/>
      <c r="Q67" s="2132"/>
      <c r="R67" s="2132"/>
      <c r="S67" s="2132"/>
      <c r="T67" s="2132"/>
      <c r="U67" s="2132"/>
      <c r="V67" s="2132"/>
      <c r="W67" s="2132"/>
      <c r="X67" s="2132"/>
      <c r="Y67" s="2132"/>
      <c r="Z67" s="2132"/>
      <c r="AA67" s="2132"/>
      <c r="AB67" s="2132"/>
      <c r="AC67" s="2132"/>
    </row>
    <row r="68" spans="2:29" ht="18.75">
      <c r="B68" s="2132" t="s">
        <v>6424</v>
      </c>
      <c r="C68" s="2132"/>
      <c r="D68" s="2132"/>
      <c r="E68" s="2132"/>
      <c r="F68" s="2132"/>
      <c r="G68" s="2132"/>
      <c r="H68" s="2132"/>
      <c r="I68" s="2132"/>
      <c r="J68" s="2132"/>
      <c r="K68" s="2132"/>
      <c r="L68" s="2132"/>
      <c r="M68" s="2132"/>
      <c r="N68" s="2132"/>
      <c r="O68" s="2132"/>
      <c r="P68" s="2132"/>
      <c r="Q68" s="2132"/>
      <c r="R68" s="2132"/>
      <c r="S68" s="2132"/>
      <c r="T68" s="2132"/>
      <c r="U68" s="2132"/>
      <c r="V68" s="2132"/>
      <c r="W68" s="2132"/>
      <c r="X68" s="2132"/>
      <c r="Y68" s="2132"/>
      <c r="Z68" s="2132"/>
      <c r="AA68" s="2132"/>
      <c r="AB68" s="2132"/>
      <c r="AC68" s="2132"/>
    </row>
    <row r="69" spans="2:29" ht="30.75" customHeight="1">
      <c r="B69" s="1934" t="s">
        <v>6485</v>
      </c>
      <c r="C69" s="2132"/>
      <c r="D69" s="2132"/>
      <c r="E69" s="2132"/>
      <c r="F69" s="2132"/>
      <c r="G69" s="2132"/>
      <c r="H69" s="2132"/>
      <c r="I69" s="2132"/>
      <c r="J69" s="2132"/>
      <c r="K69" s="2132"/>
      <c r="L69" s="2132"/>
      <c r="M69" s="2132"/>
      <c r="N69" s="2132"/>
      <c r="O69" s="2132"/>
      <c r="P69" s="2132"/>
      <c r="Q69" s="2132"/>
      <c r="R69" s="2132"/>
      <c r="S69" s="2132"/>
      <c r="T69" s="2132"/>
      <c r="U69" s="2132"/>
      <c r="V69" s="2132"/>
      <c r="W69" s="2132"/>
      <c r="X69" s="2132"/>
      <c r="Y69" s="2132"/>
      <c r="Z69" s="2132"/>
      <c r="AA69" s="2132"/>
      <c r="AB69" s="2132"/>
      <c r="AC69" s="2132"/>
    </row>
  </sheetData>
  <mergeCells count="8">
    <mergeCell ref="B69:AC69"/>
    <mergeCell ref="B62:AC62"/>
    <mergeCell ref="B63:AC63"/>
    <mergeCell ref="B64:AC64"/>
    <mergeCell ref="B65:AC65"/>
    <mergeCell ref="B66:AC66"/>
    <mergeCell ref="B68:AC68"/>
    <mergeCell ref="B67:AC67"/>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rgb="FFFF0000"/>
  </sheetPr>
  <dimension ref="A1:N46"/>
  <sheetViews>
    <sheetView topLeftCell="A7" zoomScale="90" zoomScaleNormal="90" workbookViewId="0">
      <selection activeCell="A2" sqref="A2:I2"/>
    </sheetView>
  </sheetViews>
  <sheetFormatPr defaultColWidth="10.1640625" defaultRowHeight="16.5"/>
  <cols>
    <col min="1" max="1" width="5.6640625" style="1530" bestFit="1" customWidth="1"/>
    <col min="2" max="2" width="62" style="1529" bestFit="1" customWidth="1"/>
    <col min="3" max="3" width="5.1640625" style="1529" bestFit="1" customWidth="1"/>
    <col min="4" max="4" width="14.6640625" style="1529" bestFit="1" customWidth="1"/>
    <col min="5" max="5" width="20.83203125" style="1529" customWidth="1"/>
    <col min="6" max="6" width="18.33203125" style="1529" customWidth="1"/>
    <col min="7" max="7" width="9.83203125" style="1529" bestFit="1" customWidth="1"/>
    <col min="8" max="8" width="20" style="1529" customWidth="1"/>
    <col min="9" max="9" width="15.1640625" style="1529" bestFit="1" customWidth="1"/>
    <col min="10" max="10" width="22.6640625" style="1529" customWidth="1"/>
    <col min="11" max="11" width="14.33203125" style="1529" bestFit="1" customWidth="1"/>
    <col min="12" max="12" width="12.6640625" style="1529" bestFit="1" customWidth="1"/>
    <col min="13" max="16384" width="10.1640625" style="1529"/>
  </cols>
  <sheetData>
    <row r="1" spans="1:9">
      <c r="A1" s="1934" t="s">
        <v>6425</v>
      </c>
      <c r="B1" s="1934"/>
      <c r="C1" s="1934"/>
      <c r="D1" s="1934"/>
      <c r="E1" s="1934"/>
      <c r="F1" s="1934"/>
      <c r="G1" s="1934"/>
      <c r="H1" s="1934"/>
      <c r="I1" s="1934"/>
    </row>
    <row r="2" spans="1:9">
      <c r="A2" s="1934" t="s">
        <v>6491</v>
      </c>
      <c r="B2" s="1934"/>
      <c r="C2" s="1934"/>
      <c r="D2" s="1934"/>
      <c r="E2" s="1934"/>
      <c r="F2" s="1934"/>
      <c r="G2" s="1934"/>
      <c r="H2" s="1934"/>
      <c r="I2" s="1934"/>
    </row>
    <row r="3" spans="1:9" ht="37.5" customHeight="1">
      <c r="A3" s="1934" t="s">
        <v>6485</v>
      </c>
      <c r="B3" s="1934"/>
      <c r="C3" s="1934"/>
      <c r="D3" s="1934"/>
      <c r="E3" s="1934"/>
      <c r="F3" s="1934"/>
      <c r="G3" s="1934"/>
      <c r="H3" s="1934"/>
      <c r="I3" s="1934"/>
    </row>
    <row r="4" spans="1:9">
      <c r="A4" s="1528"/>
    </row>
    <row r="5" spans="1:9" s="1531" customFormat="1" ht="33">
      <c r="A5" s="1535" t="s">
        <v>6342</v>
      </c>
      <c r="B5" s="1535" t="s">
        <v>6426</v>
      </c>
      <c r="C5" s="1535" t="s">
        <v>6438</v>
      </c>
      <c r="D5" s="1535" t="s">
        <v>174</v>
      </c>
      <c r="E5" s="1535" t="s">
        <v>87</v>
      </c>
      <c r="F5" s="1560" t="s">
        <v>6439</v>
      </c>
      <c r="G5" s="1560" t="s">
        <v>133</v>
      </c>
      <c r="H5" s="1560" t="s">
        <v>6440</v>
      </c>
      <c r="I5" s="1538" t="s">
        <v>5870</v>
      </c>
    </row>
    <row r="6" spans="1:9" s="1528" customFormat="1">
      <c r="A6" s="1538" t="s">
        <v>5284</v>
      </c>
      <c r="B6" s="1561" t="s">
        <v>6441</v>
      </c>
      <c r="C6" s="1934" t="s">
        <v>6442</v>
      </c>
      <c r="D6" s="1934"/>
      <c r="E6" s="1934"/>
      <c r="F6" s="1541">
        <f>ROUND(SUM(F7:F9),0)</f>
        <v>1254958000</v>
      </c>
      <c r="G6" s="1562" t="s">
        <v>5279</v>
      </c>
      <c r="H6" s="1562">
        <f>ROUND(F6*1.1,0)</f>
        <v>1380453800</v>
      </c>
      <c r="I6" s="1563"/>
    </row>
    <row r="7" spans="1:9" s="1528" customFormat="1">
      <c r="A7" s="1538">
        <v>1</v>
      </c>
      <c r="B7" s="1564" t="s">
        <v>6412</v>
      </c>
      <c r="C7" s="1538"/>
      <c r="D7" s="1538">
        <v>12</v>
      </c>
      <c r="E7" s="1633">
        <v>58335000</v>
      </c>
      <c r="F7" s="1562">
        <f>E7*D7</f>
        <v>700020000</v>
      </c>
      <c r="G7" s="1562"/>
      <c r="H7" s="1562"/>
      <c r="I7" s="1563"/>
    </row>
    <row r="8" spans="1:9" s="1528" customFormat="1">
      <c r="A8" s="1538">
        <f>A7+1</f>
        <v>2</v>
      </c>
      <c r="B8" s="1564" t="s">
        <v>6489</v>
      </c>
      <c r="C8" s="1538"/>
      <c r="D8" s="1538">
        <v>1</v>
      </c>
      <c r="E8" s="1633">
        <v>230215000</v>
      </c>
      <c r="F8" s="1562">
        <f>E8*D8</f>
        <v>230215000</v>
      </c>
      <c r="G8" s="1562"/>
      <c r="H8" s="1562"/>
      <c r="I8" s="1563"/>
    </row>
    <row r="9" spans="1:9" s="1528" customFormat="1">
      <c r="A9" s="1538">
        <f>A8+1</f>
        <v>3</v>
      </c>
      <c r="B9" s="1564" t="s">
        <v>6490</v>
      </c>
      <c r="C9" s="1538"/>
      <c r="D9" s="1538">
        <v>1</v>
      </c>
      <c r="E9" s="1633">
        <v>324723000</v>
      </c>
      <c r="F9" s="1562">
        <f>E9*D9</f>
        <v>324723000</v>
      </c>
      <c r="G9" s="1562"/>
      <c r="H9" s="1562"/>
      <c r="I9" s="1563"/>
    </row>
    <row r="10" spans="1:9">
      <c r="A10" s="1551" t="s">
        <v>1233</v>
      </c>
      <c r="B10" s="1552" t="s">
        <v>3305</v>
      </c>
      <c r="C10" s="1934" t="s">
        <v>6443</v>
      </c>
      <c r="D10" s="1934"/>
      <c r="E10" s="1934"/>
      <c r="F10" s="1562">
        <f>ROUND(5%*F6,0)</f>
        <v>62747900</v>
      </c>
      <c r="G10" s="1562" t="s">
        <v>5279</v>
      </c>
      <c r="H10" s="1562">
        <f>ROUND(F10*1.1,0)</f>
        <v>69022690</v>
      </c>
      <c r="I10" s="1564"/>
    </row>
    <row r="11" spans="1:9">
      <c r="A11" s="1565" t="s">
        <v>4085</v>
      </c>
      <c r="B11" s="1552" t="s">
        <v>6437</v>
      </c>
      <c r="C11" s="1566"/>
      <c r="D11" s="1566"/>
      <c r="E11" s="1567"/>
      <c r="F11" s="1568">
        <f>SUM(F6,F10)</f>
        <v>1317705900</v>
      </c>
      <c r="G11" s="1569"/>
      <c r="H11" s="1568">
        <f>SUM(H6,H10)</f>
        <v>1449476490</v>
      </c>
      <c r="I11" s="1564"/>
    </row>
    <row r="12" spans="1:9">
      <c r="A12" s="1934" t="e">
        <v>#NAME?</v>
      </c>
      <c r="B12" s="1934"/>
      <c r="C12" s="1934"/>
      <c r="D12" s="1934"/>
      <c r="E12" s="1934"/>
      <c r="F12" s="1934"/>
      <c r="G12" s="1934"/>
      <c r="H12" s="1934"/>
      <c r="I12" s="1934"/>
    </row>
    <row r="13" spans="1:9">
      <c r="B13" s="1570"/>
      <c r="G13" s="1571" t="e">
        <f>#REF!</f>
        <v>#REF!</v>
      </c>
    </row>
    <row r="14" spans="1:9">
      <c r="B14" s="1557"/>
      <c r="C14" s="1572"/>
      <c r="G14" s="1528" t="s">
        <v>318</v>
      </c>
    </row>
    <row r="15" spans="1:9">
      <c r="A15" s="1528"/>
      <c r="B15" s="1528" t="s">
        <v>6487</v>
      </c>
      <c r="C15" s="1573"/>
      <c r="D15" s="1555"/>
      <c r="E15" s="1555"/>
      <c r="F15" s="1555"/>
      <c r="G15" s="1528" t="s">
        <v>5941</v>
      </c>
      <c r="H15" s="1555"/>
      <c r="I15" s="1555"/>
    </row>
    <row r="16" spans="1:9" s="1555" customFormat="1">
      <c r="A16" s="1573"/>
      <c r="C16" s="1528"/>
    </row>
    <row r="17" spans="1:14" s="1555" customFormat="1">
      <c r="A17" s="1573"/>
      <c r="C17" s="1528"/>
    </row>
    <row r="18" spans="1:14" s="1555" customFormat="1">
      <c r="A18" s="1573"/>
      <c r="C18" s="1528"/>
    </row>
    <row r="19" spans="1:14" s="1555" customFormat="1">
      <c r="A19" s="1573"/>
      <c r="C19" s="1528"/>
    </row>
    <row r="20" spans="1:14" s="1555" customFormat="1">
      <c r="A20" s="1573"/>
      <c r="C20" s="1528"/>
    </row>
    <row r="21" spans="1:14" s="1555" customFormat="1">
      <c r="A21" s="1573"/>
      <c r="B21" s="1528" t="s">
        <v>6488</v>
      </c>
      <c r="C21" s="1528"/>
      <c r="G21" s="1528" t="s">
        <v>6444</v>
      </c>
    </row>
    <row r="22" spans="1:14" s="1555" customFormat="1">
      <c r="A22" s="1573"/>
      <c r="C22" s="1528"/>
      <c r="G22" s="1528"/>
      <c r="H22" s="1528"/>
    </row>
    <row r="23" spans="1:14" s="1555" customFormat="1" hidden="1">
      <c r="A23" s="1573"/>
      <c r="B23" s="1528"/>
      <c r="C23" s="1528"/>
      <c r="G23" s="1528"/>
      <c r="H23" s="1528"/>
    </row>
    <row r="24" spans="1:14" s="1555" customFormat="1" ht="17.25" hidden="1">
      <c r="A24" s="1528"/>
      <c r="B24" s="1528"/>
      <c r="E24" s="1574" t="s">
        <v>6445</v>
      </c>
      <c r="F24" s="1574" t="s">
        <v>6446</v>
      </c>
      <c r="H24" s="1555" t="s">
        <v>6447</v>
      </c>
      <c r="I24" s="1555" t="s">
        <v>6448</v>
      </c>
      <c r="J24" s="1555" t="s">
        <v>5310</v>
      </c>
    </row>
    <row r="25" spans="1:14" hidden="1">
      <c r="D25" s="1529">
        <v>14000</v>
      </c>
      <c r="E25" s="1575">
        <v>1327000</v>
      </c>
      <c r="F25" s="1575">
        <v>1459700</v>
      </c>
      <c r="H25" s="1576">
        <v>66350</v>
      </c>
      <c r="I25" s="1577">
        <v>72985</v>
      </c>
      <c r="J25" s="1578">
        <f>F25+I25</f>
        <v>1532685</v>
      </c>
      <c r="K25" s="1529" t="s">
        <v>6449</v>
      </c>
      <c r="L25" s="1529">
        <f>H25*1.1</f>
        <v>72985</v>
      </c>
    </row>
    <row r="26" spans="1:14" hidden="1">
      <c r="B26" s="1579" t="s">
        <v>6450</v>
      </c>
      <c r="E26" s="1575">
        <v>279100</v>
      </c>
      <c r="F26" s="1575">
        <v>307010</v>
      </c>
      <c r="H26" s="1576">
        <v>13955</v>
      </c>
      <c r="I26" s="1577">
        <v>15350</v>
      </c>
      <c r="J26" s="1578">
        <f t="shared" ref="J26:J33" si="0">F26+I26</f>
        <v>322360</v>
      </c>
      <c r="K26" s="1529" t="s">
        <v>6449</v>
      </c>
      <c r="L26" s="1529">
        <f t="shared" ref="L26:L33" si="1">H26*1.1</f>
        <v>15350.500000000002</v>
      </c>
      <c r="M26" s="1529" t="s">
        <v>6450</v>
      </c>
      <c r="N26" s="1529">
        <v>-0.5</v>
      </c>
    </row>
    <row r="27" spans="1:14" hidden="1">
      <c r="B27" s="1579" t="s">
        <v>6451</v>
      </c>
      <c r="E27" s="1575">
        <v>2705600</v>
      </c>
      <c r="F27" s="1575">
        <v>2976160</v>
      </c>
      <c r="H27" s="1576">
        <v>135280</v>
      </c>
      <c r="I27" s="1577">
        <v>148808</v>
      </c>
      <c r="J27" s="1578">
        <f t="shared" si="0"/>
        <v>3124968</v>
      </c>
      <c r="K27" s="1529" t="s">
        <v>6449</v>
      </c>
      <c r="L27" s="1529">
        <f t="shared" si="1"/>
        <v>148808</v>
      </c>
    </row>
    <row r="28" spans="1:14" ht="17.25" hidden="1">
      <c r="B28" s="1579" t="s">
        <v>6452</v>
      </c>
      <c r="E28" s="1580">
        <v>2891500</v>
      </c>
      <c r="F28" s="1575">
        <v>3180650</v>
      </c>
      <c r="H28" s="1576">
        <v>144575</v>
      </c>
      <c r="I28" s="1577">
        <v>159032</v>
      </c>
      <c r="J28" s="1578">
        <f t="shared" si="0"/>
        <v>3339682</v>
      </c>
      <c r="K28" s="1529" t="s">
        <v>6449</v>
      </c>
      <c r="L28" s="1529">
        <f t="shared" si="1"/>
        <v>159032.5</v>
      </c>
      <c r="M28" s="1529" t="s">
        <v>6411</v>
      </c>
      <c r="N28" s="1529">
        <v>-0.5</v>
      </c>
    </row>
    <row r="29" spans="1:14" hidden="1">
      <c r="B29" s="1579" t="s">
        <v>6453</v>
      </c>
      <c r="E29" s="1575">
        <v>11156000</v>
      </c>
      <c r="F29" s="1575">
        <v>12271600</v>
      </c>
      <c r="H29" s="1576">
        <v>557800</v>
      </c>
      <c r="I29" s="1577">
        <v>613580</v>
      </c>
      <c r="J29" s="1578">
        <f t="shared" si="0"/>
        <v>12885180</v>
      </c>
      <c r="K29" s="1529" t="s">
        <v>6449</v>
      </c>
      <c r="L29" s="1529">
        <f t="shared" si="1"/>
        <v>613580</v>
      </c>
    </row>
    <row r="30" spans="1:14" hidden="1">
      <c r="A30" s="1529"/>
      <c r="B30" s="1579" t="s">
        <v>6454</v>
      </c>
      <c r="E30" s="1575">
        <v>2625500</v>
      </c>
      <c r="F30" s="1575">
        <v>2888050</v>
      </c>
      <c r="H30" s="1576">
        <v>131275</v>
      </c>
      <c r="I30" s="1577">
        <v>144403</v>
      </c>
      <c r="J30" s="1578">
        <f t="shared" si="0"/>
        <v>3032453</v>
      </c>
      <c r="K30" s="1529" t="s">
        <v>6449</v>
      </c>
      <c r="L30" s="1529">
        <f t="shared" si="1"/>
        <v>144402.5</v>
      </c>
    </row>
    <row r="31" spans="1:14" hidden="1">
      <c r="A31" s="1529"/>
      <c r="B31" s="1579" t="s">
        <v>6455</v>
      </c>
      <c r="E31" s="1575">
        <v>3126700</v>
      </c>
      <c r="F31" s="1575">
        <v>3439370</v>
      </c>
      <c r="H31" s="1576">
        <v>156335</v>
      </c>
      <c r="I31" s="1577">
        <v>171969</v>
      </c>
      <c r="J31" s="1578">
        <f t="shared" si="0"/>
        <v>3611339</v>
      </c>
      <c r="K31" s="1529" t="s">
        <v>6449</v>
      </c>
      <c r="L31" s="1529">
        <f t="shared" si="1"/>
        <v>171968.5</v>
      </c>
    </row>
    <row r="32" spans="1:14" hidden="1">
      <c r="A32" s="1529"/>
      <c r="B32" s="1579" t="s">
        <v>6456</v>
      </c>
      <c r="E32" s="1575">
        <v>0</v>
      </c>
      <c r="F32" s="1575">
        <v>0</v>
      </c>
      <c r="H32" s="1575">
        <v>0</v>
      </c>
      <c r="I32" s="1577">
        <v>0</v>
      </c>
      <c r="J32" s="1578">
        <f t="shared" si="0"/>
        <v>0</v>
      </c>
      <c r="L32" s="1529">
        <f t="shared" si="1"/>
        <v>0</v>
      </c>
    </row>
    <row r="33" spans="1:12" hidden="1">
      <c r="A33" s="1529"/>
      <c r="B33" s="1579" t="s">
        <v>6457</v>
      </c>
      <c r="E33" s="1575">
        <v>0</v>
      </c>
      <c r="F33" s="1575">
        <v>0</v>
      </c>
      <c r="H33" s="1575">
        <v>0</v>
      </c>
      <c r="I33" s="1577">
        <v>0</v>
      </c>
      <c r="J33" s="1578">
        <f t="shared" si="0"/>
        <v>0</v>
      </c>
      <c r="L33" s="1529">
        <f t="shared" si="1"/>
        <v>0</v>
      </c>
    </row>
    <row r="34" spans="1:12" hidden="1">
      <c r="A34" s="1529"/>
      <c r="E34" s="1575">
        <f>SUM(E25:E33)</f>
        <v>24111400</v>
      </c>
      <c r="F34" s="1575">
        <f>SUM(F25:F33)</f>
        <v>26522540</v>
      </c>
      <c r="H34" s="1575">
        <f>SUM(H25:H33)</f>
        <v>1205570</v>
      </c>
      <c r="I34" s="1575">
        <f>ROUND(SUM(I25:I33),0)</f>
        <v>1326127</v>
      </c>
      <c r="J34" s="1578">
        <f>SUM(J25:J33)</f>
        <v>27848667</v>
      </c>
    </row>
    <row r="35" spans="1:12" hidden="1">
      <c r="A35" s="1529"/>
      <c r="E35" s="1575"/>
      <c r="F35" s="1530"/>
    </row>
    <row r="36" spans="1:12" hidden="1">
      <c r="A36" s="1529"/>
      <c r="E36" s="1575"/>
      <c r="I36" s="1575"/>
    </row>
    <row r="37" spans="1:12" hidden="1">
      <c r="A37" s="1529"/>
      <c r="E37" s="1575"/>
    </row>
    <row r="38" spans="1:12" hidden="1">
      <c r="A38" s="1529"/>
      <c r="E38" s="1575"/>
      <c r="G38" s="1529">
        <f>5%*E35</f>
        <v>0</v>
      </c>
    </row>
    <row r="39" spans="1:12">
      <c r="A39" s="1529"/>
      <c r="E39" s="1575"/>
    </row>
    <row r="40" spans="1:12">
      <c r="A40" s="1529"/>
      <c r="E40" s="1575"/>
    </row>
    <row r="44" spans="1:12">
      <c r="B44" s="1575">
        <f>F6+VTTB!F8+CAP!F8</f>
        <v>2663511440</v>
      </c>
    </row>
    <row r="46" spans="1:12">
      <c r="J46" s="1575">
        <f>F6+VTTB!F8+CAP!F8</f>
        <v>2663511440</v>
      </c>
    </row>
  </sheetData>
  <mergeCells count="6">
    <mergeCell ref="A12:I12"/>
    <mergeCell ref="A1:I1"/>
    <mergeCell ref="A2:I2"/>
    <mergeCell ref="A3:I3"/>
    <mergeCell ref="C6:E6"/>
    <mergeCell ref="C10:E10"/>
  </mergeCells>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rgb="FFFF0000"/>
  </sheetPr>
  <dimension ref="A1:O68"/>
  <sheetViews>
    <sheetView topLeftCell="A4" zoomScaleNormal="100" workbookViewId="0">
      <selection activeCell="A3" sqref="A3:F4"/>
    </sheetView>
  </sheetViews>
  <sheetFormatPr defaultRowHeight="12.75"/>
  <cols>
    <col min="1" max="1" width="7.5" customWidth="1"/>
    <col min="2" max="2" width="6.33203125" customWidth="1"/>
    <col min="3" max="3" width="6.83203125" customWidth="1"/>
    <col min="4" max="4" width="8.5" customWidth="1"/>
    <col min="5" max="5" width="5" customWidth="1"/>
    <col min="6" max="6" width="7.33203125" customWidth="1"/>
    <col min="7" max="7" width="8.5" customWidth="1"/>
    <col min="8" max="8" width="11" bestFit="1" customWidth="1"/>
    <col min="9" max="9" width="9.33203125" customWidth="1"/>
    <col min="10" max="10" width="6.33203125" customWidth="1"/>
    <col min="12" max="12" width="10.5" customWidth="1"/>
    <col min="13" max="13" width="27" bestFit="1" customWidth="1"/>
    <col min="15" max="15" width="24.6640625" bestFit="1" customWidth="1"/>
  </cols>
  <sheetData>
    <row r="1" spans="1:12" ht="13.5" thickBot="1">
      <c r="A1" s="1581"/>
      <c r="B1" s="1581"/>
      <c r="C1" s="1581"/>
      <c r="D1" s="1581"/>
      <c r="E1" s="1581"/>
      <c r="F1" s="1581"/>
      <c r="G1" s="1581"/>
      <c r="H1" s="1581"/>
      <c r="I1" s="1581"/>
      <c r="J1" s="1581"/>
      <c r="K1" s="1581"/>
      <c r="L1" s="1581"/>
    </row>
    <row r="2" spans="1:12" ht="13.5" thickTop="1">
      <c r="A2" s="1582"/>
      <c r="B2" s="1583"/>
      <c r="C2" s="1583"/>
      <c r="D2" s="1583"/>
      <c r="E2" s="1583"/>
      <c r="F2" s="1583"/>
      <c r="G2" s="1583"/>
      <c r="H2" s="1583"/>
      <c r="I2" s="1583"/>
      <c r="J2" s="1583"/>
      <c r="K2" s="1583"/>
      <c r="L2" s="1584"/>
    </row>
    <row r="3" spans="1:12">
      <c r="A3" s="1934" t="s">
        <v>6458</v>
      </c>
      <c r="B3" s="1934"/>
      <c r="C3" s="1934"/>
      <c r="D3" s="1934"/>
      <c r="E3" s="1934"/>
      <c r="F3" s="1934"/>
      <c r="G3" s="1934" t="s">
        <v>205</v>
      </c>
      <c r="H3" s="1934"/>
      <c r="I3" s="1934"/>
      <c r="J3" s="1934"/>
      <c r="K3" s="1934"/>
      <c r="L3" s="1934"/>
    </row>
    <row r="4" spans="1:12">
      <c r="A4" s="1934"/>
      <c r="B4" s="1934"/>
      <c r="C4" s="1934"/>
      <c r="D4" s="1934"/>
      <c r="E4" s="1934"/>
      <c r="F4" s="1934"/>
      <c r="G4" s="1934" t="s">
        <v>206</v>
      </c>
      <c r="H4" s="1934"/>
      <c r="I4" s="1934"/>
      <c r="J4" s="1934"/>
      <c r="K4" s="1934"/>
      <c r="L4" s="1934"/>
    </row>
    <row r="5" spans="1:12" ht="16.5">
      <c r="A5" s="1934" t="s">
        <v>318</v>
      </c>
      <c r="B5" s="1934"/>
      <c r="C5" s="1934"/>
      <c r="D5" s="1934"/>
      <c r="E5" s="1934"/>
      <c r="F5" s="1934"/>
      <c r="G5" s="1585"/>
      <c r="H5" s="1585"/>
      <c r="I5" s="1585"/>
      <c r="J5" s="1585"/>
      <c r="K5" s="1585"/>
      <c r="L5" s="1586"/>
    </row>
    <row r="6" spans="1:12" ht="18.75">
      <c r="A6" s="1587"/>
      <c r="B6" s="1588"/>
      <c r="C6" s="1588"/>
      <c r="D6" s="1588"/>
      <c r="E6" s="1588"/>
      <c r="F6" s="1588"/>
      <c r="G6" s="1934" t="s">
        <v>6493</v>
      </c>
      <c r="H6" s="1934"/>
      <c r="I6" s="1934"/>
      <c r="J6" s="1934"/>
      <c r="K6" s="1934"/>
      <c r="L6" s="1934"/>
    </row>
    <row r="7" spans="1:12">
      <c r="A7" s="1589"/>
      <c r="B7" s="1581"/>
      <c r="C7" s="1581"/>
      <c r="D7" s="1581"/>
      <c r="E7" s="1581"/>
      <c r="F7" s="1581"/>
      <c r="G7" s="1581"/>
      <c r="H7" s="1581"/>
      <c r="I7" s="1581"/>
      <c r="J7" s="1581"/>
      <c r="K7" s="1581"/>
      <c r="L7" s="1590"/>
    </row>
    <row r="8" spans="1:12">
      <c r="A8" s="1589"/>
      <c r="B8" s="1581"/>
      <c r="C8" s="1581"/>
      <c r="D8" s="1581"/>
      <c r="E8" s="1581"/>
      <c r="F8" s="1581"/>
      <c r="G8" s="1581"/>
      <c r="H8" s="1581"/>
      <c r="I8" s="1581"/>
      <c r="J8" s="1581"/>
      <c r="K8" s="1581"/>
      <c r="L8" s="1590"/>
    </row>
    <row r="9" spans="1:12">
      <c r="A9" s="1589"/>
      <c r="B9" s="1581"/>
      <c r="C9" s="1581"/>
      <c r="D9" s="1581"/>
      <c r="E9" s="1581"/>
      <c r="F9" s="1581"/>
      <c r="G9" s="1581"/>
      <c r="H9" s="1581"/>
      <c r="I9" s="1581"/>
      <c r="J9" s="1581"/>
      <c r="K9" s="1581"/>
      <c r="L9" s="1590"/>
    </row>
    <row r="10" spans="1:12">
      <c r="A10" s="1589"/>
      <c r="B10" s="1581"/>
      <c r="C10" s="1581"/>
      <c r="D10" s="1581"/>
      <c r="E10" s="1581"/>
      <c r="F10" s="1581"/>
      <c r="G10" s="1581"/>
      <c r="H10" s="1581"/>
      <c r="I10" s="1581"/>
      <c r="J10" s="1581"/>
      <c r="K10" s="1581"/>
      <c r="L10" s="1590"/>
    </row>
    <row r="11" spans="1:12">
      <c r="A11" s="1589"/>
      <c r="B11" s="1581"/>
      <c r="C11" s="1581"/>
      <c r="D11" s="1581"/>
      <c r="E11" s="1581"/>
      <c r="F11" s="1581"/>
      <c r="G11" s="1581"/>
      <c r="H11" s="1581"/>
      <c r="I11" s="1581"/>
      <c r="J11" s="1581"/>
      <c r="K11" s="1581"/>
      <c r="L11" s="1590"/>
    </row>
    <row r="12" spans="1:12">
      <c r="A12" s="1589"/>
      <c r="B12" s="1581"/>
      <c r="C12" s="1581"/>
      <c r="D12" s="1581"/>
      <c r="E12" s="1581"/>
      <c r="F12" s="1581"/>
      <c r="G12" s="1581"/>
      <c r="H12" s="1581"/>
      <c r="I12" s="1581"/>
      <c r="J12" s="1581"/>
      <c r="K12" s="1581"/>
      <c r="L12" s="1590"/>
    </row>
    <row r="13" spans="1:12">
      <c r="A13" s="1589"/>
      <c r="B13" s="1581"/>
      <c r="C13" s="1581"/>
      <c r="D13" s="1581"/>
      <c r="E13" s="1581"/>
      <c r="F13" s="1581"/>
      <c r="G13" s="1581"/>
      <c r="H13" s="1581"/>
      <c r="I13" s="1581"/>
      <c r="J13" s="1581"/>
      <c r="K13" s="1581"/>
      <c r="L13" s="1590"/>
    </row>
    <row r="14" spans="1:12">
      <c r="A14" s="1934"/>
      <c r="B14" s="1934"/>
      <c r="C14" s="1934"/>
      <c r="D14" s="1934"/>
      <c r="E14" s="1934"/>
      <c r="F14" s="1934"/>
      <c r="G14" s="1934"/>
      <c r="H14" s="1934"/>
      <c r="I14" s="1934"/>
      <c r="J14" s="1934"/>
      <c r="K14" s="1934"/>
      <c r="L14" s="1934"/>
    </row>
    <row r="15" spans="1:12">
      <c r="A15" s="1934" t="s">
        <v>6459</v>
      </c>
      <c r="B15" s="1934"/>
      <c r="C15" s="1934"/>
      <c r="D15" s="1934"/>
      <c r="E15" s="1934"/>
      <c r="F15" s="1934"/>
      <c r="G15" s="1934"/>
      <c r="H15" s="1934"/>
      <c r="I15" s="1934"/>
      <c r="J15" s="1934"/>
      <c r="K15" s="1934"/>
      <c r="L15" s="1934"/>
    </row>
    <row r="16" spans="1:12">
      <c r="A16" s="1589"/>
      <c r="L16" s="1590"/>
    </row>
    <row r="17" spans="1:15" ht="63" customHeight="1">
      <c r="A17" s="1934" t="s">
        <v>6496</v>
      </c>
      <c r="B17" s="1934"/>
      <c r="C17" s="1934"/>
      <c r="D17" s="1934"/>
      <c r="E17" s="1934"/>
      <c r="F17" s="1934"/>
      <c r="G17" s="1934"/>
      <c r="H17" s="1934"/>
      <c r="I17" s="1934"/>
      <c r="J17" s="1934"/>
      <c r="K17" s="1934"/>
      <c r="L17" s="1934"/>
      <c r="O17" s="1525">
        <v>5851248000</v>
      </c>
    </row>
    <row r="18" spans="1:15" s="349" customFormat="1" ht="16.5">
      <c r="A18" s="1934"/>
      <c r="B18" s="1934"/>
      <c r="C18" s="1934"/>
      <c r="D18" s="1934"/>
      <c r="E18" s="1934"/>
      <c r="F18" s="1934"/>
      <c r="G18" s="1934"/>
      <c r="H18" s="1934"/>
      <c r="I18" s="1934"/>
      <c r="J18" s="1934"/>
      <c r="K18" s="1934"/>
      <c r="L18" s="1934"/>
      <c r="O18" s="1634">
        <v>161568000</v>
      </c>
    </row>
    <row r="19" spans="1:15" s="349" customFormat="1" ht="50.25" customHeight="1">
      <c r="A19" s="1934" t="s">
        <v>6494</v>
      </c>
      <c r="B19" s="1934"/>
      <c r="C19" s="1934"/>
      <c r="D19" s="1934"/>
      <c r="E19" s="1934"/>
      <c r="F19" s="1934"/>
      <c r="G19" s="1934"/>
      <c r="H19" s="1934"/>
      <c r="I19" s="1934"/>
      <c r="J19" s="1934"/>
      <c r="K19" s="1934"/>
      <c r="L19" s="1934"/>
      <c r="O19" s="1635">
        <f>O18+O17</f>
        <v>6012816000</v>
      </c>
    </row>
    <row r="20" spans="1:15" s="349" customFormat="1" ht="16.5">
      <c r="A20" s="1934"/>
      <c r="B20" s="1934"/>
      <c r="C20" s="1934"/>
      <c r="D20" s="1934"/>
      <c r="E20" s="1934"/>
      <c r="F20" s="1934"/>
      <c r="G20" s="1934"/>
      <c r="H20" s="1934"/>
      <c r="I20" s="1934"/>
      <c r="J20" s="1934"/>
      <c r="K20" s="1934"/>
      <c r="L20" s="1934"/>
      <c r="O20" s="1593"/>
    </row>
    <row r="21" spans="1:15" s="349" customFormat="1" ht="16.5">
      <c r="A21" s="1934"/>
      <c r="B21" s="1934"/>
      <c r="C21" s="1934"/>
      <c r="D21" s="1934"/>
      <c r="E21" s="1934"/>
      <c r="F21" s="1934"/>
      <c r="G21" s="1934"/>
      <c r="H21" s="1934"/>
      <c r="I21" s="1934"/>
      <c r="J21" s="1934"/>
      <c r="K21" s="1934"/>
      <c r="L21" s="1934"/>
      <c r="O21" s="1593"/>
    </row>
    <row r="22" spans="1:15" s="349" customFormat="1" ht="42.75" customHeight="1">
      <c r="A22" s="1934" t="s">
        <v>6483</v>
      </c>
      <c r="B22" s="1934"/>
      <c r="C22" s="1934"/>
      <c r="D22" s="1934"/>
      <c r="E22" s="1934"/>
      <c r="F22" s="1934"/>
      <c r="G22" s="1934"/>
      <c r="H22" s="1934"/>
      <c r="I22" s="1934"/>
      <c r="J22" s="1934"/>
      <c r="K22" s="1934"/>
      <c r="L22" s="1934"/>
      <c r="O22" s="1593"/>
    </row>
    <row r="23" spans="1:15" s="349" customFormat="1" ht="16.5">
      <c r="A23" s="1592"/>
      <c r="B23"/>
      <c r="C23"/>
      <c r="D23"/>
      <c r="E23"/>
      <c r="F23"/>
      <c r="G23"/>
      <c r="H23"/>
      <c r="I23"/>
      <c r="J23"/>
      <c r="K23"/>
      <c r="L23" s="1594"/>
      <c r="M23" s="1525">
        <v>3177519394</v>
      </c>
      <c r="O23" s="1593"/>
    </row>
    <row r="24" spans="1:15" s="349" customFormat="1" ht="16.5">
      <c r="A24" s="1592"/>
      <c r="B24"/>
      <c r="C24"/>
      <c r="D24"/>
      <c r="E24"/>
      <c r="F24"/>
      <c r="G24"/>
      <c r="H24"/>
      <c r="I24"/>
      <c r="J24"/>
      <c r="K24"/>
      <c r="L24" s="1594"/>
      <c r="M24" s="1525">
        <v>24727774</v>
      </c>
    </row>
    <row r="25" spans="1:15" s="349" customFormat="1" ht="16.5">
      <c r="A25" s="1592"/>
      <c r="B25" s="1595"/>
      <c r="C25" s="1595"/>
      <c r="D25" s="1595"/>
      <c r="E25" s="1595"/>
      <c r="F25" s="1595"/>
      <c r="G25" s="1595"/>
      <c r="H25" s="1595"/>
      <c r="I25" s="1595"/>
      <c r="J25" s="1595"/>
      <c r="K25" s="1595"/>
      <c r="L25" s="1594"/>
      <c r="M25" s="1525">
        <f>M24+M23</f>
        <v>3202247168</v>
      </c>
    </row>
    <row r="26" spans="1:15" s="349" customFormat="1" ht="16.5">
      <c r="A26" s="1591"/>
      <c r="B26" s="1596"/>
      <c r="C26" s="1596"/>
      <c r="D26" s="1596"/>
      <c r="E26" s="1596"/>
      <c r="F26" s="1596"/>
      <c r="G26" s="1596"/>
      <c r="H26" s="1596"/>
      <c r="I26" s="1596"/>
      <c r="J26" s="1596"/>
      <c r="K26" s="1596"/>
      <c r="L26" s="1597"/>
      <c r="M26" s="1634"/>
    </row>
    <row r="27" spans="1:15" s="349" customFormat="1" ht="16.5">
      <c r="A27" s="1934" t="s">
        <v>6460</v>
      </c>
      <c r="B27" s="1934"/>
      <c r="C27" s="1934"/>
      <c r="D27" s="1934"/>
      <c r="E27" s="1934"/>
      <c r="F27" s="1934"/>
      <c r="G27" s="1934">
        <f>M27</f>
        <v>3362359528</v>
      </c>
      <c r="H27" s="1934"/>
      <c r="I27" s="1585" t="s">
        <v>3300</v>
      </c>
      <c r="J27"/>
      <c r="K27" s="1585"/>
      <c r="L27" s="1586"/>
      <c r="M27" s="1525">
        <v>3362359528</v>
      </c>
    </row>
    <row r="28" spans="1:15" s="349" customFormat="1" ht="42" customHeight="1">
      <c r="A28" s="1934" t="e">
        <v>#NAME?</v>
      </c>
      <c r="B28" s="1934"/>
      <c r="C28" s="1934"/>
      <c r="D28" s="1934"/>
      <c r="E28" s="1934"/>
      <c r="F28" s="1934"/>
      <c r="G28" s="1934"/>
      <c r="H28" s="1934"/>
      <c r="I28" s="1934"/>
      <c r="J28" s="1934"/>
      <c r="K28" s="1934"/>
      <c r="L28" s="1934"/>
      <c r="O28" s="1598">
        <v>2100255281</v>
      </c>
    </row>
    <row r="29" spans="1:15" s="1603" customFormat="1">
      <c r="A29" s="1599"/>
      <c r="B29" s="1600"/>
      <c r="C29" s="1600"/>
      <c r="D29" s="1600"/>
      <c r="E29" s="1600"/>
      <c r="F29" s="1600"/>
      <c r="G29" s="1600"/>
      <c r="H29" s="1600"/>
      <c r="I29" s="1600"/>
      <c r="J29" s="1600"/>
      <c r="K29" s="1600"/>
      <c r="L29" s="1601"/>
      <c r="M29" s="1602">
        <f>ROUND(1.3%*M25,0)</f>
        <v>41629213</v>
      </c>
    </row>
    <row r="30" spans="1:15" s="1603" customFormat="1">
      <c r="A30" s="1599"/>
      <c r="B30" s="1600"/>
      <c r="C30" s="1600"/>
      <c r="D30" s="1600"/>
      <c r="E30" s="1600"/>
      <c r="F30" s="1600"/>
      <c r="G30" s="1600"/>
      <c r="H30" s="1600"/>
      <c r="I30" s="1600"/>
      <c r="J30" s="1600"/>
      <c r="K30" s="1600"/>
      <c r="L30" s="1601"/>
    </row>
    <row r="31" spans="1:15" s="1603" customFormat="1">
      <c r="A31" s="1599"/>
      <c r="B31" s="1600"/>
      <c r="C31" s="1600"/>
      <c r="D31" s="1600"/>
      <c r="E31" s="1600"/>
      <c r="F31" s="1600"/>
      <c r="G31" s="1600"/>
      <c r="H31" s="1600"/>
      <c r="I31" s="1600"/>
      <c r="J31" s="1600"/>
      <c r="K31" s="1600"/>
      <c r="L31" s="1601"/>
    </row>
    <row r="32" spans="1:15" s="1603" customFormat="1" ht="16.5">
      <c r="A32" s="1604"/>
      <c r="B32" s="1605"/>
      <c r="C32"/>
      <c r="D32" s="1605"/>
      <c r="E32" s="1605"/>
      <c r="F32" s="1605"/>
      <c r="G32" s="1605"/>
      <c r="H32"/>
      <c r="I32"/>
      <c r="J32"/>
      <c r="K32"/>
      <c r="L32" s="1601"/>
      <c r="M32" s="1636">
        <f>M25*1.3%</f>
        <v>41629213.184</v>
      </c>
    </row>
    <row r="33" spans="1:15" s="1603" customFormat="1" ht="16.5">
      <c r="A33" s="1604"/>
      <c r="B33" s="1605"/>
      <c r="C33"/>
      <c r="D33" s="1605"/>
      <c r="E33" s="1605"/>
      <c r="F33" s="1605"/>
      <c r="G33" s="1605"/>
      <c r="H33" s="1934" t="s">
        <v>318</v>
      </c>
      <c r="I33" s="1934"/>
      <c r="J33" s="1934"/>
      <c r="K33" s="1934"/>
      <c r="L33" s="1934"/>
      <c r="M33" s="1636">
        <f>M25*1.3%</f>
        <v>41629213.184</v>
      </c>
      <c r="O33" s="1602">
        <v>2100825851</v>
      </c>
    </row>
    <row r="34" spans="1:15" s="1603" customFormat="1" ht="16.5">
      <c r="A34" s="1608"/>
      <c r="B34" s="1609"/>
      <c r="C34" t="s">
        <v>6487</v>
      </c>
      <c r="D34" s="1609"/>
      <c r="E34" s="1609"/>
      <c r="F34" s="1609"/>
      <c r="G34" s="1609"/>
      <c r="H34" s="1934" t="s">
        <v>5941</v>
      </c>
      <c r="I34" s="1934"/>
      <c r="J34" s="1934"/>
      <c r="K34" s="1934"/>
      <c r="L34" s="1934"/>
    </row>
    <row r="35" spans="1:15" s="1603" customFormat="1" ht="16.5">
      <c r="A35" s="1608"/>
      <c r="B35" s="1609"/>
      <c r="C35"/>
      <c r="D35" s="1609"/>
      <c r="E35" s="1609"/>
      <c r="F35" s="1609"/>
      <c r="G35" s="1609"/>
      <c r="H35" s="1606"/>
      <c r="I35" s="1606"/>
      <c r="J35" s="1606"/>
      <c r="K35" s="1606"/>
      <c r="L35" s="1607"/>
    </row>
    <row r="36" spans="1:15" s="1603" customFormat="1" ht="16.5">
      <c r="A36" s="1608"/>
      <c r="B36" s="1609"/>
      <c r="C36"/>
      <c r="D36" s="1609"/>
      <c r="E36" s="1609"/>
      <c r="F36" s="1609"/>
      <c r="G36" s="1609"/>
      <c r="H36" s="1606"/>
      <c r="I36" s="1606"/>
      <c r="J36" s="1606"/>
      <c r="K36" s="1606"/>
      <c r="L36" s="1607"/>
    </row>
    <row r="37" spans="1:15" s="1603" customFormat="1" ht="16.5">
      <c r="A37" s="1608"/>
      <c r="B37" s="1609"/>
      <c r="C37"/>
      <c r="D37" s="1609"/>
      <c r="E37" s="1609"/>
      <c r="F37" s="1609"/>
      <c r="G37" s="1609"/>
      <c r="H37" s="1609"/>
      <c r="I37" s="1609"/>
      <c r="J37" s="1609"/>
      <c r="K37" s="1609"/>
      <c r="L37" s="1610"/>
    </row>
    <row r="38" spans="1:15" s="1603" customFormat="1" ht="16.5">
      <c r="A38" s="1608"/>
      <c r="B38" s="1609"/>
      <c r="C38"/>
      <c r="D38" s="1609"/>
      <c r="E38" s="1609"/>
      <c r="F38" s="1609"/>
      <c r="G38" s="1609"/>
      <c r="H38" s="1609"/>
      <c r="I38" s="1609"/>
      <c r="J38" s="1609"/>
      <c r="K38" s="1609"/>
      <c r="L38" s="1610"/>
    </row>
    <row r="39" spans="1:15" s="1603" customFormat="1" ht="16.5">
      <c r="A39" s="1608"/>
      <c r="B39" s="1609"/>
      <c r="C39"/>
      <c r="D39" s="1609"/>
      <c r="E39" s="1609"/>
      <c r="F39" s="1609"/>
      <c r="G39" s="1609"/>
      <c r="H39" s="1609"/>
      <c r="I39" s="1609"/>
      <c r="J39" s="1609"/>
      <c r="K39" s="1609"/>
      <c r="L39" s="1610"/>
      <c r="M39">
        <f>M25*1.3%</f>
        <v>41629213.184</v>
      </c>
    </row>
    <row r="40" spans="1:15" s="1603" customFormat="1" ht="16.5">
      <c r="A40" s="1604"/>
      <c r="B40" s="1605"/>
      <c r="C40" t="s">
        <v>6488</v>
      </c>
      <c r="D40" s="1605"/>
      <c r="E40" s="1605"/>
      <c r="F40" s="1605"/>
      <c r="G40" s="1605"/>
      <c r="H40" s="1934" t="s">
        <v>502</v>
      </c>
      <c r="I40" s="1934"/>
      <c r="J40" s="1934"/>
      <c r="K40" s="1934"/>
      <c r="L40" s="1934"/>
    </row>
    <row r="41" spans="1:15" s="1603" customFormat="1" ht="16.5">
      <c r="A41" s="1604"/>
      <c r="B41" s="1605"/>
      <c r="C41"/>
      <c r="D41" s="1605"/>
      <c r="E41" s="1605"/>
      <c r="F41" s="1605"/>
      <c r="G41" s="1605"/>
      <c r="H41" s="1606"/>
      <c r="I41" s="1606"/>
      <c r="J41" s="1606"/>
      <c r="K41" s="1606"/>
      <c r="L41" s="1607"/>
    </row>
    <row r="42" spans="1:15" s="1603" customFormat="1" ht="16.5">
      <c r="A42" s="1608"/>
      <c r="B42" s="1609"/>
      <c r="C42" s="1609"/>
      <c r="D42" s="1609"/>
      <c r="E42" s="1609"/>
      <c r="F42" s="1609"/>
      <c r="G42" s="1609"/>
      <c r="H42" s="1609"/>
      <c r="I42" s="1609"/>
      <c r="J42" s="1609"/>
      <c r="K42" s="1609"/>
      <c r="L42" s="1610"/>
    </row>
    <row r="43" spans="1:15" s="1603" customFormat="1" ht="13.5" thickBot="1">
      <c r="A43" s="1611"/>
      <c r="B43" s="1612"/>
      <c r="C43" s="1612"/>
      <c r="D43" s="1612"/>
      <c r="E43" s="1612"/>
      <c r="F43" s="1612"/>
      <c r="G43" s="1612"/>
      <c r="H43" s="1612"/>
      <c r="I43" s="1612"/>
      <c r="J43" s="1612"/>
      <c r="K43" s="1612"/>
      <c r="L43" s="1613"/>
    </row>
    <row r="44" spans="1:15" ht="13.5" thickTop="1">
      <c r="A44" s="1581"/>
      <c r="B44" s="1581"/>
      <c r="C44" s="1581"/>
      <c r="D44" s="1581"/>
      <c r="E44" s="1581"/>
      <c r="F44" s="1581"/>
      <c r="G44" s="1581"/>
      <c r="H44" s="1581"/>
      <c r="I44" s="1581"/>
      <c r="J44" s="1581"/>
      <c r="K44" s="1581"/>
      <c r="L44" s="1581"/>
    </row>
    <row r="54" spans="13:13" ht="13.5" thickBot="1"/>
    <row r="55" spans="13:13" ht="13.5" thickBot="1">
      <c r="M55">
        <v>638065055</v>
      </c>
    </row>
    <row r="56" spans="13:13" ht="13.5" thickBot="1">
      <c r="M56">
        <v>804281520</v>
      </c>
    </row>
    <row r="57" spans="13:13" ht="13.5" thickBot="1">
      <c r="M57">
        <v>8965276977</v>
      </c>
    </row>
    <row r="58" spans="13:13">
      <c r="M58">
        <f>SUM(M55:M57)</f>
        <v>10407623552</v>
      </c>
    </row>
    <row r="64" spans="13:13" ht="13.5" thickBot="1"/>
    <row r="65" spans="13:13" ht="13.5" thickBot="1">
      <c r="M65">
        <v>661283811</v>
      </c>
    </row>
    <row r="66" spans="13:13" ht="13.5" thickBot="1">
      <c r="M66">
        <v>958021148</v>
      </c>
    </row>
    <row r="67" spans="13:13" ht="13.5" thickBot="1">
      <c r="M67">
        <v>10665697940</v>
      </c>
    </row>
    <row r="68" spans="13:13">
      <c r="M68" s="1524">
        <f>SUM(M65:M67)</f>
        <v>12285002899</v>
      </c>
    </row>
  </sheetData>
  <mergeCells count="19">
    <mergeCell ref="A21:L21"/>
    <mergeCell ref="A3:F4"/>
    <mergeCell ref="G3:L3"/>
    <mergeCell ref="G4:L4"/>
    <mergeCell ref="A5:F5"/>
    <mergeCell ref="G6:L6"/>
    <mergeCell ref="A14:L14"/>
    <mergeCell ref="A15:L15"/>
    <mergeCell ref="A17:L17"/>
    <mergeCell ref="A18:L18"/>
    <mergeCell ref="A19:L19"/>
    <mergeCell ref="A20:L20"/>
    <mergeCell ref="H40:L40"/>
    <mergeCell ref="A22:L22"/>
    <mergeCell ref="A27:F27"/>
    <mergeCell ref="G27:H27"/>
    <mergeCell ref="A28:L28"/>
    <mergeCell ref="H33:L33"/>
    <mergeCell ref="H34:L34"/>
  </mergeCells>
  <pageMargins left="0.70866141732283472" right="0.70866141732283472" top="0.43307086614173229" bottom="0.74803149606299213" header="0.31496062992125984" footer="0.31496062992125984"/>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rgb="FFFF0000"/>
  </sheetPr>
  <dimension ref="A1:M171"/>
  <sheetViews>
    <sheetView showGridLines="0" tabSelected="1" view="pageBreakPreview" zoomScale="70" zoomScaleNormal="85" zoomScaleSheetLayoutView="70" workbookViewId="0">
      <selection activeCell="B8" sqref="B8"/>
    </sheetView>
  </sheetViews>
  <sheetFormatPr defaultColWidth="10.1640625" defaultRowHeight="16.5"/>
  <cols>
    <col min="1" max="1" width="5.6640625" style="1530" bestFit="1" customWidth="1"/>
    <col min="2" max="2" width="101.6640625" style="1529" customWidth="1"/>
    <col min="3" max="3" width="13.5" style="1529" customWidth="1"/>
    <col min="4" max="4" width="16.1640625" style="1529" bestFit="1" customWidth="1"/>
    <col min="5" max="5" width="20.83203125" style="1529" customWidth="1"/>
    <col min="6" max="6" width="29.5" style="1529" hidden="1" customWidth="1"/>
    <col min="7" max="7" width="8.1640625" style="1529" hidden="1" customWidth="1"/>
    <col min="8" max="8" width="25" style="1529" hidden="1" customWidth="1"/>
    <col min="9" max="9" width="15.83203125" style="1529" hidden="1" customWidth="1"/>
    <col min="10" max="10" width="0" style="1529" hidden="1" customWidth="1"/>
    <col min="11" max="11" width="18.83203125" style="1529" hidden="1" customWidth="1"/>
    <col min="12" max="12" width="25" style="1529" bestFit="1" customWidth="1"/>
    <col min="13" max="16384" width="10.1640625" style="1529"/>
  </cols>
  <sheetData>
    <row r="1" spans="1:13">
      <c r="A1" s="1976" t="s">
        <v>6461</v>
      </c>
      <c r="B1" s="1976"/>
      <c r="C1" s="1976"/>
      <c r="D1" s="1976"/>
      <c r="E1" s="1976"/>
      <c r="F1" s="1976"/>
      <c r="G1" s="1976"/>
      <c r="H1" s="1976"/>
      <c r="I1" s="1976"/>
    </row>
    <row r="2" spans="1:13" hidden="1">
      <c r="A2" s="1976" t="s">
        <v>6627</v>
      </c>
      <c r="B2" s="1976"/>
      <c r="C2" s="1976"/>
      <c r="D2" s="1976"/>
      <c r="E2" s="1976"/>
      <c r="F2" s="1976"/>
      <c r="G2" s="1976"/>
      <c r="H2" s="1976"/>
      <c r="I2" s="1976"/>
    </row>
    <row r="3" spans="1:13" ht="5.25" customHeight="1">
      <c r="A3" s="1614"/>
      <c r="B3" s="1614"/>
      <c r="C3" s="1614"/>
      <c r="D3" s="1614"/>
      <c r="E3" s="1614"/>
      <c r="F3" s="1614"/>
      <c r="G3" s="1614"/>
      <c r="H3" s="1614"/>
      <c r="I3" s="1614"/>
    </row>
    <row r="4" spans="1:13" ht="13.5" customHeight="1">
      <c r="A4" s="2302" t="s">
        <v>6629</v>
      </c>
      <c r="B4" s="1976"/>
      <c r="C4" s="1976"/>
      <c r="D4" s="1976"/>
      <c r="E4" s="1976"/>
      <c r="F4" s="1976"/>
      <c r="G4" s="1976"/>
      <c r="H4" s="1976"/>
      <c r="I4" s="1976"/>
    </row>
    <row r="5" spans="1:13" ht="6.75" customHeight="1">
      <c r="A5" s="1529"/>
    </row>
    <row r="6" spans="1:13" ht="7.5" customHeight="1">
      <c r="A6" s="1528"/>
    </row>
    <row r="7" spans="1:13" s="1528" customFormat="1" ht="32.25" customHeight="1">
      <c r="A7" s="1544" t="s">
        <v>6342</v>
      </c>
      <c r="B7" s="1544" t="s">
        <v>6426</v>
      </c>
      <c r="C7" s="1544" t="s">
        <v>6438</v>
      </c>
      <c r="D7" s="1544" t="s">
        <v>174</v>
      </c>
      <c r="E7" s="1544"/>
      <c r="F7" s="1553"/>
      <c r="G7" s="1553"/>
      <c r="H7" s="1553"/>
      <c r="I7" s="1538"/>
    </row>
    <row r="8" spans="1:13" s="1528" customFormat="1">
      <c r="A8" s="1661" t="s">
        <v>5284</v>
      </c>
      <c r="B8" s="1662" t="s">
        <v>6661</v>
      </c>
      <c r="C8" s="2303"/>
      <c r="D8" s="2303"/>
      <c r="E8" s="2303"/>
      <c r="F8" s="1663"/>
      <c r="G8" s="1663"/>
      <c r="H8" s="1663"/>
      <c r="I8" s="1664"/>
      <c r="K8" s="1528">
        <f>H8/1.1</f>
        <v>0</v>
      </c>
      <c r="L8" s="1681"/>
      <c r="M8" s="1681"/>
    </row>
    <row r="9" spans="1:13" s="1528" customFormat="1">
      <c r="A9" s="1682">
        <v>1</v>
      </c>
      <c r="B9" s="1680" t="s">
        <v>6630</v>
      </c>
      <c r="C9" s="1680" t="s">
        <v>1307</v>
      </c>
      <c r="D9" s="1683">
        <v>52</v>
      </c>
      <c r="E9" s="1686"/>
      <c r="F9" s="1680"/>
      <c r="G9" s="1684"/>
      <c r="H9" s="1684"/>
      <c r="I9" s="1685"/>
      <c r="L9" s="1681"/>
      <c r="M9" s="1681"/>
    </row>
    <row r="10" spans="1:13" s="1528" customFormat="1">
      <c r="A10" s="1682">
        <f>+A9+1</f>
        <v>2</v>
      </c>
      <c r="B10" s="1680" t="s">
        <v>6631</v>
      </c>
      <c r="C10" s="1680" t="s">
        <v>1307</v>
      </c>
      <c r="D10" s="1683">
        <v>9</v>
      </c>
      <c r="E10" s="1686"/>
      <c r="F10" s="1680"/>
      <c r="G10" s="1684"/>
      <c r="H10" s="1684"/>
      <c r="I10" s="1685"/>
      <c r="L10" s="1681"/>
      <c r="M10" s="1681"/>
    </row>
    <row r="11" spans="1:13" s="1528" customFormat="1">
      <c r="A11" s="1682">
        <f t="shared" ref="A11:A46" si="0">+A10+1</f>
        <v>3</v>
      </c>
      <c r="B11" s="1680" t="s">
        <v>6632</v>
      </c>
      <c r="C11" s="1680" t="s">
        <v>1307</v>
      </c>
      <c r="D11" s="1683">
        <v>6</v>
      </c>
      <c r="E11" s="1686"/>
      <c r="F11" s="1680"/>
      <c r="G11" s="1684"/>
      <c r="H11" s="1684"/>
      <c r="I11" s="1685"/>
      <c r="L11" s="1681"/>
      <c r="M11" s="1681"/>
    </row>
    <row r="12" spans="1:13" s="1528" customFormat="1">
      <c r="A12" s="1682">
        <f t="shared" si="0"/>
        <v>4</v>
      </c>
      <c r="B12" s="1680" t="s">
        <v>6633</v>
      </c>
      <c r="C12" s="1680" t="s">
        <v>1307</v>
      </c>
      <c r="D12" s="1683">
        <v>3</v>
      </c>
      <c r="E12" s="1686"/>
      <c r="F12" s="1680"/>
      <c r="G12" s="1684"/>
      <c r="H12" s="1684"/>
      <c r="I12" s="1685"/>
      <c r="L12" s="1681"/>
      <c r="M12" s="1681"/>
    </row>
    <row r="13" spans="1:13" s="1528" customFormat="1">
      <c r="A13" s="1682">
        <f t="shared" si="0"/>
        <v>5</v>
      </c>
      <c r="B13" s="1680" t="s">
        <v>6634</v>
      </c>
      <c r="C13" s="1680" t="s">
        <v>1307</v>
      </c>
      <c r="D13" s="1683">
        <v>6</v>
      </c>
      <c r="E13" s="1686"/>
      <c r="F13" s="1680"/>
      <c r="G13" s="1684"/>
      <c r="H13" s="1684"/>
      <c r="I13" s="1685"/>
      <c r="L13" s="1681"/>
      <c r="M13" s="1681"/>
    </row>
    <row r="14" spans="1:13" s="1528" customFormat="1">
      <c r="A14" s="1682">
        <f t="shared" si="0"/>
        <v>6</v>
      </c>
      <c r="B14" s="1680" t="s">
        <v>6635</v>
      </c>
      <c r="C14" s="1680" t="s">
        <v>1294</v>
      </c>
      <c r="D14" s="1683">
        <v>268</v>
      </c>
      <c r="E14" s="1686"/>
      <c r="F14" s="1680"/>
      <c r="G14" s="1684"/>
      <c r="H14" s="1684"/>
      <c r="I14" s="1685"/>
      <c r="L14" s="1681"/>
      <c r="M14" s="1681"/>
    </row>
    <row r="15" spans="1:13" s="1528" customFormat="1">
      <c r="A15" s="1682">
        <f t="shared" si="0"/>
        <v>7</v>
      </c>
      <c r="B15" s="1680" t="s">
        <v>6636</v>
      </c>
      <c r="C15" s="1680" t="s">
        <v>1307</v>
      </c>
      <c r="D15" s="1683">
        <v>220</v>
      </c>
      <c r="E15" s="1686"/>
      <c r="F15" s="1680"/>
      <c r="G15" s="1684"/>
      <c r="H15" s="1684"/>
      <c r="I15" s="1685"/>
      <c r="L15" s="1681"/>
      <c r="M15" s="1681"/>
    </row>
    <row r="16" spans="1:13" s="1528" customFormat="1">
      <c r="A16" s="1682">
        <f t="shared" si="0"/>
        <v>8</v>
      </c>
      <c r="B16" s="1680" t="s">
        <v>2665</v>
      </c>
      <c r="C16" s="1680" t="s">
        <v>2660</v>
      </c>
      <c r="D16" s="1683">
        <v>941</v>
      </c>
      <c r="E16" s="1686"/>
      <c r="F16" s="1680"/>
      <c r="G16" s="1684"/>
      <c r="H16" s="1684"/>
      <c r="I16" s="1685"/>
      <c r="L16" s="1681"/>
      <c r="M16" s="1681"/>
    </row>
    <row r="17" spans="1:13" s="1528" customFormat="1">
      <c r="A17" s="1682">
        <f t="shared" si="0"/>
        <v>9</v>
      </c>
      <c r="B17" s="1680" t="s">
        <v>6637</v>
      </c>
      <c r="C17" s="1680" t="s">
        <v>2660</v>
      </c>
      <c r="D17" s="1683">
        <v>663</v>
      </c>
      <c r="E17" s="1686"/>
      <c r="F17" s="1680"/>
      <c r="G17" s="1684"/>
      <c r="H17" s="1684"/>
      <c r="I17" s="1685"/>
      <c r="L17" s="1681"/>
      <c r="M17" s="1681"/>
    </row>
    <row r="18" spans="1:13" s="1528" customFormat="1">
      <c r="A18" s="1682">
        <f t="shared" si="0"/>
        <v>10</v>
      </c>
      <c r="B18" s="1680" t="s">
        <v>6638</v>
      </c>
      <c r="C18" s="1680" t="s">
        <v>2660</v>
      </c>
      <c r="D18" s="1683">
        <v>252</v>
      </c>
      <c r="E18" s="1686"/>
      <c r="F18" s="1680"/>
      <c r="G18" s="1684"/>
      <c r="H18" s="1684"/>
      <c r="I18" s="1685"/>
      <c r="L18" s="1681"/>
      <c r="M18" s="1681"/>
    </row>
    <row r="19" spans="1:13" s="1528" customFormat="1">
      <c r="A19" s="1682">
        <f t="shared" si="0"/>
        <v>11</v>
      </c>
      <c r="B19" s="1680" t="s">
        <v>6515</v>
      </c>
      <c r="C19" s="1680" t="s">
        <v>639</v>
      </c>
      <c r="D19" s="1683">
        <v>4733</v>
      </c>
      <c r="E19" s="1686"/>
      <c r="F19" s="1680"/>
      <c r="G19" s="1684"/>
      <c r="H19" s="1684"/>
      <c r="I19" s="1685"/>
      <c r="L19" s="1681"/>
      <c r="M19" s="1681"/>
    </row>
    <row r="20" spans="1:13" s="1528" customFormat="1">
      <c r="A20" s="1682">
        <f t="shared" si="0"/>
        <v>12</v>
      </c>
      <c r="B20" s="1680" t="s">
        <v>6639</v>
      </c>
      <c r="C20" s="1680" t="s">
        <v>639</v>
      </c>
      <c r="D20" s="1683">
        <v>4122</v>
      </c>
      <c r="E20" s="1686"/>
      <c r="F20" s="1680"/>
      <c r="G20" s="1684"/>
      <c r="H20" s="1684"/>
      <c r="I20" s="1685"/>
      <c r="L20" s="1681"/>
      <c r="M20" s="1681"/>
    </row>
    <row r="21" spans="1:13" s="1528" customFormat="1">
      <c r="A21" s="1682">
        <f t="shared" si="0"/>
        <v>13</v>
      </c>
      <c r="B21" s="1680" t="s">
        <v>6640</v>
      </c>
      <c r="C21" s="1680" t="s">
        <v>639</v>
      </c>
      <c r="D21" s="1683">
        <v>2257</v>
      </c>
      <c r="E21" s="1686"/>
      <c r="F21" s="1680"/>
      <c r="G21" s="1684"/>
      <c r="H21" s="1684"/>
      <c r="I21" s="1685"/>
      <c r="L21" s="1681"/>
      <c r="M21" s="1681"/>
    </row>
    <row r="22" spans="1:13" s="1528" customFormat="1">
      <c r="A22" s="1682">
        <f t="shared" si="0"/>
        <v>14</v>
      </c>
      <c r="B22" s="1680" t="s">
        <v>6641</v>
      </c>
      <c r="C22" s="1680" t="s">
        <v>639</v>
      </c>
      <c r="D22" s="1683">
        <v>12</v>
      </c>
      <c r="E22" s="1686"/>
      <c r="F22" s="1680"/>
      <c r="G22" s="1684"/>
      <c r="H22" s="1684"/>
      <c r="I22" s="1685"/>
      <c r="L22" s="1681"/>
      <c r="M22" s="1681"/>
    </row>
    <row r="23" spans="1:13" s="1528" customFormat="1">
      <c r="A23" s="1682">
        <f t="shared" si="0"/>
        <v>15</v>
      </c>
      <c r="B23" s="1680" t="s">
        <v>6413</v>
      </c>
      <c r="C23" s="1680" t="s">
        <v>639</v>
      </c>
      <c r="D23" s="1683">
        <v>336</v>
      </c>
      <c r="E23" s="1686"/>
      <c r="F23" s="1680"/>
      <c r="G23" s="1684"/>
      <c r="H23" s="1684"/>
      <c r="I23" s="1685"/>
      <c r="L23" s="1681"/>
      <c r="M23" s="1681"/>
    </row>
    <row r="24" spans="1:13" s="1528" customFormat="1">
      <c r="A24" s="1682">
        <f t="shared" si="0"/>
        <v>16</v>
      </c>
      <c r="B24" s="1680" t="s">
        <v>6642</v>
      </c>
      <c r="C24" s="1680" t="s">
        <v>639</v>
      </c>
      <c r="D24" s="1683">
        <v>79</v>
      </c>
      <c r="E24" s="1686"/>
      <c r="F24" s="1680"/>
      <c r="G24" s="1684"/>
      <c r="H24" s="1684"/>
      <c r="I24" s="1685"/>
      <c r="L24" s="1681"/>
      <c r="M24" s="1681"/>
    </row>
    <row r="25" spans="1:13" s="1528" customFormat="1">
      <c r="A25" s="1682">
        <f t="shared" si="0"/>
        <v>17</v>
      </c>
      <c r="B25" s="1680" t="s">
        <v>6423</v>
      </c>
      <c r="C25" s="1680" t="s">
        <v>639</v>
      </c>
      <c r="D25" s="1683">
        <v>97</v>
      </c>
      <c r="E25" s="1686"/>
      <c r="F25" s="1680"/>
      <c r="G25" s="1684"/>
      <c r="H25" s="1684"/>
      <c r="I25" s="1685"/>
      <c r="L25" s="1681"/>
      <c r="M25" s="1681"/>
    </row>
    <row r="26" spans="1:13" s="1528" customFormat="1">
      <c r="A26" s="1682">
        <f t="shared" si="0"/>
        <v>18</v>
      </c>
      <c r="B26" s="1680" t="s">
        <v>6516</v>
      </c>
      <c r="C26" s="1680" t="s">
        <v>639</v>
      </c>
      <c r="D26" s="1683">
        <v>30</v>
      </c>
      <c r="E26" s="1686"/>
      <c r="F26" s="1680"/>
      <c r="G26" s="1684"/>
      <c r="H26" s="1684"/>
      <c r="I26" s="1685"/>
      <c r="L26" s="1681"/>
      <c r="M26" s="1681"/>
    </row>
    <row r="27" spans="1:13" s="1528" customFormat="1">
      <c r="A27" s="1682">
        <f t="shared" si="0"/>
        <v>19</v>
      </c>
      <c r="B27" s="1680" t="s">
        <v>6643</v>
      </c>
      <c r="C27" s="1680" t="s">
        <v>639</v>
      </c>
      <c r="D27" s="1683">
        <v>24</v>
      </c>
      <c r="E27" s="1686"/>
      <c r="F27" s="1680"/>
      <c r="G27" s="1684"/>
      <c r="H27" s="1684"/>
      <c r="I27" s="1685"/>
      <c r="L27" s="1681"/>
      <c r="M27" s="1681"/>
    </row>
    <row r="28" spans="1:13" s="1528" customFormat="1">
      <c r="A28" s="1682">
        <f t="shared" si="0"/>
        <v>20</v>
      </c>
      <c r="B28" s="1680" t="s">
        <v>6644</v>
      </c>
      <c r="C28" s="1680" t="s">
        <v>639</v>
      </c>
      <c r="D28" s="1683">
        <v>1589</v>
      </c>
      <c r="E28" s="1686"/>
      <c r="F28" s="1680"/>
      <c r="G28" s="1684"/>
      <c r="H28" s="1684"/>
      <c r="I28" s="1685"/>
      <c r="L28" s="1681"/>
      <c r="M28" s="1681"/>
    </row>
    <row r="29" spans="1:13" s="1528" customFormat="1">
      <c r="A29" s="1682">
        <f t="shared" si="0"/>
        <v>21</v>
      </c>
      <c r="B29" s="1680" t="s">
        <v>6596</v>
      </c>
      <c r="C29" s="1680" t="s">
        <v>639</v>
      </c>
      <c r="D29" s="1683">
        <v>401</v>
      </c>
      <c r="E29" s="1686"/>
      <c r="F29" s="1680"/>
      <c r="G29" s="1684"/>
      <c r="H29" s="1684"/>
      <c r="I29" s="1685"/>
      <c r="L29" s="1681"/>
      <c r="M29" s="1681"/>
    </row>
    <row r="30" spans="1:13" s="1528" customFormat="1">
      <c r="A30" s="1682">
        <f t="shared" si="0"/>
        <v>22</v>
      </c>
      <c r="B30" s="1680" t="s">
        <v>6645</v>
      </c>
      <c r="C30" s="1680" t="s">
        <v>639</v>
      </c>
      <c r="D30" s="1683">
        <v>1362</v>
      </c>
      <c r="E30" s="1686"/>
      <c r="F30" s="1680"/>
      <c r="G30" s="1684"/>
      <c r="H30" s="1684"/>
      <c r="I30" s="1685"/>
      <c r="L30" s="1681"/>
      <c r="M30" s="1681"/>
    </row>
    <row r="31" spans="1:13" s="1528" customFormat="1">
      <c r="A31" s="1682">
        <f t="shared" si="0"/>
        <v>23</v>
      </c>
      <c r="B31" s="1680" t="s">
        <v>6616</v>
      </c>
      <c r="C31" s="1680" t="s">
        <v>639</v>
      </c>
      <c r="D31" s="1683">
        <v>70</v>
      </c>
      <c r="E31" s="1686"/>
      <c r="F31" s="1680"/>
      <c r="G31" s="1684"/>
      <c r="H31" s="1684"/>
      <c r="I31" s="1685"/>
      <c r="L31" s="1681"/>
      <c r="M31" s="1681"/>
    </row>
    <row r="32" spans="1:13" s="1528" customFormat="1">
      <c r="A32" s="1682">
        <f t="shared" si="0"/>
        <v>24</v>
      </c>
      <c r="B32" s="1680" t="s">
        <v>6646</v>
      </c>
      <c r="C32" s="1680" t="s">
        <v>639</v>
      </c>
      <c r="D32" s="1683">
        <v>3842</v>
      </c>
      <c r="E32" s="1686"/>
      <c r="F32" s="1680"/>
      <c r="G32" s="1684"/>
      <c r="H32" s="1684"/>
      <c r="I32" s="1685"/>
      <c r="L32" s="1681"/>
      <c r="M32" s="1681"/>
    </row>
    <row r="33" spans="1:13" s="1528" customFormat="1">
      <c r="A33" s="1682">
        <f t="shared" si="0"/>
        <v>25</v>
      </c>
      <c r="B33" s="1680" t="s">
        <v>6647</v>
      </c>
      <c r="C33" s="1680" t="s">
        <v>639</v>
      </c>
      <c r="D33" s="1683">
        <v>1946</v>
      </c>
      <c r="E33" s="1686"/>
      <c r="F33" s="1680"/>
      <c r="G33" s="1684"/>
      <c r="H33" s="1684"/>
      <c r="I33" s="1685"/>
      <c r="L33" s="1681"/>
      <c r="M33" s="1681"/>
    </row>
    <row r="34" spans="1:13" s="1528" customFormat="1">
      <c r="A34" s="1682">
        <f t="shared" si="0"/>
        <v>26</v>
      </c>
      <c r="B34" s="1680" t="s">
        <v>6648</v>
      </c>
      <c r="C34" s="1680" t="s">
        <v>639</v>
      </c>
      <c r="D34" s="1683">
        <v>637</v>
      </c>
      <c r="E34" s="1686"/>
      <c r="F34" s="1680"/>
      <c r="G34" s="1684"/>
      <c r="H34" s="1684"/>
      <c r="I34" s="1685"/>
      <c r="L34" s="1681"/>
      <c r="M34" s="1681"/>
    </row>
    <row r="35" spans="1:13" s="1528" customFormat="1">
      <c r="A35" s="1682">
        <f t="shared" si="0"/>
        <v>27</v>
      </c>
      <c r="B35" s="1680" t="s">
        <v>6649</v>
      </c>
      <c r="C35" s="1680" t="s">
        <v>1297</v>
      </c>
      <c r="D35" s="1683">
        <v>1</v>
      </c>
      <c r="E35" s="1686"/>
      <c r="F35" s="1680"/>
      <c r="G35" s="1684"/>
      <c r="H35" s="1684"/>
      <c r="I35" s="1685"/>
      <c r="L35" s="1681"/>
      <c r="M35" s="1681"/>
    </row>
    <row r="36" spans="1:13" s="1528" customFormat="1">
      <c r="A36" s="1682">
        <f t="shared" si="0"/>
        <v>28</v>
      </c>
      <c r="B36" s="1680" t="s">
        <v>6650</v>
      </c>
      <c r="C36" s="1680" t="s">
        <v>1297</v>
      </c>
      <c r="D36" s="1683">
        <v>53</v>
      </c>
      <c r="E36" s="1686"/>
      <c r="F36" s="1680"/>
      <c r="G36" s="1684"/>
      <c r="H36" s="1684"/>
      <c r="I36" s="1685"/>
      <c r="L36" s="1681"/>
      <c r="M36" s="1681"/>
    </row>
    <row r="37" spans="1:13" s="1528" customFormat="1">
      <c r="A37" s="1682">
        <f t="shared" si="0"/>
        <v>29</v>
      </c>
      <c r="B37" s="1680" t="s">
        <v>6651</v>
      </c>
      <c r="C37" s="1680" t="s">
        <v>1297</v>
      </c>
      <c r="D37" s="1683">
        <v>11</v>
      </c>
      <c r="E37" s="1686"/>
      <c r="F37" s="1680"/>
      <c r="G37" s="1684"/>
      <c r="H37" s="1684"/>
      <c r="I37" s="1685"/>
      <c r="L37" s="1681"/>
      <c r="M37" s="1681"/>
    </row>
    <row r="38" spans="1:13" s="1528" customFormat="1">
      <c r="A38" s="1682">
        <f t="shared" si="0"/>
        <v>30</v>
      </c>
      <c r="B38" s="1680" t="s">
        <v>6652</v>
      </c>
      <c r="C38" s="1680" t="s">
        <v>1297</v>
      </c>
      <c r="D38" s="1683">
        <v>6</v>
      </c>
      <c r="E38" s="1686"/>
      <c r="F38" s="1680"/>
      <c r="G38" s="1684"/>
      <c r="H38" s="1684"/>
      <c r="I38" s="1685"/>
      <c r="L38" s="1681"/>
      <c r="M38" s="1681"/>
    </row>
    <row r="39" spans="1:13" s="1528" customFormat="1">
      <c r="A39" s="1682">
        <f t="shared" si="0"/>
        <v>31</v>
      </c>
      <c r="B39" s="1680" t="s">
        <v>6653</v>
      </c>
      <c r="C39" s="1680" t="s">
        <v>1297</v>
      </c>
      <c r="D39" s="1683">
        <v>3</v>
      </c>
      <c r="E39" s="1686"/>
      <c r="F39" s="1680"/>
      <c r="G39" s="1684"/>
      <c r="H39" s="1684"/>
      <c r="I39" s="1685"/>
      <c r="L39" s="1681"/>
      <c r="M39" s="1681"/>
    </row>
    <row r="40" spans="1:13" s="1528" customFormat="1">
      <c r="A40" s="1682">
        <f t="shared" si="0"/>
        <v>32</v>
      </c>
      <c r="B40" s="1680" t="s">
        <v>6654</v>
      </c>
      <c r="C40" s="1680" t="s">
        <v>1297</v>
      </c>
      <c r="D40" s="1683">
        <v>4</v>
      </c>
      <c r="E40" s="1686"/>
      <c r="F40" s="1680"/>
      <c r="G40" s="1684"/>
      <c r="H40" s="1684"/>
      <c r="I40" s="1685"/>
      <c r="L40" s="1681"/>
      <c r="M40" s="1681"/>
    </row>
    <row r="41" spans="1:13" s="1528" customFormat="1">
      <c r="A41" s="1682">
        <f t="shared" si="0"/>
        <v>33</v>
      </c>
      <c r="B41" s="1680" t="s">
        <v>6655</v>
      </c>
      <c r="C41" s="1680" t="s">
        <v>1297</v>
      </c>
      <c r="D41" s="1683">
        <v>17</v>
      </c>
      <c r="E41" s="1686"/>
      <c r="F41" s="1680"/>
      <c r="G41" s="1684"/>
      <c r="H41" s="1684"/>
      <c r="I41" s="1685"/>
      <c r="L41" s="1681"/>
      <c r="M41" s="1681"/>
    </row>
    <row r="42" spans="1:13" s="1528" customFormat="1">
      <c r="A42" s="1682">
        <f t="shared" si="0"/>
        <v>34</v>
      </c>
      <c r="B42" s="1680" t="s">
        <v>6656</v>
      </c>
      <c r="C42" s="1680" t="s">
        <v>1297</v>
      </c>
      <c r="D42" s="1683">
        <v>9</v>
      </c>
      <c r="E42" s="1686"/>
      <c r="F42" s="1680"/>
      <c r="G42" s="1684"/>
      <c r="H42" s="1684"/>
      <c r="I42" s="1685"/>
      <c r="L42" s="1681"/>
      <c r="M42" s="1681"/>
    </row>
    <row r="43" spans="1:13" s="1528" customFormat="1">
      <c r="A43" s="1682">
        <f t="shared" si="0"/>
        <v>35</v>
      </c>
      <c r="B43" s="1680" t="s">
        <v>6657</v>
      </c>
      <c r="C43" s="1680" t="s">
        <v>1297</v>
      </c>
      <c r="D43" s="1683">
        <v>5</v>
      </c>
      <c r="E43" s="1686"/>
      <c r="F43" s="1680"/>
      <c r="G43" s="1684"/>
      <c r="H43" s="1684"/>
      <c r="I43" s="1685"/>
      <c r="L43" s="1681"/>
      <c r="M43" s="1681"/>
    </row>
    <row r="44" spans="1:13" s="1528" customFormat="1">
      <c r="A44" s="1682">
        <f t="shared" si="0"/>
        <v>36</v>
      </c>
      <c r="B44" s="1680" t="s">
        <v>6658</v>
      </c>
      <c r="C44" s="1680" t="s">
        <v>1297</v>
      </c>
      <c r="D44" s="1683">
        <v>4</v>
      </c>
      <c r="E44" s="1686"/>
      <c r="F44" s="1680"/>
      <c r="G44" s="1684"/>
      <c r="H44" s="1684"/>
      <c r="I44" s="1685"/>
      <c r="L44" s="1681"/>
      <c r="M44" s="1681"/>
    </row>
    <row r="45" spans="1:13" s="1528" customFormat="1">
      <c r="A45" s="1682">
        <f t="shared" si="0"/>
        <v>37</v>
      </c>
      <c r="B45" s="1680" t="s">
        <v>6659</v>
      </c>
      <c r="C45" s="1680" t="s">
        <v>1297</v>
      </c>
      <c r="D45" s="1683">
        <v>22</v>
      </c>
      <c r="E45" s="1686"/>
      <c r="F45" s="1680"/>
      <c r="G45" s="1684"/>
      <c r="H45" s="1684"/>
      <c r="I45" s="1685"/>
      <c r="L45" s="1681"/>
      <c r="M45" s="1681"/>
    </row>
    <row r="46" spans="1:13" s="1528" customFormat="1">
      <c r="A46" s="1682">
        <f t="shared" si="0"/>
        <v>38</v>
      </c>
      <c r="B46" s="1680" t="s">
        <v>6660</v>
      </c>
      <c r="C46" s="1680" t="s">
        <v>1297</v>
      </c>
      <c r="D46" s="1683">
        <v>1</v>
      </c>
      <c r="E46" s="1686"/>
      <c r="F46" s="1680"/>
      <c r="G46" s="1684"/>
      <c r="H46" s="1684"/>
      <c r="I46" s="1685"/>
      <c r="L46" s="1681"/>
      <c r="M46" s="1681"/>
    </row>
    <row r="47" spans="1:13">
      <c r="A47" s="1666" t="s">
        <v>1233</v>
      </c>
      <c r="B47" s="1667"/>
      <c r="C47" s="2304"/>
      <c r="D47" s="2304"/>
      <c r="E47" s="2304"/>
      <c r="F47" s="1665"/>
      <c r="G47" s="1665"/>
      <c r="H47" s="1665"/>
      <c r="I47" s="1668"/>
    </row>
    <row r="48" spans="1:13">
      <c r="A48" s="1669" t="s">
        <v>1233</v>
      </c>
      <c r="B48" s="1670"/>
      <c r="C48" s="1671"/>
      <c r="D48" s="1671"/>
      <c r="E48" s="1671"/>
      <c r="F48" s="1672"/>
      <c r="G48" s="1671"/>
      <c r="H48" s="1672"/>
      <c r="I48" s="1673"/>
    </row>
    <row r="49" spans="1:9">
      <c r="B49" s="1528"/>
      <c r="E49" s="1674"/>
      <c r="F49" s="1674"/>
    </row>
    <row r="50" spans="1:9">
      <c r="A50" s="1676"/>
      <c r="B50" s="1677"/>
      <c r="C50" s="1677"/>
      <c r="D50" s="1677"/>
      <c r="E50" s="1678"/>
      <c r="F50" s="1678"/>
      <c r="G50" s="1677"/>
      <c r="H50" s="1677"/>
      <c r="I50" s="1677"/>
    </row>
    <row r="51" spans="1:9">
      <c r="B51" s="1528"/>
      <c r="E51" s="1674"/>
      <c r="F51" s="1674"/>
    </row>
    <row r="52" spans="1:9">
      <c r="B52" s="1677"/>
      <c r="C52" s="1677"/>
      <c r="D52" s="1677"/>
      <c r="E52" s="1678"/>
      <c r="F52" s="1678"/>
    </row>
    <row r="53" spans="1:9">
      <c r="B53" s="1677"/>
      <c r="C53" s="1677"/>
      <c r="D53" s="1677"/>
      <c r="E53" s="1678"/>
      <c r="F53" s="1678"/>
    </row>
    <row r="54" spans="1:9">
      <c r="B54" s="1677"/>
      <c r="C54" s="1677"/>
      <c r="D54" s="1677"/>
      <c r="E54" s="1678"/>
      <c r="F54" s="1678"/>
    </row>
    <row r="55" spans="1:9">
      <c r="B55" s="1677"/>
      <c r="C55" s="1677"/>
      <c r="D55" s="1677"/>
      <c r="E55" s="1678"/>
      <c r="F55" s="1678"/>
      <c r="G55" s="1677"/>
    </row>
    <row r="56" spans="1:9">
      <c r="B56" s="1677"/>
      <c r="C56" s="1677"/>
      <c r="D56" s="1677"/>
      <c r="E56" s="1678"/>
      <c r="F56" s="1678"/>
    </row>
    <row r="57" spans="1:9">
      <c r="B57" s="1677"/>
      <c r="C57" s="1677"/>
      <c r="D57" s="1677"/>
      <c r="E57" s="1678"/>
      <c r="F57" s="1678"/>
    </row>
    <row r="58" spans="1:9">
      <c r="A58" s="1676"/>
      <c r="B58" s="1677"/>
      <c r="C58" s="1677"/>
      <c r="D58" s="1677"/>
      <c r="E58" s="1678"/>
      <c r="F58" s="1678"/>
      <c r="G58" s="1677"/>
      <c r="H58" s="1677"/>
      <c r="I58" s="1677"/>
    </row>
    <row r="59" spans="1:9">
      <c r="B59" s="1677"/>
      <c r="C59" s="1677"/>
      <c r="D59" s="1677"/>
      <c r="E59" s="1678"/>
      <c r="F59" s="1678"/>
    </row>
    <row r="60" spans="1:9">
      <c r="B60" s="1677"/>
      <c r="C60" s="1677"/>
      <c r="D60" s="1677"/>
      <c r="E60" s="1678"/>
      <c r="F60" s="1678"/>
    </row>
    <row r="61" spans="1:9">
      <c r="B61" s="1677"/>
      <c r="C61" s="1677"/>
      <c r="D61" s="1677"/>
      <c r="E61" s="1678"/>
      <c r="F61" s="1678"/>
      <c r="G61" s="1677"/>
      <c r="H61" s="1677"/>
    </row>
    <row r="62" spans="1:9">
      <c r="B62" s="1677"/>
      <c r="C62" s="1677"/>
      <c r="D62" s="1677"/>
      <c r="E62" s="1678"/>
      <c r="F62" s="1678"/>
    </row>
    <row r="63" spans="1:9">
      <c r="B63" s="1677"/>
      <c r="C63" s="1677"/>
      <c r="D63" s="1677"/>
      <c r="E63" s="1678"/>
      <c r="F63" s="1678"/>
    </row>
    <row r="64" spans="1:9">
      <c r="B64" s="1677"/>
      <c r="C64" s="1677"/>
      <c r="D64" s="1677"/>
      <c r="E64" s="1678"/>
      <c r="F64" s="1678"/>
      <c r="G64" s="1677"/>
      <c r="H64" s="1677"/>
    </row>
    <row r="65" spans="1:9">
      <c r="B65" s="1677"/>
      <c r="C65" s="1677"/>
      <c r="D65" s="1677"/>
      <c r="E65" s="1678"/>
      <c r="F65" s="1678"/>
    </row>
    <row r="66" spans="1:9">
      <c r="B66" s="1677"/>
      <c r="C66" s="1677"/>
      <c r="D66" s="1677"/>
      <c r="E66" s="1678"/>
      <c r="F66" s="1678"/>
    </row>
    <row r="67" spans="1:9">
      <c r="B67" s="1677"/>
      <c r="C67" s="1677"/>
      <c r="D67" s="1677"/>
      <c r="E67" s="1678"/>
      <c r="F67" s="1678"/>
      <c r="G67" s="1677"/>
      <c r="H67" s="1677"/>
    </row>
    <row r="68" spans="1:9">
      <c r="B68" s="1677"/>
      <c r="C68" s="1677"/>
      <c r="D68" s="1677"/>
      <c r="E68" s="1678"/>
      <c r="F68" s="1678"/>
    </row>
    <row r="69" spans="1:9">
      <c r="E69" s="1674"/>
      <c r="F69" s="1674"/>
    </row>
    <row r="70" spans="1:9">
      <c r="B70" s="1677"/>
      <c r="C70" s="1677"/>
      <c r="D70" s="1677"/>
      <c r="E70" s="1678"/>
      <c r="F70" s="1678"/>
    </row>
    <row r="71" spans="1:9">
      <c r="B71" s="1528"/>
      <c r="E71" s="1674"/>
      <c r="F71" s="1674"/>
    </row>
    <row r="72" spans="1:9">
      <c r="B72" s="1677"/>
      <c r="C72" s="1677"/>
      <c r="D72" s="1677"/>
      <c r="E72" s="1678"/>
      <c r="F72" s="1678"/>
    </row>
    <row r="73" spans="1:9">
      <c r="B73" s="1677"/>
      <c r="C73" s="1677"/>
      <c r="D73" s="1677"/>
      <c r="E73" s="1678"/>
      <c r="F73" s="1678"/>
    </row>
    <row r="74" spans="1:9">
      <c r="B74" s="1677"/>
      <c r="C74" s="1677"/>
      <c r="D74" s="1677"/>
      <c r="E74" s="1678"/>
      <c r="F74" s="1678"/>
    </row>
    <row r="75" spans="1:9">
      <c r="A75" s="1676"/>
      <c r="B75" s="1677"/>
      <c r="C75" s="1677"/>
      <c r="D75" s="1677"/>
      <c r="E75" s="1678"/>
      <c r="F75" s="1678"/>
      <c r="G75" s="1677"/>
      <c r="H75" s="1677"/>
      <c r="I75" s="1677"/>
    </row>
    <row r="76" spans="1:9">
      <c r="B76" s="1677"/>
      <c r="C76" s="1677"/>
      <c r="D76" s="1677"/>
      <c r="E76" s="1678"/>
      <c r="F76" s="1678"/>
    </row>
    <row r="77" spans="1:9">
      <c r="B77" s="1677"/>
      <c r="C77" s="1677"/>
      <c r="D77" s="1677"/>
      <c r="E77" s="1678"/>
      <c r="F77" s="1678"/>
    </row>
    <row r="78" spans="1:9">
      <c r="B78" s="1677"/>
      <c r="C78" s="1677"/>
      <c r="D78" s="1677"/>
      <c r="E78" s="1678"/>
      <c r="F78" s="1678"/>
      <c r="G78" s="1677"/>
      <c r="H78" s="1677"/>
    </row>
    <row r="79" spans="1:9">
      <c r="B79" s="1677"/>
      <c r="C79" s="1677"/>
      <c r="D79" s="1677"/>
      <c r="E79" s="1678"/>
      <c r="F79" s="1678"/>
    </row>
    <row r="80" spans="1:9">
      <c r="B80" s="1528"/>
      <c r="E80" s="1674"/>
      <c r="F80" s="1674"/>
    </row>
    <row r="81" spans="2:8">
      <c r="B81" s="1677"/>
      <c r="C81" s="1677"/>
      <c r="D81" s="1677"/>
      <c r="E81" s="1678"/>
      <c r="F81" s="1678"/>
    </row>
    <row r="82" spans="2:8">
      <c r="B82" s="1677"/>
      <c r="C82" s="1677"/>
      <c r="D82" s="1677"/>
      <c r="E82" s="1678"/>
      <c r="F82" s="1678"/>
    </row>
    <row r="83" spans="2:8">
      <c r="B83" s="1677"/>
      <c r="C83" s="1677"/>
      <c r="D83" s="1677"/>
      <c r="E83" s="1678"/>
      <c r="F83" s="1678"/>
    </row>
    <row r="84" spans="2:8">
      <c r="B84" s="1677"/>
      <c r="C84" s="1677"/>
      <c r="D84" s="1677"/>
      <c r="E84" s="1678"/>
      <c r="F84" s="1678"/>
      <c r="G84" s="1678"/>
    </row>
    <row r="85" spans="2:8">
      <c r="B85" s="1677"/>
      <c r="C85" s="1677"/>
      <c r="D85" s="1677"/>
      <c r="E85" s="1678"/>
      <c r="F85" s="1678"/>
      <c r="G85" s="1674"/>
    </row>
    <row r="86" spans="2:8">
      <c r="B86" s="1677"/>
      <c r="C86" s="1677"/>
      <c r="D86" s="1677"/>
      <c r="E86" s="1678"/>
      <c r="F86" s="1678"/>
      <c r="G86" s="1674"/>
    </row>
    <row r="87" spans="2:8">
      <c r="B87" s="1677"/>
      <c r="C87" s="1677"/>
      <c r="D87" s="1677"/>
      <c r="E87" s="1678"/>
      <c r="F87" s="1678"/>
      <c r="G87" s="1674"/>
    </row>
    <row r="88" spans="2:8">
      <c r="B88" s="1677"/>
      <c r="C88" s="1677"/>
      <c r="D88" s="1677"/>
      <c r="E88" s="1678"/>
      <c r="F88" s="1678"/>
      <c r="G88" s="1678"/>
      <c r="H88" s="1677"/>
    </row>
    <row r="89" spans="2:8">
      <c r="B89" s="1677"/>
      <c r="C89" s="1677"/>
      <c r="D89" s="1677"/>
      <c r="E89" s="1678"/>
      <c r="F89" s="1678"/>
      <c r="G89" s="1674"/>
    </row>
    <row r="90" spans="2:8">
      <c r="B90" s="1677"/>
      <c r="C90" s="1677"/>
      <c r="D90" s="1677"/>
      <c r="E90" s="1678"/>
      <c r="F90" s="1678"/>
      <c r="G90" s="1674"/>
    </row>
    <row r="91" spans="2:8">
      <c r="B91" s="1677"/>
      <c r="C91" s="1677"/>
      <c r="D91" s="1677"/>
      <c r="E91" s="1678"/>
      <c r="F91" s="1678"/>
      <c r="G91" s="1678"/>
      <c r="H91" s="1677"/>
    </row>
    <row r="92" spans="2:8">
      <c r="B92" s="1677"/>
      <c r="C92" s="1677"/>
      <c r="D92" s="1677"/>
      <c r="E92" s="1678"/>
      <c r="F92" s="1678"/>
      <c r="G92" s="1674"/>
    </row>
    <row r="93" spans="2:8">
      <c r="B93" s="1677"/>
      <c r="C93" s="1677"/>
      <c r="D93" s="1677"/>
      <c r="E93" s="1678"/>
      <c r="F93" s="1678"/>
      <c r="G93" s="1674"/>
    </row>
    <row r="94" spans="2:8">
      <c r="B94" s="1528"/>
      <c r="E94" s="1674"/>
      <c r="F94" s="1674"/>
      <c r="G94" s="1674"/>
    </row>
    <row r="95" spans="2:8">
      <c r="B95" s="1677"/>
      <c r="C95" s="1677"/>
      <c r="D95" s="1677"/>
      <c r="E95" s="1678"/>
      <c r="F95" s="1678"/>
      <c r="G95" s="1674"/>
    </row>
    <row r="96" spans="2:8">
      <c r="B96" s="1677"/>
      <c r="C96" s="1677"/>
      <c r="D96" s="1677"/>
      <c r="E96" s="1678"/>
      <c r="F96" s="1678"/>
      <c r="G96" s="1674"/>
    </row>
    <row r="97" spans="1:9">
      <c r="B97" s="1677"/>
      <c r="C97" s="1677"/>
      <c r="D97" s="1677"/>
      <c r="E97" s="1678"/>
      <c r="F97" s="1678"/>
      <c r="G97" s="1674"/>
    </row>
    <row r="98" spans="1:9">
      <c r="A98" s="1676"/>
      <c r="B98" s="1677"/>
      <c r="C98" s="1677"/>
      <c r="D98" s="1677"/>
      <c r="E98" s="1678"/>
      <c r="F98" s="1678"/>
      <c r="G98" s="1678"/>
      <c r="H98" s="1677"/>
      <c r="I98" s="1677"/>
    </row>
    <row r="99" spans="1:9">
      <c r="A99" s="1676"/>
      <c r="B99" s="1677"/>
      <c r="C99" s="1677"/>
      <c r="D99" s="1677"/>
      <c r="E99" s="1678"/>
      <c r="F99" s="1678"/>
      <c r="G99" s="1678"/>
      <c r="H99" s="1677"/>
      <c r="I99" s="1677"/>
    </row>
    <row r="100" spans="1:9">
      <c r="B100" s="1677"/>
      <c r="C100" s="1677"/>
      <c r="D100" s="1677"/>
      <c r="E100" s="1678"/>
      <c r="F100" s="1678"/>
      <c r="G100" s="1674"/>
    </row>
    <row r="101" spans="1:9">
      <c r="B101" s="1677"/>
      <c r="C101" s="1677"/>
      <c r="D101" s="1677"/>
      <c r="E101" s="1678"/>
      <c r="F101" s="1678"/>
      <c r="G101" s="1674"/>
    </row>
    <row r="102" spans="1:9">
      <c r="B102" s="1677"/>
      <c r="C102" s="1677"/>
      <c r="D102" s="1677"/>
      <c r="E102" s="1678"/>
      <c r="F102" s="1678"/>
      <c r="G102" s="1678"/>
      <c r="H102" s="1677"/>
    </row>
    <row r="103" spans="1:9">
      <c r="B103" s="1677"/>
      <c r="C103" s="1677"/>
      <c r="D103" s="1677"/>
      <c r="E103" s="1678"/>
      <c r="F103" s="1678"/>
    </row>
    <row r="104" spans="1:9">
      <c r="B104" s="1677"/>
      <c r="C104" s="1677"/>
      <c r="D104" s="1677"/>
      <c r="E104" s="1678"/>
      <c r="F104" s="1678"/>
    </row>
    <row r="105" spans="1:9">
      <c r="B105" s="1677"/>
      <c r="C105" s="1677"/>
      <c r="D105" s="1677"/>
      <c r="E105" s="1678"/>
      <c r="F105" s="1678"/>
      <c r="G105" s="1677"/>
      <c r="H105" s="1677"/>
    </row>
    <row r="106" spans="1:9">
      <c r="B106" s="1677"/>
      <c r="C106" s="1677"/>
      <c r="D106" s="1677"/>
      <c r="E106" s="1678"/>
      <c r="F106" s="1678"/>
    </row>
    <row r="107" spans="1:9">
      <c r="B107" s="1677"/>
      <c r="C107" s="1677"/>
      <c r="D107" s="1677"/>
      <c r="E107" s="1678"/>
      <c r="F107" s="1678"/>
    </row>
    <row r="108" spans="1:9">
      <c r="B108" s="1528"/>
      <c r="E108" s="1674"/>
      <c r="F108" s="1674"/>
    </row>
    <row r="109" spans="1:9">
      <c r="B109" s="1677"/>
      <c r="C109" s="1677"/>
      <c r="D109" s="1677"/>
      <c r="E109" s="1678"/>
      <c r="F109" s="1678"/>
    </row>
    <row r="110" spans="1:9">
      <c r="B110" s="1677"/>
      <c r="C110" s="1677"/>
      <c r="D110" s="1677"/>
      <c r="E110" s="1678"/>
      <c r="F110" s="1678"/>
      <c r="G110" s="1677"/>
    </row>
    <row r="111" spans="1:9">
      <c r="B111" s="1677"/>
      <c r="C111" s="1677"/>
      <c r="D111" s="1677"/>
      <c r="E111" s="1678"/>
      <c r="F111" s="1678"/>
    </row>
    <row r="112" spans="1:9">
      <c r="B112" s="1677"/>
      <c r="C112" s="1677"/>
      <c r="D112" s="1677"/>
      <c r="E112" s="1678"/>
      <c r="F112" s="1678"/>
      <c r="G112" s="1674"/>
    </row>
    <row r="113" spans="1:9">
      <c r="A113" s="1676"/>
      <c r="B113" s="1677"/>
      <c r="C113" s="1677"/>
      <c r="D113" s="1677"/>
      <c r="E113" s="1678"/>
      <c r="F113" s="1678"/>
      <c r="G113" s="1678"/>
      <c r="H113" s="1677"/>
      <c r="I113" s="1677"/>
    </row>
    <row r="114" spans="1:9">
      <c r="A114" s="1676"/>
      <c r="B114" s="1677"/>
      <c r="C114" s="1677"/>
      <c r="D114" s="1677"/>
      <c r="E114" s="1678"/>
      <c r="F114" s="1678"/>
      <c r="G114" s="1678"/>
      <c r="H114" s="1677"/>
      <c r="I114" s="1677"/>
    </row>
    <row r="115" spans="1:9">
      <c r="B115" s="1677"/>
      <c r="C115" s="1677"/>
      <c r="D115" s="1677"/>
      <c r="E115" s="1678"/>
      <c r="F115" s="1678"/>
      <c r="G115" s="1674"/>
    </row>
    <row r="116" spans="1:9">
      <c r="B116" s="1677"/>
      <c r="C116" s="1677"/>
      <c r="D116" s="1677"/>
      <c r="E116" s="1678"/>
      <c r="F116" s="1678"/>
      <c r="G116" s="1674"/>
    </row>
    <row r="117" spans="1:9">
      <c r="B117" s="1677"/>
      <c r="C117" s="1677"/>
      <c r="D117" s="1677"/>
      <c r="E117" s="1678"/>
      <c r="F117" s="1678"/>
      <c r="G117" s="1674"/>
    </row>
    <row r="118" spans="1:9">
      <c r="B118" s="1677"/>
      <c r="C118" s="1677"/>
      <c r="D118" s="1677"/>
      <c r="E118" s="1678"/>
      <c r="F118" s="1678"/>
      <c r="G118" s="1678"/>
      <c r="H118" s="1677"/>
    </row>
    <row r="119" spans="1:9">
      <c r="B119" s="1677"/>
      <c r="C119" s="1677"/>
      <c r="D119" s="1677"/>
      <c r="E119" s="1678"/>
      <c r="F119" s="1678"/>
      <c r="G119" s="1674"/>
    </row>
    <row r="120" spans="1:9">
      <c r="B120" s="1677"/>
      <c r="C120" s="1677"/>
      <c r="D120" s="1677"/>
      <c r="E120" s="1678"/>
      <c r="F120" s="1678"/>
      <c r="G120" s="1674"/>
    </row>
    <row r="121" spans="1:9">
      <c r="E121" s="1674"/>
      <c r="F121" s="1674"/>
      <c r="G121" s="1674"/>
    </row>
    <row r="122" spans="1:9">
      <c r="E122" s="1674"/>
      <c r="F122" s="1674"/>
      <c r="G122" s="1674"/>
    </row>
    <row r="123" spans="1:9">
      <c r="E123" s="1674"/>
      <c r="F123" s="1674"/>
      <c r="G123" s="1674"/>
    </row>
    <row r="124" spans="1:9">
      <c r="F124" s="1675"/>
    </row>
    <row r="125" spans="1:9">
      <c r="A125" s="1530">
        <f t="shared" ref="A125:A136" si="1">A124+1</f>
        <v>1</v>
      </c>
    </row>
    <row r="126" spans="1:9">
      <c r="A126" s="1530">
        <f t="shared" si="1"/>
        <v>2</v>
      </c>
    </row>
    <row r="127" spans="1:9">
      <c r="A127" s="1530">
        <f t="shared" si="1"/>
        <v>3</v>
      </c>
    </row>
    <row r="128" spans="1:9">
      <c r="A128" s="1530">
        <f t="shared" si="1"/>
        <v>4</v>
      </c>
    </row>
    <row r="129" spans="1:6">
      <c r="A129" s="1530">
        <f t="shared" si="1"/>
        <v>5</v>
      </c>
    </row>
    <row r="130" spans="1:6">
      <c r="A130" s="1530">
        <f t="shared" si="1"/>
        <v>6</v>
      </c>
    </row>
    <row r="131" spans="1:6">
      <c r="A131" s="1530">
        <f t="shared" si="1"/>
        <v>7</v>
      </c>
    </row>
    <row r="132" spans="1:6">
      <c r="A132" s="1530">
        <f t="shared" si="1"/>
        <v>8</v>
      </c>
    </row>
    <row r="133" spans="1:6">
      <c r="A133" s="1530">
        <f t="shared" si="1"/>
        <v>9</v>
      </c>
    </row>
    <row r="134" spans="1:6">
      <c r="A134" s="1530">
        <f t="shared" si="1"/>
        <v>10</v>
      </c>
    </row>
    <row r="135" spans="1:6">
      <c r="A135" s="1530">
        <f t="shared" si="1"/>
        <v>11</v>
      </c>
    </row>
    <row r="136" spans="1:6">
      <c r="A136" s="1530">
        <f t="shared" si="1"/>
        <v>12</v>
      </c>
    </row>
    <row r="137" spans="1:6">
      <c r="B137" s="1677"/>
      <c r="C137" s="1677"/>
      <c r="D137" s="1677"/>
      <c r="E137" s="1677"/>
      <c r="F137" s="1677"/>
    </row>
    <row r="143" spans="1:6">
      <c r="A143" s="1530">
        <v>1</v>
      </c>
      <c r="B143" s="1529">
        <f>B114</f>
        <v>0</v>
      </c>
      <c r="C143" s="1529">
        <f>C114</f>
        <v>0</v>
      </c>
      <c r="D143" s="1529">
        <f>D114+D99</f>
        <v>0</v>
      </c>
      <c r="E143" s="1675">
        <f>E114</f>
        <v>0</v>
      </c>
      <c r="F143" s="1675">
        <f>E143*D143</f>
        <v>0</v>
      </c>
    </row>
    <row r="144" spans="1:6">
      <c r="A144" s="1530">
        <f>A143+1</f>
        <v>2</v>
      </c>
      <c r="B144" s="1529">
        <f>B113</f>
        <v>0</v>
      </c>
      <c r="C144" s="1529">
        <f>C143</f>
        <v>0</v>
      </c>
      <c r="D144" s="1529" t="e">
        <f>D113+D98+D75+D58+D50+#REF!+#REF!</f>
        <v>#REF!</v>
      </c>
      <c r="E144" s="1675">
        <f>E113</f>
        <v>0</v>
      </c>
      <c r="F144" s="1675" t="e">
        <f t="shared" ref="F144:F166" si="2">E144*D144</f>
        <v>#REF!</v>
      </c>
    </row>
    <row r="145" spans="1:6">
      <c r="A145" s="1530">
        <f t="shared" ref="A145:A171" si="3">A144+1</f>
        <v>3</v>
      </c>
      <c r="B145" s="1529">
        <f>B112</f>
        <v>0</v>
      </c>
      <c r="C145" s="1529">
        <f>C144</f>
        <v>0</v>
      </c>
      <c r="D145" s="1529" t="e">
        <f>D112+D97+D85+D57+#REF!+#REF!</f>
        <v>#REF!</v>
      </c>
      <c r="E145" s="1675">
        <f>E112</f>
        <v>0</v>
      </c>
      <c r="F145" s="1675" t="e">
        <f t="shared" si="2"/>
        <v>#REF!</v>
      </c>
    </row>
    <row r="146" spans="1:6">
      <c r="A146" s="1530">
        <f t="shared" si="3"/>
        <v>4</v>
      </c>
      <c r="B146" s="1529" t="e">
        <f>#REF!</f>
        <v>#REF!</v>
      </c>
      <c r="C146" s="1529">
        <f>C145</f>
        <v>0</v>
      </c>
      <c r="D146" s="1529" t="e">
        <f>#REF!+#REF!</f>
        <v>#REF!</v>
      </c>
      <c r="E146" s="1675" t="e">
        <f>#REF!</f>
        <v>#REF!</v>
      </c>
      <c r="F146" s="1675" t="e">
        <f t="shared" si="2"/>
        <v>#REF!</v>
      </c>
    </row>
    <row r="147" spans="1:6">
      <c r="A147" s="1530">
        <f t="shared" si="3"/>
        <v>5</v>
      </c>
      <c r="B147" s="1529">
        <f>B111</f>
        <v>0</v>
      </c>
      <c r="C147" s="1529">
        <f>C146</f>
        <v>0</v>
      </c>
      <c r="D147" s="1529">
        <f>D111+D56</f>
        <v>0</v>
      </c>
      <c r="E147" s="1675">
        <f>E111</f>
        <v>0</v>
      </c>
      <c r="F147" s="1675">
        <f t="shared" si="2"/>
        <v>0</v>
      </c>
    </row>
    <row r="148" spans="1:6">
      <c r="A148" s="1530">
        <f t="shared" si="3"/>
        <v>6</v>
      </c>
      <c r="B148" s="1529">
        <f>B110</f>
        <v>0</v>
      </c>
      <c r="C148" s="1529">
        <f>C147</f>
        <v>0</v>
      </c>
      <c r="D148" s="1529" t="e">
        <f>D110+D84+D55+#REF!</f>
        <v>#REF!</v>
      </c>
      <c r="E148" s="1675">
        <f>E110</f>
        <v>0</v>
      </c>
      <c r="F148" s="1675" t="e">
        <f t="shared" si="2"/>
        <v>#REF!</v>
      </c>
    </row>
    <row r="149" spans="1:6">
      <c r="A149" s="1530">
        <f t="shared" si="3"/>
        <v>7</v>
      </c>
      <c r="B149" s="1529">
        <f>B118</f>
        <v>0</v>
      </c>
      <c r="C149" s="1529">
        <f>C118</f>
        <v>0</v>
      </c>
      <c r="D149" s="1529" t="e">
        <f>D118+D105+D102+D91+D88+D78+D67+D64+D61+#REF!+#REF!+#REF!+#REF!+#REF!+#REF!+#REF!+#REF!</f>
        <v>#REF!</v>
      </c>
      <c r="E149" s="1675">
        <f>E118</f>
        <v>0</v>
      </c>
      <c r="F149" s="1675" t="e">
        <f t="shared" si="2"/>
        <v>#REF!</v>
      </c>
    </row>
    <row r="150" spans="1:6">
      <c r="A150" s="1530">
        <f t="shared" si="3"/>
        <v>8</v>
      </c>
      <c r="B150" s="1529">
        <f>B95</f>
        <v>0</v>
      </c>
      <c r="C150" s="1529">
        <f>C148</f>
        <v>0</v>
      </c>
      <c r="D150" s="1675" t="e">
        <f>D95+D81+D72+D53+#REF!+#REF!+#REF!</f>
        <v>#REF!</v>
      </c>
      <c r="E150" s="1675">
        <f>E81</f>
        <v>0</v>
      </c>
      <c r="F150" s="1675" t="e">
        <f t="shared" si="2"/>
        <v>#REF!</v>
      </c>
    </row>
    <row r="151" spans="1:6">
      <c r="A151" s="1530">
        <f t="shared" si="3"/>
        <v>9</v>
      </c>
      <c r="B151" s="1529" t="e">
        <f>#REF!</f>
        <v>#REF!</v>
      </c>
      <c r="C151" s="1529">
        <f>C150</f>
        <v>0</v>
      </c>
      <c r="D151" s="1675" t="e">
        <f>#REF!+#REF!</f>
        <v>#REF!</v>
      </c>
      <c r="E151" s="1675" t="e">
        <f>#REF!</f>
        <v>#REF!</v>
      </c>
      <c r="F151" s="1675" t="e">
        <f t="shared" si="2"/>
        <v>#REF!</v>
      </c>
    </row>
    <row r="152" spans="1:6">
      <c r="A152" s="1530">
        <f t="shared" si="3"/>
        <v>10</v>
      </c>
      <c r="B152" s="1529">
        <f>B109</f>
        <v>0</v>
      </c>
      <c r="C152" s="1529">
        <f>C109</f>
        <v>0</v>
      </c>
      <c r="D152" s="1675" t="e">
        <f>D109+D96+D82+D73+D52+#REF!+#REF!+#REF!+#REF!</f>
        <v>#REF!</v>
      </c>
      <c r="E152" s="1675">
        <f>E109</f>
        <v>0</v>
      </c>
      <c r="F152" s="1675" t="e">
        <f t="shared" si="2"/>
        <v>#REF!</v>
      </c>
    </row>
    <row r="153" spans="1:6">
      <c r="A153" s="1530">
        <f t="shared" si="3"/>
        <v>11</v>
      </c>
      <c r="B153" s="1529">
        <f>B117</f>
        <v>0</v>
      </c>
      <c r="C153" s="1529">
        <f>C117</f>
        <v>0</v>
      </c>
      <c r="D153" s="1529" t="e">
        <f>#REF!+#REF!+#REF!+#REF!+#REF!+#REF!+#REF!+#REF!+#REF!+#REF!+#REF!+D60+D63+D66+D74+D77+D83+D87+D90+D101+D104+D117</f>
        <v>#REF!</v>
      </c>
      <c r="E153" s="1675">
        <f>E117</f>
        <v>0</v>
      </c>
      <c r="F153" s="1675" t="e">
        <f t="shared" si="2"/>
        <v>#REF!</v>
      </c>
    </row>
    <row r="154" spans="1:6">
      <c r="A154" s="1530">
        <f t="shared" si="3"/>
        <v>12</v>
      </c>
      <c r="B154" s="1529">
        <f>B54</f>
        <v>0</v>
      </c>
      <c r="C154" s="1529">
        <f>C153</f>
        <v>0</v>
      </c>
      <c r="D154" s="1529">
        <f>D54</f>
        <v>0</v>
      </c>
      <c r="E154" s="1675">
        <f>E54</f>
        <v>0</v>
      </c>
      <c r="F154" s="1675">
        <f t="shared" si="2"/>
        <v>0</v>
      </c>
    </row>
    <row r="155" spans="1:6">
      <c r="A155" s="1530">
        <f t="shared" si="3"/>
        <v>13</v>
      </c>
      <c r="B155" s="1529" t="e">
        <f>#REF!</f>
        <v>#REF!</v>
      </c>
      <c r="C155" s="1529">
        <f>C154</f>
        <v>0</v>
      </c>
      <c r="D155" s="1529" t="e">
        <f>#REF!</f>
        <v>#REF!</v>
      </c>
      <c r="E155" s="1675" t="e">
        <f>#REF!</f>
        <v>#REF!</v>
      </c>
      <c r="F155" s="1675" t="e">
        <f t="shared" si="2"/>
        <v>#REF!</v>
      </c>
    </row>
    <row r="156" spans="1:6">
      <c r="A156" s="1530">
        <f t="shared" si="3"/>
        <v>14</v>
      </c>
      <c r="B156" s="1529">
        <f>B116</f>
        <v>0</v>
      </c>
      <c r="C156" s="1529">
        <f>C155</f>
        <v>0</v>
      </c>
      <c r="D156" s="1529" t="e">
        <f>D116+D100+D89+D76+D65+D62+#REF!+#REF!+#REF!+#REF!</f>
        <v>#REF!</v>
      </c>
      <c r="E156" s="1675">
        <f>E116</f>
        <v>0</v>
      </c>
      <c r="F156" s="1675" t="e">
        <f t="shared" si="2"/>
        <v>#REF!</v>
      </c>
    </row>
    <row r="157" spans="1:6">
      <c r="A157" s="1530">
        <f t="shared" si="3"/>
        <v>15</v>
      </c>
      <c r="B157" s="1529">
        <f>B115</f>
        <v>0</v>
      </c>
      <c r="C157" s="1529">
        <f>C156</f>
        <v>0</v>
      </c>
      <c r="D157" s="1529" t="e">
        <f>D115+D103+#REF!+#REF!</f>
        <v>#REF!</v>
      </c>
      <c r="E157" s="1675">
        <f>E115</f>
        <v>0</v>
      </c>
      <c r="F157" s="1675" t="e">
        <f t="shared" si="2"/>
        <v>#REF!</v>
      </c>
    </row>
    <row r="158" spans="1:6">
      <c r="A158" s="1530">
        <f t="shared" si="3"/>
        <v>16</v>
      </c>
      <c r="B158" s="1529">
        <f>B86</f>
        <v>0</v>
      </c>
      <c r="C158" s="1529">
        <f>C157</f>
        <v>0</v>
      </c>
      <c r="D158" s="1529" t="e">
        <f>D86+D59+#REF!+#REF!</f>
        <v>#REF!</v>
      </c>
      <c r="E158" s="1675">
        <f>E86</f>
        <v>0</v>
      </c>
      <c r="F158" s="1675" t="e">
        <f t="shared" si="2"/>
        <v>#REF!</v>
      </c>
    </row>
    <row r="159" spans="1:6">
      <c r="A159" s="1530">
        <f t="shared" si="3"/>
        <v>17</v>
      </c>
      <c r="B159" s="1529">
        <f>B120</f>
        <v>0</v>
      </c>
      <c r="C159" s="1529">
        <f>C120</f>
        <v>0</v>
      </c>
      <c r="D159" s="1529" t="e">
        <f>D120+D107+D93+D79+D70+#REF!+#REF!+#REF!</f>
        <v>#REF!</v>
      </c>
      <c r="E159" s="1675">
        <f>E120</f>
        <v>0</v>
      </c>
      <c r="F159" s="1675" t="e">
        <f t="shared" si="2"/>
        <v>#REF!</v>
      </c>
    </row>
    <row r="160" spans="1:6">
      <c r="A160" s="1530">
        <f t="shared" si="3"/>
        <v>18</v>
      </c>
      <c r="B160" s="1529">
        <f>B106</f>
        <v>0</v>
      </c>
      <c r="C160" s="1529">
        <f>C159</f>
        <v>0</v>
      </c>
      <c r="D160" s="1529" t="e">
        <f>D106+#REF!</f>
        <v>#REF!</v>
      </c>
      <c r="E160" s="1675">
        <f>E106</f>
        <v>0</v>
      </c>
      <c r="F160" s="1675" t="e">
        <f t="shared" si="2"/>
        <v>#REF!</v>
      </c>
    </row>
    <row r="161" spans="1:6">
      <c r="A161" s="1530">
        <f t="shared" si="3"/>
        <v>19</v>
      </c>
      <c r="B161" s="1529" t="e">
        <f>#REF!</f>
        <v>#REF!</v>
      </c>
      <c r="C161" s="1529">
        <f>C160</f>
        <v>0</v>
      </c>
      <c r="D161" s="1529" t="e">
        <f>#REF!</f>
        <v>#REF!</v>
      </c>
      <c r="E161" s="1675" t="e">
        <f>#REF!</f>
        <v>#REF!</v>
      </c>
      <c r="F161" s="1675" t="e">
        <f t="shared" si="2"/>
        <v>#REF!</v>
      </c>
    </row>
    <row r="162" spans="1:6">
      <c r="A162" s="1530">
        <f t="shared" si="3"/>
        <v>20</v>
      </c>
      <c r="B162" s="1529">
        <f>B119</f>
        <v>0</v>
      </c>
      <c r="C162" s="1529">
        <f>C161</f>
        <v>0</v>
      </c>
      <c r="D162" s="1529" t="e">
        <f>D119+#REF!</f>
        <v>#REF!</v>
      </c>
      <c r="E162" s="1675">
        <f>E119</f>
        <v>0</v>
      </c>
      <c r="F162" s="1675" t="e">
        <f t="shared" si="2"/>
        <v>#REF!</v>
      </c>
    </row>
    <row r="163" spans="1:6">
      <c r="A163" s="1530">
        <f t="shared" si="3"/>
        <v>21</v>
      </c>
      <c r="B163" s="1529">
        <f>B92</f>
        <v>0</v>
      </c>
      <c r="C163" s="1529">
        <f>C162</f>
        <v>0</v>
      </c>
      <c r="D163" s="1529" t="e">
        <f>D92+D68+#REF!+#REF!</f>
        <v>#REF!</v>
      </c>
      <c r="E163" s="1675">
        <f>E92</f>
        <v>0</v>
      </c>
      <c r="F163" s="1675" t="e">
        <f t="shared" si="2"/>
        <v>#REF!</v>
      </c>
    </row>
    <row r="164" spans="1:6">
      <c r="A164" s="1530">
        <f t="shared" si="3"/>
        <v>22</v>
      </c>
      <c r="B164" s="1529">
        <f>B69</f>
        <v>0</v>
      </c>
      <c r="C164" s="1529">
        <f>C163</f>
        <v>0</v>
      </c>
      <c r="D164" s="1529">
        <f>D69</f>
        <v>0</v>
      </c>
      <c r="E164" s="1675">
        <f>E69</f>
        <v>0</v>
      </c>
      <c r="F164" s="1675">
        <f t="shared" si="2"/>
        <v>0</v>
      </c>
    </row>
    <row r="165" spans="1:6">
      <c r="A165" s="1530">
        <f t="shared" si="3"/>
        <v>23</v>
      </c>
      <c r="F165" s="1679" t="e">
        <f>SUM(F143:F164)</f>
        <v>#REF!</v>
      </c>
    </row>
    <row r="166" spans="1:6">
      <c r="A166" s="1530">
        <f t="shared" si="3"/>
        <v>24</v>
      </c>
      <c r="F166" s="1675">
        <f t="shared" si="2"/>
        <v>0</v>
      </c>
    </row>
    <row r="167" spans="1:6">
      <c r="A167" s="1530">
        <f t="shared" si="3"/>
        <v>25</v>
      </c>
      <c r="F167" s="1675" t="e">
        <f>F165-F124</f>
        <v>#REF!</v>
      </c>
    </row>
    <row r="168" spans="1:6">
      <c r="A168" s="1530">
        <f t="shared" si="3"/>
        <v>26</v>
      </c>
    </row>
    <row r="169" spans="1:6">
      <c r="A169" s="1530">
        <f t="shared" si="3"/>
        <v>27</v>
      </c>
    </row>
    <row r="170" spans="1:6">
      <c r="A170" s="1530">
        <f t="shared" si="3"/>
        <v>28</v>
      </c>
    </row>
    <row r="171" spans="1:6">
      <c r="A171" s="1530">
        <f t="shared" si="3"/>
        <v>29</v>
      </c>
    </row>
  </sheetData>
  <mergeCells count="5">
    <mergeCell ref="A1:I1"/>
    <mergeCell ref="A2:I2"/>
    <mergeCell ref="A4:I4"/>
    <mergeCell ref="C8:E8"/>
    <mergeCell ref="C47:E47"/>
  </mergeCells>
  <printOptions horizontalCentered="1"/>
  <pageMargins left="0.2" right="0.31" top="0.4" bottom="0.511811023622047" header="0.31496062992126" footer="0.31496062992126"/>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313"/>
  <sheetViews>
    <sheetView showGridLines="0" showZeros="0" showRuler="0" view="pageLayout" topLeftCell="B49" zoomScaleNormal="100" workbookViewId="0">
      <selection activeCell="J74" sqref="J74"/>
    </sheetView>
  </sheetViews>
  <sheetFormatPr defaultColWidth="0" defaultRowHeight="16.5" zeroHeight="1"/>
  <cols>
    <col min="1" max="1" width="25.5" style="725" customWidth="1"/>
    <col min="2" max="2" width="6" style="86" customWidth="1"/>
    <col min="3" max="3" width="7.5" style="86" customWidth="1"/>
    <col min="4" max="5" width="8" style="86" customWidth="1"/>
    <col min="6" max="6" width="7.6640625" style="86" customWidth="1"/>
    <col min="7" max="7" width="7.33203125" style="86" customWidth="1"/>
    <col min="8" max="8" width="6.6640625" style="86" customWidth="1"/>
    <col min="9" max="9" width="7.5" style="86" customWidth="1"/>
    <col min="10" max="11" width="11.83203125" style="86" customWidth="1"/>
    <col min="12" max="12" width="15.5" style="86" customWidth="1"/>
    <col min="13" max="13" width="11.83203125" style="86" customWidth="1"/>
    <col min="14" max="14" width="4.6640625" style="86" hidden="1" customWidth="1"/>
    <col min="15" max="16" width="39.83203125" style="86" hidden="1" customWidth="1"/>
    <col min="17" max="16384" width="0" style="86" hidden="1"/>
  </cols>
  <sheetData>
    <row r="1" spans="1:20" ht="18" customHeight="1">
      <c r="B1" s="1997"/>
      <c r="C1" s="1997"/>
      <c r="D1" s="1997"/>
      <c r="E1" s="1997"/>
      <c r="F1" s="1997"/>
      <c r="G1" s="1997"/>
      <c r="H1" s="1997"/>
      <c r="I1" s="1997"/>
      <c r="J1" s="1997"/>
      <c r="K1" s="1997"/>
      <c r="L1" s="1997"/>
      <c r="M1" s="1997"/>
    </row>
    <row r="2" spans="1:20" ht="20.25" customHeight="1">
      <c r="A2" s="1997"/>
      <c r="B2" s="85"/>
      <c r="C2" s="85"/>
      <c r="D2" s="85"/>
      <c r="E2" s="85"/>
      <c r="F2" s="85"/>
      <c r="G2" s="85"/>
      <c r="H2" s="85"/>
      <c r="I2" s="85"/>
      <c r="J2" s="85"/>
      <c r="K2" s="85"/>
      <c r="L2" s="85"/>
      <c r="M2" s="85"/>
      <c r="N2" s="85"/>
      <c r="O2" s="85"/>
      <c r="P2" s="85"/>
      <c r="Q2" s="85"/>
    </row>
    <row r="3" spans="1:20" ht="12" customHeight="1">
      <c r="A3" s="1997"/>
      <c r="B3" s="85"/>
      <c r="C3" s="2003" t="str">
        <f>NL!U13</f>
        <v>TỔNG CÔNG TY ĐIỆN LỰC MIỀN NAM</v>
      </c>
      <c r="D3" s="2003"/>
      <c r="E3" s="2003"/>
      <c r="F3" s="2003"/>
      <c r="G3" s="2003"/>
      <c r="H3" s="2003"/>
      <c r="I3" s="2003"/>
      <c r="J3" s="2003"/>
      <c r="K3" s="2003"/>
      <c r="L3" s="2003"/>
      <c r="M3" s="2003"/>
      <c r="N3" s="85"/>
      <c r="O3" s="85"/>
      <c r="P3" s="85"/>
      <c r="Q3" s="85"/>
    </row>
    <row r="4" spans="1:20" ht="12" customHeight="1">
      <c r="A4" s="1997"/>
      <c r="B4" s="85"/>
      <c r="C4" s="2003"/>
      <c r="D4" s="2003"/>
      <c r="E4" s="2003"/>
      <c r="F4" s="2003"/>
      <c r="G4" s="2003"/>
      <c r="H4" s="2003"/>
      <c r="I4" s="2003"/>
      <c r="J4" s="2003"/>
      <c r="K4" s="2003"/>
      <c r="L4" s="2003"/>
      <c r="M4" s="2003"/>
      <c r="N4" s="85"/>
      <c r="O4" s="85"/>
      <c r="P4" s="85"/>
      <c r="Q4" s="85"/>
    </row>
    <row r="5" spans="1:20">
      <c r="A5" s="1997"/>
      <c r="B5" s="85"/>
      <c r="C5" s="2002"/>
      <c r="D5" s="2002"/>
      <c r="E5" s="2002"/>
      <c r="F5" s="2002"/>
      <c r="G5" s="2002"/>
      <c r="H5" s="85"/>
      <c r="I5" s="2002"/>
      <c r="J5" s="2002"/>
      <c r="K5" s="2002"/>
      <c r="L5" s="2002"/>
      <c r="M5" s="2002"/>
      <c r="N5" s="85"/>
      <c r="O5" s="85"/>
      <c r="P5" s="85"/>
      <c r="Q5" s="85"/>
    </row>
    <row r="6" spans="1:20" ht="17.25" customHeight="1">
      <c r="A6" s="1997"/>
      <c r="B6" s="85"/>
      <c r="C6" s="2002" t="str">
        <f>"MSCT: "&amp;NL!U2&amp;"/BCKTKT-PCHG"</f>
        <v>MSCT: 01/BCKTKT-PCHG</v>
      </c>
      <c r="D6" s="2002"/>
      <c r="E6" s="2002"/>
      <c r="F6" s="2002"/>
      <c r="G6" s="2002"/>
      <c r="H6" s="2002"/>
      <c r="I6" s="2002"/>
      <c r="J6" s="2002"/>
      <c r="K6" s="2002"/>
      <c r="L6" s="2002"/>
      <c r="M6" s="2002"/>
      <c r="N6" s="85"/>
      <c r="O6" s="92"/>
      <c r="P6" s="92"/>
      <c r="Q6" s="90"/>
      <c r="R6" s="93"/>
      <c r="S6" s="93"/>
      <c r="T6" s="93"/>
    </row>
    <row r="7" spans="1:20" ht="18" customHeight="1">
      <c r="A7" s="1997"/>
      <c r="B7" s="85"/>
      <c r="C7" s="85"/>
      <c r="D7" s="85"/>
      <c r="E7" s="85"/>
      <c r="F7" s="85"/>
      <c r="G7" s="85"/>
      <c r="H7" s="85"/>
      <c r="I7" s="85"/>
      <c r="J7" s="85"/>
      <c r="K7" s="85"/>
      <c r="L7" s="85"/>
      <c r="M7" s="85"/>
      <c r="N7" s="85"/>
      <c r="O7" s="85"/>
      <c r="P7" s="85"/>
      <c r="Q7" s="85"/>
    </row>
    <row r="8" spans="1:20" ht="21" customHeight="1">
      <c r="A8" s="1997"/>
      <c r="B8" s="85"/>
      <c r="C8" s="85"/>
      <c r="D8" s="85"/>
      <c r="E8" s="85"/>
      <c r="F8" s="85"/>
      <c r="G8" s="85"/>
      <c r="H8" s="85"/>
      <c r="I8" s="85"/>
      <c r="J8" s="85"/>
      <c r="K8" s="85"/>
      <c r="L8" s="85"/>
      <c r="M8" s="85"/>
      <c r="N8" s="85"/>
      <c r="O8" s="85"/>
      <c r="P8" s="85"/>
      <c r="Q8" s="85"/>
    </row>
    <row r="9" spans="1:20" ht="35.1" customHeight="1">
      <c r="A9" s="1997"/>
      <c r="B9" s="85"/>
      <c r="C9" s="2012" t="s">
        <v>955</v>
      </c>
      <c r="D9" s="2012"/>
      <c r="E9" s="2012"/>
      <c r="F9" s="2012"/>
      <c r="G9" s="2012"/>
      <c r="H9" s="2012"/>
      <c r="I9" s="2012"/>
      <c r="J9" s="2012"/>
      <c r="K9" s="2012"/>
      <c r="L9" s="2012"/>
      <c r="M9" s="2012"/>
      <c r="N9" s="85"/>
      <c r="O9" s="85"/>
      <c r="P9" s="85"/>
      <c r="Q9" s="85"/>
    </row>
    <row r="10" spans="1:20" ht="35.1" customHeight="1">
      <c r="A10" s="1997"/>
      <c r="B10" s="85"/>
      <c r="C10" s="2012" t="s">
        <v>954</v>
      </c>
      <c r="D10" s="2012"/>
      <c r="E10" s="2012"/>
      <c r="F10" s="2012"/>
      <c r="G10" s="2012"/>
      <c r="H10" s="2012"/>
      <c r="I10" s="2012"/>
      <c r="J10" s="2012"/>
      <c r="K10" s="2012"/>
      <c r="L10" s="2012"/>
      <c r="M10" s="2012"/>
      <c r="N10" s="85"/>
      <c r="O10" s="85"/>
      <c r="P10" s="85"/>
      <c r="Q10" s="85"/>
    </row>
    <row r="11" spans="1:20" ht="20.100000000000001" customHeight="1">
      <c r="A11" s="1997"/>
      <c r="B11" s="85"/>
      <c r="N11" s="85"/>
      <c r="O11" s="85"/>
      <c r="P11" s="85"/>
      <c r="Q11" s="85"/>
    </row>
    <row r="12" spans="1:20" ht="33" customHeight="1">
      <c r="A12" s="1997"/>
      <c r="B12" s="85"/>
      <c r="C12" s="2011" t="s">
        <v>386</v>
      </c>
      <c r="D12" s="2011"/>
      <c r="E12" s="2011"/>
      <c r="F12" s="2011"/>
      <c r="G12" s="2011"/>
      <c r="H12" s="2011"/>
      <c r="I12" s="2011"/>
      <c r="J12" s="2011"/>
      <c r="K12" s="2011"/>
      <c r="L12" s="2011"/>
      <c r="M12" s="2011"/>
      <c r="N12" s="85"/>
      <c r="O12" s="85"/>
      <c r="P12" s="85"/>
      <c r="Q12" s="85"/>
    </row>
    <row r="13" spans="1:20" ht="15.95" customHeight="1">
      <c r="A13" s="1997"/>
      <c r="B13" s="85"/>
      <c r="N13" s="85"/>
      <c r="O13" s="85"/>
      <c r="P13" s="85"/>
      <c r="Q13" s="85"/>
    </row>
    <row r="14" spans="1:20" ht="27" customHeight="1">
      <c r="A14" s="1997"/>
      <c r="B14" s="85"/>
      <c r="C14" s="2013" t="str">
        <f>NL!U3</f>
        <v>XÂY DỰNG ĐƯỜNG DÂY TRUNG HẠ ÁP &amp; TRẠM BIẾN ÁP</v>
      </c>
      <c r="D14" s="2013"/>
      <c r="E14" s="2013"/>
      <c r="F14" s="2013"/>
      <c r="G14" s="2013"/>
      <c r="H14" s="2013"/>
      <c r="I14" s="2013"/>
      <c r="J14" s="2013"/>
      <c r="K14" s="2013"/>
      <c r="L14" s="2013"/>
      <c r="M14" s="2013"/>
      <c r="N14" s="85"/>
      <c r="O14" s="85"/>
      <c r="P14" s="85"/>
      <c r="Q14" s="85"/>
    </row>
    <row r="15" spans="1:20" ht="27" customHeight="1">
      <c r="A15" s="1997"/>
      <c r="B15" s="85"/>
      <c r="C15" s="2013" t="str">
        <f>NL!U4</f>
        <v>HUYỆN CHÂU THÀNH, TX NGÃ BẢY</v>
      </c>
      <c r="D15" s="2013"/>
      <c r="E15" s="2013"/>
      <c r="F15" s="2013"/>
      <c r="G15" s="2013"/>
      <c r="H15" s="2013"/>
      <c r="I15" s="2013"/>
      <c r="J15" s="2013"/>
      <c r="K15" s="2013"/>
      <c r="L15" s="2013"/>
      <c r="M15" s="2013"/>
      <c r="N15" s="85"/>
      <c r="O15" s="85"/>
      <c r="P15" s="85"/>
      <c r="Q15" s="85"/>
    </row>
    <row r="16" spans="1:20" ht="20.100000000000001" customHeight="1">
      <c r="A16" s="1997"/>
      <c r="B16" s="85"/>
      <c r="C16" s="85"/>
      <c r="D16" s="85"/>
      <c r="E16" s="85"/>
      <c r="F16" s="85"/>
      <c r="G16" s="85"/>
      <c r="H16" s="85"/>
      <c r="I16" s="85"/>
      <c r="J16" s="85"/>
      <c r="K16" s="85"/>
      <c r="L16" s="85"/>
      <c r="M16" s="85"/>
      <c r="N16" s="85"/>
      <c r="O16" s="85"/>
      <c r="P16" s="85"/>
      <c r="Q16" s="85"/>
    </row>
    <row r="17" spans="1:17" ht="20.25">
      <c r="A17" s="1997"/>
      <c r="B17" s="85"/>
      <c r="C17" s="2011" t="s">
        <v>387</v>
      </c>
      <c r="D17" s="2011"/>
      <c r="E17" s="2011"/>
      <c r="F17" s="2011"/>
      <c r="G17" s="2011"/>
      <c r="H17" s="2011"/>
      <c r="I17" s="2011"/>
      <c r="J17" s="2011"/>
      <c r="K17" s="2011"/>
      <c r="L17" s="2011"/>
      <c r="M17" s="2011"/>
      <c r="N17" s="85"/>
      <c r="O17" s="85"/>
      <c r="P17" s="85"/>
      <c r="Q17" s="85"/>
    </row>
    <row r="18" spans="1:17" ht="15.95" customHeight="1">
      <c r="A18" s="1997"/>
      <c r="B18" s="85"/>
      <c r="C18" s="2009"/>
      <c r="D18" s="2009"/>
      <c r="E18" s="2009"/>
      <c r="F18" s="2009"/>
      <c r="G18" s="2009"/>
      <c r="H18" s="94"/>
      <c r="I18" s="95"/>
      <c r="J18" s="2008"/>
      <c r="K18" s="2008"/>
      <c r="L18" s="96" t="str">
        <f>IF(J18="","","đồng")</f>
        <v/>
      </c>
      <c r="M18" s="85"/>
      <c r="N18" s="85"/>
      <c r="O18" s="282">
        <f>+SUM(O19:O21)</f>
        <v>0</v>
      </c>
      <c r="P18" s="85"/>
      <c r="Q18" s="85"/>
    </row>
    <row r="19" spans="1:17" ht="20.100000000000001" customHeight="1">
      <c r="A19" s="1997"/>
      <c r="B19" s="85"/>
      <c r="C19" s="2011" t="str">
        <f>NL!U5</f>
        <v>Huyện Châu Thành &amp; Tx.Ngã Bảy, tỉnh Hậu Giang</v>
      </c>
      <c r="D19" s="2011"/>
      <c r="E19" s="2011"/>
      <c r="F19" s="2011"/>
      <c r="G19" s="2011"/>
      <c r="H19" s="2011"/>
      <c r="I19" s="2011"/>
      <c r="J19" s="2011"/>
      <c r="K19" s="2011"/>
      <c r="L19" s="2011"/>
      <c r="M19" s="2011"/>
      <c r="N19" s="85"/>
      <c r="O19" s="282">
        <f>I.TDT!$D$12</f>
        <v>0</v>
      </c>
      <c r="P19" s="85"/>
      <c r="Q19" s="85"/>
    </row>
    <row r="20" spans="1:17" ht="19.5">
      <c r="A20" s="1997"/>
      <c r="B20" s="85"/>
      <c r="C20" s="97"/>
      <c r="D20" s="96"/>
      <c r="E20" s="98"/>
      <c r="F20" s="98"/>
      <c r="G20" s="98"/>
      <c r="H20" s="98"/>
      <c r="I20" s="95"/>
      <c r="J20" s="2008"/>
      <c r="K20" s="2008"/>
      <c r="L20" s="96"/>
      <c r="M20" s="85"/>
      <c r="N20" s="85"/>
      <c r="O20" s="282">
        <f>I.TDT!$F$12</f>
        <v>0</v>
      </c>
      <c r="P20" s="85"/>
      <c r="Q20" s="85"/>
    </row>
    <row r="21" spans="1:17" ht="20.100000000000001" customHeight="1">
      <c r="A21" s="1997"/>
      <c r="B21" s="85"/>
      <c r="C21" s="97"/>
      <c r="D21" s="96"/>
      <c r="E21" s="98"/>
      <c r="F21" s="98"/>
      <c r="G21" s="98"/>
      <c r="H21" s="98"/>
      <c r="I21" s="95"/>
      <c r="J21" s="2008"/>
      <c r="K21" s="2008"/>
      <c r="L21" s="96"/>
      <c r="M21" s="85"/>
      <c r="N21" s="85"/>
      <c r="O21" s="282">
        <f>I.TDT!$E$12</f>
        <v>0</v>
      </c>
      <c r="P21" s="85"/>
      <c r="Q21" s="85"/>
    </row>
    <row r="22" spans="1:17" ht="20.100000000000001" customHeight="1">
      <c r="A22" s="1997"/>
      <c r="B22" s="85"/>
      <c r="C22" s="85"/>
      <c r="D22" s="85"/>
      <c r="E22" s="85"/>
      <c r="F22" s="85"/>
      <c r="G22" s="85"/>
      <c r="H22" s="85"/>
      <c r="I22" s="85"/>
      <c r="J22" s="85"/>
      <c r="K22" s="85"/>
      <c r="L22" s="85"/>
      <c r="M22" s="85"/>
      <c r="N22" s="85"/>
      <c r="O22" s="85"/>
      <c r="P22" s="85"/>
      <c r="Q22" s="85"/>
    </row>
    <row r="23" spans="1:17" ht="20.100000000000001" customHeight="1">
      <c r="A23" s="1997"/>
      <c r="B23" s="85"/>
      <c r="C23" s="85"/>
      <c r="D23" s="85"/>
      <c r="E23" s="85"/>
      <c r="F23" s="85"/>
      <c r="G23" s="85"/>
      <c r="H23" s="85"/>
      <c r="I23" s="85"/>
      <c r="J23" s="85"/>
      <c r="K23" s="85"/>
      <c r="L23" s="2001"/>
      <c r="M23" s="2002"/>
      <c r="N23" s="85"/>
      <c r="O23" s="85"/>
      <c r="P23" s="85"/>
      <c r="Q23" s="85"/>
    </row>
    <row r="24" spans="1:17" ht="20.100000000000001" customHeight="1">
      <c r="A24" s="1997"/>
      <c r="B24" s="85"/>
      <c r="C24" s="2001"/>
      <c r="D24" s="2001"/>
      <c r="E24" s="2001"/>
      <c r="F24" s="2001"/>
      <c r="G24" s="2001"/>
      <c r="H24" s="2001"/>
      <c r="I24" s="2001"/>
      <c r="J24" s="2001"/>
      <c r="K24" s="2002"/>
      <c r="L24" s="2001"/>
      <c r="M24" s="2002"/>
      <c r="N24" s="85"/>
      <c r="O24" s="85"/>
      <c r="P24" s="85"/>
      <c r="Q24" s="85"/>
    </row>
    <row r="25" spans="1:17" ht="20.100000000000001" customHeight="1">
      <c r="A25" s="1997"/>
      <c r="B25" s="85"/>
      <c r="C25" s="85"/>
      <c r="D25" s="85"/>
      <c r="E25" s="85"/>
      <c r="F25" s="85"/>
      <c r="G25" s="85"/>
      <c r="H25" s="85"/>
      <c r="I25" s="85"/>
      <c r="J25" s="85"/>
      <c r="K25" s="85"/>
      <c r="L25" s="85"/>
      <c r="M25" s="85"/>
      <c r="N25" s="85"/>
      <c r="O25" s="85"/>
      <c r="P25" s="85"/>
      <c r="Q25" s="85"/>
    </row>
    <row r="26" spans="1:17" ht="20.100000000000001" customHeight="1">
      <c r="A26" s="1997"/>
      <c r="B26" s="85"/>
      <c r="C26" s="85"/>
      <c r="D26" s="85"/>
      <c r="E26" s="85"/>
      <c r="F26" s="85"/>
      <c r="G26" s="85"/>
      <c r="H26" s="85"/>
      <c r="I26" s="85"/>
      <c r="J26" s="85"/>
      <c r="K26" s="85"/>
      <c r="L26" s="85"/>
      <c r="M26" s="85"/>
      <c r="N26" s="85"/>
      <c r="O26" s="85"/>
      <c r="P26" s="85"/>
      <c r="Q26" s="85"/>
    </row>
    <row r="27" spans="1:17" ht="20.100000000000001" customHeight="1">
      <c r="A27" s="1997"/>
      <c r="B27" s="85"/>
      <c r="C27" s="85"/>
      <c r="D27" s="85"/>
      <c r="E27" s="85"/>
      <c r="F27" s="85"/>
      <c r="G27" s="85"/>
      <c r="H27" s="85"/>
      <c r="I27" s="85"/>
      <c r="J27" s="85"/>
      <c r="K27" s="85"/>
      <c r="L27" s="85"/>
      <c r="M27" s="85"/>
      <c r="N27" s="85"/>
      <c r="O27" s="85"/>
      <c r="P27" s="85"/>
      <c r="Q27" s="85"/>
    </row>
    <row r="28" spans="1:17" ht="23.25">
      <c r="A28" s="1997"/>
      <c r="B28" s="85"/>
      <c r="C28" s="1998" t="s">
        <v>319</v>
      </c>
      <c r="D28" s="1998"/>
      <c r="E28" s="1998"/>
      <c r="F28" s="1998"/>
      <c r="G28" s="1998"/>
      <c r="H28" s="1998"/>
      <c r="I28" s="1998"/>
      <c r="J28" s="1998"/>
      <c r="K28" s="1998"/>
      <c r="L28" s="1998"/>
      <c r="M28" s="1998"/>
      <c r="N28" s="85"/>
      <c r="O28" s="85"/>
      <c r="P28" s="85"/>
      <c r="Q28" s="85"/>
    </row>
    <row r="29" spans="1:17" ht="22.5">
      <c r="A29" s="1997"/>
      <c r="B29" s="85"/>
      <c r="C29" s="1999" t="s">
        <v>318</v>
      </c>
      <c r="D29" s="1999"/>
      <c r="E29" s="1999"/>
      <c r="F29" s="1999"/>
      <c r="G29" s="1999"/>
      <c r="H29" s="1999"/>
      <c r="I29" s="1999"/>
      <c r="J29" s="1999"/>
      <c r="K29" s="1999"/>
      <c r="L29" s="1999"/>
      <c r="M29" s="1999"/>
      <c r="N29" s="85"/>
      <c r="O29" s="85"/>
      <c r="P29" s="85"/>
      <c r="Q29" s="85"/>
    </row>
    <row r="30" spans="1:17" ht="15.95" customHeight="1">
      <c r="A30" s="1997"/>
      <c r="B30" s="85"/>
      <c r="C30" s="85"/>
      <c r="D30" s="85"/>
      <c r="E30" s="85"/>
      <c r="G30" s="2000"/>
      <c r="H30" s="2000"/>
      <c r="I30" s="2000"/>
      <c r="J30" s="2001"/>
      <c r="K30" s="2002"/>
      <c r="L30" s="85"/>
      <c r="M30" s="85"/>
      <c r="N30" s="85"/>
      <c r="O30" s="85"/>
      <c r="P30" s="85"/>
      <c r="Q30" s="85"/>
    </row>
    <row r="31" spans="1:17" ht="15.95" customHeight="1">
      <c r="A31" s="1997"/>
      <c r="B31" s="85"/>
      <c r="C31" s="85"/>
      <c r="D31" s="85"/>
      <c r="E31" s="85"/>
      <c r="F31" s="85"/>
      <c r="G31" s="91"/>
      <c r="H31" s="91"/>
      <c r="I31" s="91"/>
      <c r="J31" s="91"/>
      <c r="K31" s="91"/>
      <c r="L31" s="85"/>
      <c r="M31" s="85"/>
      <c r="N31" s="85"/>
      <c r="O31" s="85"/>
      <c r="P31" s="85"/>
      <c r="Q31" s="85"/>
    </row>
    <row r="32" spans="1:17" ht="15.95" customHeight="1">
      <c r="A32" s="1997"/>
      <c r="B32" s="85"/>
      <c r="C32" s="85"/>
      <c r="D32" s="85"/>
      <c r="E32" s="85"/>
      <c r="F32" s="85"/>
      <c r="G32" s="91"/>
      <c r="H32" s="91"/>
      <c r="I32" s="91"/>
      <c r="J32" s="91"/>
      <c r="K32" s="91"/>
      <c r="L32" s="85"/>
      <c r="M32" s="85"/>
      <c r="N32" s="85"/>
      <c r="O32" s="85"/>
      <c r="P32" s="85"/>
      <c r="Q32" s="85"/>
    </row>
    <row r="33" spans="1:20" ht="15.95" customHeight="1">
      <c r="A33" s="1997"/>
      <c r="B33" s="85"/>
      <c r="C33" s="85"/>
      <c r="D33" s="85"/>
      <c r="E33" s="91"/>
      <c r="F33" s="91"/>
      <c r="G33" s="91"/>
      <c r="H33" s="91"/>
      <c r="I33" s="91"/>
      <c r="J33" s="91"/>
      <c r="K33" s="91"/>
      <c r="L33" s="91"/>
      <c r="M33" s="85"/>
      <c r="N33" s="85"/>
      <c r="O33" s="85"/>
      <c r="P33" s="85"/>
      <c r="Q33" s="85"/>
    </row>
    <row r="34" spans="1:20" ht="15.95" customHeight="1">
      <c r="A34" s="1997"/>
      <c r="B34" s="85"/>
      <c r="C34" s="85"/>
      <c r="D34" s="85"/>
      <c r="E34" s="85"/>
      <c r="F34" s="85"/>
      <c r="G34" s="85"/>
      <c r="H34" s="85"/>
      <c r="I34" s="85"/>
      <c r="J34" s="85"/>
      <c r="K34" s="85"/>
      <c r="L34" s="85"/>
      <c r="M34" s="85"/>
      <c r="N34" s="85"/>
      <c r="O34" s="85"/>
      <c r="P34" s="85"/>
      <c r="Q34" s="85"/>
    </row>
    <row r="35" spans="1:20" ht="15.95" customHeight="1">
      <c r="A35" s="1997"/>
      <c r="B35" s="85"/>
      <c r="C35" s="85"/>
      <c r="D35" s="85"/>
      <c r="E35" s="85"/>
      <c r="F35" s="85"/>
      <c r="G35" s="85"/>
      <c r="H35" s="85"/>
      <c r="I35" s="85"/>
      <c r="J35" s="85"/>
      <c r="K35" s="85"/>
      <c r="L35" s="85"/>
      <c r="M35" s="85"/>
      <c r="N35" s="85"/>
      <c r="O35" s="85"/>
      <c r="P35" s="85"/>
      <c r="Q35" s="85"/>
    </row>
    <row r="36" spans="1:20" ht="15.95" customHeight="1">
      <c r="A36" s="1997"/>
      <c r="B36" s="85"/>
      <c r="C36" s="85"/>
      <c r="D36" s="85"/>
      <c r="E36" s="85"/>
      <c r="F36" s="85"/>
      <c r="G36" s="85"/>
      <c r="H36" s="85"/>
      <c r="I36" s="85"/>
      <c r="J36" s="85"/>
      <c r="K36" s="85"/>
      <c r="L36" s="85"/>
      <c r="M36" s="85"/>
      <c r="N36" s="85"/>
      <c r="O36" s="85"/>
      <c r="P36" s="85"/>
      <c r="Q36" s="85"/>
    </row>
    <row r="37" spans="1:20" ht="15.95" customHeight="1">
      <c r="A37" s="1997"/>
      <c r="B37" s="85"/>
      <c r="C37" s="85"/>
      <c r="D37" s="85"/>
      <c r="E37" s="85"/>
      <c r="F37" s="85"/>
      <c r="G37" s="85"/>
      <c r="H37" s="85"/>
      <c r="I37" s="85"/>
      <c r="J37" s="85"/>
      <c r="K37" s="85"/>
      <c r="L37" s="85"/>
      <c r="M37" s="85"/>
      <c r="N37" s="85"/>
      <c r="O37" s="85"/>
      <c r="P37" s="85"/>
      <c r="Q37" s="85"/>
    </row>
    <row r="38" spans="1:20" ht="15.95" customHeight="1">
      <c r="A38" s="1997"/>
      <c r="B38" s="85"/>
      <c r="C38" s="85"/>
      <c r="D38" s="85"/>
      <c r="E38" s="85"/>
      <c r="F38" s="85"/>
      <c r="G38" s="85"/>
      <c r="H38" s="85"/>
      <c r="I38" s="85"/>
      <c r="J38" s="85"/>
      <c r="K38" s="85"/>
      <c r="L38" s="85"/>
      <c r="M38" s="85"/>
      <c r="N38" s="85"/>
      <c r="O38" s="85"/>
      <c r="P38" s="85"/>
      <c r="Q38" s="85"/>
    </row>
    <row r="39" spans="1:20" ht="15.95" customHeight="1">
      <c r="A39" s="1997"/>
      <c r="B39" s="85"/>
      <c r="C39" s="85"/>
      <c r="D39" s="85"/>
      <c r="E39" s="85"/>
      <c r="F39" s="85"/>
      <c r="G39" s="85"/>
      <c r="H39" s="85"/>
      <c r="I39" s="85"/>
      <c r="J39" s="85"/>
      <c r="K39" s="85"/>
      <c r="L39" s="85"/>
      <c r="M39" s="85"/>
      <c r="N39" s="85"/>
      <c r="O39" s="85"/>
      <c r="P39" s="85"/>
      <c r="Q39" s="85"/>
    </row>
    <row r="40" spans="1:20" ht="15.95" customHeight="1">
      <c r="A40" s="1997"/>
      <c r="B40" s="85"/>
      <c r="C40" s="85"/>
      <c r="D40" s="85"/>
      <c r="E40" s="85"/>
      <c r="F40" s="85"/>
      <c r="G40" s="85"/>
      <c r="H40" s="85"/>
      <c r="I40" s="85"/>
      <c r="J40" s="85"/>
      <c r="K40" s="85"/>
      <c r="L40" s="85"/>
      <c r="M40" s="85"/>
      <c r="N40" s="85"/>
      <c r="O40" s="85"/>
      <c r="P40" s="85"/>
      <c r="Q40" s="85"/>
    </row>
    <row r="41" spans="1:20" ht="18" customHeight="1">
      <c r="A41" s="1997"/>
      <c r="B41" s="85"/>
      <c r="C41" s="85"/>
      <c r="D41" s="85"/>
      <c r="E41" s="85"/>
      <c r="F41" s="85"/>
      <c r="G41" s="2004" t="str">
        <f>IF(NL!$U$9="","Chưa nhập ngày","Hậu Giang, ngày "&amp;TEXT(NL!$U$9,"dd")&amp;" tháng "&amp;TEXT(NL!$U$9,"mm")&amp;" năm "&amp;TEXT(NL!$U$9,"yyyy"))</f>
        <v>Hậu Giang, ngày 07 tháng 12 năm 2018</v>
      </c>
      <c r="H41" s="2005"/>
      <c r="I41" s="2005"/>
      <c r="J41" s="2005"/>
      <c r="K41" s="2005"/>
      <c r="L41" s="85"/>
      <c r="M41" s="85"/>
      <c r="N41" s="85"/>
      <c r="O41" s="85"/>
      <c r="P41" s="85"/>
      <c r="Q41" s="85"/>
    </row>
    <row r="42" spans="1:20">
      <c r="A42" s="1997"/>
      <c r="B42" s="85"/>
      <c r="C42" s="85"/>
      <c r="D42" s="85"/>
      <c r="E42" s="85"/>
      <c r="F42" s="85"/>
      <c r="G42" s="85"/>
      <c r="H42" s="85"/>
      <c r="I42" s="85"/>
      <c r="J42" s="85"/>
      <c r="K42" s="85"/>
      <c r="L42" s="85"/>
      <c r="M42" s="85"/>
      <c r="N42" s="85"/>
      <c r="O42" s="85"/>
      <c r="P42" s="85"/>
      <c r="Q42" s="85"/>
    </row>
    <row r="43" spans="1:20" ht="20.25" customHeight="1">
      <c r="A43" s="1997"/>
      <c r="B43" s="85"/>
      <c r="C43" s="85"/>
      <c r="D43" s="85"/>
      <c r="E43" s="85"/>
      <c r="F43" s="85"/>
      <c r="G43" s="85"/>
      <c r="H43" s="85"/>
      <c r="I43" s="85"/>
      <c r="J43" s="85"/>
      <c r="K43" s="85"/>
      <c r="L43" s="85"/>
      <c r="M43" s="85"/>
      <c r="N43" s="85"/>
      <c r="O43" s="85"/>
      <c r="P43" s="85"/>
      <c r="Q43" s="85"/>
    </row>
    <row r="44" spans="1:20" ht="12" customHeight="1">
      <c r="A44" s="1997"/>
      <c r="B44" s="85"/>
      <c r="C44" s="2003" t="str">
        <f>C3</f>
        <v>TỔNG CÔNG TY ĐIỆN LỰC MIỀN NAM</v>
      </c>
      <c r="D44" s="2003"/>
      <c r="E44" s="2003"/>
      <c r="F44" s="2003"/>
      <c r="G44" s="2003"/>
      <c r="H44" s="2003"/>
      <c r="I44" s="2003"/>
      <c r="J44" s="2003"/>
      <c r="K44" s="2003"/>
      <c r="L44" s="2003"/>
      <c r="M44" s="2003"/>
      <c r="N44" s="85"/>
      <c r="O44" s="85"/>
      <c r="P44" s="85"/>
      <c r="Q44" s="85"/>
    </row>
    <row r="45" spans="1:20" ht="12" customHeight="1">
      <c r="A45" s="1997"/>
      <c r="B45" s="85"/>
      <c r="C45" s="2003"/>
      <c r="D45" s="2003"/>
      <c r="E45" s="2003"/>
      <c r="F45" s="2003"/>
      <c r="G45" s="2003"/>
      <c r="H45" s="2003"/>
      <c r="I45" s="2003"/>
      <c r="J45" s="2003"/>
      <c r="K45" s="2003"/>
      <c r="L45" s="2003"/>
      <c r="M45" s="2003"/>
      <c r="N45" s="85"/>
      <c r="O45" s="85"/>
      <c r="P45" s="85"/>
      <c r="Q45" s="85"/>
    </row>
    <row r="46" spans="1:20">
      <c r="A46" s="1997"/>
      <c r="B46" s="85"/>
      <c r="C46" s="2002"/>
      <c r="D46" s="2002"/>
      <c r="E46" s="2002"/>
      <c r="F46" s="2002"/>
      <c r="G46" s="2002"/>
      <c r="H46" s="85"/>
      <c r="I46" s="2002"/>
      <c r="J46" s="2002"/>
      <c r="K46" s="2002"/>
      <c r="L46" s="2002"/>
      <c r="M46" s="2002"/>
      <c r="N46" s="85"/>
      <c r="O46" s="85"/>
      <c r="P46" s="85"/>
      <c r="Q46" s="85"/>
    </row>
    <row r="47" spans="1:20" ht="17.25" customHeight="1">
      <c r="A47" s="1997"/>
      <c r="B47" s="85"/>
      <c r="C47" s="2002" t="str">
        <f>C6</f>
        <v>MSCT: 01/BCKTKT-PCHG</v>
      </c>
      <c r="D47" s="2002"/>
      <c r="E47" s="2002"/>
      <c r="F47" s="2002"/>
      <c r="G47" s="2002"/>
      <c r="H47" s="2002"/>
      <c r="I47" s="2002"/>
      <c r="J47" s="2002"/>
      <c r="K47" s="2002"/>
      <c r="L47" s="2002"/>
      <c r="M47" s="2002"/>
      <c r="N47" s="85"/>
      <c r="O47" s="92"/>
      <c r="P47" s="92"/>
      <c r="Q47" s="90"/>
      <c r="R47" s="93"/>
      <c r="S47" s="93"/>
      <c r="T47" s="93"/>
    </row>
    <row r="48" spans="1:20" ht="18" customHeight="1">
      <c r="A48" s="1997"/>
      <c r="B48" s="85"/>
      <c r="C48" s="85"/>
      <c r="D48" s="85"/>
      <c r="E48" s="85"/>
      <c r="F48" s="85"/>
      <c r="G48" s="85"/>
      <c r="H48" s="85"/>
      <c r="I48" s="85"/>
      <c r="J48" s="85"/>
      <c r="K48" s="85"/>
      <c r="L48" s="85"/>
      <c r="M48" s="85"/>
      <c r="N48" s="85"/>
      <c r="O48" s="85"/>
      <c r="P48" s="85"/>
      <c r="Q48" s="85"/>
    </row>
    <row r="49" spans="1:17" ht="21" customHeight="1">
      <c r="A49" s="1997"/>
      <c r="B49" s="85"/>
      <c r="C49" s="85"/>
      <c r="D49" s="85"/>
      <c r="E49" s="85"/>
      <c r="F49" s="85"/>
      <c r="G49" s="85"/>
      <c r="H49" s="85"/>
      <c r="I49" s="85"/>
      <c r="J49" s="85"/>
      <c r="K49" s="85"/>
      <c r="L49" s="85"/>
      <c r="M49" s="85"/>
      <c r="N49" s="85"/>
      <c r="O49" s="85"/>
      <c r="P49" s="85"/>
      <c r="Q49" s="85"/>
    </row>
    <row r="50" spans="1:17" ht="35.1" customHeight="1">
      <c r="A50" s="1997"/>
      <c r="B50" s="85"/>
      <c r="C50" s="2012" t="str">
        <f>C9</f>
        <v>BÁO CÁO KINH TẾ - KỸ THUẬT</v>
      </c>
      <c r="D50" s="2012"/>
      <c r="E50" s="2012"/>
      <c r="F50" s="2012"/>
      <c r="G50" s="2012"/>
      <c r="H50" s="2012"/>
      <c r="I50" s="2012"/>
      <c r="J50" s="2012"/>
      <c r="K50" s="2012"/>
      <c r="L50" s="2012"/>
      <c r="M50" s="2012"/>
      <c r="N50" s="85"/>
      <c r="O50" s="85"/>
      <c r="P50" s="85"/>
      <c r="Q50" s="85"/>
    </row>
    <row r="51" spans="1:17" ht="35.1" customHeight="1">
      <c r="A51" s="1997"/>
      <c r="B51" s="85"/>
      <c r="C51" s="2012" t="str">
        <f>C10</f>
        <v>ĐẦU TƯ XÂY DỰNG</v>
      </c>
      <c r="D51" s="2012"/>
      <c r="E51" s="2012"/>
      <c r="F51" s="2012"/>
      <c r="G51" s="2012"/>
      <c r="H51" s="2012"/>
      <c r="I51" s="2012"/>
      <c r="J51" s="2012"/>
      <c r="K51" s="2012"/>
      <c r="L51" s="2012"/>
      <c r="M51" s="2012"/>
      <c r="N51" s="85"/>
      <c r="O51" s="85"/>
      <c r="P51" s="85"/>
      <c r="Q51" s="85"/>
    </row>
    <row r="52" spans="1:17" ht="8.25" customHeight="1">
      <c r="A52" s="1997"/>
      <c r="B52" s="85"/>
      <c r="N52" s="85"/>
      <c r="O52" s="85"/>
      <c r="P52" s="85"/>
      <c r="Q52" s="85"/>
    </row>
    <row r="53" spans="1:17" ht="24.95" customHeight="1">
      <c r="A53" s="1997"/>
      <c r="B53" s="85"/>
      <c r="C53" s="2011" t="s">
        <v>386</v>
      </c>
      <c r="D53" s="2011"/>
      <c r="E53" s="2011"/>
      <c r="F53" s="2011"/>
      <c r="G53" s="2011"/>
      <c r="H53" s="2011"/>
      <c r="I53" s="2011"/>
      <c r="J53" s="2011"/>
      <c r="K53" s="2011"/>
      <c r="L53" s="2011"/>
      <c r="M53" s="2011"/>
      <c r="N53" s="85"/>
      <c r="O53" s="85"/>
      <c r="P53" s="85"/>
      <c r="Q53" s="85"/>
    </row>
    <row r="54" spans="1:17" ht="5.0999999999999996" customHeight="1">
      <c r="A54" s="1997"/>
      <c r="B54" s="85"/>
      <c r="N54" s="85"/>
      <c r="O54" s="85"/>
      <c r="P54" s="85"/>
      <c r="Q54" s="85"/>
    </row>
    <row r="55" spans="1:17" ht="24.95" customHeight="1">
      <c r="A55" s="1997"/>
      <c r="B55" s="85"/>
      <c r="C55" s="2013" t="str">
        <f>C14</f>
        <v>XÂY DỰNG ĐƯỜNG DÂY TRUNG HẠ ÁP &amp; TRẠM BIẾN ÁP</v>
      </c>
      <c r="D55" s="2013"/>
      <c r="E55" s="2013"/>
      <c r="F55" s="2013"/>
      <c r="G55" s="2013"/>
      <c r="H55" s="2013"/>
      <c r="I55" s="2013"/>
      <c r="J55" s="2013"/>
      <c r="K55" s="2013"/>
      <c r="L55" s="2013"/>
      <c r="M55" s="2013"/>
      <c r="N55" s="85"/>
      <c r="O55" s="85"/>
      <c r="P55" s="85"/>
      <c r="Q55" s="85"/>
    </row>
    <row r="56" spans="1:17" ht="24.95" customHeight="1">
      <c r="A56" s="1997"/>
      <c r="B56" s="85"/>
      <c r="C56" s="2013" t="str">
        <f>C15</f>
        <v>HUYỆN CHÂU THÀNH, TX NGÃ BẢY</v>
      </c>
      <c r="D56" s="2013"/>
      <c r="E56" s="2013"/>
      <c r="F56" s="2013"/>
      <c r="G56" s="2013"/>
      <c r="H56" s="2013"/>
      <c r="I56" s="2013"/>
      <c r="J56" s="2013"/>
      <c r="K56" s="2013"/>
      <c r="L56" s="2013"/>
      <c r="M56" s="2013"/>
      <c r="N56" s="85"/>
      <c r="O56" s="85"/>
      <c r="P56" s="85"/>
      <c r="Q56" s="85"/>
    </row>
    <row r="57" spans="1:17">
      <c r="A57" s="1997"/>
      <c r="B57" s="85"/>
      <c r="C57" s="85"/>
      <c r="D57" s="85"/>
      <c r="E57" s="85"/>
      <c r="F57" s="85"/>
      <c r="G57" s="85"/>
      <c r="H57" s="85"/>
      <c r="I57" s="85"/>
      <c r="J57" s="85"/>
      <c r="K57" s="85"/>
      <c r="L57" s="85"/>
      <c r="M57" s="85"/>
      <c r="N57" s="85"/>
      <c r="O57" s="85"/>
      <c r="P57" s="85"/>
      <c r="Q57" s="85"/>
    </row>
    <row r="58" spans="1:17" ht="20.25">
      <c r="A58" s="1997"/>
      <c r="B58" s="85"/>
      <c r="C58" s="2011" t="s">
        <v>387</v>
      </c>
      <c r="D58" s="2011"/>
      <c r="E58" s="2011"/>
      <c r="F58" s="2011"/>
      <c r="G58" s="2011"/>
      <c r="H58" s="2011"/>
      <c r="I58" s="2011"/>
      <c r="J58" s="2011"/>
      <c r="K58" s="2011"/>
      <c r="L58" s="2011"/>
      <c r="M58" s="2011"/>
      <c r="N58" s="85"/>
      <c r="O58" s="85"/>
      <c r="P58" s="85"/>
      <c r="Q58" s="85"/>
    </row>
    <row r="59" spans="1:17" ht="15.95" customHeight="1">
      <c r="A59" s="1997"/>
      <c r="B59" s="85"/>
      <c r="C59" s="2009"/>
      <c r="D59" s="2009"/>
      <c r="E59" s="2009"/>
      <c r="F59" s="2009"/>
      <c r="G59" s="2009"/>
      <c r="H59" s="94"/>
      <c r="I59" s="95"/>
      <c r="J59" s="2008"/>
      <c r="K59" s="2008"/>
      <c r="L59" s="96" t="str">
        <f>IF(J59="","","đồng")</f>
        <v/>
      </c>
      <c r="M59" s="85"/>
      <c r="N59" s="85"/>
      <c r="O59" s="282">
        <f>+SUM(O60:O60)</f>
        <v>0</v>
      </c>
      <c r="P59" s="85"/>
      <c r="Q59" s="85"/>
    </row>
    <row r="60" spans="1:17" ht="19.5" customHeight="1">
      <c r="A60" s="1997"/>
      <c r="B60" s="85"/>
      <c r="C60" s="2013" t="str">
        <f>C19</f>
        <v>Huyện Châu Thành &amp; Tx.Ngã Bảy, tỉnh Hậu Giang</v>
      </c>
      <c r="D60" s="2013"/>
      <c r="E60" s="2013"/>
      <c r="F60" s="2013"/>
      <c r="G60" s="2013"/>
      <c r="H60" s="2013"/>
      <c r="I60" s="2013"/>
      <c r="J60" s="2013"/>
      <c r="K60" s="2013"/>
      <c r="L60" s="2013"/>
      <c r="M60" s="2013"/>
      <c r="N60" s="85"/>
      <c r="O60" s="282">
        <f>I.TDT!$D$12</f>
        <v>0</v>
      </c>
      <c r="P60" s="85"/>
      <c r="Q60" s="85"/>
    </row>
    <row r="61" spans="1:17">
      <c r="A61" s="1997"/>
      <c r="B61" s="85"/>
      <c r="C61" s="85"/>
      <c r="D61" s="85"/>
      <c r="E61" s="85"/>
      <c r="F61" s="85"/>
      <c r="G61" s="85"/>
      <c r="H61" s="85"/>
      <c r="I61" s="85"/>
      <c r="J61" s="85"/>
      <c r="K61" s="85"/>
      <c r="L61" s="85"/>
      <c r="M61" s="85"/>
      <c r="N61" s="85"/>
      <c r="O61" s="85"/>
      <c r="P61" s="85"/>
      <c r="Q61" s="85"/>
    </row>
    <row r="62" spans="1:17">
      <c r="A62" s="1997"/>
      <c r="B62" s="85"/>
      <c r="C62" s="85"/>
      <c r="D62" s="85"/>
      <c r="E62" s="85"/>
      <c r="F62" s="85"/>
      <c r="G62" s="85"/>
      <c r="H62" s="85"/>
      <c r="I62" s="85"/>
      <c r="J62" s="85"/>
      <c r="K62" s="85"/>
      <c r="L62" s="2001"/>
      <c r="M62" s="2002"/>
      <c r="N62" s="85"/>
      <c r="O62" s="85"/>
      <c r="P62" s="85"/>
      <c r="Q62" s="85"/>
    </row>
    <row r="63" spans="1:17">
      <c r="A63" s="1997"/>
      <c r="B63" s="85"/>
      <c r="C63" s="2001"/>
      <c r="D63" s="2001"/>
      <c r="E63" s="2001"/>
      <c r="F63" s="2001"/>
      <c r="G63" s="2001"/>
      <c r="H63" s="2001"/>
      <c r="I63" s="2001"/>
      <c r="J63" s="2001"/>
      <c r="K63" s="2002"/>
      <c r="L63" s="2001"/>
      <c r="M63" s="2002"/>
      <c r="N63" s="85"/>
      <c r="O63" s="85"/>
      <c r="P63" s="85"/>
      <c r="Q63" s="85"/>
    </row>
    <row r="64" spans="1:17">
      <c r="A64" s="1997"/>
      <c r="B64" s="85"/>
      <c r="C64" s="85"/>
      <c r="D64" s="85"/>
      <c r="E64" s="85"/>
      <c r="F64" s="85"/>
      <c r="G64" s="85"/>
      <c r="H64" s="85"/>
      <c r="I64" s="85"/>
      <c r="J64" s="85"/>
      <c r="K64" s="85"/>
      <c r="L64" s="85"/>
      <c r="M64" s="85"/>
      <c r="N64" s="85"/>
      <c r="O64" s="85"/>
      <c r="P64" s="85"/>
      <c r="Q64" s="85"/>
    </row>
    <row r="65" spans="1:17">
      <c r="A65" s="1997"/>
      <c r="B65" s="85"/>
      <c r="C65" s="85"/>
      <c r="D65" s="85"/>
      <c r="E65" s="85"/>
      <c r="F65" s="85"/>
      <c r="G65" s="85"/>
      <c r="H65" s="85"/>
      <c r="I65" s="85"/>
      <c r="J65" s="85"/>
      <c r="K65" s="85"/>
      <c r="L65" s="85"/>
      <c r="M65" s="85"/>
      <c r="N65" s="85"/>
      <c r="O65" s="85"/>
      <c r="P65" s="85"/>
      <c r="Q65" s="85"/>
    </row>
    <row r="66" spans="1:17">
      <c r="A66" s="1997"/>
      <c r="B66" s="85"/>
      <c r="C66" s="85"/>
      <c r="D66" s="85"/>
      <c r="E66" s="85"/>
      <c r="F66" s="85"/>
      <c r="G66" s="85"/>
      <c r="H66" s="85"/>
      <c r="I66" s="85"/>
      <c r="J66" s="85"/>
      <c r="K66" s="85"/>
      <c r="L66" s="85"/>
      <c r="M66" s="85"/>
      <c r="N66" s="85"/>
      <c r="O66" s="85"/>
      <c r="P66" s="85"/>
      <c r="Q66" s="85"/>
    </row>
    <row r="67" spans="1:17">
      <c r="A67" s="1997"/>
      <c r="B67" s="85"/>
      <c r="C67" s="85"/>
      <c r="D67" s="85"/>
      <c r="E67" s="85"/>
      <c r="F67" s="85"/>
      <c r="G67" s="85"/>
      <c r="H67" s="85"/>
      <c r="I67" s="85"/>
      <c r="J67" s="85"/>
      <c r="K67" s="85"/>
      <c r="L67" s="85"/>
      <c r="M67" s="85"/>
      <c r="N67" s="85"/>
      <c r="O67" s="85"/>
      <c r="P67" s="85"/>
      <c r="Q67" s="85"/>
    </row>
    <row r="68" spans="1:17" ht="23.25">
      <c r="A68" s="1997"/>
      <c r="B68" s="85"/>
      <c r="C68" s="1998" t="str">
        <f>C28</f>
        <v>TỔNG CÔNG TY ĐIỆN LỰC MIỀN NAM</v>
      </c>
      <c r="D68" s="1998"/>
      <c r="E68" s="1998"/>
      <c r="F68" s="1998"/>
      <c r="G68" s="1998"/>
      <c r="H68" s="1998"/>
      <c r="I68" s="1998"/>
      <c r="J68" s="1998"/>
      <c r="K68" s="1998"/>
      <c r="L68" s="1998"/>
      <c r="M68" s="1998"/>
      <c r="N68" s="85"/>
      <c r="O68" s="85"/>
      <c r="P68" s="85"/>
      <c r="Q68" s="85"/>
    </row>
    <row r="69" spans="1:17" ht="22.5">
      <c r="A69" s="1997"/>
      <c r="B69" s="85"/>
      <c r="C69" s="1999" t="str">
        <f>C29</f>
        <v>CÔNG TY ĐIỆN LỰC HẬU GIANG</v>
      </c>
      <c r="D69" s="1999"/>
      <c r="E69" s="1999"/>
      <c r="F69" s="1999"/>
      <c r="G69" s="1999"/>
      <c r="H69" s="1999"/>
      <c r="I69" s="1999"/>
      <c r="J69" s="1999"/>
      <c r="K69" s="1999"/>
      <c r="L69" s="1999"/>
      <c r="M69" s="1999"/>
      <c r="N69" s="85"/>
      <c r="O69" s="85"/>
      <c r="P69" s="85"/>
      <c r="Q69" s="85"/>
    </row>
    <row r="70" spans="1:17" ht="20.100000000000001" customHeight="1">
      <c r="A70" s="1997"/>
      <c r="B70" s="85"/>
      <c r="C70" s="85"/>
      <c r="D70" s="85"/>
      <c r="E70" s="85"/>
      <c r="G70" s="2000"/>
      <c r="H70" s="2000"/>
      <c r="I70" s="2000"/>
      <c r="J70" s="2001"/>
      <c r="K70" s="2002"/>
      <c r="L70" s="85"/>
      <c r="M70" s="85"/>
      <c r="N70" s="85"/>
      <c r="O70" s="85"/>
      <c r="P70" s="85"/>
      <c r="Q70" s="85"/>
    </row>
    <row r="71" spans="1:17" ht="20.25" customHeight="1">
      <c r="A71" s="1997"/>
      <c r="B71" s="85"/>
      <c r="C71" s="85"/>
      <c r="D71" s="85"/>
      <c r="E71" s="253" t="s">
        <v>4870</v>
      </c>
      <c r="F71" s="85"/>
      <c r="G71" s="91"/>
      <c r="H71" s="516" t="s">
        <v>944</v>
      </c>
      <c r="I71" s="517" t="str">
        <f>NL!U22</f>
        <v>Nguyễn Bảo Khanh</v>
      </c>
      <c r="J71" s="91"/>
      <c r="K71" s="91"/>
      <c r="L71" s="85"/>
      <c r="M71" s="85"/>
      <c r="N71" s="85"/>
      <c r="O71" s="85"/>
      <c r="P71" s="85"/>
      <c r="Q71" s="85"/>
    </row>
    <row r="72" spans="1:17" ht="20.100000000000001" customHeight="1">
      <c r="A72" s="1997"/>
      <c r="B72" s="85"/>
      <c r="C72" s="85"/>
      <c r="D72" s="85"/>
      <c r="E72" s="253" t="s">
        <v>3001</v>
      </c>
      <c r="F72" s="85"/>
      <c r="G72" s="91"/>
      <c r="H72" s="105" t="s">
        <v>944</v>
      </c>
      <c r="I72" s="517" t="str">
        <f>NL!U23</f>
        <v>Lê Nhựt Trường</v>
      </c>
      <c r="J72" s="91"/>
      <c r="K72" s="91"/>
      <c r="L72" s="85"/>
      <c r="M72" s="85"/>
      <c r="N72" s="85"/>
      <c r="O72" s="85"/>
      <c r="P72" s="85"/>
      <c r="Q72" s="85"/>
    </row>
    <row r="73" spans="1:17" ht="20.100000000000001" customHeight="1">
      <c r="A73" s="1997"/>
      <c r="B73" s="85"/>
      <c r="C73" s="85"/>
      <c r="D73" s="85"/>
      <c r="E73" s="253" t="s">
        <v>3108</v>
      </c>
      <c r="F73" s="85"/>
      <c r="G73" s="91"/>
      <c r="H73" s="105" t="s">
        <v>944</v>
      </c>
      <c r="I73" s="517" t="s">
        <v>4375</v>
      </c>
      <c r="J73" s="91"/>
      <c r="K73" s="91"/>
      <c r="L73" s="85"/>
      <c r="M73" s="85"/>
      <c r="N73" s="85"/>
      <c r="O73" s="85"/>
      <c r="P73" s="85"/>
      <c r="Q73" s="85"/>
    </row>
    <row r="74" spans="1:17">
      <c r="A74" s="1997"/>
      <c r="B74" s="85"/>
      <c r="C74" s="85"/>
      <c r="D74" s="85"/>
      <c r="E74" s="91"/>
      <c r="F74" s="91"/>
      <c r="G74" s="91"/>
      <c r="H74" s="91"/>
      <c r="I74" s="91"/>
      <c r="J74" s="91"/>
      <c r="K74" s="91"/>
      <c r="L74" s="91"/>
      <c r="M74" s="85"/>
      <c r="N74" s="85"/>
      <c r="O74" s="85"/>
      <c r="P74" s="85"/>
      <c r="Q74" s="85"/>
    </row>
    <row r="75" spans="1:17" ht="19.5">
      <c r="A75" s="1997"/>
      <c r="B75" s="85"/>
      <c r="C75" s="85"/>
      <c r="D75" s="85"/>
      <c r="E75" s="85"/>
      <c r="F75" s="85"/>
      <c r="G75" s="85"/>
      <c r="H75" s="85"/>
      <c r="I75" s="309"/>
      <c r="K75" s="308"/>
      <c r="L75" s="308"/>
      <c r="M75" s="308"/>
      <c r="N75" s="308"/>
      <c r="P75" s="85"/>
      <c r="Q75" s="85"/>
    </row>
    <row r="76" spans="1:17" ht="18.75">
      <c r="A76" s="1997"/>
      <c r="B76" s="85"/>
      <c r="C76" s="85"/>
      <c r="D76" s="253" t="s">
        <v>2485</v>
      </c>
      <c r="E76" s="85"/>
      <c r="F76" s="85"/>
      <c r="G76" s="85"/>
      <c r="H76" s="2010" t="s">
        <v>319</v>
      </c>
      <c r="I76" s="2010"/>
      <c r="J76" s="2010"/>
      <c r="K76" s="2010"/>
      <c r="L76" s="2010"/>
      <c r="M76" s="2010"/>
      <c r="N76" s="85"/>
      <c r="O76" s="85"/>
      <c r="P76" s="85"/>
      <c r="Q76" s="85"/>
    </row>
    <row r="77" spans="1:17" ht="18.75">
      <c r="A77" s="1997"/>
      <c r="B77" s="85"/>
      <c r="C77" s="85"/>
      <c r="D77" s="85"/>
      <c r="E77" s="85"/>
      <c r="F77" s="85"/>
      <c r="G77" s="85"/>
      <c r="H77" s="2009" t="s">
        <v>318</v>
      </c>
      <c r="I77" s="2009"/>
      <c r="J77" s="2009"/>
      <c r="K77" s="2009"/>
      <c r="L77" s="2009"/>
      <c r="M77" s="2009"/>
      <c r="N77" s="85"/>
      <c r="O77" s="85"/>
      <c r="P77" s="85"/>
      <c r="Q77" s="85"/>
    </row>
    <row r="78" spans="1:17" ht="18.75">
      <c r="A78" s="1997"/>
      <c r="B78" s="85"/>
      <c r="C78" s="85"/>
      <c r="D78" s="85"/>
      <c r="E78" s="85"/>
      <c r="F78" s="85"/>
      <c r="G78" s="85"/>
      <c r="H78" s="98"/>
      <c r="I78" s="98"/>
      <c r="J78" s="2009" t="s">
        <v>3046</v>
      </c>
      <c r="K78" s="2009"/>
      <c r="L78" s="2009"/>
      <c r="M78" s="98"/>
      <c r="N78" s="85"/>
      <c r="O78" s="85"/>
      <c r="P78" s="85"/>
      <c r="Q78" s="85"/>
    </row>
    <row r="79" spans="1:17" ht="18.75">
      <c r="A79" s="1997"/>
      <c r="B79" s="85"/>
      <c r="C79" s="85"/>
      <c r="D79" s="85"/>
      <c r="E79" s="85"/>
      <c r="F79" s="85"/>
      <c r="G79" s="85"/>
      <c r="H79" s="98"/>
      <c r="I79" s="98"/>
      <c r="J79" s="2009" t="s">
        <v>5441</v>
      </c>
      <c r="K79" s="2009"/>
      <c r="L79" s="2009"/>
      <c r="M79" s="98"/>
      <c r="N79" s="85"/>
      <c r="O79" s="85"/>
      <c r="P79" s="85"/>
      <c r="Q79" s="85"/>
    </row>
    <row r="80" spans="1:17" ht="18.75">
      <c r="A80" s="1997"/>
      <c r="B80" s="85"/>
      <c r="C80" s="85"/>
      <c r="D80" s="85"/>
      <c r="E80" s="85"/>
      <c r="F80" s="85"/>
      <c r="G80" s="85"/>
      <c r="H80" s="98"/>
      <c r="I80" s="98"/>
      <c r="J80" s="98"/>
      <c r="K80" s="98"/>
      <c r="L80" s="98"/>
      <c r="M80" s="98"/>
      <c r="N80" s="85"/>
      <c r="O80" s="85"/>
      <c r="P80" s="85"/>
      <c r="Q80" s="85"/>
    </row>
    <row r="81" spans="1:17" ht="18.75">
      <c r="A81" s="1997"/>
      <c r="B81" s="85"/>
      <c r="C81" s="85"/>
      <c r="D81" s="85"/>
      <c r="E81" s="85"/>
      <c r="F81" s="85"/>
      <c r="G81" s="85"/>
      <c r="H81" s="98"/>
      <c r="I81" s="98"/>
      <c r="J81" s="98"/>
      <c r="K81" s="98"/>
      <c r="L81" s="98"/>
      <c r="M81" s="98"/>
      <c r="N81" s="85"/>
      <c r="O81" s="85"/>
      <c r="P81" s="85"/>
      <c r="Q81" s="85"/>
    </row>
    <row r="82" spans="1:17" ht="18.75">
      <c r="A82" s="1997"/>
      <c r="B82" s="85"/>
      <c r="C82" s="85"/>
      <c r="D82" s="85"/>
      <c r="E82" s="85"/>
      <c r="F82" s="85"/>
      <c r="G82" s="85"/>
      <c r="H82" s="98"/>
      <c r="I82" s="98"/>
      <c r="J82" s="98"/>
      <c r="K82" s="98"/>
      <c r="L82" s="98"/>
      <c r="M82" s="98"/>
      <c r="N82" s="85"/>
      <c r="O82" s="85"/>
      <c r="P82" s="85"/>
      <c r="Q82" s="85"/>
    </row>
    <row r="83" spans="1:17" ht="18.75">
      <c r="A83" s="1997"/>
      <c r="B83" s="85"/>
      <c r="C83" s="85"/>
      <c r="D83" s="85"/>
      <c r="E83" s="85"/>
      <c r="F83" s="85"/>
      <c r="G83" s="85"/>
      <c r="H83" s="98"/>
      <c r="I83" s="98"/>
      <c r="J83" s="98"/>
      <c r="K83" s="98"/>
      <c r="L83" s="98"/>
      <c r="M83" s="98"/>
      <c r="N83" s="85"/>
      <c r="O83" s="85"/>
      <c r="P83" s="85"/>
      <c r="Q83" s="85"/>
    </row>
    <row r="84" spans="1:17" ht="18.75">
      <c r="A84" s="1997"/>
      <c r="B84" s="85"/>
      <c r="C84" s="85"/>
      <c r="D84" s="85"/>
      <c r="E84" s="85"/>
      <c r="F84" s="85"/>
      <c r="G84" s="85"/>
      <c r="H84" s="85"/>
      <c r="I84" s="85"/>
      <c r="J84" s="2009" t="s">
        <v>5442</v>
      </c>
      <c r="K84" s="2009"/>
      <c r="L84" s="2009"/>
      <c r="M84" s="85"/>
      <c r="N84" s="85"/>
      <c r="O84" s="85"/>
      <c r="P84" s="85"/>
      <c r="Q84" s="85"/>
    </row>
    <row r="85" spans="1:17" ht="18.75">
      <c r="A85" s="1997"/>
      <c r="B85" s="85"/>
      <c r="C85" s="85"/>
      <c r="D85" s="85"/>
      <c r="E85" s="85"/>
      <c r="F85" s="85"/>
      <c r="G85" s="85"/>
      <c r="H85" s="85"/>
      <c r="I85" s="85"/>
      <c r="J85" s="94"/>
      <c r="K85" s="94"/>
      <c r="L85" s="94"/>
      <c r="M85" s="85"/>
      <c r="N85" s="85"/>
      <c r="O85" s="85"/>
      <c r="P85" s="85"/>
      <c r="Q85" s="85"/>
    </row>
    <row r="86" spans="1:17" ht="18.75">
      <c r="A86" s="1997"/>
      <c r="B86" s="85"/>
      <c r="C86" s="85"/>
      <c r="D86" s="85"/>
      <c r="E86" s="85"/>
      <c r="F86" s="85"/>
      <c r="G86" s="85"/>
      <c r="H86" s="85"/>
      <c r="I86" s="85"/>
      <c r="J86" s="94"/>
      <c r="K86" s="94"/>
      <c r="L86" s="94"/>
      <c r="M86" s="85"/>
      <c r="N86" s="85"/>
      <c r="O86" s="85"/>
      <c r="P86" s="85"/>
      <c r="Q86" s="85"/>
    </row>
    <row r="87" spans="1:17" ht="18.75">
      <c r="A87" s="1997"/>
      <c r="B87" s="85"/>
      <c r="C87" s="85"/>
      <c r="D87" s="85"/>
      <c r="E87" s="85"/>
      <c r="F87" s="85"/>
      <c r="G87" s="85"/>
      <c r="H87" s="85"/>
      <c r="I87" s="85"/>
      <c r="J87" s="94"/>
      <c r="K87" s="94"/>
      <c r="L87" s="94"/>
      <c r="M87" s="85"/>
      <c r="N87" s="85"/>
      <c r="O87" s="85"/>
      <c r="P87" s="85"/>
      <c r="Q87" s="85"/>
    </row>
    <row r="88" spans="1:17" ht="18.75">
      <c r="A88" s="1997"/>
      <c r="B88" s="85"/>
      <c r="C88" s="85"/>
      <c r="D88" s="85"/>
      <c r="E88" s="85"/>
      <c r="F88" s="85"/>
      <c r="G88" s="85"/>
      <c r="H88" s="85"/>
      <c r="I88" s="85"/>
      <c r="J88" s="94"/>
      <c r="K88" s="94"/>
      <c r="L88" s="94"/>
      <c r="M88" s="85"/>
      <c r="N88" s="85"/>
      <c r="O88" s="85"/>
      <c r="P88" s="85"/>
      <c r="Q88" s="85"/>
    </row>
    <row r="89" spans="1:17" ht="18.75">
      <c r="A89" s="1997"/>
      <c r="B89" s="85"/>
      <c r="C89" s="85"/>
      <c r="D89" s="85"/>
      <c r="E89" s="85"/>
      <c r="F89" s="85"/>
      <c r="G89" s="85"/>
      <c r="H89" s="85"/>
      <c r="I89" s="85"/>
      <c r="J89" s="94"/>
      <c r="K89" s="94"/>
      <c r="L89" s="94"/>
      <c r="M89" s="85"/>
      <c r="N89" s="85"/>
      <c r="O89" s="85"/>
      <c r="P89" s="85"/>
      <c r="Q89" s="85"/>
    </row>
    <row r="90" spans="1:17" ht="18.75">
      <c r="A90" s="1997"/>
      <c r="B90" s="85"/>
      <c r="C90" s="85"/>
      <c r="D90" s="85"/>
      <c r="E90" s="85"/>
      <c r="F90" s="85"/>
      <c r="G90" s="85"/>
      <c r="H90" s="85"/>
      <c r="I90" s="85"/>
      <c r="J90" s="94"/>
      <c r="K90" s="94"/>
      <c r="L90" s="94"/>
      <c r="M90" s="85"/>
      <c r="N90" s="85"/>
      <c r="O90" s="85"/>
      <c r="P90" s="85"/>
      <c r="Q90" s="85"/>
    </row>
    <row r="91" spans="1:17" ht="18.75">
      <c r="A91" s="1997"/>
      <c r="B91" s="85"/>
      <c r="C91" s="85"/>
      <c r="D91" s="85"/>
      <c r="E91" s="85"/>
      <c r="F91" s="85"/>
      <c r="G91" s="85"/>
      <c r="H91" s="85"/>
      <c r="I91" s="85"/>
      <c r="J91" s="94"/>
      <c r="K91" s="94"/>
      <c r="L91" s="94"/>
      <c r="M91" s="85"/>
      <c r="N91" s="85"/>
      <c r="O91" s="85"/>
      <c r="P91" s="85"/>
      <c r="Q91" s="85"/>
    </row>
    <row r="92" spans="1:17" ht="18.75">
      <c r="A92" s="1997"/>
      <c r="B92" s="85"/>
      <c r="C92" s="85"/>
      <c r="D92" s="85"/>
      <c r="E92" s="85"/>
      <c r="F92" s="85"/>
      <c r="G92" s="85"/>
      <c r="H92" s="85"/>
      <c r="I92" s="85"/>
      <c r="J92" s="94"/>
      <c r="K92" s="94"/>
      <c r="L92" s="94"/>
      <c r="M92" s="85"/>
      <c r="N92" s="85"/>
      <c r="O92" s="85"/>
      <c r="P92" s="85"/>
      <c r="Q92" s="85"/>
    </row>
    <row r="93" spans="1:17" ht="18.75">
      <c r="A93" s="1997"/>
      <c r="B93" s="85"/>
      <c r="C93" s="85"/>
      <c r="D93" s="85"/>
      <c r="E93" s="85"/>
      <c r="F93" s="85"/>
      <c r="G93" s="85"/>
      <c r="H93" s="85"/>
      <c r="I93" s="85"/>
      <c r="J93" s="94"/>
      <c r="K93" s="94"/>
      <c r="L93" s="94"/>
      <c r="M93" s="85"/>
      <c r="N93" s="85"/>
      <c r="O93" s="85"/>
      <c r="P93" s="85"/>
      <c r="Q93" s="85"/>
    </row>
    <row r="94" spans="1:17" ht="18.75">
      <c r="A94" s="1997"/>
      <c r="B94" s="85"/>
      <c r="C94" s="85"/>
      <c r="D94" s="85"/>
      <c r="E94" s="85"/>
      <c r="F94" s="85"/>
      <c r="G94" s="85"/>
      <c r="H94" s="85"/>
      <c r="I94" s="85"/>
      <c r="J94" s="94"/>
      <c r="K94" s="94"/>
      <c r="L94" s="94"/>
      <c r="M94" s="85"/>
      <c r="N94" s="85"/>
      <c r="O94" s="85"/>
      <c r="P94" s="85"/>
      <c r="Q94" s="85"/>
    </row>
    <row r="95" spans="1:17" ht="18.75">
      <c r="A95" s="1997"/>
      <c r="B95" s="85"/>
      <c r="C95" s="85"/>
      <c r="D95" s="85"/>
      <c r="E95" s="85"/>
      <c r="F95" s="85"/>
      <c r="G95" s="85"/>
      <c r="H95" s="85"/>
      <c r="I95" s="85"/>
      <c r="J95" s="94"/>
      <c r="K95" s="94"/>
      <c r="L95" s="94"/>
      <c r="M95" s="85"/>
      <c r="N95" s="85"/>
      <c r="O95" s="85"/>
      <c r="P95" s="85"/>
      <c r="Q95" s="85"/>
    </row>
    <row r="96" spans="1:17" ht="18.75">
      <c r="A96" s="1997"/>
      <c r="B96" s="85"/>
      <c r="C96" s="85"/>
      <c r="D96" s="85"/>
      <c r="E96" s="85"/>
      <c r="F96" s="85"/>
      <c r="G96" s="85"/>
      <c r="H96" s="85"/>
      <c r="I96" s="85"/>
      <c r="J96" s="94"/>
      <c r="K96" s="94"/>
      <c r="L96" s="94"/>
      <c r="M96" s="85"/>
      <c r="N96" s="85"/>
      <c r="O96" s="85"/>
      <c r="P96" s="85"/>
      <c r="Q96" s="85"/>
    </row>
    <row r="97" spans="1:17" ht="18.75">
      <c r="A97" s="1997"/>
      <c r="B97" s="85"/>
      <c r="C97" s="85"/>
      <c r="D97" s="85"/>
      <c r="E97" s="85"/>
      <c r="F97" s="85"/>
      <c r="G97" s="85"/>
      <c r="H97" s="85"/>
      <c r="I97" s="85"/>
      <c r="J97" s="94"/>
      <c r="K97" s="94"/>
      <c r="L97" s="94"/>
      <c r="M97" s="85"/>
      <c r="N97" s="85"/>
      <c r="O97" s="85"/>
      <c r="P97" s="85"/>
      <c r="Q97" s="85"/>
    </row>
    <row r="98" spans="1:17" ht="18.75">
      <c r="A98" s="1997"/>
      <c r="B98" s="85"/>
      <c r="C98" s="85"/>
      <c r="D98" s="85"/>
      <c r="E98" s="85"/>
      <c r="F98" s="85"/>
      <c r="G98" s="85"/>
      <c r="H98" s="85"/>
      <c r="I98" s="85"/>
      <c r="J98" s="94"/>
      <c r="K98" s="94"/>
      <c r="L98" s="94"/>
      <c r="M98" s="85"/>
      <c r="N98" s="85"/>
      <c r="O98" s="85"/>
      <c r="P98" s="85"/>
      <c r="Q98" s="85"/>
    </row>
    <row r="99" spans="1:17" ht="18.75">
      <c r="A99" s="1997"/>
      <c r="B99" s="85"/>
      <c r="C99" s="85"/>
      <c r="D99" s="85"/>
      <c r="E99" s="85"/>
      <c r="F99" s="85"/>
      <c r="G99" s="85"/>
      <c r="H99" s="85"/>
      <c r="I99" s="85"/>
      <c r="J99" s="94"/>
      <c r="K99" s="94"/>
      <c r="L99" s="94"/>
      <c r="M99" s="85"/>
      <c r="N99" s="85"/>
      <c r="O99" s="85"/>
      <c r="P99" s="85"/>
      <c r="Q99" s="85"/>
    </row>
    <row r="100" spans="1:17" ht="18.75">
      <c r="A100" s="1997"/>
      <c r="B100" s="85"/>
      <c r="C100" s="85"/>
      <c r="D100" s="85"/>
      <c r="E100" s="85"/>
      <c r="F100" s="85"/>
      <c r="G100" s="85"/>
      <c r="H100" s="85"/>
      <c r="I100" s="85"/>
      <c r="J100" s="94"/>
      <c r="K100" s="94"/>
      <c r="L100" s="94"/>
      <c r="M100" s="85"/>
      <c r="N100" s="85"/>
      <c r="O100" s="85"/>
      <c r="P100" s="85"/>
      <c r="Q100" s="85"/>
    </row>
    <row r="101" spans="1:17" ht="18.75">
      <c r="A101" s="1997"/>
      <c r="B101" s="85"/>
      <c r="C101" s="85"/>
      <c r="D101" s="85"/>
      <c r="E101" s="85"/>
      <c r="F101" s="85"/>
      <c r="G101" s="85"/>
      <c r="H101" s="85"/>
      <c r="I101" s="85"/>
      <c r="J101" s="94"/>
      <c r="K101" s="94"/>
      <c r="L101" s="94"/>
      <c r="M101" s="85"/>
      <c r="N101" s="85"/>
      <c r="O101" s="85"/>
      <c r="P101" s="85"/>
      <c r="Q101" s="85"/>
    </row>
    <row r="102" spans="1:17" ht="18.75">
      <c r="A102" s="1997"/>
      <c r="B102" s="85"/>
      <c r="C102" s="85"/>
      <c r="D102" s="85"/>
      <c r="E102" s="85"/>
      <c r="F102" s="85"/>
      <c r="G102" s="85"/>
      <c r="H102" s="85"/>
      <c r="I102" s="85"/>
      <c r="J102" s="94"/>
      <c r="K102" s="94"/>
      <c r="L102" s="94"/>
      <c r="M102" s="85"/>
      <c r="N102" s="85"/>
      <c r="O102" s="85"/>
      <c r="P102" s="85"/>
      <c r="Q102" s="85"/>
    </row>
    <row r="103" spans="1:17" ht="18.75">
      <c r="A103" s="1997"/>
      <c r="B103" s="85"/>
      <c r="C103" s="85"/>
      <c r="D103" s="85"/>
      <c r="E103" s="85"/>
      <c r="F103" s="85"/>
      <c r="G103" s="85"/>
      <c r="H103" s="85"/>
      <c r="I103" s="85"/>
      <c r="J103" s="94"/>
      <c r="K103" s="94"/>
      <c r="L103" s="94"/>
      <c r="M103" s="85"/>
      <c r="N103" s="85"/>
      <c r="O103" s="85"/>
      <c r="P103" s="85"/>
      <c r="Q103" s="85"/>
    </row>
    <row r="104" spans="1:17" ht="18.75" customHeight="1">
      <c r="A104" s="1997"/>
      <c r="B104" s="85"/>
      <c r="C104" s="2007" t="s">
        <v>4393</v>
      </c>
      <c r="D104" s="2007"/>
      <c r="E104" s="2007"/>
      <c r="F104" s="2007"/>
      <c r="G104" s="2007"/>
      <c r="H104" s="2007"/>
      <c r="I104" s="2007"/>
      <c r="J104" s="2007"/>
      <c r="K104" s="2007"/>
      <c r="L104" s="2007"/>
      <c r="M104" s="2007"/>
      <c r="N104" s="85"/>
      <c r="O104" s="85"/>
      <c r="P104" s="85"/>
      <c r="Q104" s="85"/>
    </row>
    <row r="105" spans="1:17" ht="18.75" customHeight="1">
      <c r="A105" s="1997"/>
      <c r="B105" s="85"/>
      <c r="C105" s="2007"/>
      <c r="D105" s="2007"/>
      <c r="E105" s="2007"/>
      <c r="F105" s="2007"/>
      <c r="G105" s="2007"/>
      <c r="H105" s="2007"/>
      <c r="I105" s="2007"/>
      <c r="J105" s="2007"/>
      <c r="K105" s="2007"/>
      <c r="L105" s="2007"/>
      <c r="M105" s="2007"/>
      <c r="N105" s="85"/>
      <c r="O105" s="85"/>
      <c r="P105" s="85"/>
      <c r="Q105" s="85"/>
    </row>
    <row r="106" spans="1:17" ht="18.75">
      <c r="A106" s="1997"/>
      <c r="B106" s="85"/>
      <c r="C106" s="85"/>
      <c r="D106" s="85"/>
      <c r="E106" s="85"/>
      <c r="F106" s="85"/>
      <c r="G106" s="85"/>
      <c r="H106" s="85"/>
      <c r="I106" s="85"/>
      <c r="J106" s="94"/>
      <c r="K106" s="94"/>
      <c r="L106" s="94"/>
      <c r="M106" s="85"/>
      <c r="N106" s="85"/>
      <c r="O106" s="85"/>
      <c r="P106" s="85"/>
      <c r="Q106" s="85"/>
    </row>
    <row r="107" spans="1:17" ht="18.75" customHeight="1">
      <c r="A107" s="1997"/>
      <c r="B107" s="85"/>
      <c r="C107" s="2006" t="s">
        <v>4392</v>
      </c>
      <c r="D107" s="2006"/>
      <c r="E107" s="2006"/>
      <c r="F107" s="2006"/>
      <c r="G107" s="2006"/>
      <c r="H107" s="2006"/>
      <c r="I107" s="2006"/>
      <c r="J107" s="2006"/>
      <c r="K107" s="2006"/>
      <c r="L107" s="2006"/>
      <c r="M107" s="2006"/>
      <c r="N107" s="85"/>
      <c r="O107" s="85"/>
      <c r="P107" s="85"/>
      <c r="Q107" s="85"/>
    </row>
    <row r="108" spans="1:17" ht="18.75" customHeight="1">
      <c r="A108" s="1997"/>
      <c r="B108" s="85"/>
      <c r="C108" s="2006"/>
      <c r="D108" s="2006"/>
      <c r="E108" s="2006"/>
      <c r="F108" s="2006"/>
      <c r="G108" s="2006"/>
      <c r="H108" s="2006"/>
      <c r="I108" s="2006"/>
      <c r="J108" s="2006"/>
      <c r="K108" s="2006"/>
      <c r="L108" s="2006"/>
      <c r="M108" s="2006"/>
      <c r="N108" s="85"/>
      <c r="O108" s="85"/>
      <c r="P108" s="85"/>
      <c r="Q108" s="85"/>
    </row>
    <row r="109" spans="1:17" ht="18.75">
      <c r="A109" s="1997"/>
      <c r="B109" s="85"/>
      <c r="C109" s="85"/>
      <c r="D109" s="85"/>
      <c r="E109" s="85"/>
      <c r="F109" s="85"/>
      <c r="G109" s="85"/>
      <c r="H109" s="85"/>
      <c r="I109" s="85"/>
      <c r="J109" s="94"/>
      <c r="K109" s="94"/>
      <c r="L109" s="94"/>
      <c r="M109" s="85"/>
      <c r="N109" s="85"/>
      <c r="O109" s="85"/>
      <c r="P109" s="85"/>
      <c r="Q109" s="85"/>
    </row>
    <row r="110" spans="1:17" ht="18.75">
      <c r="A110" s="1997"/>
      <c r="B110" s="85"/>
      <c r="C110" s="85"/>
      <c r="D110" s="85"/>
      <c r="E110" s="85"/>
      <c r="F110" s="85"/>
      <c r="G110" s="85"/>
      <c r="H110" s="85"/>
      <c r="I110" s="85"/>
      <c r="J110" s="94"/>
      <c r="K110" s="94"/>
      <c r="L110" s="94"/>
      <c r="M110" s="85"/>
      <c r="N110" s="85"/>
      <c r="O110" s="85"/>
      <c r="P110" s="85"/>
      <c r="Q110" s="85"/>
    </row>
    <row r="111" spans="1:17" ht="18.75">
      <c r="A111" s="1997"/>
      <c r="B111" s="85"/>
      <c r="C111" s="85"/>
      <c r="D111" s="85"/>
      <c r="E111" s="85"/>
      <c r="F111" s="85"/>
      <c r="G111" s="85"/>
      <c r="H111" s="85"/>
      <c r="I111" s="85"/>
      <c r="J111" s="94"/>
      <c r="K111" s="94"/>
      <c r="L111" s="94"/>
      <c r="M111" s="85"/>
      <c r="N111" s="85"/>
      <c r="O111" s="85"/>
      <c r="P111" s="85"/>
      <c r="Q111" s="85"/>
    </row>
    <row r="112" spans="1:17" ht="18.75">
      <c r="A112" s="1997"/>
      <c r="B112" s="85"/>
      <c r="C112" s="85"/>
      <c r="D112" s="85"/>
      <c r="E112" s="85"/>
      <c r="F112" s="85"/>
      <c r="G112" s="85"/>
      <c r="H112" s="85"/>
      <c r="I112" s="85"/>
      <c r="J112" s="94"/>
      <c r="K112" s="94"/>
      <c r="L112" s="94"/>
      <c r="M112" s="85"/>
      <c r="N112" s="85"/>
      <c r="O112" s="85"/>
      <c r="P112" s="85"/>
      <c r="Q112" s="85"/>
    </row>
    <row r="113" spans="1:17" ht="18.75">
      <c r="A113" s="1997"/>
      <c r="B113" s="85"/>
      <c r="C113" s="85"/>
      <c r="D113" s="85"/>
      <c r="E113" s="85"/>
      <c r="F113" s="85"/>
      <c r="G113" s="85"/>
      <c r="H113" s="85"/>
      <c r="I113" s="85"/>
      <c r="J113" s="94"/>
      <c r="K113" s="94"/>
      <c r="L113" s="94"/>
      <c r="M113" s="85"/>
      <c r="N113" s="85"/>
      <c r="O113" s="85"/>
      <c r="P113" s="85"/>
      <c r="Q113" s="85"/>
    </row>
    <row r="114" spans="1:17" ht="18.75">
      <c r="A114" s="1997"/>
      <c r="B114" s="85"/>
      <c r="C114" s="85"/>
      <c r="D114" s="85"/>
      <c r="E114" s="85"/>
      <c r="F114" s="85"/>
      <c r="G114" s="85"/>
      <c r="H114" s="85"/>
      <c r="I114" s="85"/>
      <c r="J114" s="94"/>
      <c r="K114" s="94"/>
      <c r="L114" s="94"/>
      <c r="M114" s="85"/>
      <c r="N114" s="85"/>
      <c r="O114" s="85"/>
      <c r="P114" s="85"/>
      <c r="Q114" s="85"/>
    </row>
    <row r="115" spans="1:17" ht="18.75">
      <c r="A115" s="1997"/>
      <c r="B115" s="85"/>
      <c r="C115" s="85"/>
      <c r="D115" s="85"/>
      <c r="E115" s="85"/>
      <c r="F115" s="85"/>
      <c r="G115" s="85"/>
      <c r="H115" s="85"/>
      <c r="I115" s="85"/>
      <c r="J115" s="94"/>
      <c r="K115" s="94"/>
      <c r="L115" s="94"/>
      <c r="M115" s="85"/>
      <c r="N115" s="85"/>
      <c r="O115" s="85"/>
      <c r="P115" s="85"/>
      <c r="Q115" s="85"/>
    </row>
    <row r="116" spans="1:17" ht="18.75">
      <c r="A116" s="1997"/>
      <c r="B116" s="85"/>
      <c r="C116" s="85"/>
      <c r="D116" s="85"/>
      <c r="E116" s="85"/>
      <c r="F116" s="85"/>
      <c r="G116" s="85"/>
      <c r="H116" s="85"/>
      <c r="I116" s="85"/>
      <c r="J116" s="94"/>
      <c r="K116" s="94"/>
      <c r="L116" s="94"/>
      <c r="M116" s="85"/>
      <c r="N116" s="85"/>
      <c r="O116" s="85"/>
      <c r="P116" s="85"/>
      <c r="Q116" s="85"/>
    </row>
    <row r="117" spans="1:17" ht="18.75">
      <c r="A117" s="1997"/>
      <c r="B117" s="85"/>
      <c r="C117" s="85"/>
      <c r="D117" s="85"/>
      <c r="E117" s="85"/>
      <c r="F117" s="85"/>
      <c r="G117" s="85"/>
      <c r="H117" s="85"/>
      <c r="I117" s="85"/>
      <c r="J117" s="94"/>
      <c r="K117" s="94"/>
      <c r="L117" s="94"/>
      <c r="M117" s="85"/>
      <c r="N117" s="85"/>
      <c r="O117" s="85"/>
      <c r="P117" s="85"/>
      <c r="Q117" s="85"/>
    </row>
    <row r="118" spans="1:17" ht="18.75">
      <c r="A118" s="1997"/>
      <c r="B118" s="85"/>
      <c r="C118" s="85"/>
      <c r="D118" s="85"/>
      <c r="E118" s="85"/>
      <c r="F118" s="85"/>
      <c r="G118" s="85"/>
      <c r="H118" s="85"/>
      <c r="I118" s="85"/>
      <c r="J118" s="94"/>
      <c r="K118" s="94"/>
      <c r="L118" s="94"/>
      <c r="M118" s="85"/>
      <c r="N118" s="85"/>
      <c r="O118" s="85"/>
      <c r="P118" s="85"/>
      <c r="Q118" s="85"/>
    </row>
    <row r="119" spans="1:17" ht="18.75">
      <c r="A119" s="1997"/>
      <c r="B119" s="85"/>
      <c r="C119" s="85"/>
      <c r="D119" s="85"/>
      <c r="E119" s="85"/>
      <c r="F119" s="85"/>
      <c r="G119" s="85"/>
      <c r="H119" s="85"/>
      <c r="I119" s="85"/>
      <c r="J119" s="94"/>
      <c r="K119" s="94"/>
      <c r="L119" s="94"/>
      <c r="M119" s="85"/>
      <c r="N119" s="85"/>
      <c r="O119" s="85"/>
      <c r="P119" s="85"/>
      <c r="Q119" s="85"/>
    </row>
    <row r="120" spans="1:17" ht="18.75">
      <c r="A120" s="1997"/>
      <c r="B120" s="85"/>
      <c r="C120" s="85"/>
      <c r="D120" s="85"/>
      <c r="E120" s="85"/>
      <c r="F120" s="85"/>
      <c r="G120" s="85"/>
      <c r="H120" s="85"/>
      <c r="I120" s="85"/>
      <c r="J120" s="94"/>
      <c r="K120" s="94"/>
      <c r="L120" s="94"/>
      <c r="M120" s="85"/>
      <c r="N120" s="85"/>
      <c r="O120" s="85"/>
      <c r="P120" s="85"/>
      <c r="Q120" s="85"/>
    </row>
    <row r="121" spans="1:17" ht="18.75">
      <c r="A121" s="1997"/>
      <c r="B121" s="85"/>
      <c r="C121" s="85"/>
      <c r="D121" s="85"/>
      <c r="E121" s="85"/>
      <c r="F121" s="85"/>
      <c r="G121" s="85"/>
      <c r="H121" s="85"/>
      <c r="I121" s="85"/>
      <c r="J121" s="94"/>
      <c r="K121" s="94"/>
      <c r="L121" s="94"/>
      <c r="M121" s="85"/>
      <c r="N121" s="85"/>
      <c r="O121" s="85"/>
      <c r="P121" s="85"/>
      <c r="Q121" s="85"/>
    </row>
    <row r="122" spans="1:17" ht="18.75">
      <c r="A122" s="1997"/>
      <c r="B122" s="85"/>
      <c r="C122" s="85"/>
      <c r="D122" s="85"/>
      <c r="E122" s="85"/>
      <c r="F122" s="85"/>
      <c r="G122" s="85"/>
      <c r="H122" s="85"/>
      <c r="I122" s="85"/>
      <c r="J122" s="94"/>
      <c r="K122" s="94"/>
      <c r="L122" s="94"/>
      <c r="M122" s="85"/>
      <c r="N122" s="85"/>
      <c r="O122" s="85"/>
      <c r="P122" s="85"/>
      <c r="Q122" s="85"/>
    </row>
    <row r="123" spans="1:17" ht="18.75">
      <c r="A123" s="1997"/>
      <c r="B123" s="85"/>
      <c r="C123" s="85"/>
      <c r="D123" s="85"/>
      <c r="E123" s="85"/>
      <c r="F123" s="85"/>
      <c r="G123" s="85"/>
      <c r="H123" s="85"/>
      <c r="I123" s="85"/>
      <c r="J123" s="94"/>
      <c r="K123" s="94"/>
      <c r="L123" s="94"/>
      <c r="M123" s="85"/>
      <c r="N123" s="85"/>
      <c r="O123" s="85"/>
      <c r="P123" s="85"/>
      <c r="Q123" s="85"/>
    </row>
    <row r="124" spans="1:17" ht="18.75">
      <c r="A124" s="1997"/>
      <c r="B124" s="85"/>
      <c r="C124" s="85"/>
      <c r="D124" s="85"/>
      <c r="E124" s="85"/>
      <c r="F124" s="85"/>
      <c r="G124" s="85"/>
      <c r="H124" s="85"/>
      <c r="I124" s="85"/>
      <c r="J124" s="94"/>
      <c r="K124" s="94"/>
      <c r="L124" s="94"/>
      <c r="M124" s="85"/>
      <c r="N124" s="85"/>
      <c r="O124" s="85"/>
      <c r="P124" s="85"/>
      <c r="Q124" s="85"/>
    </row>
    <row r="125" spans="1:17" ht="18.75">
      <c r="A125" s="1997"/>
      <c r="B125" s="85"/>
      <c r="C125" s="85"/>
      <c r="D125" s="85"/>
      <c r="E125" s="85"/>
      <c r="F125" s="85"/>
      <c r="G125" s="85"/>
      <c r="H125" s="85"/>
      <c r="I125" s="85"/>
      <c r="J125" s="94"/>
      <c r="K125" s="94"/>
      <c r="L125" s="94"/>
      <c r="M125" s="85"/>
      <c r="N125" s="85"/>
      <c r="O125" s="85"/>
      <c r="P125" s="85"/>
      <c r="Q125" s="85"/>
    </row>
    <row r="126" spans="1:17" ht="18.75">
      <c r="A126" s="1997"/>
      <c r="B126" s="85"/>
      <c r="C126" s="85"/>
      <c r="D126" s="85"/>
      <c r="E126" s="85"/>
      <c r="F126" s="85"/>
      <c r="G126" s="85"/>
      <c r="H126" s="85"/>
      <c r="I126" s="85"/>
      <c r="J126" s="94"/>
      <c r="K126" s="94"/>
      <c r="L126" s="94"/>
      <c r="M126" s="85"/>
      <c r="N126" s="85"/>
      <c r="O126" s="85"/>
      <c r="P126" s="85"/>
      <c r="Q126" s="85"/>
    </row>
    <row r="127" spans="1:17" ht="18.75">
      <c r="A127" s="1997"/>
      <c r="B127" s="85"/>
      <c r="C127" s="85"/>
      <c r="D127" s="85"/>
      <c r="E127" s="85"/>
      <c r="F127" s="85"/>
      <c r="G127" s="85"/>
      <c r="H127" s="85"/>
      <c r="I127" s="85"/>
      <c r="J127" s="94"/>
      <c r="K127" s="94"/>
      <c r="L127" s="94"/>
      <c r="M127" s="85"/>
      <c r="N127" s="85"/>
      <c r="O127" s="85"/>
      <c r="P127" s="85"/>
      <c r="Q127" s="85"/>
    </row>
    <row r="128" spans="1:17" ht="18.75">
      <c r="A128" s="1997"/>
      <c r="B128" s="85"/>
      <c r="C128" s="85"/>
      <c r="D128" s="85"/>
      <c r="E128" s="85"/>
      <c r="F128" s="85"/>
      <c r="G128" s="85"/>
      <c r="H128" s="85"/>
      <c r="I128" s="85"/>
      <c r="J128" s="94"/>
      <c r="K128" s="94"/>
      <c r="L128" s="94"/>
      <c r="M128" s="85"/>
      <c r="N128" s="85"/>
      <c r="O128" s="85"/>
      <c r="P128" s="85"/>
      <c r="Q128" s="85"/>
    </row>
    <row r="129" spans="1:17" ht="18.75">
      <c r="A129" s="1997"/>
      <c r="B129" s="85"/>
      <c r="C129" s="85"/>
      <c r="D129" s="85"/>
      <c r="E129" s="85"/>
      <c r="F129" s="85"/>
      <c r="G129" s="85"/>
      <c r="H129" s="85"/>
      <c r="I129" s="85"/>
      <c r="J129" s="94"/>
      <c r="K129" s="94"/>
      <c r="L129" s="94"/>
      <c r="M129" s="85"/>
      <c r="N129" s="85"/>
      <c r="O129" s="85"/>
      <c r="P129" s="85"/>
      <c r="Q129" s="85"/>
    </row>
    <row r="130" spans="1:17" ht="18.75">
      <c r="A130" s="1997"/>
      <c r="B130" s="85"/>
      <c r="C130" s="85"/>
      <c r="D130" s="85"/>
      <c r="E130" s="85"/>
      <c r="F130" s="85"/>
      <c r="G130" s="85"/>
      <c r="H130" s="85"/>
      <c r="I130" s="85"/>
      <c r="J130" s="94"/>
      <c r="K130" s="94"/>
      <c r="L130" s="94"/>
      <c r="M130" s="85"/>
      <c r="N130" s="85"/>
      <c r="O130" s="85"/>
      <c r="P130" s="85"/>
      <c r="Q130" s="85"/>
    </row>
    <row r="131" spans="1:17" ht="18.75">
      <c r="A131" s="1997"/>
      <c r="B131" s="85"/>
      <c r="C131" s="85"/>
      <c r="D131" s="85"/>
      <c r="E131" s="85"/>
      <c r="F131" s="85"/>
      <c r="G131" s="85"/>
      <c r="H131" s="85"/>
      <c r="I131" s="85"/>
      <c r="J131" s="94"/>
      <c r="K131" s="94"/>
      <c r="L131" s="94"/>
      <c r="M131" s="85"/>
      <c r="N131" s="85"/>
      <c r="O131" s="85"/>
      <c r="P131" s="85"/>
      <c r="Q131" s="85"/>
    </row>
    <row r="132" spans="1:17" ht="18.75">
      <c r="A132" s="1997"/>
      <c r="B132" s="85"/>
      <c r="C132" s="85"/>
      <c r="D132" s="85"/>
      <c r="E132" s="85"/>
      <c r="F132" s="85"/>
      <c r="G132" s="85"/>
      <c r="H132" s="85"/>
      <c r="I132" s="85"/>
      <c r="J132" s="94"/>
      <c r="K132" s="94"/>
      <c r="L132" s="94"/>
      <c r="M132" s="85"/>
      <c r="N132" s="85"/>
      <c r="O132" s="85"/>
      <c r="P132" s="85"/>
      <c r="Q132" s="85"/>
    </row>
    <row r="133" spans="1:17" ht="18.75">
      <c r="A133" s="1997"/>
      <c r="B133" s="85"/>
      <c r="C133" s="85"/>
      <c r="D133" s="85"/>
      <c r="E133" s="85"/>
      <c r="F133" s="85"/>
      <c r="G133" s="85"/>
      <c r="H133" s="85"/>
      <c r="I133" s="85"/>
      <c r="J133" s="94"/>
      <c r="K133" s="94"/>
      <c r="L133" s="94"/>
      <c r="M133" s="85"/>
      <c r="N133" s="85"/>
      <c r="O133" s="85"/>
      <c r="P133" s="85"/>
      <c r="Q133" s="85"/>
    </row>
    <row r="134" spans="1:17" ht="18.75">
      <c r="A134" s="1997"/>
      <c r="B134" s="85"/>
      <c r="C134" s="85"/>
      <c r="D134" s="85"/>
      <c r="E134" s="85"/>
      <c r="F134" s="85"/>
      <c r="G134" s="85"/>
      <c r="H134" s="85"/>
      <c r="I134" s="85"/>
      <c r="J134" s="94"/>
      <c r="K134" s="94"/>
      <c r="L134" s="94"/>
      <c r="M134" s="85"/>
      <c r="N134" s="85"/>
      <c r="O134" s="85"/>
      <c r="P134" s="85"/>
      <c r="Q134" s="85"/>
    </row>
    <row r="135" spans="1:17" ht="18.75">
      <c r="A135" s="1997"/>
      <c r="B135" s="85"/>
      <c r="C135" s="85"/>
      <c r="D135" s="85"/>
      <c r="E135" s="85"/>
      <c r="F135" s="85"/>
      <c r="G135" s="85"/>
      <c r="H135" s="85"/>
      <c r="I135" s="85"/>
      <c r="J135" s="94"/>
      <c r="K135" s="94"/>
      <c r="L135" s="94"/>
      <c r="M135" s="85"/>
      <c r="N135" s="85"/>
      <c r="O135" s="85"/>
      <c r="P135" s="85"/>
      <c r="Q135" s="85"/>
    </row>
    <row r="136" spans="1:17" ht="18.75">
      <c r="A136" s="1997"/>
      <c r="B136" s="85"/>
      <c r="C136" s="85"/>
      <c r="D136" s="85"/>
      <c r="E136" s="85"/>
      <c r="F136" s="85"/>
      <c r="G136" s="85"/>
      <c r="H136" s="85"/>
      <c r="I136" s="85"/>
      <c r="J136" s="94"/>
      <c r="K136" s="94"/>
      <c r="L136" s="94"/>
      <c r="M136" s="85"/>
      <c r="N136" s="85"/>
      <c r="O136" s="85"/>
      <c r="P136" s="85"/>
      <c r="Q136" s="85"/>
    </row>
    <row r="137" spans="1:17" ht="18.75">
      <c r="A137" s="1997"/>
      <c r="B137" s="85"/>
      <c r="C137" s="85"/>
      <c r="D137" s="85"/>
      <c r="E137" s="85"/>
      <c r="F137" s="85"/>
      <c r="G137" s="85"/>
      <c r="H137" s="85"/>
      <c r="I137" s="85"/>
      <c r="J137" s="94"/>
      <c r="K137" s="94"/>
      <c r="L137" s="94"/>
      <c r="M137" s="85"/>
      <c r="N137" s="85"/>
      <c r="O137" s="85"/>
      <c r="P137" s="85"/>
      <c r="Q137" s="85"/>
    </row>
    <row r="138" spans="1:17" ht="18.75">
      <c r="A138" s="1997"/>
      <c r="B138" s="85"/>
      <c r="C138" s="85"/>
      <c r="D138" s="85"/>
      <c r="E138" s="85"/>
      <c r="F138" s="85"/>
      <c r="G138" s="85"/>
      <c r="H138" s="85"/>
      <c r="I138" s="85"/>
      <c r="J138" s="94"/>
      <c r="K138" s="94"/>
      <c r="L138" s="94"/>
      <c r="M138" s="85"/>
      <c r="N138" s="85"/>
      <c r="O138" s="85"/>
      <c r="P138" s="85"/>
      <c r="Q138" s="85"/>
    </row>
    <row r="139" spans="1:17" ht="18.75">
      <c r="A139" s="1997"/>
      <c r="B139" s="85"/>
      <c r="C139" s="85"/>
      <c r="D139" s="85"/>
      <c r="E139" s="85"/>
      <c r="F139" s="85"/>
      <c r="G139" s="85"/>
      <c r="H139" s="85"/>
      <c r="I139" s="85"/>
      <c r="J139" s="94"/>
      <c r="K139" s="94"/>
      <c r="L139" s="94"/>
      <c r="M139" s="85"/>
      <c r="N139" s="85"/>
      <c r="O139" s="85"/>
      <c r="P139" s="85"/>
      <c r="Q139" s="85"/>
    </row>
    <row r="140" spans="1:17" ht="18.75">
      <c r="A140" s="1997"/>
      <c r="B140" s="85"/>
      <c r="C140" s="85"/>
      <c r="D140" s="85"/>
      <c r="E140" s="85"/>
      <c r="F140" s="85"/>
      <c r="G140" s="85"/>
      <c r="H140" s="85"/>
      <c r="I140" s="85"/>
      <c r="J140" s="94"/>
      <c r="K140" s="94"/>
      <c r="L140" s="94"/>
      <c r="M140" s="85"/>
      <c r="N140" s="85"/>
      <c r="O140" s="85"/>
      <c r="P140" s="85"/>
      <c r="Q140" s="85"/>
    </row>
    <row r="141" spans="1:17" ht="18.75">
      <c r="A141" s="1997"/>
      <c r="B141" s="85"/>
      <c r="C141" s="85"/>
      <c r="D141" s="85"/>
      <c r="E141" s="85"/>
      <c r="F141" s="85"/>
      <c r="G141" s="85"/>
      <c r="H141" s="85"/>
      <c r="I141" s="85"/>
      <c r="J141" s="94"/>
      <c r="K141" s="94"/>
      <c r="L141" s="94"/>
      <c r="M141" s="85"/>
      <c r="N141" s="85"/>
      <c r="O141" s="85"/>
      <c r="P141" s="85"/>
      <c r="Q141" s="85"/>
    </row>
    <row r="142" spans="1:17" ht="18.75">
      <c r="A142" s="1997"/>
      <c r="B142" s="85"/>
      <c r="C142" s="85"/>
      <c r="D142" s="85"/>
      <c r="E142" s="85"/>
      <c r="F142" s="85"/>
      <c r="G142" s="85"/>
      <c r="H142" s="85"/>
      <c r="I142" s="85"/>
      <c r="J142" s="94"/>
      <c r="K142" s="94"/>
      <c r="L142" s="94"/>
      <c r="M142" s="85"/>
      <c r="N142" s="85"/>
      <c r="O142" s="85"/>
      <c r="P142" s="85"/>
      <c r="Q142" s="85"/>
    </row>
    <row r="143" spans="1:17" ht="18.75">
      <c r="A143" s="1997"/>
      <c r="B143" s="85"/>
      <c r="C143" s="85"/>
      <c r="D143" s="85"/>
      <c r="E143" s="85"/>
      <c r="F143" s="85"/>
      <c r="G143" s="85"/>
      <c r="H143" s="85"/>
      <c r="I143" s="85"/>
      <c r="J143" s="94"/>
      <c r="K143" s="94"/>
      <c r="L143" s="94"/>
      <c r="M143" s="85"/>
      <c r="N143" s="85"/>
      <c r="O143" s="85"/>
      <c r="P143" s="85"/>
      <c r="Q143" s="85"/>
    </row>
    <row r="144" spans="1:17" ht="18.75">
      <c r="A144" s="1997"/>
      <c r="B144" s="85"/>
      <c r="C144" s="85"/>
      <c r="D144" s="85"/>
      <c r="E144" s="85"/>
      <c r="F144" s="85"/>
      <c r="G144" s="85"/>
      <c r="H144" s="85"/>
      <c r="I144" s="85"/>
      <c r="J144" s="94"/>
      <c r="K144" s="94"/>
      <c r="L144" s="94"/>
      <c r="M144" s="85"/>
      <c r="N144" s="85"/>
      <c r="O144" s="85"/>
      <c r="P144" s="85"/>
      <c r="Q144" s="85"/>
    </row>
    <row r="145" spans="1:17" ht="18.75">
      <c r="A145" s="1997"/>
      <c r="B145" s="85"/>
      <c r="C145" s="85"/>
      <c r="D145" s="85"/>
      <c r="E145" s="85"/>
      <c r="F145" s="85"/>
      <c r="G145" s="85"/>
      <c r="H145" s="85"/>
      <c r="I145" s="85"/>
      <c r="J145" s="94"/>
      <c r="K145" s="94"/>
      <c r="L145" s="94"/>
      <c r="M145" s="85"/>
      <c r="N145" s="85"/>
      <c r="O145" s="85"/>
      <c r="P145" s="85"/>
      <c r="Q145" s="85"/>
    </row>
    <row r="146" spans="1:17" ht="18.75">
      <c r="A146" s="1997"/>
      <c r="B146" s="85"/>
      <c r="C146" s="85"/>
      <c r="D146" s="85"/>
      <c r="E146" s="85"/>
      <c r="F146" s="85"/>
      <c r="G146" s="85"/>
      <c r="H146" s="85"/>
      <c r="I146" s="85"/>
      <c r="J146" s="94"/>
      <c r="K146" s="94"/>
      <c r="L146" s="94"/>
      <c r="M146" s="85"/>
      <c r="N146" s="85"/>
      <c r="O146" s="85"/>
      <c r="P146" s="85"/>
      <c r="Q146" s="85"/>
    </row>
    <row r="147" spans="1:17" ht="18.75" customHeight="1">
      <c r="A147" s="1997"/>
      <c r="B147" s="85"/>
      <c r="C147" s="2007" t="s">
        <v>4394</v>
      </c>
      <c r="D147" s="2007"/>
      <c r="E147" s="2007"/>
      <c r="F147" s="2007"/>
      <c r="G147" s="2007"/>
      <c r="H147" s="2007"/>
      <c r="I147" s="2007"/>
      <c r="J147" s="2007"/>
      <c r="K147" s="2007"/>
      <c r="L147" s="2007"/>
      <c r="M147" s="2007"/>
      <c r="N147" s="85"/>
      <c r="O147" s="85"/>
      <c r="P147" s="85"/>
      <c r="Q147" s="85"/>
    </row>
    <row r="148" spans="1:17" ht="18.75" customHeight="1">
      <c r="A148" s="1997"/>
      <c r="B148" s="85"/>
      <c r="C148" s="2007"/>
      <c r="D148" s="2007"/>
      <c r="E148" s="2007"/>
      <c r="F148" s="2007"/>
      <c r="G148" s="2007"/>
      <c r="H148" s="2007"/>
      <c r="I148" s="2007"/>
      <c r="J148" s="2007"/>
      <c r="K148" s="2007"/>
      <c r="L148" s="2007"/>
      <c r="M148" s="2007"/>
      <c r="N148" s="85"/>
      <c r="O148" s="85"/>
      <c r="P148" s="85"/>
      <c r="Q148" s="85"/>
    </row>
    <row r="149" spans="1:17" ht="18.75">
      <c r="A149" s="1997"/>
      <c r="B149" s="85"/>
      <c r="C149" s="85"/>
      <c r="D149" s="85"/>
      <c r="E149" s="85"/>
      <c r="F149" s="85"/>
      <c r="G149" s="85"/>
      <c r="H149" s="85"/>
      <c r="I149" s="85"/>
      <c r="J149" s="94"/>
      <c r="K149" s="94"/>
      <c r="L149" s="94"/>
      <c r="M149" s="85"/>
      <c r="N149" s="85"/>
      <c r="O149" s="85"/>
      <c r="P149" s="85"/>
      <c r="Q149" s="85"/>
    </row>
    <row r="150" spans="1:17" ht="18.75" customHeight="1">
      <c r="A150" s="1997"/>
      <c r="B150" s="85"/>
      <c r="C150" s="2006" t="s">
        <v>4396</v>
      </c>
      <c r="D150" s="2006"/>
      <c r="E150" s="2006"/>
      <c r="F150" s="2006"/>
      <c r="G150" s="2006"/>
      <c r="H150" s="2006"/>
      <c r="I150" s="2006"/>
      <c r="J150" s="2006"/>
      <c r="K150" s="2006"/>
      <c r="L150" s="2006"/>
      <c r="M150" s="2006"/>
      <c r="N150" s="85"/>
      <c r="O150" s="85"/>
      <c r="P150" s="85"/>
      <c r="Q150" s="85"/>
    </row>
    <row r="151" spans="1:17" ht="18.75" customHeight="1">
      <c r="A151" s="1997"/>
      <c r="B151" s="85"/>
      <c r="C151" s="2006"/>
      <c r="D151" s="2006"/>
      <c r="E151" s="2006"/>
      <c r="F151" s="2006"/>
      <c r="G151" s="2006"/>
      <c r="H151" s="2006"/>
      <c r="I151" s="2006"/>
      <c r="J151" s="2006"/>
      <c r="K151" s="2006"/>
      <c r="L151" s="2006"/>
      <c r="M151" s="2006"/>
      <c r="N151" s="85"/>
      <c r="O151" s="85"/>
      <c r="P151" s="85"/>
      <c r="Q151" s="85"/>
    </row>
    <row r="152" spans="1:17" ht="18.75">
      <c r="A152" s="1997"/>
      <c r="B152" s="85"/>
      <c r="C152" s="85"/>
      <c r="D152" s="85"/>
      <c r="E152" s="85"/>
      <c r="F152" s="85"/>
      <c r="G152" s="85"/>
      <c r="H152" s="85"/>
      <c r="I152" s="85"/>
      <c r="J152" s="94"/>
      <c r="K152" s="94"/>
      <c r="L152" s="94"/>
      <c r="M152" s="85"/>
      <c r="N152" s="85"/>
      <c r="O152" s="85"/>
      <c r="P152" s="85"/>
      <c r="Q152" s="85"/>
    </row>
    <row r="153" spans="1:17" ht="18.75">
      <c r="A153" s="1997"/>
      <c r="B153" s="85"/>
      <c r="C153" s="85"/>
      <c r="D153" s="85"/>
      <c r="E153" s="85"/>
      <c r="F153" s="85"/>
      <c r="G153" s="85"/>
      <c r="H153" s="85"/>
      <c r="I153" s="85"/>
      <c r="J153" s="94"/>
      <c r="K153" s="94"/>
      <c r="L153" s="94"/>
      <c r="M153" s="85"/>
      <c r="N153" s="85"/>
      <c r="O153" s="85"/>
      <c r="P153" s="85"/>
      <c r="Q153" s="85"/>
    </row>
    <row r="154" spans="1:17" ht="18.75">
      <c r="A154" s="1997"/>
      <c r="B154" s="85"/>
      <c r="C154" s="85"/>
      <c r="D154" s="85"/>
      <c r="E154" s="85"/>
      <c r="F154" s="85"/>
      <c r="G154" s="85"/>
      <c r="H154" s="85"/>
      <c r="I154" s="85"/>
      <c r="J154" s="94"/>
      <c r="K154" s="94"/>
      <c r="L154" s="94"/>
      <c r="M154" s="85"/>
      <c r="N154" s="85"/>
      <c r="O154" s="85"/>
      <c r="P154" s="85"/>
      <c r="Q154" s="85"/>
    </row>
    <row r="155" spans="1:17" ht="18.75">
      <c r="A155" s="1997"/>
      <c r="B155" s="85"/>
      <c r="C155" s="85"/>
      <c r="D155" s="85"/>
      <c r="E155" s="85"/>
      <c r="F155" s="85"/>
      <c r="G155" s="85"/>
      <c r="H155" s="85"/>
      <c r="I155" s="85"/>
      <c r="J155" s="94"/>
      <c r="K155" s="94"/>
      <c r="L155" s="94"/>
      <c r="M155" s="85"/>
      <c r="N155" s="85"/>
      <c r="O155" s="85"/>
      <c r="P155" s="85"/>
      <c r="Q155" s="85"/>
    </row>
    <row r="156" spans="1:17" ht="18.75">
      <c r="A156" s="1997"/>
      <c r="B156" s="85"/>
      <c r="C156" s="85"/>
      <c r="D156" s="85"/>
      <c r="E156" s="85"/>
      <c r="F156" s="85"/>
      <c r="G156" s="85"/>
      <c r="H156" s="85"/>
      <c r="I156" s="85"/>
      <c r="J156" s="94"/>
      <c r="K156" s="94"/>
      <c r="L156" s="94"/>
      <c r="M156" s="85"/>
      <c r="N156" s="85"/>
      <c r="O156" s="85"/>
      <c r="P156" s="85"/>
      <c r="Q156" s="85"/>
    </row>
    <row r="157" spans="1:17" ht="18.75">
      <c r="A157" s="1997"/>
      <c r="B157" s="85"/>
      <c r="C157" s="85"/>
      <c r="D157" s="85"/>
      <c r="E157" s="85"/>
      <c r="F157" s="85"/>
      <c r="G157" s="85"/>
      <c r="H157" s="85"/>
      <c r="I157" s="85"/>
      <c r="J157" s="94"/>
      <c r="K157" s="94"/>
      <c r="L157" s="94"/>
      <c r="M157" s="85"/>
      <c r="N157" s="85"/>
      <c r="O157" s="85"/>
      <c r="P157" s="85"/>
      <c r="Q157" s="85"/>
    </row>
    <row r="158" spans="1:17" ht="18.75">
      <c r="A158" s="1997"/>
      <c r="B158" s="85"/>
      <c r="C158" s="85"/>
      <c r="D158" s="85"/>
      <c r="E158" s="85"/>
      <c r="F158" s="85"/>
      <c r="G158" s="85"/>
      <c r="H158" s="85"/>
      <c r="I158" s="85"/>
      <c r="J158" s="94"/>
      <c r="K158" s="94"/>
      <c r="L158" s="94"/>
      <c r="M158" s="85"/>
      <c r="N158" s="85"/>
      <c r="O158" s="85"/>
      <c r="P158" s="85"/>
      <c r="Q158" s="85"/>
    </row>
    <row r="159" spans="1:17" ht="18.75">
      <c r="A159" s="1997"/>
      <c r="B159" s="85"/>
      <c r="C159" s="85"/>
      <c r="D159" s="85"/>
      <c r="E159" s="85"/>
      <c r="F159" s="85"/>
      <c r="G159" s="85"/>
      <c r="H159" s="85"/>
      <c r="I159" s="85"/>
      <c r="J159" s="94"/>
      <c r="K159" s="94"/>
      <c r="L159" s="94"/>
      <c r="M159" s="85"/>
      <c r="N159" s="85"/>
      <c r="O159" s="85"/>
      <c r="P159" s="85"/>
      <c r="Q159" s="85"/>
    </row>
    <row r="160" spans="1:17" ht="18.75">
      <c r="A160" s="1997"/>
      <c r="B160" s="85"/>
      <c r="C160" s="85"/>
      <c r="D160" s="85"/>
      <c r="E160" s="85"/>
      <c r="F160" s="85"/>
      <c r="G160" s="85"/>
      <c r="H160" s="85"/>
      <c r="I160" s="85"/>
      <c r="J160" s="94"/>
      <c r="K160" s="94"/>
      <c r="L160" s="94"/>
      <c r="M160" s="85"/>
      <c r="N160" s="85"/>
      <c r="O160" s="85"/>
      <c r="P160" s="85"/>
      <c r="Q160" s="85"/>
    </row>
    <row r="161" spans="1:17" ht="18.75">
      <c r="A161" s="1997"/>
      <c r="B161" s="85"/>
      <c r="C161" s="85"/>
      <c r="D161" s="85"/>
      <c r="E161" s="85"/>
      <c r="F161" s="85"/>
      <c r="G161" s="85"/>
      <c r="H161" s="85"/>
      <c r="I161" s="85"/>
      <c r="J161" s="94"/>
      <c r="K161" s="94"/>
      <c r="L161" s="94"/>
      <c r="M161" s="85"/>
      <c r="N161" s="85"/>
      <c r="O161" s="85"/>
      <c r="P161" s="85"/>
      <c r="Q161" s="85"/>
    </row>
    <row r="162" spans="1:17" ht="18.75">
      <c r="A162" s="1997"/>
      <c r="B162" s="85"/>
      <c r="C162" s="85"/>
      <c r="D162" s="85"/>
      <c r="E162" s="85"/>
      <c r="F162" s="85"/>
      <c r="G162" s="85"/>
      <c r="H162" s="85"/>
      <c r="I162" s="85"/>
      <c r="J162" s="94"/>
      <c r="K162" s="94"/>
      <c r="L162" s="94"/>
      <c r="M162" s="85"/>
      <c r="N162" s="85"/>
      <c r="O162" s="85"/>
      <c r="P162" s="85"/>
      <c r="Q162" s="85"/>
    </row>
    <row r="163" spans="1:17" ht="18.75">
      <c r="A163" s="1997"/>
      <c r="B163" s="85"/>
      <c r="C163" s="85"/>
      <c r="D163" s="85"/>
      <c r="E163" s="85"/>
      <c r="F163" s="85"/>
      <c r="G163" s="85"/>
      <c r="H163" s="85"/>
      <c r="I163" s="85"/>
      <c r="J163" s="94"/>
      <c r="K163" s="94"/>
      <c r="L163" s="94"/>
      <c r="M163" s="85"/>
      <c r="N163" s="85"/>
      <c r="O163" s="85"/>
      <c r="P163" s="85"/>
      <c r="Q163" s="85"/>
    </row>
    <row r="164" spans="1:17" ht="18.75">
      <c r="A164" s="1997"/>
      <c r="B164" s="85"/>
      <c r="C164" s="85"/>
      <c r="D164" s="85"/>
      <c r="E164" s="85"/>
      <c r="F164" s="85"/>
      <c r="G164" s="85"/>
      <c r="H164" s="85"/>
      <c r="I164" s="85"/>
      <c r="J164" s="94"/>
      <c r="K164" s="94"/>
      <c r="L164" s="94"/>
      <c r="M164" s="85"/>
      <c r="N164" s="85"/>
      <c r="O164" s="85"/>
      <c r="P164" s="85"/>
      <c r="Q164" s="85"/>
    </row>
    <row r="165" spans="1:17" ht="18.75">
      <c r="A165" s="1997"/>
      <c r="B165" s="85"/>
      <c r="C165" s="85"/>
      <c r="D165" s="85"/>
      <c r="E165" s="85"/>
      <c r="F165" s="85"/>
      <c r="G165" s="85"/>
      <c r="H165" s="85"/>
      <c r="I165" s="85"/>
      <c r="J165" s="94"/>
      <c r="K165" s="94"/>
      <c r="L165" s="94"/>
      <c r="M165" s="85"/>
      <c r="N165" s="85"/>
      <c r="O165" s="85"/>
      <c r="P165" s="85"/>
      <c r="Q165" s="85"/>
    </row>
    <row r="166" spans="1:17" ht="18.75">
      <c r="A166" s="1997"/>
      <c r="B166" s="85"/>
      <c r="C166" s="85"/>
      <c r="D166" s="85"/>
      <c r="E166" s="85"/>
      <c r="F166" s="85"/>
      <c r="G166" s="85"/>
      <c r="H166" s="85"/>
      <c r="I166" s="85"/>
      <c r="J166" s="94"/>
      <c r="K166" s="94"/>
      <c r="L166" s="94"/>
      <c r="M166" s="85"/>
      <c r="N166" s="85"/>
      <c r="O166" s="85"/>
      <c r="P166" s="85"/>
      <c r="Q166" s="85"/>
    </row>
    <row r="167" spans="1:17" ht="18.75">
      <c r="A167" s="1997"/>
      <c r="B167" s="85"/>
      <c r="C167" s="85"/>
      <c r="D167" s="85"/>
      <c r="E167" s="85"/>
      <c r="F167" s="85"/>
      <c r="G167" s="85"/>
      <c r="H167" s="85"/>
      <c r="I167" s="85"/>
      <c r="J167" s="94"/>
      <c r="K167" s="94"/>
      <c r="L167" s="94"/>
      <c r="M167" s="85"/>
      <c r="N167" s="85"/>
      <c r="O167" s="85"/>
      <c r="P167" s="85"/>
      <c r="Q167" s="85"/>
    </row>
    <row r="168" spans="1:17" ht="18.75">
      <c r="A168" s="1997"/>
      <c r="B168" s="85"/>
      <c r="C168" s="85"/>
      <c r="D168" s="85"/>
      <c r="E168" s="85"/>
      <c r="F168" s="85"/>
      <c r="G168" s="85"/>
      <c r="H168" s="85"/>
      <c r="I168" s="85"/>
      <c r="J168" s="94"/>
      <c r="K168" s="94"/>
      <c r="L168" s="94"/>
      <c r="M168" s="85"/>
      <c r="N168" s="85"/>
      <c r="O168" s="85"/>
      <c r="P168" s="85"/>
      <c r="Q168" s="85"/>
    </row>
    <row r="169" spans="1:17" ht="18.75">
      <c r="A169" s="1997"/>
      <c r="B169" s="85"/>
      <c r="C169" s="85"/>
      <c r="D169" s="85"/>
      <c r="E169" s="85"/>
      <c r="F169" s="85"/>
      <c r="G169" s="85"/>
      <c r="H169" s="85"/>
      <c r="I169" s="85"/>
      <c r="J169" s="94"/>
      <c r="K169" s="94"/>
      <c r="L169" s="94"/>
      <c r="M169" s="85"/>
      <c r="N169" s="85"/>
      <c r="O169" s="85"/>
      <c r="P169" s="85"/>
      <c r="Q169" s="85"/>
    </row>
    <row r="170" spans="1:17" ht="18.75">
      <c r="A170" s="1997"/>
      <c r="B170" s="85"/>
      <c r="C170" s="85"/>
      <c r="D170" s="85"/>
      <c r="E170" s="85"/>
      <c r="F170" s="85"/>
      <c r="G170" s="85"/>
      <c r="H170" s="85"/>
      <c r="I170" s="85"/>
      <c r="J170" s="94"/>
      <c r="K170" s="94"/>
      <c r="L170" s="94"/>
      <c r="M170" s="85"/>
      <c r="N170" s="85"/>
      <c r="O170" s="85"/>
      <c r="P170" s="85"/>
      <c r="Q170" s="85"/>
    </row>
    <row r="171" spans="1:17" ht="18.75">
      <c r="A171" s="1997"/>
      <c r="B171" s="85"/>
      <c r="C171" s="85"/>
      <c r="D171" s="85"/>
      <c r="E171" s="85"/>
      <c r="F171" s="85"/>
      <c r="G171" s="85"/>
      <c r="H171" s="85"/>
      <c r="I171" s="85"/>
      <c r="J171" s="94"/>
      <c r="K171" s="94"/>
      <c r="L171" s="94"/>
      <c r="M171" s="85"/>
      <c r="N171" s="85"/>
      <c r="O171" s="85"/>
      <c r="P171" s="85"/>
      <c r="Q171" s="85"/>
    </row>
    <row r="172" spans="1:17" ht="18.75">
      <c r="A172" s="1997"/>
      <c r="B172" s="85"/>
      <c r="C172" s="85"/>
      <c r="D172" s="85"/>
      <c r="E172" s="85"/>
      <c r="F172" s="85"/>
      <c r="G172" s="85"/>
      <c r="H172" s="85"/>
      <c r="I172" s="85"/>
      <c r="J172" s="94"/>
      <c r="K172" s="94"/>
      <c r="L172" s="94"/>
      <c r="M172" s="85"/>
      <c r="N172" s="85"/>
      <c r="O172" s="85"/>
      <c r="P172" s="85"/>
      <c r="Q172" s="85"/>
    </row>
    <row r="173" spans="1:17" ht="18.75">
      <c r="A173" s="1997"/>
      <c r="B173" s="85"/>
      <c r="C173" s="85"/>
      <c r="D173" s="85"/>
      <c r="E173" s="85"/>
      <c r="F173" s="85"/>
      <c r="G173" s="85"/>
      <c r="H173" s="85"/>
      <c r="I173" s="85"/>
      <c r="J173" s="94"/>
      <c r="K173" s="94"/>
      <c r="L173" s="94"/>
      <c r="M173" s="85"/>
      <c r="N173" s="85"/>
      <c r="O173" s="85"/>
      <c r="P173" s="85"/>
      <c r="Q173" s="85"/>
    </row>
    <row r="174" spans="1:17" ht="18.75">
      <c r="A174" s="1997"/>
      <c r="B174" s="85"/>
      <c r="C174" s="85"/>
      <c r="D174" s="85"/>
      <c r="E174" s="85"/>
      <c r="F174" s="85"/>
      <c r="G174" s="85"/>
      <c r="H174" s="85"/>
      <c r="I174" s="85"/>
      <c r="J174" s="94"/>
      <c r="K174" s="94"/>
      <c r="L174" s="94"/>
      <c r="M174" s="85"/>
      <c r="N174" s="85"/>
      <c r="O174" s="85"/>
      <c r="P174" s="85"/>
      <c r="Q174" s="85"/>
    </row>
    <row r="175" spans="1:17" ht="18.75">
      <c r="A175" s="1997"/>
      <c r="B175" s="85"/>
      <c r="C175" s="85"/>
      <c r="D175" s="85"/>
      <c r="E175" s="85"/>
      <c r="F175" s="85"/>
      <c r="G175" s="85"/>
      <c r="H175" s="85"/>
      <c r="I175" s="85"/>
      <c r="J175" s="94"/>
      <c r="K175" s="94"/>
      <c r="L175" s="94"/>
      <c r="M175" s="85"/>
      <c r="N175" s="85"/>
      <c r="O175" s="85"/>
      <c r="P175" s="85"/>
      <c r="Q175" s="85"/>
    </row>
    <row r="176" spans="1:17" ht="18.75">
      <c r="A176" s="1997"/>
      <c r="B176" s="85"/>
      <c r="C176" s="85"/>
      <c r="D176" s="85"/>
      <c r="E176" s="85"/>
      <c r="F176" s="85"/>
      <c r="G176" s="85"/>
      <c r="H176" s="85"/>
      <c r="I176" s="85"/>
      <c r="J176" s="94"/>
      <c r="K176" s="94"/>
      <c r="L176" s="94"/>
      <c r="M176" s="85"/>
      <c r="N176" s="85"/>
      <c r="O176" s="85"/>
      <c r="P176" s="85"/>
      <c r="Q176" s="85"/>
    </row>
    <row r="177" spans="1:17" ht="18.75">
      <c r="A177" s="1997"/>
      <c r="B177" s="85"/>
      <c r="C177" s="85"/>
      <c r="D177" s="85"/>
      <c r="E177" s="85"/>
      <c r="F177" s="85"/>
      <c r="G177" s="85"/>
      <c r="H177" s="85"/>
      <c r="I177" s="85"/>
      <c r="J177" s="94"/>
      <c r="K177" s="94"/>
      <c r="L177" s="94"/>
      <c r="M177" s="85"/>
      <c r="N177" s="85"/>
      <c r="O177" s="85"/>
      <c r="P177" s="85"/>
      <c r="Q177" s="85"/>
    </row>
    <row r="178" spans="1:17" ht="18.75">
      <c r="A178" s="1997"/>
      <c r="B178" s="85"/>
      <c r="C178" s="85"/>
      <c r="D178" s="85"/>
      <c r="E178" s="85"/>
      <c r="F178" s="85"/>
      <c r="G178" s="85"/>
      <c r="H178" s="85"/>
      <c r="I178" s="85"/>
      <c r="J178" s="94"/>
      <c r="K178" s="94"/>
      <c r="L178" s="94"/>
      <c r="M178" s="85"/>
      <c r="N178" s="85"/>
      <c r="O178" s="85"/>
      <c r="P178" s="85"/>
      <c r="Q178" s="85"/>
    </row>
    <row r="179" spans="1:17" ht="18.75">
      <c r="A179" s="1997"/>
      <c r="B179" s="85"/>
      <c r="C179" s="85"/>
      <c r="D179" s="85"/>
      <c r="E179" s="85"/>
      <c r="F179" s="85"/>
      <c r="G179" s="85"/>
      <c r="H179" s="85"/>
      <c r="I179" s="85"/>
      <c r="J179" s="94"/>
      <c r="K179" s="94"/>
      <c r="L179" s="94"/>
      <c r="M179" s="85"/>
      <c r="N179" s="85"/>
      <c r="O179" s="85"/>
      <c r="P179" s="85"/>
      <c r="Q179" s="85"/>
    </row>
    <row r="180" spans="1:17" ht="18.75">
      <c r="A180" s="1997"/>
      <c r="B180" s="85"/>
      <c r="C180" s="85"/>
      <c r="D180" s="85"/>
      <c r="E180" s="85"/>
      <c r="F180" s="85"/>
      <c r="G180" s="85"/>
      <c r="H180" s="85"/>
      <c r="I180" s="85"/>
      <c r="J180" s="94"/>
      <c r="K180" s="94"/>
      <c r="L180" s="94"/>
      <c r="M180" s="85"/>
      <c r="N180" s="85"/>
      <c r="O180" s="85"/>
      <c r="P180" s="85"/>
      <c r="Q180" s="85"/>
    </row>
    <row r="181" spans="1:17" ht="18.75">
      <c r="A181" s="1997"/>
      <c r="B181" s="85"/>
      <c r="C181" s="85"/>
      <c r="D181" s="85"/>
      <c r="E181" s="85"/>
      <c r="F181" s="85"/>
      <c r="G181" s="85"/>
      <c r="H181" s="85"/>
      <c r="I181" s="85"/>
      <c r="J181" s="94"/>
      <c r="K181" s="94"/>
      <c r="L181" s="94"/>
      <c r="M181" s="85"/>
      <c r="N181" s="85"/>
      <c r="O181" s="85"/>
      <c r="P181" s="85"/>
      <c r="Q181" s="85"/>
    </row>
    <row r="182" spans="1:17" ht="18.75">
      <c r="A182" s="1997"/>
      <c r="B182" s="85"/>
      <c r="C182" s="85"/>
      <c r="D182" s="85"/>
      <c r="E182" s="85"/>
      <c r="F182" s="85"/>
      <c r="G182" s="85"/>
      <c r="H182" s="85"/>
      <c r="I182" s="85"/>
      <c r="J182" s="94"/>
      <c r="K182" s="94"/>
      <c r="L182" s="94"/>
      <c r="M182" s="85"/>
      <c r="N182" s="85"/>
      <c r="O182" s="85"/>
      <c r="P182" s="85"/>
      <c r="Q182" s="85"/>
    </row>
    <row r="183" spans="1:17" ht="18.75">
      <c r="A183" s="1997"/>
      <c r="B183" s="85"/>
      <c r="C183" s="85"/>
      <c r="D183" s="85"/>
      <c r="E183" s="85"/>
      <c r="F183" s="85"/>
      <c r="G183" s="85"/>
      <c r="H183" s="85"/>
      <c r="I183" s="85"/>
      <c r="J183" s="94"/>
      <c r="K183" s="94"/>
      <c r="L183" s="94"/>
      <c r="M183" s="85"/>
      <c r="N183" s="85"/>
      <c r="O183" s="85"/>
      <c r="P183" s="85"/>
      <c r="Q183" s="85"/>
    </row>
    <row r="184" spans="1:17" ht="18.75">
      <c r="A184" s="1997"/>
      <c r="B184" s="85"/>
      <c r="C184" s="85"/>
      <c r="D184" s="85"/>
      <c r="E184" s="85"/>
      <c r="F184" s="85"/>
      <c r="G184" s="85"/>
      <c r="H184" s="85"/>
      <c r="I184" s="85"/>
      <c r="J184" s="94"/>
      <c r="K184" s="94"/>
      <c r="L184" s="94"/>
      <c r="M184" s="85"/>
      <c r="N184" s="85"/>
      <c r="O184" s="85"/>
      <c r="P184" s="85"/>
      <c r="Q184" s="85"/>
    </row>
    <row r="185" spans="1:17" ht="18.75">
      <c r="A185" s="1997"/>
      <c r="B185" s="85"/>
      <c r="C185" s="85"/>
      <c r="D185" s="85"/>
      <c r="E185" s="85"/>
      <c r="F185" s="85"/>
      <c r="G185" s="85"/>
      <c r="H185" s="85"/>
      <c r="I185" s="85"/>
      <c r="J185" s="94"/>
      <c r="K185" s="94"/>
      <c r="L185" s="94"/>
      <c r="M185" s="85"/>
      <c r="N185" s="85"/>
      <c r="O185" s="85"/>
      <c r="P185" s="85"/>
      <c r="Q185" s="85"/>
    </row>
    <row r="186" spans="1:17" ht="18.75">
      <c r="A186" s="1997"/>
      <c r="B186" s="85"/>
      <c r="C186" s="85"/>
      <c r="D186" s="85"/>
      <c r="E186" s="85"/>
      <c r="F186" s="85"/>
      <c r="G186" s="85"/>
      <c r="H186" s="85"/>
      <c r="I186" s="85"/>
      <c r="J186" s="94"/>
      <c r="K186" s="94"/>
      <c r="L186" s="94"/>
      <c r="M186" s="85"/>
      <c r="N186" s="85"/>
      <c r="O186" s="85"/>
      <c r="P186" s="85"/>
      <c r="Q186" s="85"/>
    </row>
    <row r="187" spans="1:17" ht="18.75">
      <c r="A187" s="1997"/>
      <c r="B187" s="85"/>
      <c r="C187" s="85"/>
      <c r="D187" s="85"/>
      <c r="E187" s="85"/>
      <c r="F187" s="85"/>
      <c r="G187" s="85"/>
      <c r="H187" s="85"/>
      <c r="I187" s="85"/>
      <c r="J187" s="94"/>
      <c r="K187" s="94"/>
      <c r="L187" s="94"/>
      <c r="M187" s="85"/>
      <c r="N187" s="85"/>
      <c r="O187" s="85"/>
      <c r="P187" s="85"/>
      <c r="Q187" s="85"/>
    </row>
    <row r="188" spans="1:17" ht="18.75">
      <c r="A188" s="1997"/>
      <c r="B188" s="85"/>
      <c r="C188" s="85"/>
      <c r="D188" s="85"/>
      <c r="E188" s="85"/>
      <c r="F188" s="85"/>
      <c r="G188" s="85"/>
      <c r="H188" s="85"/>
      <c r="I188" s="85"/>
      <c r="J188" s="94"/>
      <c r="K188" s="94"/>
      <c r="L188" s="94"/>
      <c r="M188" s="85"/>
      <c r="N188" s="85"/>
      <c r="O188" s="85"/>
      <c r="P188" s="85"/>
      <c r="Q188" s="85"/>
    </row>
    <row r="189" spans="1:17" ht="18.75">
      <c r="A189" s="1997"/>
      <c r="B189" s="85"/>
      <c r="C189" s="85"/>
      <c r="D189" s="85"/>
      <c r="E189" s="85"/>
      <c r="F189" s="85"/>
      <c r="G189" s="85"/>
      <c r="H189" s="85"/>
      <c r="I189" s="85"/>
      <c r="J189" s="94"/>
      <c r="K189" s="94"/>
      <c r="L189" s="94"/>
      <c r="M189" s="85"/>
      <c r="N189" s="85"/>
      <c r="O189" s="85"/>
      <c r="P189" s="85"/>
      <c r="Q189" s="85"/>
    </row>
    <row r="190" spans="1:17" ht="18.75" customHeight="1">
      <c r="A190" s="1997"/>
      <c r="B190" s="85"/>
      <c r="C190" s="2007" t="s">
        <v>4395</v>
      </c>
      <c r="D190" s="2007"/>
      <c r="E190" s="2007"/>
      <c r="F190" s="2007"/>
      <c r="G190" s="2007"/>
      <c r="H190" s="2007"/>
      <c r="I190" s="2007"/>
      <c r="J190" s="2007"/>
      <c r="K190" s="2007"/>
      <c r="L190" s="2007"/>
      <c r="M190" s="2007"/>
      <c r="N190" s="85"/>
      <c r="O190" s="85"/>
      <c r="P190" s="85"/>
      <c r="Q190" s="85"/>
    </row>
    <row r="191" spans="1:17" ht="18.75" customHeight="1">
      <c r="A191" s="1997"/>
      <c r="B191" s="85"/>
      <c r="C191" s="2007"/>
      <c r="D191" s="2007"/>
      <c r="E191" s="2007"/>
      <c r="F191" s="2007"/>
      <c r="G191" s="2007"/>
      <c r="H191" s="2007"/>
      <c r="I191" s="2007"/>
      <c r="J191" s="2007"/>
      <c r="K191" s="2007"/>
      <c r="L191" s="2007"/>
      <c r="M191" s="2007"/>
      <c r="N191" s="85"/>
      <c r="O191" s="85"/>
      <c r="P191" s="85"/>
      <c r="Q191" s="85"/>
    </row>
    <row r="192" spans="1:17" ht="18.75">
      <c r="A192" s="1997"/>
      <c r="B192" s="85"/>
      <c r="C192" s="85"/>
      <c r="D192" s="85"/>
      <c r="E192" s="85"/>
      <c r="F192" s="85"/>
      <c r="G192" s="85"/>
      <c r="H192" s="85"/>
      <c r="I192" s="85"/>
      <c r="J192" s="94"/>
      <c r="K192" s="94"/>
      <c r="L192" s="94"/>
      <c r="M192" s="85"/>
      <c r="N192" s="85"/>
      <c r="O192" s="85"/>
      <c r="P192" s="85"/>
      <c r="Q192" s="85"/>
    </row>
    <row r="193" spans="1:17" ht="18.75" customHeight="1">
      <c r="A193" s="1997"/>
      <c r="B193" s="85"/>
      <c r="C193" s="2006" t="s">
        <v>4594</v>
      </c>
      <c r="D193" s="2006"/>
      <c r="E193" s="2006"/>
      <c r="F193" s="2006"/>
      <c r="G193" s="2006"/>
      <c r="H193" s="2006"/>
      <c r="I193" s="2006"/>
      <c r="J193" s="2006"/>
      <c r="K193" s="2006"/>
      <c r="L193" s="2006"/>
      <c r="M193" s="2006"/>
      <c r="N193" s="85"/>
      <c r="O193" s="85"/>
      <c r="P193" s="85"/>
      <c r="Q193" s="85"/>
    </row>
    <row r="194" spans="1:17" ht="18.75" customHeight="1">
      <c r="A194" s="1997"/>
      <c r="B194" s="85"/>
      <c r="C194" s="2006"/>
      <c r="D194" s="2006"/>
      <c r="E194" s="2006"/>
      <c r="F194" s="2006"/>
      <c r="G194" s="2006"/>
      <c r="H194" s="2006"/>
      <c r="I194" s="2006"/>
      <c r="J194" s="2006"/>
      <c r="K194" s="2006"/>
      <c r="L194" s="2006"/>
      <c r="M194" s="2006"/>
      <c r="N194" s="85"/>
      <c r="O194" s="85"/>
      <c r="P194" s="85"/>
      <c r="Q194" s="85"/>
    </row>
    <row r="195" spans="1:17" ht="18.75">
      <c r="A195" s="1997"/>
      <c r="B195" s="85"/>
      <c r="C195" s="85"/>
      <c r="D195" s="85"/>
      <c r="E195" s="85"/>
      <c r="F195" s="85"/>
      <c r="G195" s="85"/>
      <c r="H195" s="85"/>
      <c r="I195" s="85"/>
      <c r="J195" s="94"/>
      <c r="K195" s="94"/>
      <c r="L195" s="94"/>
      <c r="M195" s="85"/>
      <c r="N195" s="85"/>
      <c r="O195" s="85"/>
      <c r="P195" s="85"/>
      <c r="Q195" s="85"/>
    </row>
    <row r="196" spans="1:17" ht="18.75">
      <c r="A196" s="1997"/>
      <c r="B196" s="85"/>
      <c r="C196" s="85"/>
      <c r="D196" s="85"/>
      <c r="E196" s="85"/>
      <c r="F196" s="85"/>
      <c r="G196" s="85"/>
      <c r="H196" s="85"/>
      <c r="I196" s="85"/>
      <c r="J196" s="94"/>
      <c r="K196" s="94"/>
      <c r="L196" s="94"/>
      <c r="M196" s="85"/>
      <c r="N196" s="85"/>
      <c r="O196" s="85"/>
      <c r="P196" s="85"/>
      <c r="Q196" s="85"/>
    </row>
    <row r="197" spans="1:17" ht="18.75">
      <c r="A197" s="1997"/>
      <c r="B197" s="85"/>
      <c r="C197" s="85"/>
      <c r="D197" s="85"/>
      <c r="E197" s="85"/>
      <c r="F197" s="85"/>
      <c r="G197" s="85"/>
      <c r="H197" s="85"/>
      <c r="I197" s="85"/>
      <c r="J197" s="94"/>
      <c r="K197" s="94"/>
      <c r="L197" s="94"/>
      <c r="M197" s="85"/>
      <c r="N197" s="85"/>
      <c r="O197" s="85"/>
      <c r="P197" s="85"/>
      <c r="Q197" s="85"/>
    </row>
    <row r="198" spans="1:17" ht="18.75">
      <c r="A198" s="1997"/>
      <c r="B198" s="85"/>
      <c r="C198" s="85"/>
      <c r="D198" s="85"/>
      <c r="E198" s="85"/>
      <c r="F198" s="85"/>
      <c r="G198" s="85"/>
      <c r="H198" s="85"/>
      <c r="I198" s="85"/>
      <c r="J198" s="94"/>
      <c r="K198" s="94"/>
      <c r="L198" s="94"/>
      <c r="M198" s="85"/>
      <c r="N198" s="85"/>
      <c r="O198" s="85"/>
      <c r="P198" s="85"/>
      <c r="Q198" s="85"/>
    </row>
    <row r="199" spans="1:17" ht="18.75">
      <c r="A199" s="1997"/>
      <c r="B199" s="85"/>
      <c r="C199" s="85"/>
      <c r="D199" s="85"/>
      <c r="E199" s="85"/>
      <c r="F199" s="85"/>
      <c r="G199" s="85"/>
      <c r="H199" s="85"/>
      <c r="I199" s="85"/>
      <c r="J199" s="94"/>
      <c r="K199" s="94"/>
      <c r="L199" s="94"/>
      <c r="M199" s="85"/>
      <c r="N199" s="85"/>
      <c r="O199" s="85"/>
      <c r="P199" s="85"/>
      <c r="Q199" s="85"/>
    </row>
    <row r="200" spans="1:17" ht="18.75">
      <c r="A200" s="1997"/>
      <c r="B200" s="85"/>
      <c r="C200" s="85"/>
      <c r="D200" s="85"/>
      <c r="E200" s="85"/>
      <c r="F200" s="85"/>
      <c r="G200" s="85"/>
      <c r="H200" s="85"/>
      <c r="I200" s="85"/>
      <c r="J200" s="94"/>
      <c r="K200" s="94"/>
      <c r="L200" s="94"/>
      <c r="M200" s="85"/>
      <c r="N200" s="85"/>
      <c r="O200" s="85"/>
      <c r="P200" s="85"/>
      <c r="Q200" s="85"/>
    </row>
    <row r="201" spans="1:17" ht="18.75">
      <c r="A201" s="1997"/>
      <c r="B201" s="85"/>
      <c r="C201" s="85"/>
      <c r="D201" s="85"/>
      <c r="E201" s="85"/>
      <c r="F201" s="85"/>
      <c r="G201" s="85"/>
      <c r="H201" s="85"/>
      <c r="I201" s="85"/>
      <c r="J201" s="94"/>
      <c r="K201" s="94"/>
      <c r="L201" s="94"/>
      <c r="M201" s="85"/>
      <c r="N201" s="85"/>
      <c r="O201" s="85"/>
      <c r="P201" s="85"/>
      <c r="Q201" s="85"/>
    </row>
    <row r="202" spans="1:17" ht="18.75">
      <c r="A202" s="1997"/>
      <c r="B202" s="85"/>
      <c r="C202" s="85"/>
      <c r="D202" s="85"/>
      <c r="E202" s="85"/>
      <c r="F202" s="85"/>
      <c r="G202" s="85"/>
      <c r="H202" s="85"/>
      <c r="I202" s="85"/>
      <c r="J202" s="94"/>
      <c r="K202" s="94"/>
      <c r="L202" s="94"/>
      <c r="M202" s="85"/>
      <c r="N202" s="85"/>
      <c r="O202" s="85"/>
      <c r="P202" s="85"/>
      <c r="Q202" s="85"/>
    </row>
    <row r="203" spans="1:17" ht="18.75">
      <c r="A203" s="1997"/>
      <c r="B203" s="85"/>
      <c r="C203" s="85"/>
      <c r="D203" s="85"/>
      <c r="E203" s="85"/>
      <c r="F203" s="85"/>
      <c r="G203" s="85"/>
      <c r="H203" s="85"/>
      <c r="I203" s="85"/>
      <c r="J203" s="94"/>
      <c r="K203" s="94"/>
      <c r="L203" s="94"/>
      <c r="M203" s="85"/>
      <c r="N203" s="85"/>
      <c r="O203" s="85"/>
      <c r="P203" s="85"/>
      <c r="Q203" s="85"/>
    </row>
    <row r="204" spans="1:17" ht="18.75">
      <c r="A204" s="1997"/>
      <c r="B204" s="85"/>
      <c r="C204" s="85"/>
      <c r="D204" s="85"/>
      <c r="E204" s="85"/>
      <c r="F204" s="85"/>
      <c r="G204" s="85"/>
      <c r="H204" s="85"/>
      <c r="I204" s="85"/>
      <c r="J204" s="94"/>
      <c r="K204" s="94"/>
      <c r="L204" s="94"/>
      <c r="M204" s="85"/>
      <c r="N204" s="85"/>
      <c r="O204" s="85"/>
      <c r="P204" s="85"/>
      <c r="Q204" s="85"/>
    </row>
    <row r="205" spans="1:17" ht="18.75">
      <c r="A205" s="1997"/>
      <c r="B205" s="85"/>
      <c r="C205" s="85"/>
      <c r="D205" s="85"/>
      <c r="E205" s="85"/>
      <c r="F205" s="85"/>
      <c r="G205" s="85"/>
      <c r="H205" s="85"/>
      <c r="I205" s="85"/>
      <c r="J205" s="94"/>
      <c r="K205" s="94"/>
      <c r="L205" s="94"/>
      <c r="M205" s="85"/>
      <c r="N205" s="85"/>
      <c r="O205" s="85"/>
      <c r="P205" s="85"/>
      <c r="Q205" s="85"/>
    </row>
    <row r="206" spans="1:17" ht="18.75">
      <c r="A206" s="1997"/>
      <c r="B206" s="85"/>
      <c r="C206" s="85"/>
      <c r="D206" s="85"/>
      <c r="E206" s="85"/>
      <c r="F206" s="85"/>
      <c r="G206" s="85"/>
      <c r="H206" s="85"/>
      <c r="I206" s="85"/>
      <c r="J206" s="94"/>
      <c r="K206" s="94"/>
      <c r="L206" s="94"/>
      <c r="M206" s="85"/>
      <c r="N206" s="85"/>
      <c r="O206" s="85"/>
      <c r="P206" s="85"/>
      <c r="Q206" s="85"/>
    </row>
    <row r="207" spans="1:17" ht="18.75">
      <c r="A207" s="1997"/>
      <c r="B207" s="85"/>
      <c r="C207" s="85"/>
      <c r="D207" s="85"/>
      <c r="E207" s="85"/>
      <c r="F207" s="85"/>
      <c r="G207" s="85"/>
      <c r="H207" s="85"/>
      <c r="I207" s="85"/>
      <c r="J207" s="94"/>
      <c r="K207" s="94"/>
      <c r="L207" s="94"/>
      <c r="M207" s="85"/>
      <c r="N207" s="85"/>
      <c r="O207" s="85"/>
      <c r="P207" s="85"/>
      <c r="Q207" s="85"/>
    </row>
    <row r="208" spans="1:17" ht="18.75">
      <c r="A208" s="1997"/>
      <c r="B208" s="85"/>
      <c r="C208" s="85"/>
      <c r="D208" s="85"/>
      <c r="E208" s="85"/>
      <c r="F208" s="85"/>
      <c r="G208" s="85"/>
      <c r="H208" s="85"/>
      <c r="I208" s="85"/>
      <c r="J208" s="94"/>
      <c r="K208" s="94"/>
      <c r="L208" s="94"/>
      <c r="M208" s="85"/>
      <c r="N208" s="85"/>
      <c r="O208" s="85"/>
      <c r="P208" s="85"/>
      <c r="Q208" s="85"/>
    </row>
    <row r="209" spans="1:17" ht="18.75">
      <c r="A209" s="1997"/>
      <c r="B209" s="85"/>
      <c r="C209" s="85"/>
      <c r="D209" s="85"/>
      <c r="E209" s="85"/>
      <c r="F209" s="85"/>
      <c r="G209" s="85"/>
      <c r="H209" s="85"/>
      <c r="I209" s="85"/>
      <c r="J209" s="94"/>
      <c r="K209" s="94"/>
      <c r="L209" s="94"/>
      <c r="M209" s="85"/>
      <c r="N209" s="85"/>
      <c r="O209" s="85"/>
      <c r="P209" s="85"/>
      <c r="Q209" s="85"/>
    </row>
    <row r="210" spans="1:17" ht="18.75">
      <c r="A210" s="1997"/>
      <c r="B210" s="85"/>
      <c r="C210" s="85"/>
      <c r="D210" s="85"/>
      <c r="E210" s="85"/>
      <c r="F210" s="85"/>
      <c r="G210" s="85"/>
      <c r="H210" s="85"/>
      <c r="I210" s="85"/>
      <c r="J210" s="94"/>
      <c r="K210" s="94"/>
      <c r="L210" s="94"/>
      <c r="M210" s="85"/>
      <c r="N210" s="85"/>
      <c r="O210" s="85"/>
      <c r="P210" s="85"/>
      <c r="Q210" s="85"/>
    </row>
    <row r="211" spans="1:17" ht="18.75">
      <c r="A211" s="1997"/>
      <c r="B211" s="85"/>
      <c r="C211" s="85"/>
      <c r="D211" s="85"/>
      <c r="E211" s="85"/>
      <c r="F211" s="85"/>
      <c r="G211" s="85"/>
      <c r="H211" s="85"/>
      <c r="I211" s="85"/>
      <c r="J211" s="94"/>
      <c r="K211" s="94"/>
      <c r="L211" s="94"/>
      <c r="M211" s="85"/>
      <c r="N211" s="85"/>
      <c r="O211" s="85"/>
      <c r="P211" s="85"/>
      <c r="Q211" s="85"/>
    </row>
    <row r="212" spans="1:17" ht="18.75">
      <c r="A212" s="1997"/>
      <c r="B212" s="85"/>
      <c r="C212" s="85"/>
      <c r="D212" s="85"/>
      <c r="E212" s="85"/>
      <c r="F212" s="85"/>
      <c r="G212" s="85"/>
      <c r="H212" s="85"/>
      <c r="I212" s="85"/>
      <c r="J212" s="94"/>
      <c r="K212" s="94"/>
      <c r="L212" s="94"/>
      <c r="M212" s="85"/>
      <c r="N212" s="85"/>
      <c r="O212" s="85"/>
      <c r="P212" s="85"/>
      <c r="Q212" s="85"/>
    </row>
    <row r="213" spans="1:17" ht="18.75">
      <c r="A213" s="1997"/>
      <c r="B213" s="85"/>
      <c r="C213" s="85"/>
      <c r="D213" s="85"/>
      <c r="E213" s="85"/>
      <c r="F213" s="85"/>
      <c r="G213" s="85"/>
      <c r="H213" s="85"/>
      <c r="I213" s="85"/>
      <c r="J213" s="94"/>
      <c r="K213" s="94"/>
      <c r="L213" s="94"/>
      <c r="M213" s="85"/>
      <c r="N213" s="85"/>
      <c r="O213" s="85"/>
      <c r="P213" s="85"/>
      <c r="Q213" s="85"/>
    </row>
    <row r="214" spans="1:17" ht="18.75">
      <c r="A214" s="1997"/>
      <c r="B214" s="85"/>
      <c r="C214" s="85"/>
      <c r="D214" s="85"/>
      <c r="E214" s="85"/>
      <c r="F214" s="85"/>
      <c r="G214" s="85"/>
      <c r="H214" s="85"/>
      <c r="I214" s="85"/>
      <c r="J214" s="94"/>
      <c r="K214" s="94"/>
      <c r="L214" s="94"/>
      <c r="M214" s="85"/>
      <c r="N214" s="85"/>
      <c r="O214" s="85"/>
      <c r="P214" s="85"/>
      <c r="Q214" s="85"/>
    </row>
    <row r="215" spans="1:17" ht="18.75">
      <c r="A215" s="1997"/>
      <c r="B215" s="85"/>
      <c r="C215" s="85"/>
      <c r="D215" s="85"/>
      <c r="E215" s="85"/>
      <c r="F215" s="85"/>
      <c r="G215" s="85"/>
      <c r="H215" s="85"/>
      <c r="I215" s="85"/>
      <c r="J215" s="94"/>
      <c r="K215" s="94"/>
      <c r="L215" s="94"/>
      <c r="M215" s="85"/>
      <c r="N215" s="85"/>
      <c r="O215" s="85"/>
      <c r="P215" s="85"/>
      <c r="Q215" s="85"/>
    </row>
    <row r="216" spans="1:17" ht="18.75">
      <c r="A216" s="1997"/>
      <c r="B216" s="85"/>
      <c r="C216" s="85"/>
      <c r="D216" s="85"/>
      <c r="E216" s="85"/>
      <c r="F216" s="85"/>
      <c r="G216" s="85"/>
      <c r="H216" s="85"/>
      <c r="I216" s="85"/>
      <c r="J216" s="94"/>
      <c r="K216" s="94"/>
      <c r="L216" s="94"/>
      <c r="M216" s="85"/>
      <c r="N216" s="85"/>
      <c r="O216" s="85"/>
      <c r="P216" s="85"/>
      <c r="Q216" s="85"/>
    </row>
    <row r="217" spans="1:17" ht="18.75">
      <c r="A217" s="1997"/>
      <c r="B217" s="85"/>
      <c r="C217" s="85"/>
      <c r="D217" s="85"/>
      <c r="E217" s="85"/>
      <c r="F217" s="85"/>
      <c r="G217" s="85"/>
      <c r="H217" s="85"/>
      <c r="I217" s="85"/>
      <c r="J217" s="94"/>
      <c r="K217" s="94"/>
      <c r="L217" s="94"/>
      <c r="M217" s="85"/>
      <c r="N217" s="85"/>
      <c r="O217" s="85"/>
      <c r="P217" s="85"/>
      <c r="Q217" s="85"/>
    </row>
    <row r="218" spans="1:17" ht="18.75">
      <c r="A218" s="1997"/>
      <c r="B218" s="85"/>
      <c r="C218" s="85"/>
      <c r="D218" s="85"/>
      <c r="E218" s="85"/>
      <c r="F218" s="85"/>
      <c r="G218" s="85"/>
      <c r="H218" s="85"/>
      <c r="I218" s="85"/>
      <c r="J218" s="94"/>
      <c r="K218" s="94"/>
      <c r="L218" s="94"/>
      <c r="M218" s="85"/>
      <c r="N218" s="85"/>
      <c r="O218" s="85"/>
      <c r="P218" s="85"/>
      <c r="Q218" s="85"/>
    </row>
    <row r="219" spans="1:17" ht="18.75">
      <c r="A219" s="1997"/>
      <c r="B219" s="85"/>
      <c r="C219" s="85"/>
      <c r="D219" s="85"/>
      <c r="E219" s="85"/>
      <c r="F219" s="85"/>
      <c r="G219" s="85"/>
      <c r="H219" s="85"/>
      <c r="I219" s="85"/>
      <c r="J219" s="94"/>
      <c r="K219" s="94"/>
      <c r="L219" s="94"/>
      <c r="M219" s="85"/>
      <c r="N219" s="85"/>
      <c r="O219" s="85"/>
      <c r="P219" s="85"/>
      <c r="Q219" s="85"/>
    </row>
    <row r="220" spans="1:17" ht="18.75">
      <c r="A220" s="1997"/>
      <c r="B220" s="85"/>
      <c r="C220" s="85"/>
      <c r="D220" s="85"/>
      <c r="E220" s="85"/>
      <c r="F220" s="85"/>
      <c r="G220" s="85"/>
      <c r="H220" s="85"/>
      <c r="I220" s="85"/>
      <c r="J220" s="94"/>
      <c r="K220" s="94"/>
      <c r="L220" s="94"/>
      <c r="M220" s="85"/>
      <c r="N220" s="85"/>
      <c r="O220" s="85"/>
      <c r="P220" s="85"/>
      <c r="Q220" s="85"/>
    </row>
    <row r="221" spans="1:17" ht="18.75">
      <c r="A221" s="1997"/>
      <c r="B221" s="85"/>
      <c r="C221" s="85"/>
      <c r="D221" s="85"/>
      <c r="E221" s="85"/>
      <c r="F221" s="85"/>
      <c r="G221" s="85"/>
      <c r="H221" s="85"/>
      <c r="I221" s="85"/>
      <c r="J221" s="94"/>
      <c r="K221" s="94"/>
      <c r="L221" s="94"/>
      <c r="M221" s="85"/>
      <c r="N221" s="85"/>
      <c r="O221" s="85"/>
      <c r="P221" s="85"/>
      <c r="Q221" s="85"/>
    </row>
    <row r="222" spans="1:17" ht="18.75">
      <c r="A222" s="1997"/>
      <c r="B222" s="85"/>
      <c r="C222" s="85"/>
      <c r="D222" s="85"/>
      <c r="E222" s="85"/>
      <c r="F222" s="85"/>
      <c r="G222" s="85"/>
      <c r="H222" s="85"/>
      <c r="I222" s="85"/>
      <c r="J222" s="94"/>
      <c r="K222" s="94"/>
      <c r="L222" s="94"/>
      <c r="M222" s="85"/>
      <c r="N222" s="85"/>
      <c r="O222" s="85"/>
      <c r="P222" s="85"/>
      <c r="Q222" s="85"/>
    </row>
    <row r="223" spans="1:17" ht="18.75">
      <c r="A223" s="1997"/>
      <c r="B223" s="85"/>
      <c r="C223" s="85"/>
      <c r="D223" s="85"/>
      <c r="E223" s="85"/>
      <c r="F223" s="85"/>
      <c r="G223" s="85"/>
      <c r="H223" s="85"/>
      <c r="I223" s="85"/>
      <c r="J223" s="94"/>
      <c r="K223" s="94"/>
      <c r="L223" s="94"/>
      <c r="M223" s="85"/>
      <c r="N223" s="85"/>
      <c r="O223" s="85"/>
      <c r="P223" s="85"/>
      <c r="Q223" s="85"/>
    </row>
    <row r="224" spans="1:17" ht="18.75">
      <c r="A224" s="1997"/>
      <c r="B224" s="85"/>
      <c r="C224" s="85"/>
      <c r="D224" s="85"/>
      <c r="E224" s="85"/>
      <c r="F224" s="85"/>
      <c r="G224" s="85"/>
      <c r="H224" s="85"/>
      <c r="I224" s="85"/>
      <c r="J224" s="94"/>
      <c r="K224" s="94"/>
      <c r="L224" s="94"/>
      <c r="M224" s="85"/>
      <c r="N224" s="85"/>
      <c r="O224" s="85"/>
      <c r="P224" s="85"/>
      <c r="Q224" s="85"/>
    </row>
    <row r="225" spans="1:17" ht="18.75">
      <c r="A225" s="1997"/>
      <c r="B225" s="85"/>
      <c r="C225" s="85"/>
      <c r="D225" s="85"/>
      <c r="E225" s="85"/>
      <c r="F225" s="85"/>
      <c r="G225" s="85"/>
      <c r="H225" s="85"/>
      <c r="I225" s="85"/>
      <c r="J225" s="94"/>
      <c r="K225" s="94"/>
      <c r="L225" s="94"/>
      <c r="M225" s="85"/>
      <c r="N225" s="85"/>
      <c r="O225" s="85"/>
      <c r="P225" s="85"/>
      <c r="Q225" s="85"/>
    </row>
    <row r="226" spans="1:17" ht="18.75">
      <c r="A226" s="1997"/>
      <c r="B226" s="85"/>
      <c r="C226" s="85"/>
      <c r="D226" s="85"/>
      <c r="E226" s="85"/>
      <c r="F226" s="85"/>
      <c r="G226" s="85"/>
      <c r="H226" s="85"/>
      <c r="I226" s="85"/>
      <c r="J226" s="94"/>
      <c r="K226" s="94"/>
      <c r="L226" s="94"/>
      <c r="M226" s="85"/>
      <c r="N226" s="85"/>
      <c r="O226" s="85"/>
      <c r="P226" s="85"/>
      <c r="Q226" s="85"/>
    </row>
    <row r="227" spans="1:17" ht="18.75">
      <c r="A227" s="1997"/>
      <c r="B227" s="85"/>
      <c r="C227" s="85"/>
      <c r="D227" s="85"/>
      <c r="E227" s="85"/>
      <c r="F227" s="85"/>
      <c r="G227" s="85"/>
      <c r="H227" s="85"/>
      <c r="I227" s="85"/>
      <c r="J227" s="94"/>
      <c r="K227" s="94"/>
      <c r="L227" s="94"/>
      <c r="M227" s="85"/>
      <c r="N227" s="85"/>
      <c r="O227" s="85"/>
      <c r="P227" s="85"/>
      <c r="Q227" s="85"/>
    </row>
    <row r="228" spans="1:17" ht="18.75">
      <c r="A228" s="1997"/>
      <c r="B228" s="85"/>
      <c r="C228" s="85"/>
      <c r="D228" s="85"/>
      <c r="E228" s="85"/>
      <c r="F228" s="85"/>
      <c r="G228" s="85"/>
      <c r="H228" s="85"/>
      <c r="I228" s="85"/>
      <c r="J228" s="94"/>
      <c r="K228" s="94"/>
      <c r="L228" s="94"/>
      <c r="M228" s="85"/>
      <c r="N228" s="85"/>
      <c r="O228" s="85"/>
      <c r="P228" s="85"/>
      <c r="Q228" s="85"/>
    </row>
    <row r="229" spans="1:17" ht="18.75">
      <c r="A229" s="1997"/>
      <c r="B229" s="85"/>
      <c r="C229" s="85"/>
      <c r="D229" s="85"/>
      <c r="E229" s="85"/>
      <c r="F229" s="85"/>
      <c r="G229" s="85"/>
      <c r="H229" s="85"/>
      <c r="I229" s="85"/>
      <c r="J229" s="94"/>
      <c r="K229" s="94"/>
      <c r="L229" s="94"/>
      <c r="M229" s="85"/>
      <c r="N229" s="85"/>
      <c r="O229" s="85"/>
      <c r="P229" s="85"/>
      <c r="Q229" s="85"/>
    </row>
    <row r="230" spans="1:17" ht="18.75">
      <c r="A230" s="1997"/>
      <c r="B230" s="85"/>
      <c r="C230" s="85"/>
      <c r="D230" s="85"/>
      <c r="E230" s="85"/>
      <c r="F230" s="85"/>
      <c r="G230" s="85"/>
      <c r="H230" s="85"/>
      <c r="I230" s="85"/>
      <c r="J230" s="94"/>
      <c r="K230" s="94"/>
      <c r="L230" s="94"/>
      <c r="M230" s="85"/>
      <c r="N230" s="85"/>
      <c r="O230" s="85"/>
      <c r="P230" s="85"/>
      <c r="Q230" s="85"/>
    </row>
    <row r="231" spans="1:17" ht="18.75">
      <c r="A231" s="1997"/>
      <c r="B231" s="85"/>
      <c r="C231" s="85"/>
      <c r="D231" s="85"/>
      <c r="E231" s="85"/>
      <c r="F231" s="85"/>
      <c r="G231" s="85"/>
      <c r="H231" s="85"/>
      <c r="I231" s="85"/>
      <c r="J231" s="94"/>
      <c r="K231" s="94"/>
      <c r="L231" s="94"/>
      <c r="M231" s="85"/>
      <c r="N231" s="85"/>
      <c r="O231" s="85"/>
      <c r="P231" s="85"/>
      <c r="Q231" s="85"/>
    </row>
    <row r="232" spans="1:17" ht="18.75">
      <c r="A232" s="1997"/>
      <c r="B232" s="85"/>
      <c r="C232" s="85"/>
      <c r="D232" s="85"/>
      <c r="E232" s="85"/>
      <c r="F232" s="85"/>
      <c r="G232" s="85"/>
      <c r="H232" s="85"/>
      <c r="I232" s="85"/>
      <c r="J232" s="94"/>
      <c r="K232" s="94"/>
      <c r="L232" s="94"/>
      <c r="M232" s="85"/>
      <c r="N232" s="85"/>
      <c r="O232" s="85"/>
      <c r="P232" s="85"/>
      <c r="Q232" s="85"/>
    </row>
    <row r="233" spans="1:17" ht="18.75" customHeight="1">
      <c r="A233" s="1997"/>
      <c r="B233" s="85"/>
      <c r="C233" s="2007" t="s">
        <v>4397</v>
      </c>
      <c r="D233" s="2007"/>
      <c r="E233" s="2007"/>
      <c r="F233" s="2007"/>
      <c r="G233" s="2007"/>
      <c r="H233" s="2007"/>
      <c r="I233" s="2007"/>
      <c r="J233" s="2007"/>
      <c r="K233" s="2007"/>
      <c r="L233" s="2007"/>
      <c r="M233" s="2007"/>
      <c r="N233" s="85"/>
      <c r="O233" s="85"/>
      <c r="P233" s="85"/>
      <c r="Q233" s="85"/>
    </row>
    <row r="234" spans="1:17" ht="18.75" customHeight="1">
      <c r="A234" s="1997"/>
      <c r="B234" s="85"/>
      <c r="C234" s="2007"/>
      <c r="D234" s="2007"/>
      <c r="E234" s="2007"/>
      <c r="F234" s="2007"/>
      <c r="G234" s="2007"/>
      <c r="H234" s="2007"/>
      <c r="I234" s="2007"/>
      <c r="J234" s="2007"/>
      <c r="K234" s="2007"/>
      <c r="L234" s="2007"/>
      <c r="M234" s="2007"/>
      <c r="N234" s="85"/>
      <c r="O234" s="85"/>
      <c r="P234" s="85"/>
      <c r="Q234" s="85"/>
    </row>
    <row r="235" spans="1:17" ht="18.75">
      <c r="A235" s="1997"/>
      <c r="B235" s="85"/>
      <c r="C235" s="85"/>
      <c r="D235" s="85"/>
      <c r="E235" s="85"/>
      <c r="F235" s="85"/>
      <c r="G235" s="85"/>
      <c r="H235" s="85"/>
      <c r="I235" s="85"/>
      <c r="J235" s="94"/>
      <c r="K235" s="94"/>
      <c r="L235" s="94"/>
      <c r="M235" s="85"/>
      <c r="N235" s="85"/>
      <c r="O235" s="85"/>
      <c r="P235" s="85"/>
      <c r="Q235" s="85"/>
    </row>
    <row r="236" spans="1:17" ht="18.75" customHeight="1">
      <c r="A236" s="1997"/>
      <c r="B236" s="85"/>
      <c r="C236" s="2006" t="s">
        <v>4834</v>
      </c>
      <c r="D236" s="2006"/>
      <c r="E236" s="2006"/>
      <c r="F236" s="2006"/>
      <c r="G236" s="2006"/>
      <c r="H236" s="2006"/>
      <c r="I236" s="2006"/>
      <c r="J236" s="2006"/>
      <c r="K236" s="2006"/>
      <c r="L236" s="2006"/>
      <c r="M236" s="2006"/>
      <c r="N236" s="85"/>
      <c r="O236" s="85"/>
      <c r="P236" s="85"/>
      <c r="Q236" s="85"/>
    </row>
    <row r="237" spans="1:17" ht="18.75" customHeight="1">
      <c r="A237" s="1997"/>
      <c r="B237" s="85"/>
      <c r="C237" s="2006"/>
      <c r="D237" s="2006"/>
      <c r="E237" s="2006"/>
      <c r="F237" s="2006"/>
      <c r="G237" s="2006"/>
      <c r="H237" s="2006"/>
      <c r="I237" s="2006"/>
      <c r="J237" s="2006"/>
      <c r="K237" s="2006"/>
      <c r="L237" s="2006"/>
      <c r="M237" s="2006"/>
      <c r="N237" s="85"/>
      <c r="O237" s="85"/>
      <c r="P237" s="85"/>
      <c r="Q237" s="85"/>
    </row>
    <row r="238" spans="1:17" ht="18.75">
      <c r="A238" s="1997"/>
      <c r="B238" s="85"/>
      <c r="C238" s="85"/>
      <c r="D238" s="85"/>
      <c r="E238" s="85"/>
      <c r="F238" s="85"/>
      <c r="G238" s="85"/>
      <c r="H238" s="85"/>
      <c r="I238" s="85"/>
      <c r="J238" s="94"/>
      <c r="K238" s="94"/>
      <c r="L238" s="94"/>
      <c r="M238" s="85"/>
      <c r="N238" s="85"/>
      <c r="O238" s="85"/>
      <c r="P238" s="85"/>
      <c r="Q238" s="85"/>
    </row>
    <row r="239" spans="1:17" ht="18.75">
      <c r="A239" s="1997"/>
      <c r="B239" s="85"/>
      <c r="C239" s="85"/>
      <c r="D239" s="85"/>
      <c r="E239" s="85"/>
      <c r="F239" s="85"/>
      <c r="G239" s="85"/>
      <c r="H239" s="85"/>
      <c r="I239" s="85"/>
      <c r="J239" s="94"/>
      <c r="K239" s="94"/>
      <c r="L239" s="94"/>
      <c r="M239" s="85"/>
      <c r="N239" s="85"/>
      <c r="O239" s="85"/>
      <c r="P239" s="85"/>
      <c r="Q239" s="85"/>
    </row>
    <row r="240" spans="1:17" ht="18.75">
      <c r="A240" s="1997"/>
      <c r="B240" s="85"/>
      <c r="C240" s="85"/>
      <c r="D240" s="85"/>
      <c r="E240" s="85"/>
      <c r="F240" s="85"/>
      <c r="G240" s="85"/>
      <c r="H240" s="85"/>
      <c r="I240" s="85"/>
      <c r="J240" s="94"/>
      <c r="K240" s="94"/>
      <c r="L240" s="94"/>
      <c r="M240" s="85"/>
      <c r="N240" s="85"/>
      <c r="O240" s="85"/>
      <c r="P240" s="85"/>
      <c r="Q240" s="85"/>
    </row>
    <row r="241" spans="1:17" ht="18.75">
      <c r="A241" s="1997"/>
      <c r="B241" s="85"/>
      <c r="C241" s="85"/>
      <c r="D241" s="85"/>
      <c r="E241" s="85"/>
      <c r="F241" s="85"/>
      <c r="G241" s="85"/>
      <c r="H241" s="85"/>
      <c r="I241" s="85"/>
      <c r="J241" s="94"/>
      <c r="K241" s="94"/>
      <c r="L241" s="94"/>
      <c r="M241" s="85"/>
      <c r="N241" s="85"/>
      <c r="O241" s="85"/>
      <c r="P241" s="85"/>
      <c r="Q241" s="85"/>
    </row>
    <row r="242" spans="1:17" ht="18.75">
      <c r="A242" s="1997"/>
      <c r="B242" s="85"/>
      <c r="C242" s="85"/>
      <c r="D242" s="85"/>
      <c r="E242" s="85"/>
      <c r="F242" s="85"/>
      <c r="G242" s="85"/>
      <c r="H242" s="85"/>
      <c r="I242" s="85"/>
      <c r="J242" s="94"/>
      <c r="K242" s="94"/>
      <c r="L242" s="94"/>
      <c r="M242" s="85"/>
      <c r="N242" s="85"/>
      <c r="O242" s="85"/>
      <c r="P242" s="85"/>
      <c r="Q242" s="85"/>
    </row>
    <row r="243" spans="1:17" ht="18.75">
      <c r="A243" s="1997"/>
      <c r="B243" s="85"/>
      <c r="C243" s="85"/>
      <c r="D243" s="85"/>
      <c r="E243" s="85"/>
      <c r="F243" s="85"/>
      <c r="G243" s="85"/>
      <c r="H243" s="85"/>
      <c r="I243" s="85"/>
      <c r="J243" s="94"/>
      <c r="K243" s="94"/>
      <c r="L243" s="94"/>
      <c r="M243" s="85"/>
      <c r="N243" s="85"/>
      <c r="O243" s="85"/>
      <c r="P243" s="85"/>
      <c r="Q243" s="85"/>
    </row>
    <row r="244" spans="1:17" ht="18.75">
      <c r="A244" s="1997"/>
      <c r="B244" s="85"/>
      <c r="C244" s="85"/>
      <c r="D244" s="85"/>
      <c r="E244" s="85"/>
      <c r="F244" s="85"/>
      <c r="G244" s="85"/>
      <c r="H244" s="85"/>
      <c r="I244" s="85"/>
      <c r="J244" s="94"/>
      <c r="K244" s="94"/>
      <c r="L244" s="94"/>
      <c r="M244" s="85"/>
      <c r="N244" s="85"/>
      <c r="O244" s="85"/>
      <c r="P244" s="85"/>
      <c r="Q244" s="85"/>
    </row>
    <row r="245" spans="1:17" ht="18.75">
      <c r="A245" s="1997"/>
      <c r="B245" s="85"/>
      <c r="C245" s="85"/>
      <c r="D245" s="85"/>
      <c r="E245" s="85"/>
      <c r="F245" s="85"/>
      <c r="G245" s="85"/>
      <c r="H245" s="85"/>
      <c r="I245" s="85"/>
      <c r="J245" s="94"/>
      <c r="K245" s="94"/>
      <c r="L245" s="94"/>
      <c r="M245" s="85"/>
      <c r="N245" s="85"/>
      <c r="O245" s="85"/>
      <c r="P245" s="85"/>
      <c r="Q245" s="85"/>
    </row>
    <row r="246" spans="1:17" ht="18.75">
      <c r="A246" s="1997"/>
      <c r="B246" s="85"/>
      <c r="C246" s="85"/>
      <c r="D246" s="85"/>
      <c r="E246" s="85"/>
      <c r="F246" s="85"/>
      <c r="G246" s="85"/>
      <c r="H246" s="85"/>
      <c r="I246" s="85"/>
      <c r="J246" s="94"/>
      <c r="K246" s="94"/>
      <c r="L246" s="94"/>
      <c r="M246" s="85"/>
      <c r="N246" s="85"/>
      <c r="O246" s="85"/>
      <c r="P246" s="85"/>
      <c r="Q246" s="85"/>
    </row>
    <row r="247" spans="1:17" ht="18.75">
      <c r="A247" s="1997"/>
      <c r="B247" s="85"/>
      <c r="C247" s="85"/>
      <c r="D247" s="85"/>
      <c r="E247" s="85"/>
      <c r="F247" s="85"/>
      <c r="G247" s="85"/>
      <c r="H247" s="85"/>
      <c r="I247" s="85"/>
      <c r="J247" s="94"/>
      <c r="K247" s="94"/>
      <c r="L247" s="94"/>
      <c r="M247" s="85"/>
      <c r="N247" s="85"/>
      <c r="O247" s="85"/>
      <c r="P247" s="85"/>
      <c r="Q247" s="85"/>
    </row>
    <row r="248" spans="1:17" ht="18.75">
      <c r="A248" s="1997"/>
      <c r="B248" s="85"/>
      <c r="C248" s="85"/>
      <c r="D248" s="85"/>
      <c r="E248" s="85"/>
      <c r="F248" s="85"/>
      <c r="G248" s="85"/>
      <c r="H248" s="85"/>
      <c r="I248" s="85"/>
      <c r="J248" s="94"/>
      <c r="K248" s="94"/>
      <c r="L248" s="94"/>
      <c r="M248" s="85"/>
      <c r="N248" s="85"/>
      <c r="O248" s="85"/>
      <c r="P248" s="85"/>
      <c r="Q248" s="85"/>
    </row>
    <row r="249" spans="1:17" ht="18.75">
      <c r="A249" s="1997"/>
      <c r="B249" s="85"/>
      <c r="C249" s="85"/>
      <c r="D249" s="85"/>
      <c r="E249" s="85"/>
      <c r="F249" s="85"/>
      <c r="G249" s="85"/>
      <c r="H249" s="85"/>
      <c r="I249" s="85"/>
      <c r="J249" s="94"/>
      <c r="K249" s="94"/>
      <c r="L249" s="94"/>
      <c r="M249" s="85"/>
      <c r="N249" s="85"/>
      <c r="O249" s="85"/>
      <c r="P249" s="85"/>
      <c r="Q249" s="85"/>
    </row>
    <row r="250" spans="1:17" ht="18.75">
      <c r="A250" s="1997"/>
      <c r="B250" s="85"/>
      <c r="C250" s="85"/>
      <c r="D250" s="85"/>
      <c r="E250" s="85"/>
      <c r="F250" s="85"/>
      <c r="G250" s="85"/>
      <c r="H250" s="85"/>
      <c r="I250" s="85"/>
      <c r="J250" s="94"/>
      <c r="K250" s="94"/>
      <c r="L250" s="94"/>
      <c r="M250" s="85"/>
      <c r="N250" s="85"/>
      <c r="O250" s="85"/>
      <c r="P250" s="85"/>
      <c r="Q250" s="85"/>
    </row>
    <row r="251" spans="1:17" ht="18.75">
      <c r="A251" s="1997"/>
      <c r="B251" s="85"/>
      <c r="C251" s="85"/>
      <c r="D251" s="85"/>
      <c r="E251" s="85"/>
      <c r="F251" s="85"/>
      <c r="G251" s="85"/>
      <c r="H251" s="85"/>
      <c r="I251" s="85"/>
      <c r="J251" s="94"/>
      <c r="K251" s="94"/>
      <c r="L251" s="94"/>
      <c r="M251" s="85"/>
      <c r="N251" s="85"/>
      <c r="O251" s="85"/>
      <c r="P251" s="85"/>
      <c r="Q251" s="85"/>
    </row>
    <row r="252" spans="1:17" ht="18.75">
      <c r="A252" s="1997"/>
      <c r="B252" s="85"/>
      <c r="C252" s="85"/>
      <c r="D252" s="85"/>
      <c r="E252" s="85"/>
      <c r="F252" s="85"/>
      <c r="G252" s="85"/>
      <c r="H252" s="85"/>
      <c r="I252" s="85"/>
      <c r="J252" s="94"/>
      <c r="K252" s="94"/>
      <c r="L252" s="94"/>
      <c r="M252" s="85"/>
      <c r="N252" s="85"/>
      <c r="O252" s="85"/>
      <c r="P252" s="85"/>
      <c r="Q252" s="85"/>
    </row>
    <row r="253" spans="1:17" ht="18.75">
      <c r="A253" s="1997"/>
      <c r="B253" s="85"/>
      <c r="C253" s="85"/>
      <c r="D253" s="85"/>
      <c r="E253" s="85"/>
      <c r="F253" s="85"/>
      <c r="G253" s="85"/>
      <c r="H253" s="85"/>
      <c r="I253" s="85"/>
      <c r="J253" s="94"/>
      <c r="K253" s="94"/>
      <c r="L253" s="94"/>
      <c r="M253" s="85"/>
      <c r="N253" s="85"/>
      <c r="O253" s="85"/>
      <c r="P253" s="85"/>
      <c r="Q253" s="85"/>
    </row>
    <row r="254" spans="1:17" ht="18.75">
      <c r="A254" s="1997"/>
      <c r="B254" s="85"/>
      <c r="C254" s="85"/>
      <c r="D254" s="85"/>
      <c r="E254" s="85"/>
      <c r="F254" s="85"/>
      <c r="G254" s="85"/>
      <c r="H254" s="85"/>
      <c r="I254" s="85"/>
      <c r="J254" s="94"/>
      <c r="K254" s="94"/>
      <c r="L254" s="94"/>
      <c r="M254" s="85"/>
      <c r="N254" s="85"/>
      <c r="O254" s="85"/>
      <c r="P254" s="85"/>
      <c r="Q254" s="85"/>
    </row>
    <row r="255" spans="1:17" ht="18.75">
      <c r="A255" s="1997"/>
      <c r="B255" s="85"/>
      <c r="C255" s="85"/>
      <c r="D255" s="85"/>
      <c r="E255" s="85"/>
      <c r="F255" s="85"/>
      <c r="G255" s="85"/>
      <c r="H255" s="85"/>
      <c r="I255" s="85"/>
      <c r="J255" s="94"/>
      <c r="K255" s="94"/>
      <c r="L255" s="94"/>
      <c r="M255" s="85"/>
      <c r="N255" s="85"/>
      <c r="O255" s="85"/>
      <c r="P255" s="85"/>
      <c r="Q255" s="85"/>
    </row>
    <row r="256" spans="1:17" ht="18.75">
      <c r="A256" s="1997"/>
      <c r="B256" s="85"/>
      <c r="C256" s="85"/>
      <c r="D256" s="85"/>
      <c r="E256" s="85"/>
      <c r="F256" s="85"/>
      <c r="G256" s="85"/>
      <c r="H256" s="85"/>
      <c r="I256" s="85"/>
      <c r="J256" s="94"/>
      <c r="K256" s="94"/>
      <c r="L256" s="94"/>
      <c r="M256" s="85"/>
      <c r="N256" s="85"/>
      <c r="O256" s="85"/>
      <c r="P256" s="85"/>
      <c r="Q256" s="85"/>
    </row>
    <row r="313"/>
  </sheetData>
  <protectedRanges>
    <protectedRange sqref="E71:K73" name="Range2"/>
    <protectedRange sqref="G30:I30" name="nhap_1"/>
  </protectedRanges>
  <mergeCells count="62">
    <mergeCell ref="C58:M58"/>
    <mergeCell ref="C59:G59"/>
    <mergeCell ref="J59:K59"/>
    <mergeCell ref="J63:K63"/>
    <mergeCell ref="L63:M63"/>
    <mergeCell ref="H77:M77"/>
    <mergeCell ref="J78:L78"/>
    <mergeCell ref="C3:M4"/>
    <mergeCell ref="C5:G5"/>
    <mergeCell ref="I5:M5"/>
    <mergeCell ref="C6:M6"/>
    <mergeCell ref="C47:M47"/>
    <mergeCell ref="C60:M60"/>
    <mergeCell ref="C50:M50"/>
    <mergeCell ref="C53:M53"/>
    <mergeCell ref="C55:M55"/>
    <mergeCell ref="C56:M56"/>
    <mergeCell ref="C51:M51"/>
    <mergeCell ref="C63:F63"/>
    <mergeCell ref="G63:I63"/>
    <mergeCell ref="L62:M62"/>
    <mergeCell ref="C19:M19"/>
    <mergeCell ref="C9:M9"/>
    <mergeCell ref="C12:M12"/>
    <mergeCell ref="C14:M14"/>
    <mergeCell ref="C15:M15"/>
    <mergeCell ref="C17:M17"/>
    <mergeCell ref="C18:G18"/>
    <mergeCell ref="J18:K18"/>
    <mergeCell ref="C10:M10"/>
    <mergeCell ref="C190:M191"/>
    <mergeCell ref="C193:M194"/>
    <mergeCell ref="J20:K20"/>
    <mergeCell ref="J21:K21"/>
    <mergeCell ref="L23:M23"/>
    <mergeCell ref="C24:F24"/>
    <mergeCell ref="G24:I24"/>
    <mergeCell ref="J24:K24"/>
    <mergeCell ref="L24:M24"/>
    <mergeCell ref="J84:L84"/>
    <mergeCell ref="C68:M68"/>
    <mergeCell ref="C69:M69"/>
    <mergeCell ref="G70:I70"/>
    <mergeCell ref="J70:K70"/>
    <mergeCell ref="J79:L79"/>
    <mergeCell ref="H76:M76"/>
    <mergeCell ref="A2:A256"/>
    <mergeCell ref="B1:M1"/>
    <mergeCell ref="C28:M28"/>
    <mergeCell ref="C29:M29"/>
    <mergeCell ref="G30:I30"/>
    <mergeCell ref="J30:K30"/>
    <mergeCell ref="C44:M45"/>
    <mergeCell ref="C46:G46"/>
    <mergeCell ref="I46:M46"/>
    <mergeCell ref="G41:K41"/>
    <mergeCell ref="C236:M237"/>
    <mergeCell ref="C233:M234"/>
    <mergeCell ref="C104:M105"/>
    <mergeCell ref="C107:M108"/>
    <mergeCell ref="C147:M148"/>
    <mergeCell ref="C150:M151"/>
  </mergeCells>
  <phoneticPr fontId="75" type="noConversion"/>
  <printOptions horizontalCentered="1" verticalCentered="1"/>
  <pageMargins left="0.19685039370078741" right="0.11811023622047245" top="0.19685039370078741" bottom="0.19685039370078741" header="0.11811023622047245" footer="0.11811023622047245"/>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tabColor rgb="FFFF0000"/>
  </sheetPr>
  <dimension ref="A1:I33"/>
  <sheetViews>
    <sheetView topLeftCell="B1" zoomScale="115" zoomScaleNormal="115" workbookViewId="0">
      <selection activeCell="L15" sqref="L15"/>
    </sheetView>
  </sheetViews>
  <sheetFormatPr defaultColWidth="10.1640625" defaultRowHeight="16.5"/>
  <cols>
    <col min="1" max="1" width="5.83203125" style="1530" customWidth="1"/>
    <col min="2" max="2" width="29.1640625" style="1529" customWidth="1"/>
    <col min="3" max="3" width="14.6640625" style="1529" customWidth="1"/>
    <col min="4" max="4" width="23.1640625" style="1529" customWidth="1"/>
    <col min="5" max="5" width="21.83203125" style="1529" customWidth="1"/>
    <col min="6" max="6" width="11.6640625" style="1529" customWidth="1"/>
    <col min="7" max="7" width="17.83203125" style="1529" customWidth="1"/>
    <col min="8" max="8" width="18.6640625" style="1529" customWidth="1"/>
    <col min="9" max="9" width="13.5" style="1529" customWidth="1"/>
    <col min="10" max="16384" width="10.1640625" style="1529"/>
  </cols>
  <sheetData>
    <row r="1" spans="1:9">
      <c r="A1" s="1976" t="s">
        <v>6425</v>
      </c>
      <c r="B1" s="1976"/>
      <c r="C1" s="1976"/>
      <c r="D1" s="1976"/>
      <c r="E1" s="1976"/>
      <c r="F1" s="1976"/>
      <c r="G1" s="1976"/>
      <c r="H1" s="1976"/>
    </row>
    <row r="2" spans="1:9">
      <c r="A2" s="1976" t="s">
        <v>6626</v>
      </c>
      <c r="B2" s="1976"/>
      <c r="C2" s="1976"/>
      <c r="D2" s="1976"/>
      <c r="E2" s="1976"/>
      <c r="F2" s="1976"/>
      <c r="G2" s="1976"/>
      <c r="H2" s="1976"/>
    </row>
    <row r="3" spans="1:9" ht="9" customHeight="1">
      <c r="A3" s="1614"/>
      <c r="B3" s="1976"/>
      <c r="C3" s="1976"/>
      <c r="D3" s="1976"/>
      <c r="E3" s="1976"/>
      <c r="F3" s="1976"/>
      <c r="G3" s="1976"/>
      <c r="H3" s="1614"/>
    </row>
    <row r="4" spans="1:9">
      <c r="A4" s="2302" t="s">
        <v>6624</v>
      </c>
      <c r="B4" s="1976"/>
      <c r="C4" s="1976"/>
      <c r="D4" s="1976"/>
      <c r="E4" s="1976"/>
      <c r="F4" s="1976"/>
      <c r="G4" s="1976"/>
      <c r="H4" s="1976"/>
    </row>
    <row r="5" spans="1:9" ht="8.25" customHeight="1">
      <c r="B5" s="1572"/>
    </row>
    <row r="6" spans="1:9" ht="33">
      <c r="A6" s="1544" t="s">
        <v>6342</v>
      </c>
      <c r="B6" s="1544" t="s">
        <v>6426</v>
      </c>
      <c r="C6" s="1544" t="s">
        <v>6427</v>
      </c>
      <c r="D6" s="1553" t="s">
        <v>6428</v>
      </c>
      <c r="E6" s="1553" t="s">
        <v>6512</v>
      </c>
      <c r="F6" s="1553" t="s">
        <v>133</v>
      </c>
      <c r="G6" s="1553" t="s">
        <v>6508</v>
      </c>
      <c r="H6" s="1544" t="s">
        <v>5870</v>
      </c>
    </row>
    <row r="7" spans="1:9" ht="18">
      <c r="A7" s="1544" t="s">
        <v>5284</v>
      </c>
      <c r="B7" s="1539" t="s">
        <v>6464</v>
      </c>
      <c r="C7" s="1539" t="s">
        <v>6465</v>
      </c>
      <c r="D7" s="1552"/>
      <c r="E7" s="1541">
        <f>ROUND(SUM(E8:E8),0)</f>
        <v>26147516</v>
      </c>
      <c r="F7" s="1542">
        <v>0.1</v>
      </c>
      <c r="G7" s="1658">
        <f>ROUND(E7*1.1,0)</f>
        <v>28762268</v>
      </c>
      <c r="H7" s="1544"/>
    </row>
    <row r="8" spans="1:9" ht="18">
      <c r="A8" s="1642">
        <v>1</v>
      </c>
      <c r="B8" s="1641" t="s">
        <v>6466</v>
      </c>
      <c r="C8" s="1539" t="s">
        <v>6465</v>
      </c>
      <c r="D8" s="1553" t="s">
        <v>6625</v>
      </c>
      <c r="E8" s="1548">
        <v>26147516</v>
      </c>
      <c r="F8" s="1640"/>
      <c r="G8" s="1639"/>
      <c r="H8" s="1642"/>
    </row>
    <row r="9" spans="1:9" s="1555" customFormat="1" ht="30" customHeight="1">
      <c r="A9" s="1646" t="s">
        <v>1233</v>
      </c>
      <c r="B9" s="1552" t="s">
        <v>3305</v>
      </c>
      <c r="C9" s="1552" t="s">
        <v>6505</v>
      </c>
      <c r="D9" s="1553" t="s">
        <v>6467</v>
      </c>
      <c r="E9" s="1541">
        <f>ROUND(5%*E7,0)</f>
        <v>1307376</v>
      </c>
      <c r="F9" s="1542">
        <v>0.1</v>
      </c>
      <c r="G9" s="1658">
        <f>ROUND(E9*1.1,0)</f>
        <v>1438114</v>
      </c>
      <c r="H9" s="1647"/>
    </row>
    <row r="10" spans="1:9" s="1555" customFormat="1">
      <c r="A10" s="1646" t="s">
        <v>4085</v>
      </c>
      <c r="B10" s="1552" t="s">
        <v>6437</v>
      </c>
      <c r="C10" s="1552"/>
      <c r="D10" s="1553"/>
      <c r="E10" s="1556">
        <f>SUM(E7,E9)</f>
        <v>27454892</v>
      </c>
      <c r="F10" s="1542"/>
      <c r="G10" s="1658">
        <f>SUM(G7,G9)</f>
        <v>30200382</v>
      </c>
      <c r="H10" s="1647"/>
    </row>
    <row r="11" spans="1:9" s="1555" customFormat="1" ht="17.25">
      <c r="A11" s="2301" t="str">
        <f>[2]!VND(KT!$G$10,"Uni",TRUE,TRUE,FALSE)</f>
        <v>Ba mươi triệu, hai trăm nghìn , ba trăm tám mươi hai đồng.</v>
      </c>
      <c r="B11" s="2301"/>
      <c r="C11" s="2301"/>
      <c r="D11" s="2301"/>
      <c r="E11" s="2301"/>
      <c r="F11" s="2301"/>
      <c r="G11" s="2301"/>
      <c r="H11" s="2301"/>
    </row>
    <row r="12" spans="1:9" ht="17.25">
      <c r="A12" s="1528"/>
      <c r="B12" s="1643"/>
      <c r="C12" s="1555"/>
      <c r="D12" s="1555"/>
      <c r="E12" s="2300" t="s">
        <v>6628</v>
      </c>
      <c r="F12" s="2300"/>
      <c r="G12" s="2300"/>
      <c r="H12" s="2300"/>
      <c r="I12" s="2300"/>
    </row>
    <row r="13" spans="1:9">
      <c r="E13" s="1976" t="s">
        <v>422</v>
      </c>
      <c r="F13" s="1976"/>
      <c r="G13" s="1976"/>
      <c r="H13" s="1976"/>
      <c r="I13" s="1976"/>
    </row>
    <row r="14" spans="1:9" s="1555" customFormat="1">
      <c r="A14" s="1976" t="s">
        <v>6513</v>
      </c>
      <c r="B14" s="1976"/>
      <c r="C14" s="1976"/>
      <c r="D14" s="1976"/>
      <c r="E14" s="1976" t="s">
        <v>5441</v>
      </c>
      <c r="F14" s="1976"/>
      <c r="G14" s="1976"/>
      <c r="H14" s="1976"/>
      <c r="I14" s="1976"/>
    </row>
    <row r="15" spans="1:9" s="1555" customFormat="1">
      <c r="A15" s="1614"/>
      <c r="B15" s="1614"/>
      <c r="C15" s="1614"/>
      <c r="D15" s="1614"/>
      <c r="E15" s="1614"/>
      <c r="F15" s="1614"/>
      <c r="G15" s="1614"/>
      <c r="H15" s="1614"/>
      <c r="I15" s="1614"/>
    </row>
    <row r="16" spans="1:9" s="1555" customFormat="1">
      <c r="A16" s="1614"/>
      <c r="B16" s="1614"/>
      <c r="C16" s="1614"/>
      <c r="D16" s="1614"/>
      <c r="E16" s="1614"/>
      <c r="F16" s="1614"/>
      <c r="G16" s="1614"/>
      <c r="H16" s="1614"/>
      <c r="I16" s="1614"/>
    </row>
    <row r="17" spans="1:9" s="1555" customFormat="1">
      <c r="A17" s="1614"/>
      <c r="B17" s="1614"/>
      <c r="C17" s="1614"/>
      <c r="D17" s="1614"/>
      <c r="E17" s="1614"/>
      <c r="F17" s="1614"/>
      <c r="G17" s="1614"/>
      <c r="H17" s="1614"/>
      <c r="I17" s="1614"/>
    </row>
    <row r="18" spans="1:9" s="1555" customFormat="1">
      <c r="A18" s="1614"/>
      <c r="B18" s="1614"/>
      <c r="C18" s="1614"/>
      <c r="D18" s="1614"/>
      <c r="E18" s="1614"/>
      <c r="F18" s="1614"/>
      <c r="G18" s="1614"/>
      <c r="H18" s="1614"/>
      <c r="I18" s="1614"/>
    </row>
    <row r="19" spans="1:9" s="1555" customFormat="1">
      <c r="A19" s="1614"/>
      <c r="B19" s="1614"/>
      <c r="C19" s="1614"/>
      <c r="D19" s="1614"/>
      <c r="E19" s="1614"/>
      <c r="F19" s="1614"/>
      <c r="G19" s="1614"/>
      <c r="H19" s="1614"/>
      <c r="I19" s="1614"/>
    </row>
    <row r="20" spans="1:9" s="1555" customFormat="1">
      <c r="A20" s="1976" t="s">
        <v>6488</v>
      </c>
      <c r="B20" s="1976"/>
      <c r="C20" s="1976"/>
      <c r="D20" s="1976"/>
      <c r="E20" s="1976" t="s">
        <v>6623</v>
      </c>
      <c r="F20" s="1976"/>
      <c r="G20" s="1976"/>
      <c r="H20" s="1976"/>
      <c r="I20" s="1976"/>
    </row>
    <row r="21" spans="1:9">
      <c r="A21" s="1528"/>
      <c r="B21" s="1555"/>
      <c r="C21" s="1555"/>
      <c r="D21" s="1555"/>
      <c r="E21" s="1555"/>
      <c r="F21" s="1555"/>
      <c r="G21" s="1555"/>
      <c r="H21" s="1555"/>
      <c r="I21" s="1555"/>
    </row>
    <row r="22" spans="1:9" s="1555" customFormat="1">
      <c r="A22" s="1530"/>
      <c r="B22" s="1529"/>
      <c r="C22" s="1529"/>
      <c r="D22" s="1529"/>
      <c r="E22" s="1529"/>
      <c r="F22" s="1529"/>
      <c r="G22" s="1529"/>
      <c r="H22" s="1529"/>
      <c r="I22" s="1529"/>
    </row>
    <row r="23" spans="1:9">
      <c r="A23" s="349"/>
      <c r="B23" s="349"/>
      <c r="C23" s="349"/>
      <c r="D23" s="349"/>
      <c r="E23" s="349"/>
      <c r="F23" s="349"/>
      <c r="G23" s="349"/>
      <c r="H23" s="349"/>
    </row>
    <row r="25" spans="1:9">
      <c r="H25" s="349"/>
    </row>
    <row r="26" spans="1:9">
      <c r="D26" s="1575"/>
    </row>
    <row r="27" spans="1:9">
      <c r="D27" s="1575"/>
    </row>
    <row r="28" spans="1:9">
      <c r="D28" s="1575"/>
    </row>
    <row r="29" spans="1:9">
      <c r="D29" s="1575"/>
    </row>
    <row r="30" spans="1:9">
      <c r="D30" s="1575"/>
    </row>
    <row r="31" spans="1:9">
      <c r="A31" s="1529"/>
      <c r="B31" s="1575"/>
      <c r="D31" s="1575"/>
      <c r="E31" s="1575"/>
      <c r="F31" s="1575"/>
    </row>
    <row r="32" spans="1:9">
      <c r="A32" s="1529"/>
      <c r="B32" s="1575"/>
    </row>
    <row r="33" spans="1:2">
      <c r="A33" s="1529"/>
      <c r="B33" s="1575"/>
    </row>
  </sheetData>
  <mergeCells count="11">
    <mergeCell ref="E12:I12"/>
    <mergeCell ref="A14:D14"/>
    <mergeCell ref="E13:I13"/>
    <mergeCell ref="E14:I14"/>
    <mergeCell ref="A20:D20"/>
    <mergeCell ref="E20:I20"/>
    <mergeCell ref="A1:H1"/>
    <mergeCell ref="A2:H2"/>
    <mergeCell ref="B3:G3"/>
    <mergeCell ref="A11:H11"/>
    <mergeCell ref="A4:H4"/>
  </mergeCells>
  <printOptions horizontalCentered="1"/>
  <pageMargins left="0.97" right="0.35433070866141736" top="0.43" bottom="0.74803149606299213" header="0.31496062992125984" footer="0.31496062992125984"/>
  <pageSetup paperSize="9" scale="9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tabColor rgb="FF0070C0"/>
  </sheetPr>
  <dimension ref="A1:J197"/>
  <sheetViews>
    <sheetView zoomScale="85" zoomScaleNormal="85" workbookViewId="0">
      <selection activeCell="D9" sqref="D9"/>
    </sheetView>
  </sheetViews>
  <sheetFormatPr defaultColWidth="10.1640625" defaultRowHeight="16.5"/>
  <cols>
    <col min="1" max="1" width="5.6640625" style="1530" bestFit="1" customWidth="1"/>
    <col min="2" max="2" width="74.6640625" style="1529" customWidth="1"/>
    <col min="3" max="3" width="6.33203125" style="1529" customWidth="1"/>
    <col min="4" max="4" width="14.6640625" style="1529" customWidth="1"/>
    <col min="5" max="5" width="19.6640625" style="1529" customWidth="1"/>
    <col min="6" max="6" width="19.5" style="1529" customWidth="1"/>
    <col min="7" max="7" width="6.83203125" style="1529" bestFit="1" customWidth="1"/>
    <col min="8" max="8" width="26.33203125" style="1576" customWidth="1"/>
    <col min="9" max="9" width="20.6640625" style="1529" customWidth="1"/>
    <col min="10" max="10" width="19.33203125" style="1529" customWidth="1"/>
    <col min="11" max="16384" width="10.1640625" style="1529"/>
  </cols>
  <sheetData>
    <row r="1" spans="1:10">
      <c r="B1" s="1555"/>
      <c r="C1" s="1555"/>
      <c r="D1" s="1614" t="s">
        <v>6461</v>
      </c>
      <c r="E1" s="1555"/>
      <c r="F1" s="1555"/>
      <c r="G1" s="1555"/>
    </row>
    <row r="2" spans="1:10">
      <c r="B2" s="1555"/>
      <c r="C2" s="1555"/>
      <c r="D2" s="1614" t="s">
        <v>6518</v>
      </c>
      <c r="E2" s="1555"/>
      <c r="F2" s="1555"/>
      <c r="G2" s="1555"/>
    </row>
    <row r="3" spans="1:10" ht="5.25" customHeight="1"/>
    <row r="4" spans="1:10" ht="22.5" customHeight="1">
      <c r="A4" s="2305" t="s">
        <v>6517</v>
      </c>
      <c r="B4" s="2305"/>
      <c r="C4" s="2305"/>
      <c r="D4" s="2305"/>
      <c r="E4" s="2305"/>
      <c r="F4" s="2305"/>
      <c r="G4" s="2305"/>
      <c r="H4" s="2305"/>
      <c r="I4" s="2305"/>
    </row>
    <row r="5" spans="1:10" ht="6.75" customHeight="1">
      <c r="A5" s="1529"/>
    </row>
    <row r="6" spans="1:10" hidden="1">
      <c r="A6" s="1528"/>
    </row>
    <row r="7" spans="1:10" s="1614" customFormat="1" ht="33">
      <c r="A7" s="1544" t="s">
        <v>6342</v>
      </c>
      <c r="B7" s="1544" t="s">
        <v>6426</v>
      </c>
      <c r="C7" s="1544" t="s">
        <v>6438</v>
      </c>
      <c r="D7" s="1553" t="s">
        <v>6511</v>
      </c>
      <c r="E7" s="1544" t="s">
        <v>87</v>
      </c>
      <c r="F7" s="1553" t="s">
        <v>6510</v>
      </c>
      <c r="G7" s="1553" t="s">
        <v>133</v>
      </c>
      <c r="H7" s="1645" t="s">
        <v>6509</v>
      </c>
      <c r="I7" s="1544" t="s">
        <v>5870</v>
      </c>
    </row>
    <row r="8" spans="1:10" ht="19.5">
      <c r="A8" s="1646" t="s">
        <v>5284</v>
      </c>
      <c r="B8" s="1539" t="s">
        <v>6441</v>
      </c>
      <c r="C8" s="2306" t="s">
        <v>6506</v>
      </c>
      <c r="D8" s="2306"/>
      <c r="E8" s="2306"/>
      <c r="F8" s="1654">
        <f>SUM(F9:F13)</f>
        <v>1408553440</v>
      </c>
      <c r="G8" s="1648" t="s">
        <v>5279</v>
      </c>
      <c r="H8" s="1655">
        <f>ROUND(F8*1.1,0)</f>
        <v>1549408784</v>
      </c>
      <c r="I8" s="1651"/>
    </row>
    <row r="9" spans="1:10">
      <c r="A9" s="1642"/>
      <c r="B9" s="1650" t="s">
        <v>6413</v>
      </c>
      <c r="C9" s="1649" t="s">
        <v>639</v>
      </c>
      <c r="D9" s="1652">
        <v>765</v>
      </c>
      <c r="E9" s="1652">
        <v>54700</v>
      </c>
      <c r="F9" s="1652">
        <f t="shared" ref="F9:F13" si="0">E9*D9</f>
        <v>41845500</v>
      </c>
      <c r="G9" s="1659"/>
      <c r="H9" s="1660"/>
      <c r="I9" s="1651"/>
    </row>
    <row r="10" spans="1:10">
      <c r="A10" s="1642"/>
      <c r="B10" s="1650" t="s">
        <v>6492</v>
      </c>
      <c r="C10" s="1649" t="s">
        <v>639</v>
      </c>
      <c r="D10" s="1652">
        <v>7957</v>
      </c>
      <c r="E10" s="1652">
        <v>97700</v>
      </c>
      <c r="F10" s="1652">
        <f t="shared" si="0"/>
        <v>777398900</v>
      </c>
      <c r="G10" s="1659"/>
      <c r="H10" s="1660"/>
      <c r="I10" s="1651"/>
    </row>
    <row r="11" spans="1:10">
      <c r="A11" s="1642"/>
      <c r="B11" s="1650" t="s">
        <v>6516</v>
      </c>
      <c r="C11" s="1649" t="s">
        <v>639</v>
      </c>
      <c r="D11" s="1652">
        <v>2647</v>
      </c>
      <c r="E11" s="1652">
        <v>162000</v>
      </c>
      <c r="F11" s="1652">
        <f t="shared" si="0"/>
        <v>428814000</v>
      </c>
      <c r="G11" s="1659"/>
      <c r="H11" s="1660"/>
      <c r="I11" s="1651"/>
    </row>
    <row r="12" spans="1:10">
      <c r="A12" s="1642"/>
      <c r="B12" s="1650" t="s">
        <v>6515</v>
      </c>
      <c r="C12" s="1649" t="s">
        <v>639</v>
      </c>
      <c r="D12" s="1652">
        <v>2464</v>
      </c>
      <c r="E12" s="1652">
        <v>43910</v>
      </c>
      <c r="F12" s="1652">
        <f t="shared" si="0"/>
        <v>108194240</v>
      </c>
      <c r="G12" s="1659"/>
      <c r="H12" s="1660"/>
      <c r="I12" s="1651"/>
    </row>
    <row r="13" spans="1:10">
      <c r="A13" s="1642"/>
      <c r="B13" s="1650" t="s">
        <v>6416</v>
      </c>
      <c r="C13" s="1649" t="s">
        <v>2660</v>
      </c>
      <c r="D13" s="1652">
        <v>681</v>
      </c>
      <c r="E13" s="1652">
        <v>76800</v>
      </c>
      <c r="F13" s="1652">
        <f t="shared" si="0"/>
        <v>52300800</v>
      </c>
      <c r="G13" s="1659"/>
      <c r="H13" s="1660"/>
      <c r="I13" s="1651"/>
    </row>
    <row r="14" spans="1:10" ht="19.5">
      <c r="A14" s="1646" t="s">
        <v>1233</v>
      </c>
      <c r="B14" s="1539" t="s">
        <v>3305</v>
      </c>
      <c r="C14" s="2306" t="s">
        <v>6507</v>
      </c>
      <c r="D14" s="2306"/>
      <c r="E14" s="2306"/>
      <c r="F14" s="1654">
        <f>ROUND(5%*F8,0)</f>
        <v>70427672</v>
      </c>
      <c r="G14" s="1648" t="s">
        <v>5279</v>
      </c>
      <c r="H14" s="1655">
        <f>ROUND(F14*1.1,0)</f>
        <v>77470439</v>
      </c>
      <c r="I14" s="1651"/>
    </row>
    <row r="15" spans="1:10">
      <c r="A15" s="1646" t="s">
        <v>4085</v>
      </c>
      <c r="B15" s="1653" t="s">
        <v>6437</v>
      </c>
      <c r="C15" s="1656"/>
      <c r="D15" s="1656"/>
      <c r="E15" s="1657"/>
      <c r="F15" s="1654">
        <f>SUM(F8,F14)</f>
        <v>1478981112</v>
      </c>
      <c r="G15" s="1648"/>
      <c r="H15" s="1655">
        <f>SUM(H8,H14)</f>
        <v>1626879223</v>
      </c>
      <c r="I15" s="1651"/>
      <c r="J15" s="1624">
        <f>H15</f>
        <v>1626879223</v>
      </c>
    </row>
    <row r="16" spans="1:10" ht="17.25">
      <c r="A16" s="2300" t="s">
        <v>6622</v>
      </c>
      <c r="B16" s="2300"/>
      <c r="C16" s="2300"/>
      <c r="D16" s="2300"/>
      <c r="E16" s="2300"/>
      <c r="F16" s="2300"/>
      <c r="G16" s="2300"/>
      <c r="H16" s="2300"/>
    </row>
    <row r="17" spans="1:9">
      <c r="B17" s="1557"/>
      <c r="H17" s="1529"/>
    </row>
    <row r="18" spans="1:9" ht="17.25">
      <c r="B18" s="1557"/>
      <c r="E18" s="2300" t="s">
        <v>6514</v>
      </c>
      <c r="F18" s="2300"/>
      <c r="G18" s="2300"/>
      <c r="H18" s="2300"/>
      <c r="I18" s="2300"/>
    </row>
    <row r="19" spans="1:9">
      <c r="E19" s="1976" t="s">
        <v>422</v>
      </c>
      <c r="F19" s="1976"/>
      <c r="G19" s="1976"/>
      <c r="H19" s="1976"/>
      <c r="I19" s="1976"/>
    </row>
    <row r="20" spans="1:9">
      <c r="A20" s="1976" t="s">
        <v>6513</v>
      </c>
      <c r="B20" s="1976"/>
      <c r="C20" s="1976"/>
      <c r="D20" s="1976"/>
      <c r="E20" s="1976" t="s">
        <v>5941</v>
      </c>
      <c r="F20" s="1976"/>
      <c r="G20" s="1976"/>
      <c r="H20" s="1976"/>
      <c r="I20" s="1976"/>
    </row>
    <row r="21" spans="1:9">
      <c r="A21" s="1614"/>
      <c r="B21" s="1614"/>
      <c r="C21" s="1614"/>
      <c r="D21" s="1614"/>
      <c r="E21" s="1614"/>
      <c r="F21" s="1614"/>
      <c r="G21" s="1614"/>
      <c r="H21" s="1614"/>
      <c r="I21" s="1614"/>
    </row>
    <row r="22" spans="1:9">
      <c r="A22" s="1614"/>
      <c r="B22" s="1614"/>
      <c r="C22" s="1614"/>
      <c r="D22" s="1614"/>
      <c r="E22" s="1614"/>
      <c r="F22" s="1614"/>
      <c r="G22" s="1614"/>
      <c r="H22" s="1614"/>
      <c r="I22" s="1614"/>
    </row>
    <row r="23" spans="1:9">
      <c r="A23" s="1614"/>
      <c r="B23" s="1614"/>
      <c r="C23" s="1614"/>
      <c r="D23" s="1614"/>
      <c r="E23" s="1614"/>
      <c r="F23" s="1614"/>
      <c r="G23" s="1614"/>
      <c r="H23" s="1614"/>
      <c r="I23" s="1614"/>
    </row>
    <row r="24" spans="1:9">
      <c r="A24" s="1614"/>
      <c r="B24" s="1614"/>
      <c r="C24" s="1614"/>
      <c r="D24" s="1614"/>
      <c r="E24" s="1614"/>
      <c r="F24" s="1614"/>
      <c r="G24" s="1614"/>
      <c r="H24" s="1614"/>
      <c r="I24" s="1614"/>
    </row>
    <row r="25" spans="1:9">
      <c r="A25" s="1614"/>
      <c r="B25" s="1614"/>
      <c r="C25" s="1614"/>
      <c r="D25" s="1614"/>
      <c r="E25" s="1614"/>
      <c r="F25" s="1614"/>
      <c r="G25" s="1614"/>
      <c r="H25" s="1614"/>
      <c r="I25" s="1614"/>
    </row>
    <row r="26" spans="1:9">
      <c r="A26" s="1976" t="s">
        <v>6488</v>
      </c>
      <c r="B26" s="1976"/>
      <c r="C26" s="1976"/>
      <c r="D26" s="1976"/>
      <c r="E26" s="1976" t="s">
        <v>502</v>
      </c>
      <c r="F26" s="1976"/>
      <c r="G26" s="1976"/>
      <c r="H26" s="1976"/>
      <c r="I26" s="1976"/>
    </row>
    <row r="27" spans="1:9">
      <c r="E27" s="1555"/>
      <c r="F27" s="1555"/>
      <c r="G27" s="1555"/>
      <c r="H27" s="1555"/>
      <c r="I27" s="1555"/>
    </row>
    <row r="28" spans="1:9">
      <c r="H28" s="1529"/>
    </row>
    <row r="29" spans="1:9">
      <c r="A29" s="349"/>
      <c r="B29" s="349"/>
      <c r="C29" s="349"/>
      <c r="D29" s="349"/>
      <c r="E29" s="349"/>
      <c r="F29" s="349"/>
      <c r="G29" s="349"/>
      <c r="H29" s="349"/>
    </row>
    <row r="30" spans="1:9">
      <c r="A30" s="349"/>
      <c r="B30" s="349"/>
      <c r="C30" s="349"/>
      <c r="D30" s="349"/>
      <c r="E30" s="349"/>
      <c r="F30" s="349"/>
      <c r="G30" s="349"/>
      <c r="H30" s="349"/>
    </row>
    <row r="31" spans="1:9">
      <c r="A31" s="349"/>
      <c r="B31" s="349"/>
      <c r="C31" s="349"/>
      <c r="D31" s="349"/>
      <c r="E31" s="349"/>
      <c r="F31" s="1644">
        <f>F8+VTTB!F8</f>
        <v>1408553440</v>
      </c>
      <c r="G31" s="349"/>
      <c r="H31" s="349"/>
    </row>
    <row r="32" spans="1:9">
      <c r="A32" s="349"/>
      <c r="B32" s="349"/>
      <c r="C32" s="349"/>
      <c r="D32" s="349"/>
      <c r="E32" s="349"/>
      <c r="F32" s="349"/>
      <c r="G32" s="349"/>
      <c r="H32" s="349"/>
    </row>
    <row r="33" spans="1:9">
      <c r="A33" s="349"/>
      <c r="B33" s="349"/>
      <c r="C33" s="349"/>
      <c r="D33" s="349"/>
      <c r="E33" s="349"/>
      <c r="F33" s="349"/>
      <c r="G33" s="349"/>
      <c r="H33" s="349"/>
    </row>
    <row r="34" spans="1:9">
      <c r="A34" s="349"/>
      <c r="B34" s="349"/>
      <c r="C34" s="349"/>
      <c r="D34" s="349"/>
      <c r="E34" s="349"/>
      <c r="F34" s="349"/>
      <c r="G34" s="349"/>
      <c r="H34" s="349"/>
    </row>
    <row r="35" spans="1:9">
      <c r="A35" s="349"/>
      <c r="B35" s="349"/>
      <c r="C35" s="349"/>
      <c r="D35" s="349"/>
      <c r="E35" s="349"/>
      <c r="F35" s="349"/>
      <c r="G35" s="349"/>
      <c r="H35" s="349"/>
    </row>
    <row r="36" spans="1:9">
      <c r="A36" s="349"/>
      <c r="B36" s="349"/>
      <c r="C36" s="349"/>
      <c r="D36" s="349"/>
      <c r="E36" s="349"/>
      <c r="F36" s="349"/>
      <c r="G36" s="349"/>
      <c r="H36" s="349"/>
    </row>
    <row r="37" spans="1:9">
      <c r="A37" s="349"/>
      <c r="B37" s="349"/>
      <c r="C37" s="349"/>
      <c r="D37" s="349"/>
      <c r="E37" s="349"/>
      <c r="F37" s="349"/>
      <c r="G37" s="349"/>
      <c r="H37" s="349"/>
    </row>
    <row r="38" spans="1:9">
      <c r="A38" s="349"/>
      <c r="B38" s="349"/>
      <c r="C38" s="349"/>
      <c r="D38" s="349"/>
      <c r="E38" s="349"/>
      <c r="F38" s="349"/>
      <c r="G38" s="349"/>
      <c r="H38" s="349"/>
    </row>
    <row r="39" spans="1:9">
      <c r="A39" s="349"/>
      <c r="B39" s="349"/>
      <c r="C39" s="349"/>
      <c r="D39" s="349"/>
      <c r="E39" s="349"/>
      <c r="F39" s="349"/>
      <c r="G39" s="349"/>
      <c r="H39" s="349"/>
    </row>
    <row r="40" spans="1:9">
      <c r="A40" s="349"/>
      <c r="B40" s="349"/>
      <c r="C40" s="349"/>
      <c r="D40" s="349"/>
      <c r="E40" s="349"/>
      <c r="F40" s="349"/>
      <c r="G40" s="349"/>
      <c r="H40" s="349"/>
    </row>
    <row r="41" spans="1:9">
      <c r="A41" s="349"/>
      <c r="B41" s="349"/>
      <c r="C41" s="349"/>
      <c r="D41" s="349"/>
      <c r="E41" s="349"/>
      <c r="F41" s="349"/>
      <c r="G41" s="349"/>
      <c r="H41" s="349"/>
    </row>
    <row r="42" spans="1:9">
      <c r="A42" s="349"/>
      <c r="B42" s="349"/>
      <c r="C42" s="349"/>
      <c r="D42" s="349"/>
      <c r="E42" s="349"/>
      <c r="F42" s="349"/>
      <c r="G42" s="349"/>
      <c r="H42" s="349"/>
    </row>
    <row r="43" spans="1:9">
      <c r="A43" s="1638"/>
      <c r="B43" s="349"/>
      <c r="C43" s="349"/>
      <c r="D43" s="349"/>
      <c r="E43" s="349"/>
      <c r="F43" s="349"/>
      <c r="G43" s="349"/>
      <c r="H43" s="349"/>
      <c r="I43" s="349"/>
    </row>
    <row r="44" spans="1:9">
      <c r="A44" s="1638"/>
      <c r="B44" s="349"/>
      <c r="C44" s="349"/>
      <c r="D44" s="349"/>
      <c r="E44" s="349"/>
      <c r="F44" s="349"/>
      <c r="G44" s="349"/>
      <c r="H44" s="349"/>
      <c r="I44" s="349"/>
    </row>
    <row r="45" spans="1:9">
      <c r="A45" s="1638"/>
      <c r="B45" s="349"/>
      <c r="C45" s="349"/>
      <c r="D45" s="349"/>
      <c r="E45" s="349"/>
      <c r="F45" s="349"/>
      <c r="G45" s="349"/>
      <c r="H45" s="349"/>
      <c r="I45" s="349"/>
    </row>
    <row r="46" spans="1:9">
      <c r="A46" s="1638"/>
      <c r="B46" s="349"/>
      <c r="C46" s="349"/>
      <c r="D46" s="349"/>
      <c r="E46" s="349"/>
      <c r="F46" s="349"/>
      <c r="G46" s="349"/>
      <c r="H46" s="349"/>
      <c r="I46" s="349"/>
    </row>
    <row r="47" spans="1:9">
      <c r="A47" s="1638"/>
      <c r="B47" s="349"/>
      <c r="C47" s="349"/>
      <c r="D47" s="349"/>
      <c r="E47" s="349"/>
      <c r="F47" s="349"/>
      <c r="G47" s="349"/>
      <c r="H47" s="349"/>
      <c r="I47" s="349"/>
    </row>
    <row r="48" spans="1:9">
      <c r="A48" s="1638"/>
      <c r="B48" s="349"/>
      <c r="C48" s="349"/>
      <c r="D48" s="349"/>
      <c r="E48" s="349"/>
      <c r="F48" s="349"/>
      <c r="G48" s="349"/>
      <c r="H48" s="349"/>
      <c r="I48" s="349"/>
    </row>
    <row r="49" spans="1:9">
      <c r="A49" s="1638"/>
      <c r="B49" s="349"/>
      <c r="C49" s="349"/>
      <c r="D49" s="349"/>
      <c r="E49" s="349"/>
      <c r="F49" s="349"/>
      <c r="G49" s="349"/>
      <c r="H49" s="349"/>
      <c r="I49" s="349"/>
    </row>
    <row r="50" spans="1:9">
      <c r="A50" s="1638"/>
      <c r="B50" s="349"/>
      <c r="C50" s="349"/>
      <c r="D50" s="349"/>
      <c r="E50" s="349"/>
      <c r="F50" s="349"/>
      <c r="G50" s="349"/>
      <c r="H50" s="349"/>
      <c r="I50" s="349"/>
    </row>
    <row r="51" spans="1:9">
      <c r="A51" s="1638"/>
      <c r="B51" s="349"/>
      <c r="C51" s="349"/>
      <c r="D51" s="349"/>
      <c r="E51" s="349"/>
      <c r="F51" s="349"/>
      <c r="G51" s="349"/>
      <c r="H51" s="349"/>
      <c r="I51" s="349"/>
    </row>
    <row r="52" spans="1:9">
      <c r="A52" s="1638"/>
      <c r="B52" s="349"/>
      <c r="C52" s="349"/>
      <c r="D52" s="349"/>
      <c r="E52" s="349"/>
      <c r="F52" s="349"/>
      <c r="G52" s="349"/>
      <c r="H52" s="349"/>
      <c r="I52" s="349"/>
    </row>
    <row r="53" spans="1:9">
      <c r="A53" s="1638"/>
      <c r="B53" s="349"/>
      <c r="C53" s="349"/>
      <c r="D53" s="349"/>
      <c r="E53" s="349"/>
      <c r="F53" s="349"/>
      <c r="G53" s="349"/>
      <c r="H53" s="349"/>
      <c r="I53" s="349"/>
    </row>
    <row r="54" spans="1:9">
      <c r="A54" s="1638"/>
      <c r="B54" s="349"/>
      <c r="C54" s="349"/>
      <c r="D54" s="349"/>
      <c r="E54" s="349"/>
      <c r="F54" s="349"/>
      <c r="G54" s="349"/>
      <c r="H54" s="349"/>
      <c r="I54" s="349"/>
    </row>
    <row r="55" spans="1:9">
      <c r="A55" s="1638"/>
      <c r="B55" s="349"/>
      <c r="C55" s="349"/>
      <c r="D55" s="349"/>
      <c r="E55" s="349"/>
      <c r="F55" s="349"/>
      <c r="G55" s="349"/>
      <c r="H55" s="349"/>
      <c r="I55" s="349"/>
    </row>
    <row r="56" spans="1:9">
      <c r="A56" s="1638"/>
      <c r="B56" s="349"/>
      <c r="C56" s="349"/>
      <c r="D56" s="349"/>
      <c r="E56" s="349"/>
      <c r="F56" s="349"/>
      <c r="G56" s="349"/>
      <c r="H56" s="349"/>
      <c r="I56" s="349"/>
    </row>
    <row r="57" spans="1:9">
      <c r="A57" s="1638"/>
      <c r="B57" s="349"/>
      <c r="C57" s="349"/>
      <c r="D57" s="349"/>
      <c r="E57" s="349"/>
      <c r="F57" s="349"/>
      <c r="G57" s="349"/>
      <c r="H57" s="349"/>
      <c r="I57" s="349"/>
    </row>
    <row r="58" spans="1:9">
      <c r="A58" s="1638"/>
      <c r="B58" s="349"/>
      <c r="C58" s="349"/>
      <c r="D58" s="349"/>
      <c r="E58" s="349"/>
      <c r="F58" s="349"/>
      <c r="G58" s="349"/>
      <c r="H58" s="349"/>
      <c r="I58" s="349"/>
    </row>
    <row r="59" spans="1:9">
      <c r="A59" s="1638"/>
      <c r="B59" s="349"/>
      <c r="C59" s="349"/>
      <c r="D59" s="349"/>
      <c r="E59" s="349"/>
      <c r="F59" s="349"/>
      <c r="G59" s="349"/>
      <c r="H59" s="349"/>
      <c r="I59" s="349"/>
    </row>
    <row r="60" spans="1:9">
      <c r="A60" s="1638"/>
      <c r="B60" s="349"/>
      <c r="C60" s="349"/>
      <c r="D60" s="349"/>
      <c r="E60" s="349"/>
      <c r="F60" s="349"/>
      <c r="G60" s="349"/>
      <c r="H60" s="349"/>
      <c r="I60" s="349"/>
    </row>
    <row r="61" spans="1:9">
      <c r="A61" s="1638"/>
      <c r="B61" s="349"/>
      <c r="C61" s="349"/>
      <c r="D61" s="349"/>
      <c r="E61" s="349"/>
      <c r="F61" s="349"/>
      <c r="G61" s="349"/>
      <c r="H61" s="349"/>
      <c r="I61" s="349"/>
    </row>
    <row r="62" spans="1:9">
      <c r="A62" s="1638"/>
      <c r="B62" s="349"/>
      <c r="C62" s="349"/>
      <c r="D62" s="349"/>
      <c r="E62" s="349"/>
      <c r="F62" s="349"/>
      <c r="G62" s="349"/>
      <c r="H62" s="349"/>
      <c r="I62" s="349"/>
    </row>
    <row r="63" spans="1:9">
      <c r="A63" s="1638"/>
      <c r="B63" s="349"/>
      <c r="C63" s="349"/>
      <c r="D63" s="349"/>
      <c r="E63" s="349"/>
      <c r="F63" s="349"/>
      <c r="G63" s="349"/>
      <c r="H63" s="349"/>
      <c r="I63" s="349"/>
    </row>
    <row r="64" spans="1:9">
      <c r="A64" s="1638"/>
      <c r="B64" s="349"/>
      <c r="C64" s="349"/>
      <c r="D64" s="349"/>
      <c r="E64" s="349"/>
      <c r="F64" s="349"/>
      <c r="G64" s="349"/>
      <c r="H64" s="349"/>
      <c r="I64" s="349"/>
    </row>
    <row r="65" spans="1:9">
      <c r="A65" s="1638"/>
      <c r="B65" s="349"/>
      <c r="C65" s="349"/>
      <c r="D65" s="349"/>
      <c r="E65" s="349"/>
      <c r="F65" s="349"/>
      <c r="G65" s="349"/>
      <c r="H65" s="349"/>
      <c r="I65" s="349"/>
    </row>
    <row r="66" spans="1:9">
      <c r="A66" s="1638"/>
      <c r="B66" s="349"/>
      <c r="C66" s="349"/>
      <c r="D66" s="349"/>
      <c r="E66" s="349"/>
      <c r="F66" s="349"/>
      <c r="G66" s="349"/>
      <c r="H66" s="349"/>
      <c r="I66" s="349"/>
    </row>
    <row r="67" spans="1:9">
      <c r="A67" s="1638"/>
      <c r="B67" s="349"/>
      <c r="C67" s="349"/>
      <c r="D67" s="349"/>
      <c r="E67" s="349"/>
      <c r="F67" s="349"/>
      <c r="G67" s="349"/>
      <c r="H67" s="349"/>
      <c r="I67" s="349"/>
    </row>
    <row r="68" spans="1:9">
      <c r="A68" s="1638"/>
      <c r="B68" s="349"/>
      <c r="C68" s="349"/>
      <c r="D68" s="349"/>
      <c r="E68" s="349"/>
      <c r="F68" s="349"/>
      <c r="G68" s="349"/>
      <c r="H68" s="349"/>
      <c r="I68" s="349"/>
    </row>
    <row r="69" spans="1:9">
      <c r="A69" s="1638"/>
      <c r="B69" s="349"/>
      <c r="C69" s="349"/>
      <c r="D69" s="349"/>
      <c r="E69" s="349"/>
      <c r="F69" s="349"/>
      <c r="G69" s="349"/>
      <c r="H69" s="349"/>
      <c r="I69" s="349"/>
    </row>
    <row r="70" spans="1:9">
      <c r="A70" s="1638"/>
      <c r="B70" s="349"/>
      <c r="C70" s="349"/>
      <c r="D70" s="349"/>
      <c r="E70" s="349"/>
      <c r="F70" s="349"/>
      <c r="G70" s="349"/>
      <c r="H70" s="349"/>
      <c r="I70" s="349"/>
    </row>
    <row r="71" spans="1:9">
      <c r="A71" s="1638"/>
      <c r="B71" s="349"/>
      <c r="C71" s="349"/>
      <c r="D71" s="349"/>
      <c r="E71" s="349"/>
      <c r="F71" s="349"/>
      <c r="G71" s="349"/>
      <c r="H71" s="349"/>
      <c r="I71" s="349"/>
    </row>
    <row r="72" spans="1:9">
      <c r="A72" s="1638"/>
      <c r="B72" s="349"/>
      <c r="C72" s="349"/>
      <c r="D72" s="349"/>
      <c r="E72" s="349"/>
      <c r="F72" s="349"/>
      <c r="G72" s="349"/>
      <c r="H72" s="349"/>
      <c r="I72" s="349"/>
    </row>
    <row r="73" spans="1:9">
      <c r="A73" s="1638"/>
      <c r="B73" s="349"/>
      <c r="C73" s="349"/>
      <c r="D73" s="349"/>
      <c r="E73" s="349"/>
      <c r="F73" s="349"/>
      <c r="G73" s="349"/>
      <c r="H73" s="349"/>
      <c r="I73" s="349"/>
    </row>
    <row r="74" spans="1:9">
      <c r="A74" s="1638"/>
      <c r="B74" s="349"/>
      <c r="C74" s="349"/>
      <c r="D74" s="349"/>
      <c r="E74" s="349"/>
      <c r="F74" s="349"/>
      <c r="G74" s="349"/>
      <c r="H74" s="349"/>
      <c r="I74" s="349"/>
    </row>
    <row r="75" spans="1:9">
      <c r="A75" s="1638"/>
      <c r="B75" s="349"/>
      <c r="C75" s="349"/>
      <c r="D75" s="349"/>
      <c r="E75" s="349"/>
      <c r="F75" s="349"/>
      <c r="G75" s="349"/>
      <c r="H75" s="349"/>
      <c r="I75" s="349"/>
    </row>
    <row r="76" spans="1:9">
      <c r="A76" s="1638"/>
      <c r="B76" s="349"/>
      <c r="C76" s="349"/>
      <c r="D76" s="349"/>
      <c r="E76" s="349"/>
      <c r="F76" s="349"/>
      <c r="G76" s="349"/>
      <c r="H76" s="349"/>
      <c r="I76" s="349"/>
    </row>
    <row r="77" spans="1:9">
      <c r="A77" s="1638"/>
      <c r="B77" s="349"/>
      <c r="C77" s="349"/>
      <c r="D77" s="349"/>
      <c r="E77" s="349"/>
      <c r="F77" s="349"/>
      <c r="G77" s="349"/>
      <c r="H77" s="349"/>
      <c r="I77" s="349"/>
    </row>
    <row r="78" spans="1:9">
      <c r="A78" s="1638"/>
      <c r="B78" s="349"/>
      <c r="C78" s="349"/>
      <c r="D78" s="349"/>
      <c r="E78" s="349"/>
      <c r="F78" s="349"/>
      <c r="G78" s="349"/>
      <c r="H78" s="349"/>
      <c r="I78" s="349"/>
    </row>
    <row r="79" spans="1:9">
      <c r="A79" s="1638"/>
      <c r="B79" s="349"/>
      <c r="C79" s="349"/>
      <c r="D79" s="349"/>
      <c r="E79" s="349"/>
      <c r="F79" s="349"/>
      <c r="G79" s="349"/>
      <c r="H79" s="349"/>
      <c r="I79" s="349"/>
    </row>
    <row r="80" spans="1:9">
      <c r="A80" s="1638"/>
      <c r="B80" s="349"/>
      <c r="C80" s="349"/>
      <c r="D80" s="349"/>
      <c r="E80" s="349"/>
      <c r="F80" s="349"/>
      <c r="G80" s="349"/>
      <c r="H80" s="349"/>
      <c r="I80" s="349"/>
    </row>
    <row r="81" spans="1:9">
      <c r="A81" s="1638"/>
      <c r="B81" s="349"/>
      <c r="C81" s="349"/>
      <c r="D81" s="349"/>
      <c r="E81" s="349"/>
      <c r="F81" s="349"/>
      <c r="G81" s="349"/>
      <c r="H81" s="349"/>
      <c r="I81" s="349"/>
    </row>
    <row r="82" spans="1:9">
      <c r="A82" s="1638"/>
      <c r="B82" s="349"/>
      <c r="C82" s="349"/>
      <c r="D82" s="349"/>
      <c r="E82" s="349"/>
      <c r="F82" s="349"/>
      <c r="G82" s="349"/>
      <c r="H82" s="349"/>
      <c r="I82" s="349"/>
    </row>
    <row r="83" spans="1:9">
      <c r="A83" s="1638"/>
      <c r="B83" s="349"/>
      <c r="C83" s="349"/>
      <c r="D83" s="349"/>
      <c r="E83" s="349"/>
      <c r="F83" s="349"/>
      <c r="G83" s="349"/>
      <c r="H83" s="349"/>
      <c r="I83" s="349"/>
    </row>
    <row r="84" spans="1:9">
      <c r="A84" s="1638"/>
      <c r="B84" s="349"/>
      <c r="C84" s="349"/>
      <c r="D84" s="349"/>
      <c r="E84" s="349"/>
      <c r="F84" s="349"/>
      <c r="G84" s="349"/>
      <c r="H84" s="349"/>
      <c r="I84" s="349"/>
    </row>
    <row r="85" spans="1:9">
      <c r="A85" s="1638"/>
      <c r="B85" s="349"/>
      <c r="C85" s="349"/>
      <c r="D85" s="349"/>
      <c r="E85" s="349"/>
      <c r="F85" s="349"/>
      <c r="G85" s="349"/>
      <c r="H85" s="349"/>
      <c r="I85" s="349"/>
    </row>
    <row r="86" spans="1:9">
      <c r="A86" s="1638"/>
      <c r="B86" s="349"/>
      <c r="C86" s="349"/>
      <c r="D86" s="349"/>
      <c r="E86" s="349"/>
      <c r="F86" s="349"/>
      <c r="G86" s="349"/>
      <c r="H86" s="349"/>
      <c r="I86" s="349"/>
    </row>
    <row r="87" spans="1:9">
      <c r="A87" s="1638"/>
      <c r="B87" s="349"/>
      <c r="C87" s="349"/>
      <c r="D87" s="349"/>
      <c r="E87" s="349"/>
      <c r="F87" s="349"/>
      <c r="G87" s="349"/>
      <c r="H87" s="349"/>
      <c r="I87" s="349"/>
    </row>
    <row r="88" spans="1:9">
      <c r="A88" s="1638"/>
      <c r="B88" s="349"/>
      <c r="C88" s="349"/>
      <c r="D88" s="349"/>
      <c r="E88" s="349"/>
      <c r="F88" s="349"/>
      <c r="G88" s="349"/>
      <c r="H88" s="349"/>
      <c r="I88" s="349"/>
    </row>
    <row r="89" spans="1:9">
      <c r="A89" s="1638"/>
      <c r="B89" s="349"/>
      <c r="C89" s="349"/>
      <c r="D89" s="349"/>
      <c r="E89" s="349"/>
      <c r="F89" s="349"/>
      <c r="G89" s="349"/>
      <c r="H89" s="349"/>
      <c r="I89" s="349"/>
    </row>
    <row r="90" spans="1:9">
      <c r="A90" s="1638"/>
      <c r="B90" s="349"/>
      <c r="C90" s="349"/>
      <c r="D90" s="349"/>
      <c r="E90" s="349"/>
      <c r="F90" s="349"/>
      <c r="G90" s="349"/>
      <c r="H90" s="349"/>
      <c r="I90" s="349"/>
    </row>
    <row r="91" spans="1:9">
      <c r="A91" s="1638"/>
      <c r="B91" s="349"/>
      <c r="C91" s="349"/>
      <c r="D91" s="349"/>
      <c r="E91" s="349"/>
      <c r="F91" s="349"/>
      <c r="G91" s="349"/>
      <c r="H91" s="349"/>
      <c r="I91" s="349"/>
    </row>
    <row r="92" spans="1:9">
      <c r="A92" s="1638"/>
      <c r="B92" s="349"/>
      <c r="C92" s="349"/>
      <c r="D92" s="349"/>
      <c r="E92" s="349"/>
      <c r="F92" s="349"/>
      <c r="G92" s="349"/>
      <c r="H92" s="349"/>
      <c r="I92" s="349"/>
    </row>
    <row r="93" spans="1:9">
      <c r="A93" s="1638"/>
      <c r="B93" s="349"/>
      <c r="C93" s="349"/>
      <c r="D93" s="349"/>
      <c r="E93" s="349"/>
      <c r="F93" s="349"/>
      <c r="G93" s="349"/>
      <c r="H93" s="349"/>
      <c r="I93" s="349"/>
    </row>
    <row r="94" spans="1:9">
      <c r="A94" s="1638"/>
      <c r="B94" s="349"/>
      <c r="C94" s="349"/>
      <c r="D94" s="349"/>
      <c r="E94" s="349"/>
      <c r="F94" s="349"/>
      <c r="G94" s="349"/>
      <c r="H94" s="349"/>
      <c r="I94" s="349"/>
    </row>
    <row r="95" spans="1:9">
      <c r="A95" s="1638"/>
      <c r="B95" s="349"/>
      <c r="C95" s="349"/>
      <c r="D95" s="349"/>
      <c r="E95" s="349"/>
      <c r="F95" s="349"/>
      <c r="G95" s="349"/>
      <c r="H95" s="349"/>
      <c r="I95" s="349"/>
    </row>
    <row r="96" spans="1:9">
      <c r="A96" s="1638"/>
      <c r="B96" s="349"/>
      <c r="C96" s="349"/>
      <c r="D96" s="349"/>
      <c r="E96" s="349"/>
      <c r="F96" s="349"/>
      <c r="G96" s="349"/>
      <c r="H96" s="349"/>
      <c r="I96" s="349"/>
    </row>
    <row r="97" spans="1:9">
      <c r="A97" s="1638"/>
      <c r="B97" s="349"/>
      <c r="C97" s="349"/>
      <c r="D97" s="349"/>
      <c r="E97" s="349"/>
      <c r="F97" s="349"/>
      <c r="G97" s="349"/>
      <c r="H97" s="349"/>
      <c r="I97" s="349"/>
    </row>
    <row r="98" spans="1:9">
      <c r="A98" s="1638"/>
      <c r="B98" s="349"/>
      <c r="C98" s="349"/>
      <c r="D98" s="349"/>
      <c r="E98" s="349"/>
      <c r="F98" s="349"/>
      <c r="G98" s="349"/>
      <c r="H98" s="349"/>
      <c r="I98" s="349"/>
    </row>
    <row r="99" spans="1:9">
      <c r="A99" s="1638"/>
      <c r="B99" s="349"/>
      <c r="C99" s="349"/>
      <c r="D99" s="349"/>
      <c r="E99" s="349"/>
      <c r="F99" s="349"/>
      <c r="G99" s="349"/>
      <c r="H99" s="349"/>
      <c r="I99" s="349"/>
    </row>
    <row r="100" spans="1:9">
      <c r="A100" s="1638"/>
      <c r="B100" s="349"/>
      <c r="C100" s="349"/>
      <c r="D100" s="349"/>
      <c r="E100" s="349"/>
      <c r="F100" s="349"/>
      <c r="G100" s="349"/>
      <c r="H100" s="349"/>
      <c r="I100" s="349"/>
    </row>
    <row r="101" spans="1:9">
      <c r="A101" s="1638"/>
      <c r="B101" s="349"/>
      <c r="C101" s="349"/>
      <c r="D101" s="349"/>
      <c r="E101" s="349"/>
      <c r="F101" s="349"/>
      <c r="G101" s="349"/>
      <c r="H101" s="349"/>
      <c r="I101" s="349"/>
    </row>
    <row r="102" spans="1:9">
      <c r="A102" s="1638"/>
      <c r="B102" s="349"/>
      <c r="C102" s="349"/>
      <c r="D102" s="349"/>
      <c r="E102" s="349"/>
      <c r="F102" s="349"/>
      <c r="G102" s="349"/>
      <c r="H102" s="349"/>
      <c r="I102" s="349"/>
    </row>
    <row r="103" spans="1:9">
      <c r="A103" s="1638"/>
      <c r="B103" s="349"/>
      <c r="C103" s="349"/>
      <c r="D103" s="349"/>
      <c r="E103" s="349"/>
      <c r="F103" s="349"/>
      <c r="G103" s="349"/>
      <c r="H103" s="349"/>
      <c r="I103" s="349"/>
    </row>
    <row r="104" spans="1:9">
      <c r="A104" s="1638"/>
      <c r="B104" s="349"/>
      <c r="C104" s="349"/>
      <c r="D104" s="349"/>
      <c r="E104" s="349"/>
      <c r="F104" s="349"/>
      <c r="G104" s="349"/>
      <c r="H104" s="349"/>
      <c r="I104" s="349"/>
    </row>
    <row r="105" spans="1:9">
      <c r="A105" s="1638"/>
      <c r="B105" s="349"/>
      <c r="C105" s="349"/>
      <c r="D105" s="349"/>
      <c r="E105" s="349"/>
      <c r="F105" s="349"/>
      <c r="G105" s="349"/>
      <c r="H105" s="349"/>
      <c r="I105" s="349"/>
    </row>
    <row r="106" spans="1:9">
      <c r="A106" s="1638"/>
      <c r="B106" s="349"/>
      <c r="C106" s="349"/>
      <c r="D106" s="349"/>
      <c r="E106" s="349"/>
      <c r="F106" s="349"/>
      <c r="G106" s="349"/>
      <c r="H106" s="349"/>
      <c r="I106" s="349"/>
    </row>
    <row r="107" spans="1:9">
      <c r="A107" s="1638"/>
      <c r="B107" s="349"/>
      <c r="C107" s="349"/>
      <c r="D107" s="349"/>
      <c r="E107" s="349"/>
      <c r="F107" s="349"/>
      <c r="G107" s="349"/>
      <c r="H107" s="349"/>
      <c r="I107" s="349"/>
    </row>
    <row r="108" spans="1:9">
      <c r="A108" s="1638"/>
      <c r="B108" s="349"/>
      <c r="C108" s="349"/>
      <c r="D108" s="349"/>
      <c r="E108" s="349"/>
      <c r="F108" s="349"/>
      <c r="G108" s="349"/>
      <c r="H108" s="349"/>
      <c r="I108" s="349"/>
    </row>
    <row r="109" spans="1:9">
      <c r="A109" s="1638"/>
      <c r="B109" s="349"/>
      <c r="C109" s="349"/>
      <c r="D109" s="349"/>
      <c r="E109" s="349"/>
      <c r="F109" s="349"/>
      <c r="G109" s="349"/>
      <c r="H109" s="349"/>
      <c r="I109" s="349"/>
    </row>
    <row r="110" spans="1:9">
      <c r="A110" s="2299" t="e">
        <v>#NAME?</v>
      </c>
      <c r="B110" s="2299"/>
      <c r="C110" s="2299"/>
      <c r="D110" s="2299"/>
      <c r="E110" s="2299"/>
      <c r="F110" s="2299"/>
      <c r="G110" s="2299"/>
      <c r="H110" s="2299"/>
      <c r="I110" s="2299"/>
    </row>
    <row r="111" spans="1:9">
      <c r="B111" s="1570"/>
      <c r="D111" s="2299" t="e">
        <f>MBA!G13</f>
        <v>#REF!</v>
      </c>
      <c r="E111" s="2299"/>
      <c r="F111" s="2299"/>
      <c r="G111" s="2299"/>
      <c r="H111" s="2299"/>
      <c r="I111" s="2299"/>
    </row>
    <row r="112" spans="1:9">
      <c r="B112" s="1614" t="s">
        <v>318</v>
      </c>
      <c r="D112" s="2299" t="s">
        <v>422</v>
      </c>
      <c r="E112" s="2299"/>
      <c r="F112" s="2299"/>
      <c r="G112" s="2299"/>
      <c r="H112" s="2299"/>
      <c r="I112" s="2299"/>
    </row>
    <row r="113" spans="1:9">
      <c r="A113" s="1528"/>
      <c r="C113" s="1573"/>
      <c r="D113" s="2299" t="s">
        <v>5941</v>
      </c>
      <c r="E113" s="2299"/>
      <c r="F113" s="2299"/>
      <c r="G113" s="2299"/>
      <c r="H113" s="2299"/>
      <c r="I113" s="2299"/>
    </row>
    <row r="114" spans="1:9" s="1555" customFormat="1">
      <c r="A114" s="1573"/>
      <c r="C114" s="1528"/>
      <c r="H114" s="1615"/>
    </row>
    <row r="115" spans="1:9" s="1555" customFormat="1">
      <c r="A115" s="1573"/>
      <c r="C115" s="1528"/>
      <c r="F115" s="349">
        <f>H15+VTTB!H48</f>
        <v>1626879223</v>
      </c>
      <c r="H115" s="1615"/>
    </row>
    <row r="116" spans="1:9" s="1555" customFormat="1">
      <c r="A116" s="1573"/>
      <c r="C116" s="1528"/>
      <c r="H116" s="1615">
        <v>5677988000</v>
      </c>
    </row>
    <row r="117" spans="1:9" s="1555" customFormat="1">
      <c r="A117" s="1573"/>
      <c r="C117" s="1528"/>
      <c r="F117" s="349">
        <v>2938109213</v>
      </c>
      <c r="H117" s="1615">
        <f>H116+H15</f>
        <v>7304867223</v>
      </c>
    </row>
    <row r="118" spans="1:9" s="1555" customFormat="1" ht="26.25" customHeight="1">
      <c r="A118" s="1573"/>
      <c r="C118" s="1528"/>
      <c r="H118" s="1615"/>
    </row>
    <row r="119" spans="1:9" s="1555" customFormat="1">
      <c r="A119" s="1573"/>
      <c r="B119" s="1528" t="s">
        <v>5442</v>
      </c>
      <c r="C119" s="1528"/>
      <c r="D119" s="2299" t="s">
        <v>6444</v>
      </c>
      <c r="E119" s="2299"/>
      <c r="F119" s="2299"/>
      <c r="G119" s="2299"/>
      <c r="H119" s="2299"/>
      <c r="I119" s="2299"/>
    </row>
    <row r="121" spans="1:9" hidden="1"/>
    <row r="122" spans="1:9" hidden="1"/>
    <row r="123" spans="1:9" hidden="1"/>
    <row r="124" spans="1:9" hidden="1">
      <c r="H124" s="1576">
        <v>337960319</v>
      </c>
    </row>
    <row r="125" spans="1:9" hidden="1">
      <c r="H125" s="1576">
        <f>H124+H15</f>
        <v>1964839542</v>
      </c>
    </row>
    <row r="126" spans="1:9" hidden="1"/>
    <row r="127" spans="1:9" hidden="1"/>
    <row r="128" spans="1:9" hidden="1"/>
    <row r="129" spans="2:8" hidden="1"/>
    <row r="130" spans="2:8" hidden="1"/>
    <row r="131" spans="2:8" hidden="1"/>
    <row r="132" spans="2:8" hidden="1">
      <c r="B132" s="1616" t="s">
        <v>3174</v>
      </c>
      <c r="C132" s="1617" t="s">
        <v>1307</v>
      </c>
      <c r="D132" s="1618">
        <v>1</v>
      </c>
      <c r="E132" s="1618">
        <v>54</v>
      </c>
      <c r="F132" s="1619">
        <v>93600</v>
      </c>
      <c r="H132" s="1576">
        <f>F132*E132</f>
        <v>5054400</v>
      </c>
    </row>
    <row r="133" spans="2:8" hidden="1">
      <c r="B133" s="1616" t="s">
        <v>455</v>
      </c>
      <c r="C133" s="1617" t="s">
        <v>1307</v>
      </c>
      <c r="D133" s="1618">
        <v>1</v>
      </c>
      <c r="E133" s="1618">
        <v>54</v>
      </c>
      <c r="F133" s="1619">
        <v>208000</v>
      </c>
      <c r="H133" s="1576">
        <f>F133*E133</f>
        <v>11232000</v>
      </c>
    </row>
    <row r="134" spans="2:8" hidden="1">
      <c r="B134" s="1616" t="s">
        <v>3175</v>
      </c>
      <c r="C134" s="1617" t="s">
        <v>1307</v>
      </c>
      <c r="D134" s="1618">
        <v>1</v>
      </c>
      <c r="E134" s="1618">
        <v>2</v>
      </c>
      <c r="F134" s="1619">
        <v>96000</v>
      </c>
      <c r="H134" s="1576">
        <f t="shared" ref="H134:H152" si="1">F134*E134</f>
        <v>192000</v>
      </c>
    </row>
    <row r="135" spans="2:8" hidden="1">
      <c r="B135" s="1616" t="s">
        <v>455</v>
      </c>
      <c r="C135" s="1617" t="s">
        <v>1307</v>
      </c>
      <c r="D135" s="1618">
        <v>1</v>
      </c>
      <c r="E135" s="1618">
        <v>2</v>
      </c>
      <c r="F135" s="1619">
        <v>208000</v>
      </c>
      <c r="H135" s="1576">
        <f t="shared" si="1"/>
        <v>416000</v>
      </c>
    </row>
    <row r="136" spans="2:8" hidden="1">
      <c r="B136" s="1616" t="s">
        <v>3175</v>
      </c>
      <c r="C136" s="1617" t="s">
        <v>1307</v>
      </c>
      <c r="D136" s="1618">
        <v>2</v>
      </c>
      <c r="E136" s="1618">
        <v>8</v>
      </c>
      <c r="F136" s="1619">
        <v>96000</v>
      </c>
      <c r="H136" s="1576">
        <f t="shared" si="1"/>
        <v>768000</v>
      </c>
    </row>
    <row r="137" spans="2:8" hidden="1">
      <c r="B137" s="1616" t="s">
        <v>455</v>
      </c>
      <c r="C137" s="1617" t="s">
        <v>1307</v>
      </c>
      <c r="D137" s="1618">
        <v>2</v>
      </c>
      <c r="E137" s="1618">
        <v>8</v>
      </c>
      <c r="F137" s="1619">
        <v>208000</v>
      </c>
      <c r="H137" s="1576">
        <f t="shared" si="1"/>
        <v>1664000</v>
      </c>
    </row>
    <row r="138" spans="2:8" hidden="1">
      <c r="B138" s="1616" t="s">
        <v>6416</v>
      </c>
      <c r="C138" s="1617" t="s">
        <v>2660</v>
      </c>
      <c r="D138" s="1620">
        <v>771</v>
      </c>
      <c r="E138" s="1618">
        <v>771</v>
      </c>
      <c r="F138" s="1619">
        <v>66550</v>
      </c>
      <c r="H138" s="1576">
        <f t="shared" si="1"/>
        <v>51310050</v>
      </c>
    </row>
    <row r="139" spans="2:8" hidden="1">
      <c r="B139" s="1616" t="s">
        <v>6414</v>
      </c>
      <c r="C139" s="1617" t="s">
        <v>639</v>
      </c>
      <c r="D139" s="1620">
        <v>3968</v>
      </c>
      <c r="E139" s="1620">
        <v>3968</v>
      </c>
      <c r="F139" s="1619">
        <v>55500</v>
      </c>
      <c r="H139" s="1576">
        <f t="shared" si="1"/>
        <v>220224000</v>
      </c>
    </row>
    <row r="140" spans="2:8" hidden="1">
      <c r="B140" s="1616" t="s">
        <v>455</v>
      </c>
      <c r="C140" s="1617" t="s">
        <v>1307</v>
      </c>
      <c r="D140" s="1620">
        <v>6</v>
      </c>
      <c r="E140" s="1618">
        <v>6</v>
      </c>
      <c r="F140" s="1619">
        <v>208000</v>
      </c>
      <c r="H140" s="1576">
        <f t="shared" si="1"/>
        <v>1248000</v>
      </c>
    </row>
    <row r="141" spans="2:8" hidden="1">
      <c r="B141" s="1616" t="s">
        <v>5460</v>
      </c>
      <c r="C141" s="1617" t="s">
        <v>1307</v>
      </c>
      <c r="D141" s="1620">
        <v>6</v>
      </c>
      <c r="E141" s="1618">
        <v>6</v>
      </c>
      <c r="F141" s="1619">
        <v>80000</v>
      </c>
      <c r="H141" s="1576">
        <f t="shared" si="1"/>
        <v>480000</v>
      </c>
    </row>
    <row r="142" spans="2:8" hidden="1">
      <c r="B142" s="1616" t="s">
        <v>6015</v>
      </c>
      <c r="C142" s="1617" t="s">
        <v>1307</v>
      </c>
      <c r="D142" s="1620">
        <v>2</v>
      </c>
      <c r="E142" s="1621">
        <v>2</v>
      </c>
      <c r="F142" s="1619">
        <v>3520000</v>
      </c>
      <c r="H142" s="1576">
        <f t="shared" si="1"/>
        <v>7040000</v>
      </c>
    </row>
    <row r="143" spans="2:8" hidden="1">
      <c r="B143" s="1616" t="s">
        <v>6462</v>
      </c>
      <c r="C143" s="1617" t="s">
        <v>639</v>
      </c>
      <c r="D143" s="1620">
        <v>3803</v>
      </c>
      <c r="E143" s="1618">
        <v>3803</v>
      </c>
      <c r="F143" s="1619">
        <v>63000</v>
      </c>
      <c r="H143" s="1576">
        <f t="shared" si="1"/>
        <v>239589000</v>
      </c>
    </row>
    <row r="144" spans="2:8" hidden="1">
      <c r="B144" s="1616" t="s">
        <v>6413</v>
      </c>
      <c r="C144" s="1617" t="s">
        <v>639</v>
      </c>
      <c r="D144" s="1620">
        <v>1152</v>
      </c>
      <c r="E144" s="1620">
        <v>1152</v>
      </c>
      <c r="F144" s="1619">
        <v>47000</v>
      </c>
      <c r="H144" s="1576">
        <f t="shared" si="1"/>
        <v>54144000</v>
      </c>
    </row>
    <row r="145" spans="2:10" hidden="1">
      <c r="B145" s="1616" t="s">
        <v>6420</v>
      </c>
      <c r="C145" s="1617" t="s">
        <v>1307</v>
      </c>
      <c r="D145" s="1618">
        <v>1</v>
      </c>
      <c r="E145" s="1618">
        <v>3</v>
      </c>
      <c r="F145" s="1619">
        <v>77040000</v>
      </c>
      <c r="H145" s="1576">
        <f t="shared" si="1"/>
        <v>231120000</v>
      </c>
    </row>
    <row r="146" spans="2:10" hidden="1">
      <c r="B146" s="1616" t="s">
        <v>6015</v>
      </c>
      <c r="C146" s="1617" t="s">
        <v>1307</v>
      </c>
      <c r="D146" s="1618">
        <v>1</v>
      </c>
      <c r="E146" s="1618">
        <v>3</v>
      </c>
      <c r="F146" s="1619">
        <v>3520000</v>
      </c>
      <c r="H146" s="1576">
        <f t="shared" si="1"/>
        <v>10560000</v>
      </c>
    </row>
    <row r="147" spans="2:10" hidden="1">
      <c r="B147" s="1616" t="s">
        <v>6014</v>
      </c>
      <c r="C147" s="1617" t="s">
        <v>1307</v>
      </c>
      <c r="D147" s="1618">
        <v>1</v>
      </c>
      <c r="E147" s="1618">
        <v>3</v>
      </c>
      <c r="F147" s="1619">
        <v>1250000</v>
      </c>
      <c r="H147" s="1576">
        <f t="shared" si="1"/>
        <v>3750000</v>
      </c>
    </row>
    <row r="148" spans="2:10" hidden="1">
      <c r="B148" s="1616" t="s">
        <v>6412</v>
      </c>
      <c r="C148" s="1617" t="s">
        <v>1307</v>
      </c>
      <c r="D148" s="1618">
        <v>1</v>
      </c>
      <c r="E148" s="1618">
        <v>1</v>
      </c>
      <c r="F148" s="1619">
        <v>58335000</v>
      </c>
      <c r="H148" s="1576">
        <f t="shared" si="1"/>
        <v>58335000</v>
      </c>
    </row>
    <row r="149" spans="2:10" hidden="1">
      <c r="B149" s="1616" t="s">
        <v>6015</v>
      </c>
      <c r="C149" s="1617" t="s">
        <v>1307</v>
      </c>
      <c r="D149" s="1618">
        <v>1</v>
      </c>
      <c r="E149" s="1618">
        <v>1</v>
      </c>
      <c r="F149" s="1619">
        <v>3520000</v>
      </c>
      <c r="H149" s="1576">
        <f t="shared" si="1"/>
        <v>3520000</v>
      </c>
    </row>
    <row r="150" spans="2:10" hidden="1">
      <c r="B150" s="1616" t="s">
        <v>6014</v>
      </c>
      <c r="C150" s="1617" t="s">
        <v>1307</v>
      </c>
      <c r="D150" s="1618">
        <v>1</v>
      </c>
      <c r="E150" s="1618">
        <v>1</v>
      </c>
      <c r="F150" s="1619">
        <v>1250000</v>
      </c>
      <c r="H150" s="1576">
        <f t="shared" si="1"/>
        <v>1250000</v>
      </c>
    </row>
    <row r="151" spans="2:10" hidden="1">
      <c r="B151" s="1616" t="s">
        <v>4113</v>
      </c>
      <c r="C151" s="1617" t="s">
        <v>1307</v>
      </c>
      <c r="D151" s="1622">
        <v>1</v>
      </c>
      <c r="E151" s="1622">
        <v>3</v>
      </c>
      <c r="F151" s="1619">
        <v>4438000</v>
      </c>
      <c r="H151" s="1576">
        <f t="shared" si="1"/>
        <v>13314000</v>
      </c>
    </row>
    <row r="152" spans="2:10" hidden="1">
      <c r="B152" s="1616" t="s">
        <v>4111</v>
      </c>
      <c r="C152" s="1617" t="s">
        <v>1307</v>
      </c>
      <c r="D152" s="1622">
        <v>1</v>
      </c>
      <c r="E152" s="1622">
        <v>1</v>
      </c>
      <c r="F152" s="1619">
        <v>4358000</v>
      </c>
      <c r="H152" s="1576">
        <f t="shared" si="1"/>
        <v>4358000</v>
      </c>
    </row>
    <row r="153" spans="2:10" hidden="1">
      <c r="H153" s="1576">
        <f>SUM(H132:H152)</f>
        <v>919568450</v>
      </c>
      <c r="I153" s="1623">
        <v>0.1</v>
      </c>
      <c r="J153" s="1576">
        <f>ROUND((H153*1.1),0)</f>
        <v>1011525295</v>
      </c>
    </row>
    <row r="154" spans="2:10" hidden="1">
      <c r="H154" s="1576">
        <f>ROUND(H153*5%,0)</f>
        <v>45978423</v>
      </c>
      <c r="J154" s="1576">
        <f>ROUND((H154*1.1),0)</f>
        <v>50576265</v>
      </c>
    </row>
    <row r="155" spans="2:10" hidden="1">
      <c r="J155" s="1624">
        <f>J154+J153</f>
        <v>1062101560</v>
      </c>
    </row>
    <row r="156" spans="2:10" hidden="1"/>
    <row r="157" spans="2:10" hidden="1">
      <c r="H157" s="1576">
        <f>H154+H153</f>
        <v>965546873</v>
      </c>
    </row>
    <row r="158" spans="2:10" hidden="1">
      <c r="H158" s="1576">
        <f>H157*10%</f>
        <v>96554687.300000012</v>
      </c>
    </row>
    <row r="159" spans="2:10" hidden="1">
      <c r="H159" s="1576">
        <f>H158+H157</f>
        <v>1062101560.3</v>
      </c>
      <c r="J159" s="1624">
        <v>1964465395</v>
      </c>
    </row>
    <row r="160" spans="2:10" hidden="1"/>
    <row r="161" spans="2:8" hidden="1"/>
    <row r="162" spans="2:8" hidden="1"/>
    <row r="163" spans="2:8" hidden="1"/>
    <row r="164" spans="2:8" hidden="1"/>
    <row r="165" spans="2:8" hidden="1"/>
    <row r="166" spans="2:8" hidden="1"/>
    <row r="167" spans="2:8" hidden="1"/>
    <row r="168" spans="2:8" hidden="1"/>
    <row r="169" spans="2:8" hidden="1"/>
    <row r="170" spans="2:8" hidden="1"/>
    <row r="172" spans="2:8">
      <c r="F172" s="1575"/>
    </row>
    <row r="173" spans="2:8">
      <c r="B173" s="349" t="s">
        <v>6412</v>
      </c>
      <c r="C173" s="349" t="s">
        <v>1307</v>
      </c>
      <c r="D173" s="349"/>
      <c r="E173" s="349">
        <v>3</v>
      </c>
      <c r="F173" s="349">
        <v>58335000</v>
      </c>
      <c r="H173" s="1576">
        <f>F173*E173</f>
        <v>175005000</v>
      </c>
    </row>
    <row r="174" spans="2:8">
      <c r="B174" s="349" t="s">
        <v>6015</v>
      </c>
      <c r="C174" s="349" t="s">
        <v>1307</v>
      </c>
      <c r="D174" s="349"/>
      <c r="E174" s="349">
        <v>3</v>
      </c>
      <c r="F174" s="349">
        <v>1450000</v>
      </c>
      <c r="H174" s="1576">
        <f t="shared" ref="H174:H196" si="2">F174*E174</f>
        <v>4350000</v>
      </c>
    </row>
    <row r="175" spans="2:8">
      <c r="B175" s="349" t="s">
        <v>6014</v>
      </c>
      <c r="C175" s="349" t="s">
        <v>1307</v>
      </c>
      <c r="D175" s="349"/>
      <c r="E175" s="349">
        <v>3</v>
      </c>
      <c r="F175" s="349">
        <v>1000000</v>
      </c>
      <c r="H175" s="1576">
        <f t="shared" si="2"/>
        <v>3000000</v>
      </c>
    </row>
    <row r="176" spans="2:8">
      <c r="B176" s="349" t="s">
        <v>4109</v>
      </c>
      <c r="C176" s="349" t="s">
        <v>1307</v>
      </c>
      <c r="D176" s="349"/>
      <c r="E176" s="349">
        <v>3</v>
      </c>
      <c r="F176" s="349">
        <v>1755000</v>
      </c>
      <c r="H176" s="1576">
        <f t="shared" si="2"/>
        <v>5265000</v>
      </c>
    </row>
    <row r="177" spans="2:8">
      <c r="F177" s="349"/>
      <c r="H177" s="1576">
        <f t="shared" si="2"/>
        <v>0</v>
      </c>
    </row>
    <row r="178" spans="2:8">
      <c r="B178" s="349" t="s">
        <v>6492</v>
      </c>
      <c r="C178" s="349" t="s">
        <v>639</v>
      </c>
      <c r="D178" s="349">
        <v>6439</v>
      </c>
      <c r="E178" s="349">
        <v>0</v>
      </c>
      <c r="F178" s="349">
        <v>97700</v>
      </c>
      <c r="H178" s="1576">
        <f>F178*D178</f>
        <v>629090300</v>
      </c>
    </row>
    <row r="179" spans="2:8">
      <c r="F179" s="349"/>
      <c r="H179" s="1576">
        <f t="shared" si="2"/>
        <v>0</v>
      </c>
    </row>
    <row r="180" spans="2:8">
      <c r="B180" s="349" t="s">
        <v>6415</v>
      </c>
      <c r="C180" s="349" t="s">
        <v>639</v>
      </c>
      <c r="D180" s="349">
        <v>4446</v>
      </c>
      <c r="E180" s="349"/>
      <c r="F180" s="349">
        <v>125300</v>
      </c>
      <c r="H180" s="1576">
        <f>F180*D180</f>
        <v>557083800</v>
      </c>
    </row>
    <row r="181" spans="2:8">
      <c r="B181" s="349" t="s">
        <v>6495</v>
      </c>
      <c r="C181" s="349" t="s">
        <v>2660</v>
      </c>
      <c r="D181" s="349">
        <v>698</v>
      </c>
      <c r="E181" s="349"/>
      <c r="F181" s="349">
        <v>81000</v>
      </c>
      <c r="H181" s="1576">
        <f>F181*D181</f>
        <v>56538000</v>
      </c>
    </row>
    <row r="182" spans="2:8">
      <c r="B182" s="349" t="s">
        <v>6416</v>
      </c>
      <c r="C182" s="349" t="s">
        <v>2660</v>
      </c>
      <c r="D182" s="349">
        <v>163</v>
      </c>
      <c r="E182" s="349"/>
      <c r="F182" s="349">
        <v>76800</v>
      </c>
      <c r="H182" s="1576">
        <f>F182*D182</f>
        <v>12518400</v>
      </c>
    </row>
    <row r="183" spans="2:8">
      <c r="B183" s="349" t="s">
        <v>6014</v>
      </c>
      <c r="C183" s="349" t="s">
        <v>1307</v>
      </c>
      <c r="D183" s="349"/>
      <c r="E183" s="349">
        <v>3</v>
      </c>
      <c r="F183" s="349">
        <v>1000000</v>
      </c>
      <c r="H183" s="1576">
        <f t="shared" si="2"/>
        <v>3000000</v>
      </c>
    </row>
    <row r="184" spans="2:8">
      <c r="H184" s="1576">
        <f t="shared" si="2"/>
        <v>0</v>
      </c>
    </row>
    <row r="185" spans="2:8">
      <c r="B185" s="349" t="s">
        <v>6412</v>
      </c>
      <c r="C185" s="349" t="s">
        <v>1307</v>
      </c>
      <c r="D185" s="349"/>
      <c r="E185" s="349">
        <v>8</v>
      </c>
      <c r="F185" s="349">
        <v>58335000</v>
      </c>
      <c r="H185" s="1576">
        <f t="shared" si="2"/>
        <v>466680000</v>
      </c>
    </row>
    <row r="186" spans="2:8">
      <c r="B186" s="349" t="s">
        <v>6015</v>
      </c>
      <c r="C186" s="349" t="s">
        <v>1307</v>
      </c>
      <c r="D186" s="349"/>
      <c r="E186" s="349">
        <v>8</v>
      </c>
      <c r="F186" s="349">
        <v>1450000</v>
      </c>
      <c r="H186" s="1576">
        <f t="shared" si="2"/>
        <v>11600000</v>
      </c>
    </row>
    <row r="187" spans="2:8">
      <c r="B187" s="349" t="s">
        <v>6014</v>
      </c>
      <c r="C187" s="349" t="s">
        <v>1307</v>
      </c>
      <c r="D187" s="349"/>
      <c r="E187" s="349">
        <v>8</v>
      </c>
      <c r="F187" s="349">
        <v>1000000</v>
      </c>
      <c r="H187" s="1576">
        <f t="shared" si="2"/>
        <v>8000000</v>
      </c>
    </row>
    <row r="188" spans="2:8">
      <c r="H188" s="1576">
        <f t="shared" si="2"/>
        <v>0</v>
      </c>
    </row>
    <row r="189" spans="2:8">
      <c r="B189" s="349" t="s">
        <v>4109</v>
      </c>
      <c r="C189" s="349" t="s">
        <v>1307</v>
      </c>
      <c r="D189" s="349"/>
      <c r="E189" s="349">
        <v>8</v>
      </c>
      <c r="F189" s="349">
        <v>1755000</v>
      </c>
      <c r="H189" s="1576">
        <f t="shared" si="2"/>
        <v>14040000</v>
      </c>
    </row>
    <row r="190" spans="2:8">
      <c r="H190" s="1576">
        <f t="shared" si="2"/>
        <v>0</v>
      </c>
    </row>
    <row r="191" spans="2:8">
      <c r="B191" s="349" t="s">
        <v>6413</v>
      </c>
      <c r="C191" s="349" t="s">
        <v>639</v>
      </c>
      <c r="D191" s="349">
        <v>8230</v>
      </c>
      <c r="E191" s="349"/>
      <c r="F191" s="349">
        <v>54700</v>
      </c>
      <c r="H191" s="1576">
        <f>F191*D191</f>
        <v>450181000</v>
      </c>
    </row>
    <row r="192" spans="2:8">
      <c r="H192" s="1576">
        <f t="shared" si="2"/>
        <v>0</v>
      </c>
    </row>
    <row r="193" spans="2:8">
      <c r="B193" s="349" t="s">
        <v>6414</v>
      </c>
      <c r="C193" s="349" t="s">
        <v>639</v>
      </c>
      <c r="D193" s="349">
        <v>2011</v>
      </c>
      <c r="E193" s="349"/>
      <c r="F193" s="349">
        <v>57600</v>
      </c>
      <c r="H193" s="1576">
        <f>F193*D193</f>
        <v>115833600</v>
      </c>
    </row>
    <row r="194" spans="2:8">
      <c r="B194" s="349" t="s">
        <v>6416</v>
      </c>
      <c r="C194" s="349" t="s">
        <v>2660</v>
      </c>
      <c r="D194" s="349">
        <v>393</v>
      </c>
      <c r="E194" s="349"/>
      <c r="F194" s="349">
        <v>76800</v>
      </c>
      <c r="H194" s="1576">
        <f>F194*D194</f>
        <v>30182400</v>
      </c>
    </row>
    <row r="195" spans="2:8">
      <c r="H195" s="1576">
        <f t="shared" si="2"/>
        <v>0</v>
      </c>
    </row>
    <row r="196" spans="2:8">
      <c r="B196" s="349" t="s">
        <v>6015</v>
      </c>
      <c r="C196" s="349" t="s">
        <v>1307</v>
      </c>
      <c r="D196" s="349"/>
      <c r="E196" s="349">
        <v>1</v>
      </c>
      <c r="F196" s="349">
        <v>1450000</v>
      </c>
      <c r="H196" s="1576">
        <f t="shared" si="2"/>
        <v>1450000</v>
      </c>
    </row>
    <row r="197" spans="2:8">
      <c r="H197" s="1576">
        <f>SUM(H173:H196)</f>
        <v>2543817500</v>
      </c>
    </row>
  </sheetData>
  <mergeCells count="15">
    <mergeCell ref="A4:I4"/>
    <mergeCell ref="D113:I113"/>
    <mergeCell ref="D119:I119"/>
    <mergeCell ref="C8:E8"/>
    <mergeCell ref="C14:E14"/>
    <mergeCell ref="A110:I110"/>
    <mergeCell ref="D111:I111"/>
    <mergeCell ref="D112:I112"/>
    <mergeCell ref="A16:H16"/>
    <mergeCell ref="E18:I18"/>
    <mergeCell ref="A20:D20"/>
    <mergeCell ref="E19:I19"/>
    <mergeCell ref="E20:I20"/>
    <mergeCell ref="A26:D26"/>
    <mergeCell ref="E26:I26"/>
  </mergeCells>
  <printOptions horizontalCentered="1"/>
  <pageMargins left="0.27559055118110237" right="0.31496062992125984" top="0.41" bottom="0.4" header="0.31496062992125984" footer="0.31496062992125984"/>
  <pageSetup paperSize="9" scale="85" orientation="landscape"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5">
    <tabColor indexed="13"/>
  </sheetPr>
  <dimension ref="A1:Q405"/>
  <sheetViews>
    <sheetView zoomScale="85" workbookViewId="0">
      <selection activeCell="C11" sqref="C11:D11"/>
    </sheetView>
  </sheetViews>
  <sheetFormatPr defaultColWidth="9.33203125" defaultRowHeight="15"/>
  <cols>
    <col min="1" max="1" width="9.33203125" style="10"/>
    <col min="2" max="2" width="45.83203125" style="10" customWidth="1"/>
    <col min="3" max="6" width="9.33203125" style="10"/>
    <col min="7" max="7" width="11.83203125" style="10" bestFit="1" customWidth="1"/>
    <col min="8" max="8" width="9.33203125" style="10"/>
    <col min="9" max="9" width="12.83203125" style="10" customWidth="1"/>
    <col min="10" max="10" width="14.5" style="10" customWidth="1"/>
    <col min="11" max="11" width="11.33203125" style="10" customWidth="1"/>
    <col min="12" max="12" width="12.6640625" style="10" customWidth="1"/>
    <col min="13" max="13" width="9.33203125" style="10"/>
    <col min="14" max="14" width="11.5" style="10" customWidth="1"/>
    <col min="15" max="15" width="13.1640625" style="10" customWidth="1"/>
    <col min="16" max="16" width="12" style="10" customWidth="1"/>
    <col min="17" max="17" width="11.6640625" style="10" customWidth="1"/>
    <col min="18" max="16384" width="9.33203125" style="10"/>
  </cols>
  <sheetData>
    <row r="1" spans="1:14">
      <c r="A1" s="1934" t="s">
        <v>97</v>
      </c>
      <c r="B1" s="1934"/>
      <c r="C1" s="1934"/>
      <c r="D1" s="1934"/>
      <c r="E1" s="1934"/>
      <c r="F1" s="1934"/>
      <c r="G1" s="1934"/>
      <c r="H1" s="1934"/>
      <c r="I1" s="1934"/>
      <c r="J1" s="1934"/>
      <c r="K1" s="1934"/>
      <c r="L1" s="1934"/>
      <c r="M1" s="1934"/>
      <c r="N1" s="1934"/>
    </row>
    <row r="2" spans="1:14">
      <c r="A2" s="1934" t="s">
        <v>98</v>
      </c>
      <c r="B2" s="1934"/>
      <c r="C2" s="1934"/>
      <c r="D2" s="1934"/>
      <c r="E2" s="1934"/>
      <c r="F2" s="1934"/>
      <c r="G2" s="1934"/>
      <c r="H2" s="1934"/>
      <c r="I2" s="1934"/>
      <c r="J2" s="1934"/>
      <c r="K2" s="1934"/>
      <c r="L2" s="1934"/>
      <c r="M2" s="1934"/>
      <c r="N2" s="1934"/>
    </row>
    <row r="4" spans="1:14" ht="15.75">
      <c r="A4" s="1934" t="s">
        <v>99</v>
      </c>
      <c r="B4" s="1934"/>
      <c r="C4" s="1934">
        <f>'II.ThopXD,TB,A,DP'!$E$5/1000000000</f>
        <v>5.0097428219999998</v>
      </c>
      <c r="D4" s="1934"/>
      <c r="E4" s="729" t="s">
        <v>100</v>
      </c>
    </row>
    <row r="5" spans="1:14" ht="15.75">
      <c r="A5" s="1934" t="s">
        <v>2817</v>
      </c>
      <c r="B5" s="1934"/>
      <c r="C5" s="1934">
        <f>'II.ThopXD,TB,A,DP'!$E$8/1000000000</f>
        <v>0.55008285899999998</v>
      </c>
      <c r="D5" s="1934"/>
      <c r="E5" s="729" t="s">
        <v>100</v>
      </c>
    </row>
    <row r="6" spans="1:14" ht="30" customHeight="1">
      <c r="A6" s="1934" t="s">
        <v>2818</v>
      </c>
      <c r="B6" s="1934"/>
      <c r="C6" s="1934">
        <v>0</v>
      </c>
      <c r="D6" s="1934"/>
      <c r="E6" s="729" t="s">
        <v>100</v>
      </c>
    </row>
    <row r="7" spans="1:14" ht="15.75">
      <c r="A7" s="1934" t="s">
        <v>2819</v>
      </c>
      <c r="B7" s="1934"/>
      <c r="C7" s="1934">
        <f>'II.ThopXD,TB,A,DP'!$E$11/1000000000</f>
        <v>0.19198078099999999</v>
      </c>
      <c r="D7" s="1934"/>
      <c r="E7" s="729" t="s">
        <v>100</v>
      </c>
    </row>
    <row r="8" spans="1:14" ht="15.75">
      <c r="A8" s="1934" t="s">
        <v>2820</v>
      </c>
      <c r="B8" s="1934"/>
      <c r="C8" s="1934">
        <f>'II.ThopXD,TB,A,DP'!$E$35/1000000000</f>
        <v>0.57491399200000004</v>
      </c>
      <c r="D8" s="1934"/>
      <c r="E8" s="729" t="s">
        <v>100</v>
      </c>
    </row>
    <row r="9" spans="1:14" ht="15.75">
      <c r="A9" s="1934" t="s">
        <v>2821</v>
      </c>
      <c r="B9" s="1934"/>
      <c r="C9" s="1934">
        <f>'II.ThopXD,TB,A,DP'!E38/1000000000</f>
        <v>7.1443528540000001</v>
      </c>
      <c r="D9" s="1934"/>
      <c r="E9" s="729" t="s">
        <v>100</v>
      </c>
    </row>
    <row r="10" spans="1:14" ht="30" customHeight="1">
      <c r="A10" s="1934" t="s">
        <v>2822</v>
      </c>
      <c r="B10" s="1934"/>
      <c r="C10" s="1934">
        <f>C9-C6</f>
        <v>7.1443528540000001</v>
      </c>
      <c r="D10" s="1934"/>
      <c r="E10" s="729" t="s">
        <v>100</v>
      </c>
    </row>
    <row r="11" spans="1:14" ht="15.75">
      <c r="A11" s="1934" t="s">
        <v>2823</v>
      </c>
      <c r="B11" s="1934"/>
      <c r="C11" s="1934">
        <f>'II.ThopXD,TB,A,DP'!E13/1000000000</f>
        <v>7.9912103999999998E-2</v>
      </c>
      <c r="D11" s="1934"/>
      <c r="E11" s="729" t="s">
        <v>100</v>
      </c>
    </row>
    <row r="13" spans="1:14" hidden="1">
      <c r="A13" s="10" t="s">
        <v>2824</v>
      </c>
    </row>
    <row r="16" spans="1:14" s="1265" customFormat="1">
      <c r="A16" s="1934" t="s">
        <v>211</v>
      </c>
      <c r="B16" s="1934"/>
      <c r="C16" s="1934"/>
      <c r="D16" s="1934"/>
      <c r="E16" s="1934"/>
      <c r="F16" s="1934"/>
      <c r="G16" s="1934"/>
    </row>
    <row r="17" spans="1:17" s="1265" customFormat="1">
      <c r="K17" s="1934" t="s">
        <v>212</v>
      </c>
      <c r="L17" s="1934"/>
      <c r="M17" s="1934"/>
      <c r="N17" s="1934"/>
    </row>
    <row r="18" spans="1:17" s="1265" customFormat="1" hidden="1">
      <c r="A18" s="1265" t="s">
        <v>213</v>
      </c>
      <c r="N18" s="1265" t="s">
        <v>214</v>
      </c>
    </row>
    <row r="19" spans="1:17" s="1265" customFormat="1">
      <c r="A19" s="1934" t="s">
        <v>5865</v>
      </c>
      <c r="B19" s="1934" t="s">
        <v>215</v>
      </c>
      <c r="C19" s="1934" t="s">
        <v>216</v>
      </c>
      <c r="D19" s="1934"/>
      <c r="E19" s="1934"/>
      <c r="F19" s="1934"/>
      <c r="G19" s="1934"/>
      <c r="H19" s="1934"/>
      <c r="I19" s="1934"/>
      <c r="J19" s="1934"/>
      <c r="K19" s="1934"/>
      <c r="L19" s="1934"/>
      <c r="M19" s="1934"/>
      <c r="N19" s="1934"/>
      <c r="O19" s="1267" t="s">
        <v>4197</v>
      </c>
      <c r="P19" s="1267" t="s">
        <v>4198</v>
      </c>
      <c r="Q19" s="1267" t="s">
        <v>4199</v>
      </c>
    </row>
    <row r="20" spans="1:17" s="1265" customFormat="1">
      <c r="A20" s="1934"/>
      <c r="B20" s="1934"/>
      <c r="C20" s="1266" t="s">
        <v>4200</v>
      </c>
      <c r="D20" s="1266">
        <v>20</v>
      </c>
      <c r="E20" s="1266">
        <v>50</v>
      </c>
      <c r="F20" s="1266">
        <v>100</v>
      </c>
      <c r="G20" s="1266">
        <v>200</v>
      </c>
      <c r="H20" s="1266">
        <v>500</v>
      </c>
      <c r="I20" s="1268">
        <v>1000</v>
      </c>
      <c r="J20" s="1268">
        <v>2000</v>
      </c>
      <c r="K20" s="1268">
        <v>5000</v>
      </c>
      <c r="L20" s="1268">
        <v>10000</v>
      </c>
      <c r="M20" s="1268">
        <v>20000</v>
      </c>
      <c r="N20" s="1268">
        <v>30000</v>
      </c>
      <c r="O20" s="1296">
        <f>$C$4+$C$5</f>
        <v>5.5598256809999995</v>
      </c>
      <c r="P20" s="1267">
        <f>IF(O20&lt;D20,10,IF(O20&gt;N20,N20,HLOOKUP(O20,D20:N20,1)))</f>
        <v>10</v>
      </c>
      <c r="Q20" s="1267">
        <f>IF(O20&lt;10,10,IF(O20&lt;20,20,IF(O20&gt;N20,N20,INDEX(D20:N20,MATCH(O20,D20:N20,1)+1))))</f>
        <v>10</v>
      </c>
    </row>
    <row r="21" spans="1:17" s="1265" customFormat="1">
      <c r="A21" s="1269">
        <v>1</v>
      </c>
      <c r="B21" s="727" t="s">
        <v>4201</v>
      </c>
      <c r="C21" s="1270">
        <v>3.282</v>
      </c>
      <c r="D21" s="1270">
        <v>2.7839999999999998</v>
      </c>
      <c r="E21" s="1270">
        <v>2.4860000000000002</v>
      </c>
      <c r="F21" s="1270">
        <v>1.921</v>
      </c>
      <c r="G21" s="1270">
        <v>1.796</v>
      </c>
      <c r="H21" s="1270">
        <v>1.4419999999999999</v>
      </c>
      <c r="I21" s="1270">
        <v>1.18</v>
      </c>
      <c r="J21" s="1270">
        <v>0.91200000000000003</v>
      </c>
      <c r="K21" s="1270">
        <v>0.67700000000000005</v>
      </c>
      <c r="L21" s="1270">
        <v>0.48599999999999999</v>
      </c>
      <c r="M21" s="1270">
        <v>0.36299999999999999</v>
      </c>
      <c r="N21" s="1270">
        <v>0.28999999999999998</v>
      </c>
      <c r="O21" s="1271">
        <f>IF(Q$20=P$20,P21,ROUND(P21-((P21-Q21)/(Q$20-P$20))*(O$20-P$20),3))</f>
        <v>3.282</v>
      </c>
      <c r="P21" s="1271">
        <f>IF(P$20=10,C21,HLOOKUP($P$20,$D$20:$N$25,2,TRUE))</f>
        <v>3.282</v>
      </c>
      <c r="Q21" s="1271">
        <f>IF(Q$20=10,C21,HLOOKUP($Q$20,$D$20:$N$25,2,TRUE))</f>
        <v>3.282</v>
      </c>
    </row>
    <row r="22" spans="1:17" s="1265" customFormat="1">
      <c r="A22" s="1269">
        <v>2</v>
      </c>
      <c r="B22" s="727" t="s">
        <v>4202</v>
      </c>
      <c r="C22" s="1270">
        <v>3.4529999999999998</v>
      </c>
      <c r="D22" s="1270">
        <v>2.93</v>
      </c>
      <c r="E22" s="1270">
        <v>2.6160000000000001</v>
      </c>
      <c r="F22" s="1270">
        <v>2.0209999999999999</v>
      </c>
      <c r="G22" s="1270">
        <v>1.89</v>
      </c>
      <c r="H22" s="1270">
        <v>1.518</v>
      </c>
      <c r="I22" s="1270">
        <v>1.242</v>
      </c>
      <c r="J22" s="1270">
        <v>1.071</v>
      </c>
      <c r="K22" s="1270">
        <v>0.71299999999999997</v>
      </c>
      <c r="L22" s="1270">
        <v>0.51200000000000001</v>
      </c>
      <c r="M22" s="1270">
        <v>0.38200000000000001</v>
      </c>
      <c r="N22" s="1270">
        <v>0.30499999999999999</v>
      </c>
      <c r="O22" s="1297">
        <f>IF(Q$20=P$20,P22,ROUND(P22-((P22-Q22)/(Q$20-P$20))*(O$20-P$20),3))</f>
        <v>3.4529999999999998</v>
      </c>
      <c r="P22" s="1271">
        <f>IF(P$20=10,C22,HLOOKUP($P$20,$D$20:$N$25,3,TRUE))</f>
        <v>3.4529999999999998</v>
      </c>
      <c r="Q22" s="1271">
        <f>IF(Q$20=10,C22,HLOOKUP($Q$20,$D$20:$N$25,3,TRUE))</f>
        <v>3.4529999999999998</v>
      </c>
    </row>
    <row r="23" spans="1:17" s="1265" customFormat="1">
      <c r="A23" s="1269">
        <v>3</v>
      </c>
      <c r="B23" s="727" t="s">
        <v>4203</v>
      </c>
      <c r="C23" s="1270">
        <v>2.9359999999999999</v>
      </c>
      <c r="D23" s="1270">
        <v>2.4910000000000001</v>
      </c>
      <c r="E23" s="1270">
        <v>2.2250000000000001</v>
      </c>
      <c r="F23" s="1270">
        <v>1.7190000000000001</v>
      </c>
      <c r="G23" s="1270">
        <v>1.607</v>
      </c>
      <c r="H23" s="1270">
        <v>1.29</v>
      </c>
      <c r="I23" s="1270">
        <v>1.056</v>
      </c>
      <c r="J23" s="1270">
        <v>0.91</v>
      </c>
      <c r="K23" s="1270">
        <v>0.60599999999999998</v>
      </c>
      <c r="L23" s="1270">
        <v>0.435</v>
      </c>
      <c r="M23" s="1270">
        <v>0.32500000000000001</v>
      </c>
      <c r="N23" s="1270">
        <v>0.26</v>
      </c>
      <c r="O23" s="1271">
        <f>IF(Q$20=P$20,P23,ROUND(P23-((P23-Q23)/(Q$20-P$20))*(O$20-P$20),3))</f>
        <v>2.9359999999999999</v>
      </c>
      <c r="P23" s="1271">
        <f>IF(P$20=10,C23,HLOOKUP($P$20,$D$20:$N$25,4,TRUE))</f>
        <v>2.9359999999999999</v>
      </c>
      <c r="Q23" s="1271">
        <f>IF(Q$20=10,C23,HLOOKUP($Q$20,$D$20:$N$25,4,TRUE))</f>
        <v>2.9359999999999999</v>
      </c>
    </row>
    <row r="24" spans="1:17" s="1265" customFormat="1">
      <c r="A24" s="1269">
        <v>4</v>
      </c>
      <c r="B24" s="727" t="s">
        <v>4204</v>
      </c>
      <c r="C24" s="1270">
        <v>3.1080000000000001</v>
      </c>
      <c r="D24" s="1270">
        <v>2.637</v>
      </c>
      <c r="E24" s="1270">
        <v>2.355</v>
      </c>
      <c r="F24" s="1270">
        <v>1.819</v>
      </c>
      <c r="G24" s="1270">
        <v>1.7010000000000001</v>
      </c>
      <c r="H24" s="1270">
        <v>1.3660000000000001</v>
      </c>
      <c r="I24" s="1270">
        <v>1.1180000000000001</v>
      </c>
      <c r="J24" s="1270">
        <v>0.96399999999999997</v>
      </c>
      <c r="K24" s="1270">
        <v>0.64200000000000002</v>
      </c>
      <c r="L24" s="1270">
        <v>0.46100000000000002</v>
      </c>
      <c r="M24" s="1270">
        <v>0.34399999999999997</v>
      </c>
      <c r="N24" s="1270">
        <v>0.27500000000000002</v>
      </c>
      <c r="O24" s="1271">
        <f>IF(Q$20=P$20,P24,ROUND(P24-((P24-Q24)/(Q$20-P$20))*(O$20-P$20),3))</f>
        <v>3.1080000000000001</v>
      </c>
      <c r="P24" s="1271">
        <f>IF(P$20=10,C24,HLOOKUP($P$20,$D$20:$N$25,5,TRUE))</f>
        <v>3.1080000000000001</v>
      </c>
      <c r="Q24" s="1271">
        <f>IF(Q$20=10,C24,HLOOKUP($Q$20,$D$20:$N$25,5,TRUE))</f>
        <v>3.1080000000000001</v>
      </c>
    </row>
    <row r="25" spans="1:17" s="1265" customFormat="1">
      <c r="A25" s="1269">
        <v>5</v>
      </c>
      <c r="B25" s="727" t="s">
        <v>4205</v>
      </c>
      <c r="C25" s="1270">
        <v>2.7629999999999999</v>
      </c>
      <c r="D25" s="1270">
        <v>2.3439999999999999</v>
      </c>
      <c r="E25" s="1270">
        <v>2.093</v>
      </c>
      <c r="F25" s="1270">
        <v>1.5169999999999999</v>
      </c>
      <c r="G25" s="1270">
        <v>1.486</v>
      </c>
      <c r="H25" s="1270">
        <v>1.214</v>
      </c>
      <c r="I25" s="1270">
        <v>1.02</v>
      </c>
      <c r="J25" s="1270">
        <v>0.85599999999999998</v>
      </c>
      <c r="K25" s="1270">
        <v>0.56999999999999995</v>
      </c>
      <c r="L25" s="1270">
        <v>0.40899999999999997</v>
      </c>
      <c r="M25" s="1270">
        <v>0.30599999999999999</v>
      </c>
      <c r="N25" s="1270">
        <v>0.245</v>
      </c>
      <c r="O25" s="1271">
        <f>IF(Q$20=P$20,P25,ROUND(P25-((P25-Q25)/(Q$20-P$20))*(O$20-P$20),3))</f>
        <v>2.7629999999999999</v>
      </c>
      <c r="P25" s="1271">
        <f>IF(P$20=10,C25,HLOOKUP($P$20,$D$20:$N$25,6,TRUE))</f>
        <v>2.7629999999999999</v>
      </c>
      <c r="Q25" s="1271">
        <f>IF(Q$20=10,C25,HLOOKUP($Q$20,$D$20:$N$25,6,TRUE))</f>
        <v>2.7629999999999999</v>
      </c>
    </row>
    <row r="26" spans="1:17" s="1265" customFormat="1" hidden="1">
      <c r="A26" s="1265" t="s">
        <v>4206</v>
      </c>
      <c r="Q26" s="1272"/>
    </row>
    <row r="27" spans="1:17" s="1265" customFormat="1"/>
    <row r="28" spans="1:17" s="1265" customFormat="1" hidden="1">
      <c r="A28" s="1934" t="s">
        <v>1753</v>
      </c>
      <c r="B28" s="1934"/>
      <c r="C28" s="1934"/>
      <c r="D28" s="1934"/>
      <c r="E28" s="1934"/>
      <c r="F28" s="1934"/>
      <c r="G28" s="1934"/>
    </row>
    <row r="29" spans="1:17" s="1265" customFormat="1" hidden="1">
      <c r="K29" s="1934" t="s">
        <v>212</v>
      </c>
      <c r="L29" s="1934"/>
      <c r="M29" s="1934"/>
      <c r="N29" s="1934"/>
    </row>
    <row r="30" spans="1:17" s="1265" customFormat="1" hidden="1">
      <c r="A30" s="1265" t="s">
        <v>1754</v>
      </c>
      <c r="N30" s="1265" t="s">
        <v>214</v>
      </c>
    </row>
    <row r="31" spans="1:17" s="1265" customFormat="1" hidden="1">
      <c r="A31" s="1934" t="s">
        <v>5865</v>
      </c>
      <c r="B31" s="1934" t="s">
        <v>215</v>
      </c>
      <c r="C31" s="1934" t="s">
        <v>216</v>
      </c>
      <c r="D31" s="1934"/>
      <c r="E31" s="1934"/>
      <c r="F31" s="1934"/>
      <c r="G31" s="1934"/>
      <c r="H31" s="1934"/>
      <c r="I31" s="1934"/>
      <c r="J31" s="1934"/>
      <c r="K31" s="1934"/>
      <c r="L31" s="1934"/>
      <c r="M31" s="1934"/>
      <c r="N31" s="1934"/>
      <c r="O31" s="1267" t="s">
        <v>4197</v>
      </c>
      <c r="P31" s="1267" t="s">
        <v>4198</v>
      </c>
      <c r="Q31" s="1267" t="s">
        <v>4199</v>
      </c>
    </row>
    <row r="32" spans="1:17" s="1265" customFormat="1" hidden="1">
      <c r="A32" s="1934"/>
      <c r="B32" s="1934"/>
      <c r="C32" s="1266" t="s">
        <v>1755</v>
      </c>
      <c r="D32" s="1266">
        <v>20</v>
      </c>
      <c r="E32" s="1266">
        <v>50</v>
      </c>
      <c r="F32" s="1266">
        <v>100</v>
      </c>
      <c r="G32" s="1266">
        <v>200</v>
      </c>
      <c r="H32" s="1266">
        <v>500</v>
      </c>
      <c r="I32" s="1268">
        <v>1000</v>
      </c>
      <c r="J32" s="1268">
        <v>2000</v>
      </c>
      <c r="K32" s="1268">
        <v>5000</v>
      </c>
      <c r="L32" s="1268">
        <v>10000</v>
      </c>
      <c r="M32" s="1268">
        <v>20000</v>
      </c>
      <c r="N32" s="1268">
        <v>30000</v>
      </c>
      <c r="O32" s="1267">
        <f>$C$4+$C$5</f>
        <v>5.5598256809999995</v>
      </c>
      <c r="P32" s="1267">
        <f>IF(O32&lt;D32,15,IF(O32&gt;N32,N32,HLOOKUP(O32,D32:N32,1)))</f>
        <v>15</v>
      </c>
      <c r="Q32" s="1267">
        <f>IF(O32&lt;15,15,IF(O32&lt;20,20,IF(O32&gt;N32,N32,INDEX(D32:N32,MATCH(O32,D32:N32,1)+1))))</f>
        <v>15</v>
      </c>
    </row>
    <row r="33" spans="1:17" s="1265" customFormat="1" hidden="1">
      <c r="A33" s="1269">
        <v>1</v>
      </c>
      <c r="B33" s="727" t="s">
        <v>4201</v>
      </c>
      <c r="C33" s="1270">
        <v>0.66800000000000004</v>
      </c>
      <c r="D33" s="1270">
        <v>0.503</v>
      </c>
      <c r="E33" s="1270">
        <v>0.376</v>
      </c>
      <c r="F33" s="1270">
        <v>0.24</v>
      </c>
      <c r="G33" s="1270">
        <v>0.161</v>
      </c>
      <c r="H33" s="1270">
        <v>0.1</v>
      </c>
      <c r="I33" s="1270">
        <v>8.5999999999999993E-2</v>
      </c>
      <c r="J33" s="1270">
        <v>7.2999999999999995E-2</v>
      </c>
      <c r="K33" s="1270">
        <v>0.05</v>
      </c>
      <c r="L33" s="1270">
        <v>0.04</v>
      </c>
      <c r="M33" s="1270">
        <v>2.5999999999999999E-2</v>
      </c>
      <c r="N33" s="1270">
        <v>2.1999999999999999E-2</v>
      </c>
      <c r="O33" s="1271">
        <f>IF(Q$32=P$32,P33,ROUND(P33-((P33-Q33)/(Q$32-P$32))*(O$32-P$32),3))</f>
        <v>0.66800000000000004</v>
      </c>
      <c r="P33" s="1271">
        <f>IF(P$32=0,0,IF(P$32=15,C33,HLOOKUP($P$32,$D$32:$N$37,2,TRUE)))</f>
        <v>0.66800000000000004</v>
      </c>
      <c r="Q33" s="1271">
        <f>IF(Q$32=0,0,IF(Q$32=15,C33,HLOOKUP($Q$32,$D$32:$N$37,2,TRUE)))</f>
        <v>0.66800000000000004</v>
      </c>
    </row>
    <row r="34" spans="1:17" s="1265" customFormat="1" hidden="1">
      <c r="A34" s="1269">
        <v>2</v>
      </c>
      <c r="B34" s="727" t="s">
        <v>4202</v>
      </c>
      <c r="C34" s="1270">
        <v>0.75700000000000001</v>
      </c>
      <c r="D34" s="1270">
        <v>0.61199999999999999</v>
      </c>
      <c r="E34" s="1270">
        <v>0.441</v>
      </c>
      <c r="F34" s="1270">
        <v>0.29399999999999998</v>
      </c>
      <c r="G34" s="1270">
        <v>0.20599999999999999</v>
      </c>
      <c r="H34" s="1270">
        <v>0.16300000000000001</v>
      </c>
      <c r="I34" s="1270">
        <v>0.14099999999999999</v>
      </c>
      <c r="J34" s="1270">
        <v>0.11</v>
      </c>
      <c r="K34" s="1270">
        <v>7.3999999999999996E-2</v>
      </c>
      <c r="L34" s="1270">
        <v>5.7000000000000002E-2</v>
      </c>
      <c r="M34" s="1270">
        <v>3.4000000000000002E-2</v>
      </c>
      <c r="N34" s="1270">
        <v>2.7E-2</v>
      </c>
      <c r="O34" s="1271">
        <f>IF(Q$32=P$32,P34,ROUND(P34-((P34-Q34)/(Q$32-P$32))*(O$32-P$32),3))</f>
        <v>0.75700000000000001</v>
      </c>
      <c r="P34" s="1271">
        <f>IF(P$32=0,0,IF(P$32=15,C34,HLOOKUP($P$32,$D$32:$N$37,3,TRUE)))</f>
        <v>0.75700000000000001</v>
      </c>
      <c r="Q34" s="1271">
        <f>IF(Q$32=0,0,IF(Q$32=15,C34,HLOOKUP($Q$32,$D$32:$N$37,3,TRUE)))</f>
        <v>0.75700000000000001</v>
      </c>
    </row>
    <row r="35" spans="1:17" s="1265" customFormat="1" hidden="1">
      <c r="A35" s="1269">
        <v>3</v>
      </c>
      <c r="B35" s="727" t="s">
        <v>4203</v>
      </c>
      <c r="C35" s="1270">
        <v>0.41299999999999998</v>
      </c>
      <c r="D35" s="1270">
        <v>0.34499999999999997</v>
      </c>
      <c r="E35" s="1270">
        <v>0.251</v>
      </c>
      <c r="F35" s="1270">
        <v>0.17699999999999999</v>
      </c>
      <c r="G35" s="1270">
        <v>0.108</v>
      </c>
      <c r="H35" s="1270">
        <v>7.0999999999999994E-2</v>
      </c>
      <c r="I35" s="1270">
        <v>6.2E-2</v>
      </c>
      <c r="J35" s="1270">
        <v>5.2999999999999999E-2</v>
      </c>
      <c r="K35" s="1270">
        <v>3.5999999999999997E-2</v>
      </c>
      <c r="L35" s="1270">
        <v>2.9000000000000001E-2</v>
      </c>
      <c r="M35" s="1270">
        <v>1.9E-2</v>
      </c>
      <c r="N35" s="1270">
        <v>1.6E-2</v>
      </c>
      <c r="O35" s="1271">
        <f>IF(Q$32=P$32,P35,ROUND(P35-((P35-Q35)/(Q$32-P$32))*(O$32-P$32),3))</f>
        <v>0.41299999999999998</v>
      </c>
      <c r="P35" s="1271">
        <f>IF(P$32=0,0,IF(P$32=15,C35,HLOOKUP($P$32,$D$32:$N$37,4,TRUE)))</f>
        <v>0.41299999999999998</v>
      </c>
      <c r="Q35" s="1271">
        <f>IF(Q$32=0,0,IF(Q$32=15,C35,HLOOKUP($Q$32,$D$32:$N$37,4,TRUE)))</f>
        <v>0.41299999999999998</v>
      </c>
    </row>
    <row r="36" spans="1:17" s="1265" customFormat="1" hidden="1">
      <c r="A36" s="1269">
        <v>4</v>
      </c>
      <c r="B36" s="727" t="s">
        <v>4204</v>
      </c>
      <c r="C36" s="1270">
        <v>0.56599999999999995</v>
      </c>
      <c r="D36" s="1270">
        <v>0.47199999999999998</v>
      </c>
      <c r="E36" s="1270">
        <v>0.34300000000000003</v>
      </c>
      <c r="F36" s="1270">
        <v>0.216</v>
      </c>
      <c r="G36" s="1270">
        <v>0.14399999999999999</v>
      </c>
      <c r="H36" s="1270">
        <v>9.6000000000000002E-2</v>
      </c>
      <c r="I36" s="1270">
        <v>8.2000000000000003E-2</v>
      </c>
      <c r="J36" s="1270">
        <v>7.0000000000000007E-2</v>
      </c>
      <c r="K36" s="1270">
        <v>4.8000000000000001E-2</v>
      </c>
      <c r="L36" s="1270">
        <v>3.9E-2</v>
      </c>
      <c r="M36" s="1270">
        <v>2.5000000000000001E-2</v>
      </c>
      <c r="N36" s="1270">
        <v>2.1000000000000001E-2</v>
      </c>
      <c r="O36" s="1271">
        <f>IF(Q$32=P$32,P36,ROUND(P36-((P36-Q36)/(Q$32-P$32))*(O$32-P$32),3))</f>
        <v>0.56599999999999995</v>
      </c>
      <c r="P36" s="1271">
        <f>IF(P$32=0,0,IF(P$32=15,C36,HLOOKUP($P$32,$D$32:$N$37,5,TRUE)))</f>
        <v>0.56599999999999995</v>
      </c>
      <c r="Q36" s="1271">
        <f>IF(Q$32=0,0,IF(Q$32=15,C36,HLOOKUP($Q$32,$D$32:$N$37,5,TRUE)))</f>
        <v>0.56599999999999995</v>
      </c>
    </row>
    <row r="37" spans="1:17" s="1265" customFormat="1" hidden="1">
      <c r="A37" s="1269">
        <v>5</v>
      </c>
      <c r="B37" s="727" t="s">
        <v>4205</v>
      </c>
      <c r="C37" s="1270">
        <v>0.43099999999999999</v>
      </c>
      <c r="D37" s="1270">
        <v>0.36</v>
      </c>
      <c r="E37" s="1270">
        <v>0.26200000000000001</v>
      </c>
      <c r="F37" s="1270">
        <v>0.183</v>
      </c>
      <c r="G37" s="1270">
        <v>0.112</v>
      </c>
      <c r="H37" s="1270">
        <v>7.3999999999999996E-2</v>
      </c>
      <c r="I37" s="1270">
        <v>6.5000000000000002E-2</v>
      </c>
      <c r="J37" s="1270">
        <v>5.5E-2</v>
      </c>
      <c r="K37" s="1270">
        <v>3.7999999999999999E-2</v>
      </c>
      <c r="L37" s="1270">
        <v>0.03</v>
      </c>
      <c r="M37" s="1270">
        <v>0.02</v>
      </c>
      <c r="N37" s="1270">
        <v>1.7000000000000001E-2</v>
      </c>
      <c r="O37" s="1271">
        <f>IF(Q$32=P$32,P37,ROUND(P37-((P37-Q37)/(Q$32-P$32))*(O$32-P$32),3))</f>
        <v>0.43099999999999999</v>
      </c>
      <c r="P37" s="1271">
        <f>IF(P$32=0,0,IF(P$32=15,C37,HLOOKUP($P$32,$D$32:$N$37,6,TRUE)))</f>
        <v>0.43099999999999999</v>
      </c>
      <c r="Q37" s="1271">
        <f>IF(Q$32=0,0,IF(Q$32=15,C37,HLOOKUP($Q$32,$D$32:$N$37,6,TRUE)))</f>
        <v>0.43099999999999999</v>
      </c>
    </row>
    <row r="38" spans="1:17" s="1265" customFormat="1" hidden="1">
      <c r="A38" s="1265" t="s">
        <v>1756</v>
      </c>
      <c r="Q38" s="1271"/>
    </row>
    <row r="39" spans="1:17" s="1265" customFormat="1" hidden="1">
      <c r="Q39" s="1273"/>
    </row>
    <row r="40" spans="1:17" s="1265" customFormat="1" hidden="1">
      <c r="A40" s="1934" t="s">
        <v>1757</v>
      </c>
      <c r="B40" s="1934"/>
      <c r="C40" s="1934"/>
      <c r="D40" s="1934"/>
      <c r="E40" s="1934"/>
      <c r="F40" s="1934"/>
      <c r="G40" s="1934"/>
    </row>
    <row r="41" spans="1:17" s="1265" customFormat="1" hidden="1">
      <c r="G41" s="1299"/>
      <c r="K41" s="1934" t="s">
        <v>212</v>
      </c>
      <c r="L41" s="1934"/>
      <c r="M41" s="1934"/>
      <c r="N41" s="1934"/>
    </row>
    <row r="42" spans="1:17" s="1265" customFormat="1" hidden="1">
      <c r="A42" s="1265" t="s">
        <v>1758</v>
      </c>
      <c r="N42" s="1265" t="s">
        <v>214</v>
      </c>
    </row>
    <row r="43" spans="1:17" s="1265" customFormat="1" hidden="1">
      <c r="A43" s="1934" t="s">
        <v>5865</v>
      </c>
      <c r="B43" s="1934" t="s">
        <v>215</v>
      </c>
      <c r="C43" s="1934" t="s">
        <v>216</v>
      </c>
      <c r="D43" s="1934"/>
      <c r="E43" s="1934"/>
      <c r="F43" s="1934"/>
      <c r="G43" s="1934"/>
      <c r="H43" s="1934"/>
      <c r="I43" s="1934"/>
      <c r="J43" s="1934"/>
      <c r="K43" s="1934"/>
      <c r="L43" s="1934"/>
      <c r="M43" s="1934"/>
      <c r="N43" s="1934"/>
      <c r="O43" s="1267" t="s">
        <v>4197</v>
      </c>
      <c r="P43" s="1267" t="s">
        <v>4198</v>
      </c>
      <c r="Q43" s="1267" t="s">
        <v>4199</v>
      </c>
    </row>
    <row r="44" spans="1:17" s="1265" customFormat="1" hidden="1">
      <c r="A44" s="1934"/>
      <c r="B44" s="1934"/>
      <c r="C44" s="1266" t="s">
        <v>1755</v>
      </c>
      <c r="D44" s="1266">
        <v>20</v>
      </c>
      <c r="E44" s="1266">
        <v>50</v>
      </c>
      <c r="F44" s="1266">
        <v>100</v>
      </c>
      <c r="G44" s="1266">
        <v>200</v>
      </c>
      <c r="H44" s="1266">
        <v>500</v>
      </c>
      <c r="I44" s="1268">
        <v>1000</v>
      </c>
      <c r="J44" s="1268">
        <v>2000</v>
      </c>
      <c r="K44" s="1268">
        <v>5000</v>
      </c>
      <c r="L44" s="1268">
        <v>10000</v>
      </c>
      <c r="M44" s="1268">
        <v>20000</v>
      </c>
      <c r="N44" s="1268">
        <v>30000</v>
      </c>
      <c r="O44" s="1267">
        <f>$C$4+$C$5</f>
        <v>5.5598256809999995</v>
      </c>
      <c r="P44" s="1267">
        <f>IF(O44&lt;D44,15,IF(O44&gt;N44,N44,HLOOKUP(O44,D44:N44,1)))</f>
        <v>15</v>
      </c>
      <c r="Q44" s="1267">
        <f>IF(O44&lt;15,15,IF(O44&lt;20,20,IF(O44&gt;N44,N44,INDEX(D44:N44,MATCH(O44,D44:N44,1)+1))))</f>
        <v>15</v>
      </c>
    </row>
    <row r="45" spans="1:17" s="1265" customFormat="1" hidden="1">
      <c r="A45" s="1269">
        <v>1</v>
      </c>
      <c r="B45" s="727" t="s">
        <v>4201</v>
      </c>
      <c r="C45" s="1270">
        <v>1.1140000000000001</v>
      </c>
      <c r="D45" s="1270">
        <v>0.91400000000000003</v>
      </c>
      <c r="E45" s="1270">
        <v>0.751</v>
      </c>
      <c r="F45" s="1270">
        <v>0.53400000000000003</v>
      </c>
      <c r="G45" s="1270">
        <v>0.40200000000000002</v>
      </c>
      <c r="H45" s="1270">
        <v>0.28699999999999998</v>
      </c>
      <c r="I45" s="1270">
        <v>0.246</v>
      </c>
      <c r="J45" s="1270">
        <v>0.20899999999999999</v>
      </c>
      <c r="K45" s="1270">
        <v>0.16700000000000001</v>
      </c>
      <c r="L45" s="1270">
        <v>0.13400000000000001</v>
      </c>
      <c r="M45" s="1270">
        <v>0.10199999999999999</v>
      </c>
      <c r="N45" s="1270">
        <v>8.5999999999999993E-2</v>
      </c>
      <c r="O45" s="1271">
        <f>IF(Q$44=P$44,P45,ROUND(P45-((P45-Q45)/(Q$44-P$44))*(O$44-P$44),3))</f>
        <v>1.1140000000000001</v>
      </c>
      <c r="P45" s="1271">
        <f>IF(P$44=0,0,IF(P$44=15,C45,HLOOKUP($P$44,$D$44:$N$49,2,TRUE)))</f>
        <v>1.1140000000000001</v>
      </c>
      <c r="Q45" s="1271">
        <f>IF(Q$44=0,0,IF(Q$44=15,C45,HLOOKUP($Q$44,$D$44:$N$49,2,TRUE)))</f>
        <v>1.1140000000000001</v>
      </c>
    </row>
    <row r="46" spans="1:17" s="1265" customFormat="1" hidden="1">
      <c r="A46" s="1269">
        <v>2</v>
      </c>
      <c r="B46" s="727" t="s">
        <v>4202</v>
      </c>
      <c r="C46" s="1270">
        <v>1.2609999999999999</v>
      </c>
      <c r="D46" s="1270">
        <v>1.1120000000000001</v>
      </c>
      <c r="E46" s="1270">
        <v>0.88200000000000001</v>
      </c>
      <c r="F46" s="1270">
        <v>0.65400000000000003</v>
      </c>
      <c r="G46" s="1270">
        <v>0.51500000000000001</v>
      </c>
      <c r="H46" s="1270">
        <v>0.46600000000000003</v>
      </c>
      <c r="I46" s="1270">
        <v>0.40400000000000003</v>
      </c>
      <c r="J46" s="1270">
        <v>0.315</v>
      </c>
      <c r="K46" s="1270">
        <v>0.248</v>
      </c>
      <c r="L46" s="1270">
        <v>0.189</v>
      </c>
      <c r="M46" s="1270">
        <v>0.13500000000000001</v>
      </c>
      <c r="N46" s="1270">
        <v>0.107</v>
      </c>
      <c r="O46" s="1271">
        <f>IF(Q$44=P$44,P46,ROUND(P46-((P46-Q46)/(Q$44-P$44))*(O$44-P$44),3))</f>
        <v>1.2609999999999999</v>
      </c>
      <c r="P46" s="1271">
        <f>IF(P$44=0,0,IF(P$44=15,C46,HLOOKUP($P$44,$D$44:$N$49,3,TRUE)))</f>
        <v>1.2609999999999999</v>
      </c>
      <c r="Q46" s="1271">
        <f>IF(Q$44=0,0,IF(Q$44=15,C46,HLOOKUP($Q$44,$D$44:$N$49,3,TRUE)))</f>
        <v>1.2609999999999999</v>
      </c>
    </row>
    <row r="47" spans="1:17" s="1265" customFormat="1" hidden="1">
      <c r="A47" s="1269">
        <v>3</v>
      </c>
      <c r="B47" s="727" t="s">
        <v>4203</v>
      </c>
      <c r="C47" s="1270">
        <v>0.68899999999999995</v>
      </c>
      <c r="D47" s="1270">
        <v>0.628</v>
      </c>
      <c r="E47" s="1270">
        <v>0.501</v>
      </c>
      <c r="F47" s="1270">
        <v>0.39300000000000002</v>
      </c>
      <c r="G47" s="1270">
        <v>0.27100000000000002</v>
      </c>
      <c r="H47" s="1270">
        <v>0.20300000000000001</v>
      </c>
      <c r="I47" s="1270">
        <v>0.17699999999999999</v>
      </c>
      <c r="J47" s="1270">
        <v>0.151</v>
      </c>
      <c r="K47" s="1270">
        <v>0.12</v>
      </c>
      <c r="L47" s="1270">
        <v>9.7000000000000003E-2</v>
      </c>
      <c r="M47" s="1270">
        <v>7.4999999999999997E-2</v>
      </c>
      <c r="N47" s="1270">
        <v>6.3E-2</v>
      </c>
      <c r="O47" s="1271">
        <f>IF(Q$44=P$44,P47,ROUND(P47-((P47-Q47)/(Q$44-P$44))*(O$44-P$44),3))</f>
        <v>0.68899999999999995</v>
      </c>
      <c r="P47" s="1271">
        <f>IF(P$44=0,0,IF(P$44=15,C47,HLOOKUP($P$44,$D$44:$N$49,4,TRUE)))</f>
        <v>0.68899999999999995</v>
      </c>
      <c r="Q47" s="1271">
        <f>IF(Q$44=0,0,IF(Q$44=15,C47,HLOOKUP($Q$44,$D$44:$N$49,4,TRUE)))</f>
        <v>0.68899999999999995</v>
      </c>
    </row>
    <row r="48" spans="1:17" s="1265" customFormat="1" hidden="1">
      <c r="A48" s="1269">
        <v>4</v>
      </c>
      <c r="B48" s="727" t="s">
        <v>4204</v>
      </c>
      <c r="C48" s="1270">
        <v>0.94299999999999995</v>
      </c>
      <c r="D48" s="1270">
        <v>0.85799999999999998</v>
      </c>
      <c r="E48" s="1270">
        <v>0.68500000000000005</v>
      </c>
      <c r="F48" s="1270">
        <v>0.48</v>
      </c>
      <c r="G48" s="1270">
        <v>0.36099999999999999</v>
      </c>
      <c r="H48" s="1270">
        <v>0.27300000000000002</v>
      </c>
      <c r="I48" s="1270">
        <v>0.23400000000000001</v>
      </c>
      <c r="J48" s="1270">
        <v>0.20100000000000001</v>
      </c>
      <c r="K48" s="1270">
        <v>0.161</v>
      </c>
      <c r="L48" s="1270">
        <v>0.129</v>
      </c>
      <c r="M48" s="1270">
        <v>0.1</v>
      </c>
      <c r="N48" s="1270">
        <v>8.4000000000000005E-2</v>
      </c>
      <c r="O48" s="1271">
        <f>IF(Q$44=P$44,P48,ROUND(P48-((P48-Q48)/(Q$44-P$44))*(O$44-P$44),3))</f>
        <v>0.94299999999999995</v>
      </c>
      <c r="P48" s="1271">
        <f>IF(P$44=0,0,IF(P$44=15,C48,HLOOKUP($P$44,$D$44:$N$49,5,TRUE)))</f>
        <v>0.94299999999999995</v>
      </c>
      <c r="Q48" s="1271">
        <f>IF(Q$44=0,0,IF(Q$44=15,C48,HLOOKUP($Q$44,$D$44:$N$49,5,TRUE)))</f>
        <v>0.94299999999999995</v>
      </c>
    </row>
    <row r="49" spans="1:17" s="1265" customFormat="1" hidden="1">
      <c r="A49" s="1269">
        <v>5</v>
      </c>
      <c r="B49" s="727" t="s">
        <v>4205</v>
      </c>
      <c r="C49" s="1270">
        <v>0.71899999999999997</v>
      </c>
      <c r="D49" s="1270">
        <v>0.65400000000000003</v>
      </c>
      <c r="E49" s="1270">
        <v>0.52400000000000002</v>
      </c>
      <c r="F49" s="1270">
        <v>0.40699999999999997</v>
      </c>
      <c r="G49" s="1270">
        <v>0.28000000000000003</v>
      </c>
      <c r="H49" s="1270">
        <v>0.21099999999999999</v>
      </c>
      <c r="I49" s="1270">
        <v>0.185</v>
      </c>
      <c r="J49" s="1270">
        <v>0.158</v>
      </c>
      <c r="K49" s="1270">
        <v>0.127</v>
      </c>
      <c r="L49" s="1270">
        <v>0.10100000000000001</v>
      </c>
      <c r="M49" s="1270">
        <v>7.8E-2</v>
      </c>
      <c r="N49" s="1270">
        <v>6.5000000000000002E-2</v>
      </c>
      <c r="O49" s="1271">
        <f>IF(Q$44=P$44,P49,ROUND(P49-((P49-Q49)/(Q$44-P$44))*(O$44-P$44),3))</f>
        <v>0.71899999999999997</v>
      </c>
      <c r="P49" s="1271">
        <f>IF(P$44=0,0,IF(P$44=15,C49,HLOOKUP($P$44,$D$44:$N$49,6,TRUE)))</f>
        <v>0.71899999999999997</v>
      </c>
      <c r="Q49" s="1271">
        <f>IF(Q$44=0,0,IF(Q$44=15,C49,HLOOKUP($Q$44,$D$44:$N$49,6,TRUE)))</f>
        <v>0.71899999999999997</v>
      </c>
    </row>
    <row r="50" spans="1:17" s="1265" customFormat="1" hidden="1">
      <c r="A50" s="1265" t="s">
        <v>1759</v>
      </c>
      <c r="Q50" s="1271"/>
    </row>
    <row r="51" spans="1:17" s="1265" customFormat="1" hidden="1"/>
    <row r="52" spans="1:17" s="1265" customFormat="1">
      <c r="A52" s="1934" t="s">
        <v>1760</v>
      </c>
      <c r="B52" s="1934"/>
      <c r="C52" s="1934"/>
      <c r="D52" s="1934"/>
      <c r="E52" s="1934"/>
      <c r="F52" s="1934"/>
      <c r="G52" s="1934"/>
    </row>
    <row r="53" spans="1:17" s="1265" customFormat="1">
      <c r="C53" s="1934" t="s">
        <v>212</v>
      </c>
      <c r="D53" s="1934"/>
      <c r="E53" s="1934"/>
      <c r="F53" s="1934"/>
    </row>
    <row r="54" spans="1:17" s="1265" customFormat="1" hidden="1">
      <c r="A54" s="1265" t="s">
        <v>1761</v>
      </c>
      <c r="F54" s="1265" t="s">
        <v>214</v>
      </c>
    </row>
    <row r="55" spans="1:17" s="1265" customFormat="1" ht="45.75" customHeight="1">
      <c r="A55" s="1934" t="s">
        <v>5865</v>
      </c>
      <c r="B55" s="1934" t="s">
        <v>215</v>
      </c>
      <c r="C55" s="1934" t="s">
        <v>216</v>
      </c>
      <c r="D55" s="1934"/>
      <c r="E55" s="1934"/>
      <c r="F55" s="1934"/>
      <c r="G55" s="1267" t="s">
        <v>4197</v>
      </c>
      <c r="H55" s="1267" t="s">
        <v>4198</v>
      </c>
      <c r="I55" s="1267" t="s">
        <v>4199</v>
      </c>
      <c r="J55" s="1275"/>
      <c r="K55" s="1275"/>
      <c r="L55" s="1275"/>
      <c r="M55" s="1275"/>
      <c r="N55" s="1275"/>
    </row>
    <row r="56" spans="1:17" s="1265" customFormat="1">
      <c r="A56" s="1934"/>
      <c r="B56" s="1934"/>
      <c r="C56" s="1266" t="s">
        <v>1762</v>
      </c>
      <c r="D56" s="1266">
        <v>3</v>
      </c>
      <c r="E56" s="1266">
        <v>7</v>
      </c>
      <c r="F56" s="1266" t="s">
        <v>1763</v>
      </c>
      <c r="G56" s="1267">
        <f>$C$4+$C$5</f>
        <v>5.5598256809999995</v>
      </c>
      <c r="H56" s="1267">
        <f>IF(G56&lt;D56,1,IF(G56&gt;=15,0,HLOOKUP(G56,D56:E56,1)))</f>
        <v>3</v>
      </c>
      <c r="I56" s="1267">
        <f>IF(G56&lt;1,1,IF(G56&lt;3,3,IF(G56&lt;7,7,IF(G56&gt;=15,0,IF(G56&gt;=7,15,0)))))</f>
        <v>7</v>
      </c>
    </row>
    <row r="57" spans="1:17" s="1265" customFormat="1">
      <c r="A57" s="1269">
        <v>1</v>
      </c>
      <c r="B57" s="727" t="s">
        <v>4201</v>
      </c>
      <c r="C57" s="1276">
        <v>6.5</v>
      </c>
      <c r="D57" s="1276">
        <v>4.7</v>
      </c>
      <c r="E57" s="1276">
        <v>4.2</v>
      </c>
      <c r="F57" s="1277">
        <v>3.6</v>
      </c>
      <c r="G57" s="1277">
        <f>IF(I$56=H$56,H57,ROUND(H57-((H57-I57)/(I$56-H$56))*(G$56-H$56),3))</f>
        <v>4.38</v>
      </c>
      <c r="H57" s="1277">
        <f>IF(H$56=1,C57,IF(H$56=3,D57,IF(H$56=7,E57,IF(H$56=15,F57,0))))</f>
        <v>4.7</v>
      </c>
      <c r="I57" s="1277">
        <f>IF(I$56=1,C57,IF(I$56=3,D57,IF(I$56=7,E57,IF(I$56=15,F57,0))))</f>
        <v>4.2</v>
      </c>
    </row>
    <row r="58" spans="1:17" s="1265" customFormat="1">
      <c r="A58" s="1269">
        <v>2</v>
      </c>
      <c r="B58" s="727" t="s">
        <v>4202</v>
      </c>
      <c r="C58" s="1276">
        <v>6.7</v>
      </c>
      <c r="D58" s="1276">
        <v>4.8</v>
      </c>
      <c r="E58" s="1276">
        <v>4.3</v>
      </c>
      <c r="F58" s="1277">
        <v>3.8</v>
      </c>
      <c r="G58" s="1298">
        <f>IF(I$56=H$56,H58,ROUND(H58-((H58-I58)/(I$56-H$56))*(G$56-H$56),3))</f>
        <v>4.4800000000000004</v>
      </c>
      <c r="H58" s="1277">
        <f>IF(H$56=1,C58,IF(H$56=3,D58,IF(H$56=7,E58,IF(H$56=15,F58,0))))</f>
        <v>4.8</v>
      </c>
      <c r="I58" s="1277">
        <f>IF(I$56=1,C58,IF(I$56=3,D58,IF(I$56=7,E58,IF(I$56=15,F58,0))))</f>
        <v>4.3</v>
      </c>
    </row>
    <row r="59" spans="1:17" s="1265" customFormat="1">
      <c r="A59" s="1269">
        <v>3</v>
      </c>
      <c r="B59" s="727" t="s">
        <v>4203</v>
      </c>
      <c r="C59" s="1276">
        <v>5.4</v>
      </c>
      <c r="D59" s="1276">
        <v>3.6</v>
      </c>
      <c r="E59" s="1276">
        <v>2.7</v>
      </c>
      <c r="F59" s="1277">
        <v>2.5</v>
      </c>
      <c r="G59" s="1277">
        <f>IF(I$56=H$56,H59,ROUND(H59-((H59-I59)/(I$56-H$56))*(G$56-H$56),3))</f>
        <v>3.024</v>
      </c>
      <c r="H59" s="1277">
        <f>IF(H$56=1,C59,IF(H$56=3,D59,IF(H$56=7,E59,IF(H$56=15,F59,0))))</f>
        <v>3.6</v>
      </c>
      <c r="I59" s="1277">
        <f>IF(I$56=1,C59,IF(I$56=3,D59,IF(I$56=7,E59,IF(I$56=15,F59,0))))</f>
        <v>2.7</v>
      </c>
    </row>
    <row r="60" spans="1:17" s="1265" customFormat="1">
      <c r="A60" s="1269">
        <v>4</v>
      </c>
      <c r="B60" s="727" t="s">
        <v>4204</v>
      </c>
      <c r="C60" s="1276">
        <v>6.2</v>
      </c>
      <c r="D60" s="1276">
        <v>4.4000000000000004</v>
      </c>
      <c r="E60" s="1276">
        <v>3.9</v>
      </c>
      <c r="F60" s="1277">
        <v>3.6</v>
      </c>
      <c r="G60" s="1277">
        <f>IF(I$56=H$56,H60,ROUND(H60-((H60-I60)/(I$56-H$56))*(G$56-H$56),3))</f>
        <v>4.08</v>
      </c>
      <c r="H60" s="1277">
        <f>IF(H$56=1,C60,IF(H$56=3,D60,IF(H$56=7,E60,IF(H$56=15,F60,0))))</f>
        <v>4.4000000000000004</v>
      </c>
      <c r="I60" s="1277">
        <f>IF(I$56=1,C60,IF(I$56=3,D60,IF(I$56=7,E60,IF(I$56=15,F60,0))))</f>
        <v>3.9</v>
      </c>
    </row>
    <row r="61" spans="1:17" s="1265" customFormat="1">
      <c r="A61" s="1269">
        <v>5</v>
      </c>
      <c r="B61" s="727" t="s">
        <v>4205</v>
      </c>
      <c r="C61" s="1276">
        <v>5.8</v>
      </c>
      <c r="D61" s="1276">
        <v>4.2</v>
      </c>
      <c r="E61" s="1276">
        <v>3.4</v>
      </c>
      <c r="F61" s="1277">
        <v>3</v>
      </c>
      <c r="G61" s="1277">
        <f>IF(I$56=H$56,H61,ROUND(H61-((H61-I61)/(I$56-H$56))*(G$56-H$56),3))</f>
        <v>3.6880000000000002</v>
      </c>
      <c r="H61" s="1277">
        <f>IF(H$56=1,C61,IF(H$56=3,D61,IF(H$56=7,E61,IF(H$56=15,F61,0))))</f>
        <v>4.2</v>
      </c>
      <c r="I61" s="1277">
        <f>IF(I$56=1,C61,IF(I$56=3,D61,IF(I$56=7,E61,IF(I$56=15,F61,0))))</f>
        <v>3.4</v>
      </c>
    </row>
    <row r="62" spans="1:17" s="1265" customFormat="1" hidden="1">
      <c r="A62" s="1265" t="s">
        <v>1764</v>
      </c>
    </row>
    <row r="63" spans="1:17" s="1265" customFormat="1"/>
    <row r="64" spans="1:17" s="1265" customFormat="1" hidden="1">
      <c r="A64" s="1934" t="s">
        <v>4310</v>
      </c>
      <c r="B64" s="1934"/>
      <c r="C64" s="1934"/>
      <c r="D64" s="1934"/>
      <c r="E64" s="1934"/>
      <c r="F64" s="1934"/>
      <c r="G64" s="1934"/>
    </row>
    <row r="65" spans="1:16" s="1265" customFormat="1" hidden="1">
      <c r="J65" s="1934" t="s">
        <v>212</v>
      </c>
      <c r="K65" s="1934"/>
      <c r="L65" s="1934"/>
      <c r="M65" s="1934"/>
      <c r="N65" s="719"/>
    </row>
    <row r="66" spans="1:16" s="1265" customFormat="1" hidden="1">
      <c r="A66" s="1265" t="s">
        <v>4311</v>
      </c>
      <c r="M66" s="1265" t="s">
        <v>214</v>
      </c>
    </row>
    <row r="67" spans="1:16" s="1265" customFormat="1" ht="29.25" hidden="1" customHeight="1">
      <c r="A67" s="1934" t="s">
        <v>5865</v>
      </c>
      <c r="B67" s="1934" t="s">
        <v>4312</v>
      </c>
      <c r="C67" s="1934" t="s">
        <v>4313</v>
      </c>
      <c r="D67" s="1934"/>
      <c r="E67" s="1934"/>
      <c r="F67" s="1934"/>
      <c r="G67" s="1934"/>
      <c r="H67" s="1934"/>
      <c r="I67" s="1934"/>
      <c r="J67" s="1934"/>
      <c r="K67" s="1934"/>
      <c r="L67" s="1934"/>
      <c r="M67" s="1934"/>
      <c r="N67" s="1267" t="s">
        <v>4197</v>
      </c>
      <c r="O67" s="1267" t="s">
        <v>4198</v>
      </c>
      <c r="P67" s="1267" t="s">
        <v>4199</v>
      </c>
    </row>
    <row r="68" spans="1:16" s="1265" customFormat="1" hidden="1">
      <c r="A68" s="1934"/>
      <c r="B68" s="1934"/>
      <c r="C68" s="1268" t="s">
        <v>4200</v>
      </c>
      <c r="D68" s="1268">
        <v>20</v>
      </c>
      <c r="E68" s="1268">
        <v>50</v>
      </c>
      <c r="F68" s="1268" t="s">
        <v>4314</v>
      </c>
      <c r="G68" s="1266" t="s">
        <v>5496</v>
      </c>
      <c r="H68" s="1266" t="s">
        <v>5497</v>
      </c>
      <c r="I68" s="1268" t="s">
        <v>5498</v>
      </c>
      <c r="J68" s="1268" t="s">
        <v>5499</v>
      </c>
      <c r="K68" s="1268" t="s">
        <v>5500</v>
      </c>
      <c r="L68" s="1268" t="s">
        <v>5501</v>
      </c>
      <c r="M68" s="1268" t="s">
        <v>5502</v>
      </c>
      <c r="N68" s="1267">
        <f>$C$4</f>
        <v>5.0097428219999998</v>
      </c>
      <c r="O68" s="1267">
        <f>IF(N68&lt;D68,10,IF(N68&gt;M68,M68,HLOOKUP(N68,D68:M68,1)))</f>
        <v>10</v>
      </c>
      <c r="P68" s="1267">
        <f>IF(N68&lt;10,10,IF(N68&lt;20,20,IF(N68&gt;M68,M68,INDEX(D68:M68,MATCH(N68,D68:M68,1)+1))))</f>
        <v>10</v>
      </c>
    </row>
    <row r="69" spans="1:16" s="1265" customFormat="1" hidden="1">
      <c r="A69" s="1269">
        <v>1</v>
      </c>
      <c r="B69" s="1278" t="s">
        <v>4201</v>
      </c>
      <c r="C69" s="1279"/>
      <c r="D69" s="1279"/>
      <c r="E69" s="1279"/>
      <c r="F69" s="1279"/>
      <c r="G69" s="1279"/>
      <c r="H69" s="1279"/>
      <c r="I69" s="1279"/>
      <c r="J69" s="1279"/>
      <c r="K69" s="1279"/>
      <c r="L69" s="1279"/>
      <c r="M69" s="1280"/>
      <c r="N69" s="727"/>
      <c r="O69" s="727"/>
      <c r="P69" s="727"/>
    </row>
    <row r="70" spans="1:16" s="1265" customFormat="1" hidden="1">
      <c r="A70" s="1269" t="s">
        <v>5503</v>
      </c>
      <c r="B70" s="1278" t="s">
        <v>5504</v>
      </c>
      <c r="C70" s="1279"/>
      <c r="D70" s="1279"/>
      <c r="E70" s="1279"/>
      <c r="F70" s="1279"/>
      <c r="G70" s="1279"/>
      <c r="H70" s="1279"/>
      <c r="I70" s="1279"/>
      <c r="J70" s="1279"/>
      <c r="K70" s="1279"/>
      <c r="L70" s="1279"/>
      <c r="M70" s="1280"/>
      <c r="N70" s="1270"/>
      <c r="O70" s="727"/>
      <c r="P70" s="727"/>
    </row>
    <row r="71" spans="1:16" s="1265" customFormat="1" hidden="1">
      <c r="A71" s="1269" t="s">
        <v>2614</v>
      </c>
      <c r="B71" s="727" t="s">
        <v>2615</v>
      </c>
      <c r="C71" s="1276">
        <v>3.22</v>
      </c>
      <c r="D71" s="1276">
        <v>2.81</v>
      </c>
      <c r="E71" s="1276">
        <v>2.36</v>
      </c>
      <c r="F71" s="1276">
        <v>2.15</v>
      </c>
      <c r="G71" s="1276">
        <v>1.96</v>
      </c>
      <c r="H71" s="1276">
        <v>1.65</v>
      </c>
      <c r="I71" s="1276">
        <v>1.36</v>
      </c>
      <c r="J71" s="1276">
        <v>1.1599999999999999</v>
      </c>
      <c r="K71" s="1276">
        <v>0.89</v>
      </c>
      <c r="L71" s="1276">
        <v>0.68</v>
      </c>
      <c r="M71" s="1276">
        <v>0.61</v>
      </c>
      <c r="N71" s="1277">
        <f>IF(P$68=O$68,O71,IF(O71="-",O71,ROUND(O71-((O71-P71)/(P$68-O$68))*(N$68-O$68),3)))</f>
        <v>3.22</v>
      </c>
      <c r="O71" s="1277">
        <f>IF(O$68=10,C71,HLOOKUP($O$68,$D$68:$M$133,4,TRUE))</f>
        <v>3.22</v>
      </c>
      <c r="P71" s="1277">
        <f>IF(P$68=10,C71,HLOOKUP($P$68,$D$68:$M$133,4,TRUE))</f>
        <v>3.22</v>
      </c>
    </row>
    <row r="72" spans="1:16" s="1265" customFormat="1" hidden="1">
      <c r="A72" s="1269" t="s">
        <v>2616</v>
      </c>
      <c r="B72" s="727" t="s">
        <v>2617</v>
      </c>
      <c r="C72" s="1276">
        <v>2.93</v>
      </c>
      <c r="D72" s="1276">
        <v>2.5499999999999998</v>
      </c>
      <c r="E72" s="1276">
        <v>2.14</v>
      </c>
      <c r="F72" s="1276">
        <v>1.94</v>
      </c>
      <c r="G72" s="1276">
        <v>1.78</v>
      </c>
      <c r="H72" s="1276">
        <v>1.5</v>
      </c>
      <c r="I72" s="1276">
        <v>1.22</v>
      </c>
      <c r="J72" s="1276">
        <v>1.05</v>
      </c>
      <c r="K72" s="1276">
        <v>0.8</v>
      </c>
      <c r="L72" s="1276">
        <v>0.61</v>
      </c>
      <c r="M72" s="1276">
        <v>0.55000000000000004</v>
      </c>
      <c r="N72" s="1277">
        <f>IF(P$68=O$68,O72,IF(O72="-",O72,ROUND(O72-((O72-P72)/(P$68-O$68))*(N$68-O$68),3)))</f>
        <v>2.93</v>
      </c>
      <c r="O72" s="1277">
        <f>IF(O$68=10,C72,HLOOKUP($O$68,$D$68:$M$133,5,TRUE))</f>
        <v>2.93</v>
      </c>
      <c r="P72" s="1277">
        <f>IF(P$68=10,C72,HLOOKUP($P$68,$D$68:$M$133,5,TRUE))</f>
        <v>2.93</v>
      </c>
    </row>
    <row r="73" spans="1:16" s="1265" customFormat="1" hidden="1">
      <c r="A73" s="1269" t="s">
        <v>2618</v>
      </c>
      <c r="B73" s="727" t="s">
        <v>2619</v>
      </c>
      <c r="C73" s="1276">
        <v>2.67</v>
      </c>
      <c r="D73" s="1276">
        <v>2.33</v>
      </c>
      <c r="E73" s="1276">
        <v>1.96</v>
      </c>
      <c r="F73" s="1276">
        <v>1.77</v>
      </c>
      <c r="G73" s="1276">
        <v>1.62</v>
      </c>
      <c r="H73" s="1276">
        <v>1.37</v>
      </c>
      <c r="I73" s="1276">
        <v>1.1100000000000001</v>
      </c>
      <c r="J73" s="1276">
        <v>0.94</v>
      </c>
      <c r="K73" s="1276">
        <v>0.73</v>
      </c>
      <c r="L73" s="1276">
        <v>0.55000000000000004</v>
      </c>
      <c r="M73" s="1276">
        <v>0.5</v>
      </c>
      <c r="N73" s="1277">
        <f>IF(P$68=O$68,O73,IF(O73="-",O73,ROUND(O73-((O73-P73)/(P$68-O$68))*(N$68-O$68),3)))</f>
        <v>2.67</v>
      </c>
      <c r="O73" s="1277">
        <f>IF(O$68=10,C73,HLOOKUP($O$68,$D$68:$M$133,6,TRUE))</f>
        <v>2.67</v>
      </c>
      <c r="P73" s="1277">
        <f>IF(P$68=10,C73,HLOOKUP($P$68,$D$68:$M$133,6,TRUE))</f>
        <v>2.67</v>
      </c>
    </row>
    <row r="74" spans="1:16" s="1265" customFormat="1" hidden="1">
      <c r="A74" s="1269" t="s">
        <v>2620</v>
      </c>
      <c r="B74" s="727" t="s">
        <v>2621</v>
      </c>
      <c r="C74" s="1276">
        <v>2.36</v>
      </c>
      <c r="D74" s="1276">
        <v>2.0699999999999998</v>
      </c>
      <c r="E74" s="1276">
        <v>1.74</v>
      </c>
      <c r="F74" s="1276">
        <v>1.57</v>
      </c>
      <c r="G74" s="1276">
        <v>1.43</v>
      </c>
      <c r="H74" s="1276">
        <v>1.21</v>
      </c>
      <c r="I74" s="1276">
        <v>0.98</v>
      </c>
      <c r="J74" s="1276">
        <v>0.83</v>
      </c>
      <c r="K74" s="1276">
        <v>0.64</v>
      </c>
      <c r="L74" s="1276">
        <v>0.48</v>
      </c>
      <c r="M74" s="1276">
        <v>0.44</v>
      </c>
      <c r="N74" s="1277">
        <f>IF(P$68=O$68,O74,IF(O74="-",O74,ROUND(O74-((O74-P74)/(P$68-O$68))*(N$68-O$68),3)))</f>
        <v>2.36</v>
      </c>
      <c r="O74" s="1277">
        <f>IF(O$68=10,C74,HLOOKUP($O$68,$D$68:$M$133,7,TRUE))</f>
        <v>2.36</v>
      </c>
      <c r="P74" s="1277">
        <f>IF(P$68=10,C74,HLOOKUP($P$68,$D$68:$M$133,7,TRUE))</f>
        <v>2.36</v>
      </c>
    </row>
    <row r="75" spans="1:16" s="1265" customFormat="1" hidden="1">
      <c r="A75" s="1269" t="s">
        <v>2622</v>
      </c>
      <c r="B75" s="727" t="s">
        <v>2623</v>
      </c>
      <c r="C75" s="1276">
        <v>2.0699999999999998</v>
      </c>
      <c r="D75" s="1276">
        <v>1.81</v>
      </c>
      <c r="E75" s="1276">
        <v>1.48</v>
      </c>
      <c r="F75" s="1276">
        <v>1.3</v>
      </c>
      <c r="G75" s="1276">
        <v>1.06</v>
      </c>
      <c r="H75" s="1276">
        <v>0.89</v>
      </c>
      <c r="I75" s="1276" t="s">
        <v>6344</v>
      </c>
      <c r="J75" s="1276" t="s">
        <v>6344</v>
      </c>
      <c r="K75" s="1276" t="s">
        <v>6344</v>
      </c>
      <c r="L75" s="1276" t="s">
        <v>6344</v>
      </c>
      <c r="M75" s="1276" t="s">
        <v>6344</v>
      </c>
      <c r="N75" s="1277">
        <f>IF(P$68=O$68,O75,IF(O75="-",O75,ROUND(O75-((O75-P75)/(P$68-O$68))*(N$68-O$68),3)))</f>
        <v>2.0699999999999998</v>
      </c>
      <c r="O75" s="1277">
        <f>IF(O$68=10,C75,HLOOKUP($O$68,$D$68:$M$133,8,TRUE))</f>
        <v>2.0699999999999998</v>
      </c>
      <c r="P75" s="1277">
        <f>IF(P$68=10,C75,HLOOKUP($P$68,$D$68:$M$133,8,TRUE))</f>
        <v>2.0699999999999998</v>
      </c>
    </row>
    <row r="76" spans="1:16" s="1265" customFormat="1" hidden="1">
      <c r="A76" s="1269" t="s">
        <v>2624</v>
      </c>
      <c r="B76" s="1278" t="s">
        <v>2625</v>
      </c>
      <c r="C76" s="1281"/>
      <c r="D76" s="1281"/>
      <c r="E76" s="1281"/>
      <c r="F76" s="1281"/>
      <c r="G76" s="1281"/>
      <c r="H76" s="1281"/>
      <c r="I76" s="1281"/>
      <c r="J76" s="1281"/>
      <c r="K76" s="1281"/>
      <c r="L76" s="1281"/>
      <c r="M76" s="1282"/>
      <c r="N76" s="1276"/>
      <c r="O76" s="1276"/>
      <c r="P76" s="1276"/>
    </row>
    <row r="77" spans="1:16" s="1265" customFormat="1" hidden="1">
      <c r="A77" s="1269" t="s">
        <v>1312</v>
      </c>
      <c r="B77" s="727" t="s">
        <v>2615</v>
      </c>
      <c r="C77" s="1276">
        <v>4.66</v>
      </c>
      <c r="D77" s="1276">
        <v>4.05</v>
      </c>
      <c r="E77" s="1276">
        <v>3.41</v>
      </c>
      <c r="F77" s="1276">
        <v>3.1</v>
      </c>
      <c r="G77" s="1276">
        <v>2.83</v>
      </c>
      <c r="H77" s="1276">
        <v>2.39</v>
      </c>
      <c r="I77" s="1276">
        <v>1.93</v>
      </c>
      <c r="J77" s="1276">
        <v>1.65</v>
      </c>
      <c r="K77" s="1276">
        <v>1.28</v>
      </c>
      <c r="L77" s="1276">
        <v>0.99</v>
      </c>
      <c r="M77" s="1276">
        <v>0.91</v>
      </c>
      <c r="N77" s="1277">
        <f>IF(P$68=O$68,O77,IF(O77="-",O77,ROUND(O77-((O77-P77)/(P$68-O$68))*(N$68-O$68),3)))</f>
        <v>4.66</v>
      </c>
      <c r="O77" s="1277">
        <f>IF(O$68=10,C77,HLOOKUP($O$68,$D$68:$M$133,10,TRUE))</f>
        <v>4.66</v>
      </c>
      <c r="P77" s="1277">
        <f>IF(P$68=10,C77,HLOOKUP($P$68,$D$68:$M$133,10,TRUE))</f>
        <v>4.66</v>
      </c>
    </row>
    <row r="78" spans="1:16" s="1265" customFormat="1" hidden="1">
      <c r="A78" s="1269" t="s">
        <v>1313</v>
      </c>
      <c r="B78" s="727" t="s">
        <v>2617</v>
      </c>
      <c r="C78" s="1276">
        <v>4.22</v>
      </c>
      <c r="D78" s="1276">
        <v>3.66</v>
      </c>
      <c r="E78" s="1276">
        <v>3.1</v>
      </c>
      <c r="F78" s="1276">
        <v>2.82</v>
      </c>
      <c r="G78" s="1276">
        <v>2.57</v>
      </c>
      <c r="H78" s="1276">
        <v>2.17</v>
      </c>
      <c r="I78" s="1276">
        <v>1.76</v>
      </c>
      <c r="J78" s="1276">
        <v>1.51</v>
      </c>
      <c r="K78" s="1276">
        <v>1.1599999999999999</v>
      </c>
      <c r="L78" s="1276">
        <v>0.9</v>
      </c>
      <c r="M78" s="1276">
        <v>0.8</v>
      </c>
      <c r="N78" s="1277">
        <f>IF(P$68=O$68,O78,IF(O78="-",O78,ROUND(O78-((O78-P78)/(P$68-O$68))*(N$68-O$68),3)))</f>
        <v>4.22</v>
      </c>
      <c r="O78" s="1277">
        <f>IF(O$68=10,C78,HLOOKUP($O$68,$D$68:$M$133,11,TRUE))</f>
        <v>4.22</v>
      </c>
      <c r="P78" s="1277">
        <f>IF(P$68=10,C78,HLOOKUP($P$68,$D$68:$M$133,11,TRUE))</f>
        <v>4.22</v>
      </c>
    </row>
    <row r="79" spans="1:16" s="1265" customFormat="1" hidden="1">
      <c r="A79" s="1269" t="s">
        <v>1314</v>
      </c>
      <c r="B79" s="727" t="s">
        <v>2619</v>
      </c>
      <c r="C79" s="1276">
        <v>3.85</v>
      </c>
      <c r="D79" s="1276">
        <v>3.33</v>
      </c>
      <c r="E79" s="1276">
        <v>2.8</v>
      </c>
      <c r="F79" s="1276">
        <v>2.54</v>
      </c>
      <c r="G79" s="1276">
        <v>2.34</v>
      </c>
      <c r="H79" s="1276">
        <v>1.98</v>
      </c>
      <c r="I79" s="1276">
        <v>1.61</v>
      </c>
      <c r="J79" s="1276">
        <v>1.36</v>
      </c>
      <c r="K79" s="1276">
        <v>1.06</v>
      </c>
      <c r="L79" s="1276">
        <v>0.82</v>
      </c>
      <c r="M79" s="1276">
        <v>0.72</v>
      </c>
      <c r="N79" s="1277">
        <f>IF(P$68=O$68,O79,IF(O79="-",O79,ROUND(O79-((O79-P79)/(P$68-O$68))*(N$68-O$68),3)))</f>
        <v>3.85</v>
      </c>
      <c r="O79" s="1277">
        <f>IF(O$68=10,C79,HLOOKUP($O$68,$D$68:$M$133,12,TRUE))</f>
        <v>3.85</v>
      </c>
      <c r="P79" s="1277">
        <f>IF(P$68=10,C79,HLOOKUP($P$68,$D$68:$M$133,12,TRUE))</f>
        <v>3.85</v>
      </c>
    </row>
    <row r="80" spans="1:16" s="1265" customFormat="1" hidden="1">
      <c r="A80" s="1269" t="s">
        <v>1315</v>
      </c>
      <c r="B80" s="727" t="s">
        <v>2621</v>
      </c>
      <c r="C80" s="1276">
        <v>3.41</v>
      </c>
      <c r="D80" s="1276">
        <v>2.95</v>
      </c>
      <c r="E80" s="1276">
        <v>2.48</v>
      </c>
      <c r="F80" s="1276">
        <v>2.25</v>
      </c>
      <c r="G80" s="1276">
        <v>2.0699999999999998</v>
      </c>
      <c r="H80" s="1276">
        <v>1.75</v>
      </c>
      <c r="I80" s="1276">
        <v>1.43</v>
      </c>
      <c r="J80" s="1276">
        <v>1.2</v>
      </c>
      <c r="K80" s="1276">
        <v>0.94</v>
      </c>
      <c r="L80" s="1276">
        <v>0.72</v>
      </c>
      <c r="M80" s="1276">
        <v>0.63</v>
      </c>
      <c r="N80" s="1277">
        <f>IF(P$68=O$68,O80,IF(O80="-",O80,ROUND(O80-((O80-P80)/(P$68-O$68))*(N$68-O$68),3)))</f>
        <v>3.41</v>
      </c>
      <c r="O80" s="1277">
        <f>IF(O$68=10,C80,HLOOKUP($O$68,$D$68:$M$133,13,TRUE))</f>
        <v>3.41</v>
      </c>
      <c r="P80" s="1277">
        <f>IF(P$68=10,C80,HLOOKUP($P$68,$D$68:$M$133,13,TRUE))</f>
        <v>3.41</v>
      </c>
    </row>
    <row r="81" spans="1:16" s="1265" customFormat="1" hidden="1">
      <c r="A81" s="1269" t="s">
        <v>1316</v>
      </c>
      <c r="B81" s="727" t="s">
        <v>2623</v>
      </c>
      <c r="C81" s="1276">
        <v>2.92</v>
      </c>
      <c r="D81" s="1276">
        <v>2.5499999999999998</v>
      </c>
      <c r="E81" s="1276">
        <v>2.12</v>
      </c>
      <c r="F81" s="1276">
        <v>1.86</v>
      </c>
      <c r="G81" s="1276">
        <v>1.51</v>
      </c>
      <c r="H81" s="1276">
        <v>1.3</v>
      </c>
      <c r="I81" s="1276" t="s">
        <v>6344</v>
      </c>
      <c r="J81" s="1276" t="s">
        <v>6344</v>
      </c>
      <c r="K81" s="1276" t="s">
        <v>6344</v>
      </c>
      <c r="L81" s="1276" t="s">
        <v>6344</v>
      </c>
      <c r="M81" s="1276" t="s">
        <v>6344</v>
      </c>
      <c r="N81" s="1277">
        <f>IF(P$68=O$68,O81,IF(O81="-",O81,ROUND(O81-((O81-P81)/(P$68-O$68))*(N$68-O$68),3)))</f>
        <v>2.92</v>
      </c>
      <c r="O81" s="1277">
        <f>IF(O$68=10,C81,HLOOKUP($O$68,$D$68:$M$133,14,TRUE))</f>
        <v>2.92</v>
      </c>
      <c r="P81" s="1277">
        <f>IF(P$68=10,C81,HLOOKUP($P$68,$D$68:$M$133,14,TRUE))</f>
        <v>2.92</v>
      </c>
    </row>
    <row r="82" spans="1:16" s="1265" customFormat="1" hidden="1">
      <c r="A82" s="1269">
        <v>2</v>
      </c>
      <c r="B82" s="1278" t="s">
        <v>4202</v>
      </c>
      <c r="C82" s="1281"/>
      <c r="D82" s="1281"/>
      <c r="E82" s="1281"/>
      <c r="F82" s="1281"/>
      <c r="G82" s="1281"/>
      <c r="H82" s="1281"/>
      <c r="I82" s="1281"/>
      <c r="J82" s="1281"/>
      <c r="K82" s="1281"/>
      <c r="L82" s="1281"/>
      <c r="M82" s="1282"/>
      <c r="N82" s="1276"/>
      <c r="O82" s="1276"/>
      <c r="P82" s="1276"/>
    </row>
    <row r="83" spans="1:16" s="1265" customFormat="1" hidden="1">
      <c r="A83" s="1269" t="s">
        <v>1317</v>
      </c>
      <c r="B83" s="1278" t="s">
        <v>5504</v>
      </c>
      <c r="C83" s="1281"/>
      <c r="D83" s="1281"/>
      <c r="E83" s="1281"/>
      <c r="F83" s="1281"/>
      <c r="G83" s="1281"/>
      <c r="H83" s="1281"/>
      <c r="I83" s="1281"/>
      <c r="J83" s="1281"/>
      <c r="K83" s="1281"/>
      <c r="L83" s="1281"/>
      <c r="M83" s="1282"/>
      <c r="N83" s="1276"/>
      <c r="O83" s="1276"/>
      <c r="P83" s="1276"/>
    </row>
    <row r="84" spans="1:16" s="1265" customFormat="1" hidden="1">
      <c r="A84" s="1269" t="s">
        <v>1318</v>
      </c>
      <c r="B84" s="727" t="s">
        <v>2615</v>
      </c>
      <c r="C84" s="1276">
        <v>2.96</v>
      </c>
      <c r="D84" s="1276">
        <v>2.73</v>
      </c>
      <c r="E84" s="1276">
        <v>2.34</v>
      </c>
      <c r="F84" s="1276">
        <v>2.13</v>
      </c>
      <c r="G84" s="1276">
        <v>1.92</v>
      </c>
      <c r="H84" s="1276">
        <v>1.76</v>
      </c>
      <c r="I84" s="1276">
        <v>1.54</v>
      </c>
      <c r="J84" s="1276">
        <v>1.3</v>
      </c>
      <c r="K84" s="1276">
        <v>0.97</v>
      </c>
      <c r="L84" s="1276">
        <v>0.79</v>
      </c>
      <c r="M84" s="1276">
        <v>0.7</v>
      </c>
      <c r="N84" s="1277">
        <f>IF(P$68=O$68,O84,IF(O84="-",O84,ROUND(O84-((O84-P84)/(P$68-O$68))*(N$68-O$68),3)))</f>
        <v>2.96</v>
      </c>
      <c r="O84" s="1277">
        <f>IF(O$68=10,C84,HLOOKUP($O$68,$D$68:$M$133,17,TRUE))</f>
        <v>2.96</v>
      </c>
      <c r="P84" s="1277">
        <f>IF(P$68=10,C84,HLOOKUP($P$68,$D$68:$M$133,17,TRUE))</f>
        <v>2.96</v>
      </c>
    </row>
    <row r="85" spans="1:16" s="1265" customFormat="1" hidden="1">
      <c r="A85" s="1269" t="s">
        <v>1319</v>
      </c>
      <c r="B85" s="727" t="s">
        <v>2617</v>
      </c>
      <c r="C85" s="1276">
        <v>2.4700000000000002</v>
      </c>
      <c r="D85" s="1276">
        <v>2.27</v>
      </c>
      <c r="E85" s="1276">
        <v>1.93</v>
      </c>
      <c r="F85" s="1276">
        <v>1.77</v>
      </c>
      <c r="G85" s="1276">
        <v>1.6</v>
      </c>
      <c r="H85" s="1276">
        <v>1.46</v>
      </c>
      <c r="I85" s="1276">
        <v>1.28</v>
      </c>
      <c r="J85" s="1276">
        <v>1.0900000000000001</v>
      </c>
      <c r="K85" s="1276">
        <v>0.8</v>
      </c>
      <c r="L85" s="1276">
        <v>0.65</v>
      </c>
      <c r="M85" s="1276">
        <v>0.57999999999999996</v>
      </c>
      <c r="N85" s="1277">
        <f>IF(P$68=O$68,O85,IF(O85="-",O85,ROUND(O85-((O85-P85)/(P$68-O$68))*(N$68-O$68),3)))</f>
        <v>2.4700000000000002</v>
      </c>
      <c r="O85" s="1277">
        <f>IF(O$68=10,C85,HLOOKUP($O$68,$D$68:$M$133,18,TRUE))</f>
        <v>2.4700000000000002</v>
      </c>
      <c r="P85" s="1277">
        <f>IF(P$68=10,C85,HLOOKUP($P$68,$D$68:$M$133,18,TRUE))</f>
        <v>2.4700000000000002</v>
      </c>
    </row>
    <row r="86" spans="1:16" s="1265" customFormat="1" hidden="1">
      <c r="A86" s="1269" t="s">
        <v>1320</v>
      </c>
      <c r="B86" s="727" t="s">
        <v>2619</v>
      </c>
      <c r="C86" s="1276">
        <v>2.0299999999999998</v>
      </c>
      <c r="D86" s="1276">
        <v>1.86</v>
      </c>
      <c r="E86" s="1276">
        <v>1.59</v>
      </c>
      <c r="F86" s="1276">
        <v>1.46</v>
      </c>
      <c r="G86" s="1276">
        <v>1.32</v>
      </c>
      <c r="H86" s="1276">
        <v>1.2</v>
      </c>
      <c r="I86" s="1276">
        <v>1.05</v>
      </c>
      <c r="J86" s="1276">
        <v>0.9</v>
      </c>
      <c r="K86" s="1276">
        <v>0.66</v>
      </c>
      <c r="L86" s="1276">
        <v>0.53</v>
      </c>
      <c r="M86" s="1276">
        <v>0.48</v>
      </c>
      <c r="N86" s="1277">
        <f>IF(P$68=O$68,O86,IF(O86="-",O86,ROUND(O86-((O86-P86)/(P$68-O$68))*(N$68-O$68),3)))</f>
        <v>2.0299999999999998</v>
      </c>
      <c r="O86" s="1277">
        <f>IF(O$68=10,C86,HLOOKUP($O$68,$D$68:$M$133,19,TRUE))</f>
        <v>2.0299999999999998</v>
      </c>
      <c r="P86" s="1277">
        <f>IF(P$68=10,C86,HLOOKUP($P$68,$D$68:$M$133,19,TRUE))</f>
        <v>2.0299999999999998</v>
      </c>
    </row>
    <row r="87" spans="1:16" s="1265" customFormat="1" hidden="1">
      <c r="A87" s="1269" t="s">
        <v>1321</v>
      </c>
      <c r="B87" s="727" t="s">
        <v>2621</v>
      </c>
      <c r="C87" s="1276">
        <v>1.78</v>
      </c>
      <c r="D87" s="1276">
        <v>1.65</v>
      </c>
      <c r="E87" s="1276">
        <v>1.4</v>
      </c>
      <c r="F87" s="1276">
        <v>1.27</v>
      </c>
      <c r="G87" s="1276">
        <v>1.17</v>
      </c>
      <c r="H87" s="1276">
        <v>1.06</v>
      </c>
      <c r="I87" s="1276">
        <v>0.93</v>
      </c>
      <c r="J87" s="1276">
        <v>0.79</v>
      </c>
      <c r="K87" s="1276">
        <v>0.57999999999999996</v>
      </c>
      <c r="L87" s="1276">
        <v>0.47</v>
      </c>
      <c r="M87" s="1276">
        <v>0.42</v>
      </c>
      <c r="N87" s="1277">
        <f>IF(P$68=O$68,O87,IF(O87="-",O87,ROUND(O87-((O87-P87)/(P$68-O$68))*(N$68-O$68),3)))</f>
        <v>1.78</v>
      </c>
      <c r="O87" s="1277">
        <f>IF(O$68=10,C87,HLOOKUP($O$68,$D$68:$M$133,20,TRUE))</f>
        <v>1.78</v>
      </c>
      <c r="P87" s="1277">
        <f>IF(P$68=10,C87,HLOOKUP($P$68,$D$68:$M$133,20,TRUE))</f>
        <v>1.78</v>
      </c>
    </row>
    <row r="88" spans="1:16" s="1265" customFormat="1" hidden="1">
      <c r="A88" s="1269" t="s">
        <v>1322</v>
      </c>
      <c r="B88" s="727" t="s">
        <v>2623</v>
      </c>
      <c r="C88" s="1276">
        <v>1.59</v>
      </c>
      <c r="D88" s="1276">
        <v>1.47</v>
      </c>
      <c r="E88" s="1276">
        <v>1.24</v>
      </c>
      <c r="F88" s="1276">
        <v>1.1399999999999999</v>
      </c>
      <c r="G88" s="1276">
        <v>0.98</v>
      </c>
      <c r="H88" s="1276">
        <v>0.83</v>
      </c>
      <c r="I88" s="1276" t="s">
        <v>6344</v>
      </c>
      <c r="J88" s="1276" t="s">
        <v>6344</v>
      </c>
      <c r="K88" s="1276" t="s">
        <v>6344</v>
      </c>
      <c r="L88" s="1276" t="s">
        <v>6344</v>
      </c>
      <c r="M88" s="1276" t="s">
        <v>6344</v>
      </c>
      <c r="N88" s="1277">
        <f>IF(P$68=O$68,O88,IF(O88="-",O88,ROUND(O88-((O88-P88)/(P$68-O$68))*(N$68-O$68),3)))</f>
        <v>1.59</v>
      </c>
      <c r="O88" s="1277">
        <f>IF(O$68=10,C88,HLOOKUP($O$68,$D$68:$M$133,21,TRUE))</f>
        <v>1.59</v>
      </c>
      <c r="P88" s="1277">
        <f>IF(P$68=10,C88,HLOOKUP($P$68,$D$68:$M$133,21,TRUE))</f>
        <v>1.59</v>
      </c>
    </row>
    <row r="89" spans="1:16" s="1265" customFormat="1" hidden="1">
      <c r="A89" s="1269" t="s">
        <v>1323</v>
      </c>
      <c r="B89" s="1278" t="s">
        <v>2625</v>
      </c>
      <c r="C89" s="1281"/>
      <c r="D89" s="1281"/>
      <c r="E89" s="1281"/>
      <c r="F89" s="1281"/>
      <c r="G89" s="1281"/>
      <c r="H89" s="1281"/>
      <c r="I89" s="1281"/>
      <c r="J89" s="1281"/>
      <c r="K89" s="1281"/>
      <c r="L89" s="1281"/>
      <c r="M89" s="1282"/>
      <c r="N89" s="1276"/>
      <c r="O89" s="1276"/>
      <c r="P89" s="1276"/>
    </row>
    <row r="90" spans="1:16" s="1265" customFormat="1" hidden="1">
      <c r="A90" s="1269" t="s">
        <v>1324</v>
      </c>
      <c r="B90" s="727" t="s">
        <v>2615</v>
      </c>
      <c r="C90" s="1276">
        <v>4.7</v>
      </c>
      <c r="D90" s="1276">
        <v>4.2699999999999996</v>
      </c>
      <c r="E90" s="1276">
        <v>3.66</v>
      </c>
      <c r="F90" s="1276">
        <v>3.32</v>
      </c>
      <c r="G90" s="1276">
        <v>3.01</v>
      </c>
      <c r="H90" s="1276">
        <v>2.75</v>
      </c>
      <c r="I90" s="1276">
        <v>2.4</v>
      </c>
      <c r="J90" s="1276">
        <v>2.0299999999999998</v>
      </c>
      <c r="K90" s="1276">
        <v>1.52</v>
      </c>
      <c r="L90" s="1276">
        <v>1.21</v>
      </c>
      <c r="M90" s="1276">
        <v>1.04</v>
      </c>
      <c r="N90" s="1277">
        <f>IF(P$68=O$68,O90,IF(O90="-",O90,ROUND(O90-((O90-P90)/(P$68-O$68))*(N$68-O$68),3)))</f>
        <v>4.7</v>
      </c>
      <c r="O90" s="1277">
        <f>IF(O$68=10,C90,HLOOKUP($O$68,$D$68:$M$133,23,TRUE))</f>
        <v>4.7</v>
      </c>
      <c r="P90" s="1277">
        <f>IF(P$68=10,C90,HLOOKUP($P$68,$D$68:$M$133,23,TRUE))</f>
        <v>4.7</v>
      </c>
    </row>
    <row r="91" spans="1:16" s="1265" customFormat="1" hidden="1">
      <c r="A91" s="1269" t="s">
        <v>1325</v>
      </c>
      <c r="B91" s="727" t="s">
        <v>2617</v>
      </c>
      <c r="C91" s="1276">
        <v>3.87</v>
      </c>
      <c r="D91" s="1276">
        <v>3.57</v>
      </c>
      <c r="E91" s="1276">
        <v>3.02</v>
      </c>
      <c r="F91" s="1276">
        <v>2.77</v>
      </c>
      <c r="G91" s="1276">
        <v>2.5</v>
      </c>
      <c r="H91" s="1276">
        <v>2.2799999999999998</v>
      </c>
      <c r="I91" s="1276">
        <v>2.0099999999999998</v>
      </c>
      <c r="J91" s="1276">
        <v>1.7</v>
      </c>
      <c r="K91" s="1276">
        <v>1.26</v>
      </c>
      <c r="L91" s="1276">
        <v>1.02</v>
      </c>
      <c r="M91" s="1276">
        <v>0.88</v>
      </c>
      <c r="N91" s="1277">
        <f>IF(P$68=O$68,O91,IF(O91="-",O91,ROUND(O91-((O91-P91)/(P$68-O$68))*(N$68-O$68),3)))</f>
        <v>3.87</v>
      </c>
      <c r="O91" s="1277">
        <f>IF(O$68=10,C91,HLOOKUP($O$68,$D$68:$M$133,24,TRUE))</f>
        <v>3.87</v>
      </c>
      <c r="P91" s="1277">
        <f>IF(P$68=10,C91,HLOOKUP($P$68,$D$68:$M$133,24,TRUE))</f>
        <v>3.87</v>
      </c>
    </row>
    <row r="92" spans="1:16" s="1265" customFormat="1" hidden="1">
      <c r="A92" s="1269" t="s">
        <v>1326</v>
      </c>
      <c r="B92" s="727" t="s">
        <v>2619</v>
      </c>
      <c r="C92" s="1276">
        <v>3.13</v>
      </c>
      <c r="D92" s="1276">
        <v>2.9</v>
      </c>
      <c r="E92" s="1276">
        <v>2.4300000000000002</v>
      </c>
      <c r="F92" s="1276">
        <v>2.2400000000000002</v>
      </c>
      <c r="G92" s="1276">
        <v>2.0299999999999998</v>
      </c>
      <c r="H92" s="1276">
        <v>1.9</v>
      </c>
      <c r="I92" s="1276">
        <v>1.66</v>
      </c>
      <c r="J92" s="1276">
        <v>1.42</v>
      </c>
      <c r="K92" s="1276">
        <v>1.04</v>
      </c>
      <c r="L92" s="1276">
        <v>0.82</v>
      </c>
      <c r="M92" s="1276">
        <v>0.72</v>
      </c>
      <c r="N92" s="1277">
        <f>IF(P$68=O$68,O92,IF(O92="-",O92,ROUND(O92-((O92-P92)/(P$68-O$68))*(N$68-O$68),3)))</f>
        <v>3.13</v>
      </c>
      <c r="O92" s="1277">
        <f>IF(O$68=10,C92,HLOOKUP($O$68,$D$68:$M$133,25,TRUE))</f>
        <v>3.13</v>
      </c>
      <c r="P92" s="1277">
        <f>IF(P$68=10,C92,HLOOKUP($P$68,$D$68:$M$133,25,TRUE))</f>
        <v>3.13</v>
      </c>
    </row>
    <row r="93" spans="1:16" s="1265" customFormat="1" hidden="1">
      <c r="A93" s="1269" t="s">
        <v>1327</v>
      </c>
      <c r="B93" s="727" t="s">
        <v>2621</v>
      </c>
      <c r="C93" s="1276">
        <v>2.78</v>
      </c>
      <c r="D93" s="1276">
        <v>2.57</v>
      </c>
      <c r="E93" s="1276">
        <v>2.16</v>
      </c>
      <c r="F93" s="1276">
        <v>1.99</v>
      </c>
      <c r="G93" s="1276">
        <v>1.79</v>
      </c>
      <c r="H93" s="1276">
        <v>1.68</v>
      </c>
      <c r="I93" s="1276">
        <v>1.47</v>
      </c>
      <c r="J93" s="1276">
        <v>1.25</v>
      </c>
      <c r="K93" s="1276">
        <v>0.91</v>
      </c>
      <c r="L93" s="1276">
        <v>0.72</v>
      </c>
      <c r="M93" s="1276">
        <v>0.64</v>
      </c>
      <c r="N93" s="1277">
        <f>IF(P$68=O$68,O93,IF(O93="-",O93,ROUND(O93-((O93-P93)/(P$68-O$68))*(N$68-O$68),3)))</f>
        <v>2.78</v>
      </c>
      <c r="O93" s="1277">
        <f>IF(O$68=10,C93,HLOOKUP($O$68,$D$68:$M$133,26,TRUE))</f>
        <v>2.78</v>
      </c>
      <c r="P93" s="1277">
        <f>IF(P$68=10,C93,HLOOKUP($P$68,$D$68:$M$133,26,TRUE))</f>
        <v>2.78</v>
      </c>
    </row>
    <row r="94" spans="1:16" s="1265" customFormat="1" hidden="1">
      <c r="A94" s="1269" t="s">
        <v>1328</v>
      </c>
      <c r="B94" s="727" t="s">
        <v>2623</v>
      </c>
      <c r="C94" s="1276">
        <v>2.46</v>
      </c>
      <c r="D94" s="1276">
        <v>2.25</v>
      </c>
      <c r="E94" s="1276">
        <v>1.89</v>
      </c>
      <c r="F94" s="1276">
        <v>1.72</v>
      </c>
      <c r="G94" s="1276">
        <v>1.47</v>
      </c>
      <c r="H94" s="1276">
        <v>1.22</v>
      </c>
      <c r="I94" s="1276" t="s">
        <v>6344</v>
      </c>
      <c r="J94" s="1276" t="s">
        <v>6344</v>
      </c>
      <c r="K94" s="1276" t="s">
        <v>6344</v>
      </c>
      <c r="L94" s="1276" t="s">
        <v>6344</v>
      </c>
      <c r="M94" s="1276" t="s">
        <v>6344</v>
      </c>
      <c r="N94" s="1277">
        <f>IF(P$68=O$68,O94,IF(O94="-",O94,ROUND(O94-((O94-P94)/(P$68-O$68))*(N$68-O$68),3)))</f>
        <v>2.46</v>
      </c>
      <c r="O94" s="1277">
        <f>IF(O$68=10,C94,HLOOKUP($O$68,$D$68:$M$133,27,TRUE))</f>
        <v>2.46</v>
      </c>
      <c r="P94" s="1277">
        <f>IF(P$68=10,C94,HLOOKUP($P$68,$D$68:$M$133,27,TRUE))</f>
        <v>2.46</v>
      </c>
    </row>
    <row r="95" spans="1:16" s="1265" customFormat="1" hidden="1">
      <c r="A95" s="1269">
        <v>3</v>
      </c>
      <c r="B95" s="1278" t="s">
        <v>4203</v>
      </c>
      <c r="C95" s="1281"/>
      <c r="D95" s="1281"/>
      <c r="E95" s="1281"/>
      <c r="F95" s="1281"/>
      <c r="G95" s="1281"/>
      <c r="H95" s="1281"/>
      <c r="I95" s="1281"/>
      <c r="J95" s="1281"/>
      <c r="K95" s="1281"/>
      <c r="L95" s="1281"/>
      <c r="M95" s="1282"/>
      <c r="N95" s="1276"/>
      <c r="O95" s="1276"/>
      <c r="P95" s="1276"/>
    </row>
    <row r="96" spans="1:16" s="1265" customFormat="1" hidden="1">
      <c r="A96" s="1269" t="s">
        <v>1329</v>
      </c>
      <c r="B96" s="1278" t="s">
        <v>5504</v>
      </c>
      <c r="C96" s="1281"/>
      <c r="D96" s="1281"/>
      <c r="E96" s="1281"/>
      <c r="F96" s="1281"/>
      <c r="G96" s="1281"/>
      <c r="H96" s="1281"/>
      <c r="I96" s="1281"/>
      <c r="J96" s="1281"/>
      <c r="K96" s="1281"/>
      <c r="L96" s="1281"/>
      <c r="M96" s="1282"/>
      <c r="N96" s="1276"/>
      <c r="O96" s="1276"/>
      <c r="P96" s="1276"/>
    </row>
    <row r="97" spans="1:16" s="1265" customFormat="1" hidden="1">
      <c r="A97" s="1269" t="s">
        <v>1330</v>
      </c>
      <c r="B97" s="727" t="s">
        <v>2615</v>
      </c>
      <c r="C97" s="1276">
        <v>2.0499999999999998</v>
      </c>
      <c r="D97" s="1276">
        <v>1.92</v>
      </c>
      <c r="E97" s="1276">
        <v>1.68</v>
      </c>
      <c r="F97" s="1276">
        <v>1.5</v>
      </c>
      <c r="G97" s="1276">
        <v>1.36</v>
      </c>
      <c r="H97" s="1276">
        <v>1.24</v>
      </c>
      <c r="I97" s="1276">
        <v>1.08</v>
      </c>
      <c r="J97" s="1276">
        <v>0.92</v>
      </c>
      <c r="K97" s="1276">
        <v>0.68</v>
      </c>
      <c r="L97" s="1276">
        <v>0.51</v>
      </c>
      <c r="M97" s="1276">
        <v>0.45</v>
      </c>
      <c r="N97" s="1277">
        <f>IF(P$68=O$68,O97,IF(O97="-",O97,ROUND(O97-((O97-P97)/(P$68-O$68))*(N$68-O$68),3)))</f>
        <v>2.0499999999999998</v>
      </c>
      <c r="O97" s="1277">
        <f>IF(O$68=10,C97,HLOOKUP($O$68,$D$68:$M$133,30,TRUE))</f>
        <v>2.0499999999999998</v>
      </c>
      <c r="P97" s="1277">
        <f>IF(P$68=10,C97,HLOOKUP($P$68,$D$68:$M$133,30,TRUE))</f>
        <v>2.0499999999999998</v>
      </c>
    </row>
    <row r="98" spans="1:16" s="1265" customFormat="1" hidden="1">
      <c r="A98" s="1269" t="s">
        <v>1331</v>
      </c>
      <c r="B98" s="727" t="s">
        <v>2617</v>
      </c>
      <c r="C98" s="1276">
        <v>1.44</v>
      </c>
      <c r="D98" s="1276">
        <v>1.39</v>
      </c>
      <c r="E98" s="1276">
        <v>1.1299999999999999</v>
      </c>
      <c r="F98" s="1276">
        <v>1.05</v>
      </c>
      <c r="G98" s="1276">
        <v>0.95</v>
      </c>
      <c r="H98" s="1276">
        <v>0.81</v>
      </c>
      <c r="I98" s="1276">
        <v>0.68</v>
      </c>
      <c r="J98" s="1276">
        <v>0.57999999999999996</v>
      </c>
      <c r="K98" s="1276">
        <v>0.44</v>
      </c>
      <c r="L98" s="1276">
        <v>0.34</v>
      </c>
      <c r="M98" s="1276">
        <v>0.28000000000000003</v>
      </c>
      <c r="N98" s="1277">
        <f>IF(P$68=O$68,O98,IF(O98="-",O98,ROUND(O98-((O98-P98)/(P$68-O$68))*(N$68-O$68),3)))</f>
        <v>1.44</v>
      </c>
      <c r="O98" s="1277">
        <f>IF(O$68=10,C98,HLOOKUP($O$68,$D$68:$M$133,31,TRUE))</f>
        <v>1.44</v>
      </c>
      <c r="P98" s="1277">
        <f>IF(P$68=10,C98,HLOOKUP($P$68,$D$68:$M$133,31,TRUE))</f>
        <v>1.44</v>
      </c>
    </row>
    <row r="99" spans="1:16" s="1265" customFormat="1" hidden="1">
      <c r="A99" s="1269" t="s">
        <v>1332</v>
      </c>
      <c r="B99" s="727" t="s">
        <v>2619</v>
      </c>
      <c r="C99" s="1276">
        <v>1.19</v>
      </c>
      <c r="D99" s="1276">
        <v>1.08</v>
      </c>
      <c r="E99" s="1276">
        <v>0.92</v>
      </c>
      <c r="F99" s="1276">
        <v>0.84</v>
      </c>
      <c r="G99" s="1276">
        <v>0.77</v>
      </c>
      <c r="H99" s="1276">
        <v>0.7</v>
      </c>
      <c r="I99" s="1276">
        <v>0.6</v>
      </c>
      <c r="J99" s="1276">
        <v>0.51</v>
      </c>
      <c r="K99" s="1276">
        <v>0.39</v>
      </c>
      <c r="L99" s="1276">
        <v>0.28999999999999998</v>
      </c>
      <c r="M99" s="1276">
        <v>0.25</v>
      </c>
      <c r="N99" s="1277">
        <f>IF(P$68=O$68,O99,IF(O99="-",O99,ROUND(O99-((O99-P99)/(P$68-O$68))*(N$68-O$68),3)))</f>
        <v>1.19</v>
      </c>
      <c r="O99" s="1277">
        <f>IF(O$68=10,C99,HLOOKUP($O$68,$D$68:$M$133,32,TRUE))</f>
        <v>1.19</v>
      </c>
      <c r="P99" s="1277">
        <f>IF(P$68=10,C99,HLOOKUP($P$68,$D$68:$M$133,32,TRUE))</f>
        <v>1.19</v>
      </c>
    </row>
    <row r="100" spans="1:16" s="1265" customFormat="1" hidden="1">
      <c r="A100" s="1269" t="s">
        <v>1333</v>
      </c>
      <c r="B100" s="727" t="s">
        <v>2621</v>
      </c>
      <c r="C100" s="1276">
        <v>1.05</v>
      </c>
      <c r="D100" s="1276">
        <v>0.93</v>
      </c>
      <c r="E100" s="1276">
        <v>0.81</v>
      </c>
      <c r="F100" s="1276">
        <v>0.74</v>
      </c>
      <c r="G100" s="1276">
        <v>0.68</v>
      </c>
      <c r="H100" s="1276">
        <v>0.57999999999999996</v>
      </c>
      <c r="I100" s="1276">
        <v>0.48</v>
      </c>
      <c r="J100" s="1276">
        <v>0.43</v>
      </c>
      <c r="K100" s="1276">
        <v>0.32</v>
      </c>
      <c r="L100" s="1276">
        <v>0.25</v>
      </c>
      <c r="M100" s="1276">
        <v>0.21</v>
      </c>
      <c r="N100" s="1277">
        <f>IF(P$68=O$68,O100,IF(O100="-",O100,ROUND(O100-((O100-P100)/(P$68-O$68))*(N$68-O$68),3)))</f>
        <v>1.05</v>
      </c>
      <c r="O100" s="1277">
        <f>IF(O$68=10,C100,HLOOKUP($O$68,$D$68:$M$133,33,TRUE))</f>
        <v>1.05</v>
      </c>
      <c r="P100" s="1277">
        <f>IF(P$68=10,C100,HLOOKUP($P$68,$D$68:$M$133,33,TRUE))</f>
        <v>1.05</v>
      </c>
    </row>
    <row r="101" spans="1:16" s="1265" customFormat="1" hidden="1">
      <c r="A101" s="1269" t="s">
        <v>1334</v>
      </c>
      <c r="B101" s="727" t="s">
        <v>2623</v>
      </c>
      <c r="C101" s="1276">
        <v>0.95</v>
      </c>
      <c r="D101" s="1276">
        <v>0.87</v>
      </c>
      <c r="E101" s="1276">
        <v>0.76</v>
      </c>
      <c r="F101" s="1276">
        <v>0.69</v>
      </c>
      <c r="G101" s="1276">
        <v>0.59</v>
      </c>
      <c r="H101" s="1276">
        <v>0.49</v>
      </c>
      <c r="I101" s="1276">
        <v>0.43</v>
      </c>
      <c r="J101" s="1276" t="s">
        <v>6344</v>
      </c>
      <c r="K101" s="1276" t="s">
        <v>6344</v>
      </c>
      <c r="L101" s="1276" t="s">
        <v>6344</v>
      </c>
      <c r="M101" s="1276" t="s">
        <v>6344</v>
      </c>
      <c r="N101" s="1277">
        <f>IF(P$68=O$68,O101,IF(O101="-",O101,ROUND(O101-((O101-P101)/(P$68-O$68))*(N$68-O$68),3)))</f>
        <v>0.95</v>
      </c>
      <c r="O101" s="1277">
        <f>IF(O$68=10,C101,HLOOKUP($O$68,$D$68:$M$133,34,TRUE))</f>
        <v>0.95</v>
      </c>
      <c r="P101" s="1277">
        <f>IF(P$68=10,C101,HLOOKUP($P$68,$D$68:$M$133,34,TRUE))</f>
        <v>0.95</v>
      </c>
    </row>
    <row r="102" spans="1:16" s="1265" customFormat="1" hidden="1">
      <c r="A102" s="1269" t="s">
        <v>1335</v>
      </c>
      <c r="B102" s="1278" t="s">
        <v>2625</v>
      </c>
      <c r="C102" s="1281"/>
      <c r="D102" s="1281"/>
      <c r="E102" s="1281"/>
      <c r="F102" s="1281"/>
      <c r="G102" s="1281"/>
      <c r="H102" s="1281"/>
      <c r="I102" s="1281"/>
      <c r="J102" s="1281"/>
      <c r="K102" s="1281"/>
      <c r="L102" s="1281"/>
      <c r="M102" s="1282"/>
      <c r="N102" s="1276"/>
      <c r="O102" s="1276"/>
      <c r="P102" s="1276"/>
    </row>
    <row r="103" spans="1:16" s="1265" customFormat="1" hidden="1">
      <c r="A103" s="1269" t="s">
        <v>1336</v>
      </c>
      <c r="B103" s="727" t="s">
        <v>2615</v>
      </c>
      <c r="C103" s="1276">
        <v>3.01</v>
      </c>
      <c r="D103" s="1276">
        <v>2.76</v>
      </c>
      <c r="E103" s="1276">
        <v>2.36</v>
      </c>
      <c r="F103" s="1276">
        <v>2.15</v>
      </c>
      <c r="G103" s="1276">
        <v>1.95</v>
      </c>
      <c r="H103" s="1276">
        <v>1.78</v>
      </c>
      <c r="I103" s="1276">
        <v>1.52</v>
      </c>
      <c r="J103" s="1276">
        <v>1.32</v>
      </c>
      <c r="K103" s="1276">
        <v>1.02</v>
      </c>
      <c r="L103" s="1276">
        <v>0.75</v>
      </c>
      <c r="M103" s="1276">
        <v>0.66</v>
      </c>
      <c r="N103" s="1277">
        <f>IF(P$68=O$68,O103,IF(O103="-",O103,ROUND(O103-((O103-P103)/(P$68-O$68))*(N$68-O$68),3)))</f>
        <v>3.01</v>
      </c>
      <c r="O103" s="1277">
        <f>IF(O$68=10,C103,HLOOKUP($O$68,$D$68:$M$133,36,TRUE))</f>
        <v>3.01</v>
      </c>
      <c r="P103" s="1277">
        <f>IF(P$68=10,C103,HLOOKUP($P$68,$D$68:$M$133,36,TRUE))</f>
        <v>3.01</v>
      </c>
    </row>
    <row r="104" spans="1:16" s="1265" customFormat="1" hidden="1">
      <c r="A104" s="1269" t="s">
        <v>1337</v>
      </c>
      <c r="B104" s="727" t="s">
        <v>2617</v>
      </c>
      <c r="C104" s="1276">
        <v>2.27</v>
      </c>
      <c r="D104" s="1276">
        <v>2.15</v>
      </c>
      <c r="E104" s="1276">
        <v>1.83</v>
      </c>
      <c r="F104" s="1276">
        <v>1.67</v>
      </c>
      <c r="G104" s="1276">
        <v>1.51</v>
      </c>
      <c r="H104" s="1276">
        <v>1.38</v>
      </c>
      <c r="I104" s="1276">
        <v>1.21</v>
      </c>
      <c r="J104" s="1276">
        <v>1.03</v>
      </c>
      <c r="K104" s="1276">
        <v>0.79</v>
      </c>
      <c r="L104" s="1276">
        <v>0.61</v>
      </c>
      <c r="M104" s="1276">
        <v>0.49</v>
      </c>
      <c r="N104" s="1277">
        <f>IF(P$68=O$68,O104,IF(O104="-",O104,ROUND(O104-((O104-P104)/(P$68-O$68))*(N$68-O$68),3)))</f>
        <v>2.27</v>
      </c>
      <c r="O104" s="1277">
        <f>IF(O$68=10,C104,HLOOKUP($O$68,$D$68:$M$133,37,TRUE))</f>
        <v>2.27</v>
      </c>
      <c r="P104" s="1277">
        <f>IF(P$68=10,C104,HLOOKUP($P$68,$D$68:$M$133,37,TRUE))</f>
        <v>2.27</v>
      </c>
    </row>
    <row r="105" spans="1:16" s="1265" customFormat="1" hidden="1">
      <c r="A105" s="1269" t="s">
        <v>1338</v>
      </c>
      <c r="B105" s="727" t="s">
        <v>2619</v>
      </c>
      <c r="C105" s="1276">
        <v>1.67</v>
      </c>
      <c r="D105" s="1276">
        <v>1.55</v>
      </c>
      <c r="E105" s="1276">
        <v>1.32</v>
      </c>
      <c r="F105" s="1276">
        <v>1.2</v>
      </c>
      <c r="G105" s="1276">
        <v>1.1000000000000001</v>
      </c>
      <c r="H105" s="1276">
        <v>1.01</v>
      </c>
      <c r="I105" s="1276">
        <v>0.85</v>
      </c>
      <c r="J105" s="1276">
        <v>0.72</v>
      </c>
      <c r="K105" s="1276">
        <v>0.56000000000000005</v>
      </c>
      <c r="L105" s="1276">
        <v>0.42</v>
      </c>
      <c r="M105" s="1276">
        <v>0.36</v>
      </c>
      <c r="N105" s="1277">
        <f>IF(P$68=O$68,O105,IF(O105="-",O105,ROUND(O105-((O105-P105)/(P$68-O$68))*(N$68-O$68),3)))</f>
        <v>1.67</v>
      </c>
      <c r="O105" s="1277">
        <f>IF(O$68=10,C105,HLOOKUP($O$68,$D$68:$M$133,38,TRUE))</f>
        <v>1.67</v>
      </c>
      <c r="P105" s="1277">
        <f>IF(P$68=10,C105,HLOOKUP($P$68,$D$68:$M$133,38,TRUE))</f>
        <v>1.67</v>
      </c>
    </row>
    <row r="106" spans="1:16" s="1265" customFormat="1" hidden="1">
      <c r="A106" s="1269" t="s">
        <v>1339</v>
      </c>
      <c r="B106" s="727" t="s">
        <v>2621</v>
      </c>
      <c r="C106" s="1276">
        <v>1.48</v>
      </c>
      <c r="D106" s="1276">
        <v>1.37</v>
      </c>
      <c r="E106" s="1276">
        <v>1.17</v>
      </c>
      <c r="F106" s="1276">
        <v>1.06</v>
      </c>
      <c r="G106" s="1276">
        <v>0.97</v>
      </c>
      <c r="H106" s="1276">
        <v>0.82</v>
      </c>
      <c r="I106" s="1276">
        <v>0.7</v>
      </c>
      <c r="J106" s="1276">
        <v>0.59</v>
      </c>
      <c r="K106" s="1276">
        <v>0.45</v>
      </c>
      <c r="L106" s="1276">
        <v>0.33</v>
      </c>
      <c r="M106" s="1276">
        <v>0.28999999999999998</v>
      </c>
      <c r="N106" s="1277">
        <f>IF(P$68=O$68,O106,IF(O106="-",O106,ROUND(O106-((O106-P106)/(P$68-O$68))*(N$68-O$68),3)))</f>
        <v>1.48</v>
      </c>
      <c r="O106" s="1277">
        <f>IF(O$68=10,C106,HLOOKUP($O$68,$D$68:$M$133,39,TRUE))</f>
        <v>1.48</v>
      </c>
      <c r="P106" s="1277">
        <f>IF(P$68=10,C106,HLOOKUP($P$68,$D$68:$M$133,39,TRUE))</f>
        <v>1.48</v>
      </c>
    </row>
    <row r="107" spans="1:16" s="1265" customFormat="1" hidden="1">
      <c r="A107" s="1269" t="s">
        <v>1340</v>
      </c>
      <c r="B107" s="727" t="s">
        <v>2623</v>
      </c>
      <c r="C107" s="1276">
        <v>1.37</v>
      </c>
      <c r="D107" s="1276">
        <v>1.26</v>
      </c>
      <c r="E107" s="1276">
        <v>1.08</v>
      </c>
      <c r="F107" s="1276">
        <v>0.98</v>
      </c>
      <c r="G107" s="1276">
        <v>0.83</v>
      </c>
      <c r="H107" s="1276">
        <v>0.71</v>
      </c>
      <c r="I107" s="1276" t="s">
        <v>6344</v>
      </c>
      <c r="J107" s="1276" t="s">
        <v>6344</v>
      </c>
      <c r="K107" s="1276" t="s">
        <v>6344</v>
      </c>
      <c r="L107" s="1276" t="s">
        <v>6344</v>
      </c>
      <c r="M107" s="1276" t="s">
        <v>6344</v>
      </c>
      <c r="N107" s="1277">
        <f>IF(P$68=O$68,O107,IF(O107="-",O107,ROUND(O107-((O107-P107)/(P$68-O$68))*(N$68-O$68),3)))</f>
        <v>1.37</v>
      </c>
      <c r="O107" s="1277">
        <f>IF(O$68=10,C107,HLOOKUP($O$68,$D$68:$M$133,40,TRUE))</f>
        <v>1.37</v>
      </c>
      <c r="P107" s="1277">
        <f>IF(P$68=10,C107,HLOOKUP($P$68,$D$68:$M$133,40,TRUE))</f>
        <v>1.37</v>
      </c>
    </row>
    <row r="108" spans="1:16" s="1265" customFormat="1" hidden="1">
      <c r="A108" s="1269">
        <v>4</v>
      </c>
      <c r="B108" s="1278" t="s">
        <v>4204</v>
      </c>
      <c r="C108" s="1281"/>
      <c r="D108" s="1281"/>
      <c r="E108" s="1281"/>
      <c r="F108" s="1281"/>
      <c r="G108" s="1281"/>
      <c r="H108" s="1281"/>
      <c r="I108" s="1281"/>
      <c r="J108" s="1281"/>
      <c r="K108" s="1281"/>
      <c r="L108" s="1281"/>
      <c r="M108" s="1282"/>
      <c r="N108" s="1276"/>
      <c r="O108" s="1276"/>
      <c r="P108" s="1276"/>
    </row>
    <row r="109" spans="1:16" s="1265" customFormat="1" hidden="1">
      <c r="A109" s="1269" t="s">
        <v>1341</v>
      </c>
      <c r="B109" s="1278" t="s">
        <v>5504</v>
      </c>
      <c r="C109" s="1281"/>
      <c r="D109" s="1281"/>
      <c r="E109" s="1281"/>
      <c r="F109" s="1281"/>
      <c r="G109" s="1281"/>
      <c r="H109" s="1281"/>
      <c r="I109" s="1281"/>
      <c r="J109" s="1281"/>
      <c r="K109" s="1281"/>
      <c r="L109" s="1281"/>
      <c r="M109" s="1282"/>
      <c r="N109" s="1276"/>
      <c r="O109" s="1276"/>
      <c r="P109" s="1276"/>
    </row>
    <row r="110" spans="1:16" s="1265" customFormat="1" hidden="1">
      <c r="A110" s="1269" t="s">
        <v>1342</v>
      </c>
      <c r="B110" s="727" t="s">
        <v>2615</v>
      </c>
      <c r="C110" s="1276">
        <v>2.98</v>
      </c>
      <c r="D110" s="1276">
        <v>2.6</v>
      </c>
      <c r="E110" s="1276">
        <v>2.2000000000000002</v>
      </c>
      <c r="F110" s="1276">
        <v>1.98</v>
      </c>
      <c r="G110" s="1276">
        <v>1.83</v>
      </c>
      <c r="H110" s="1276">
        <v>1.54</v>
      </c>
      <c r="I110" s="1276">
        <v>1.3</v>
      </c>
      <c r="J110" s="1276">
        <v>1.1299999999999999</v>
      </c>
      <c r="K110" s="1276">
        <v>0.85</v>
      </c>
      <c r="L110" s="1276">
        <v>0.66</v>
      </c>
      <c r="M110" s="1276">
        <v>0.57999999999999996</v>
      </c>
      <c r="N110" s="1277">
        <f>IF(P$68=O$68,O110,IF(O110="-",O110,ROUND(O110-((O110-P110)/(P$68-O$68))*(N$68-O$68),3)))</f>
        <v>2.98</v>
      </c>
      <c r="O110" s="1277">
        <f>IF(O$68=10,C110,HLOOKUP($O$68,$D$68:$M$133,43,TRUE))</f>
        <v>2.98</v>
      </c>
      <c r="P110" s="1277">
        <f>IF(P$68=10,C110,HLOOKUP($P$68,$D$68:$M$133,43,TRUE))</f>
        <v>2.98</v>
      </c>
    </row>
    <row r="111" spans="1:16" s="1265" customFormat="1" hidden="1">
      <c r="A111" s="1269" t="s">
        <v>1343</v>
      </c>
      <c r="B111" s="727" t="s">
        <v>2617</v>
      </c>
      <c r="C111" s="1276">
        <v>2.7</v>
      </c>
      <c r="D111" s="1276">
        <v>2.36</v>
      </c>
      <c r="E111" s="1276">
        <v>1.99</v>
      </c>
      <c r="F111" s="1276">
        <v>1.78</v>
      </c>
      <c r="G111" s="1276">
        <v>1.66</v>
      </c>
      <c r="H111" s="1276">
        <v>1.39</v>
      </c>
      <c r="I111" s="1276">
        <v>1.17</v>
      </c>
      <c r="J111" s="1276">
        <v>1.02</v>
      </c>
      <c r="K111" s="1276">
        <v>0.77</v>
      </c>
      <c r="L111" s="1276">
        <v>0.59</v>
      </c>
      <c r="M111" s="1276">
        <v>0.52</v>
      </c>
      <c r="N111" s="1277">
        <f>IF(P$68=O$68,O111,IF(O111="-",O111,ROUND(O111-((O111-P111)/(P$68-O$68))*(N$68-O$68),3)))</f>
        <v>2.7</v>
      </c>
      <c r="O111" s="1277">
        <f>IF(O$68=10,C111,HLOOKUP($O$68,$D$68:$M$133,44,TRUE))</f>
        <v>2.7</v>
      </c>
      <c r="P111" s="1277">
        <f>IF(P$68=10,C111,HLOOKUP($P$68,$D$68:$M$133,44,TRUE))</f>
        <v>2.7</v>
      </c>
    </row>
    <row r="112" spans="1:16" s="1265" customFormat="1" hidden="1">
      <c r="A112" s="1269" t="s">
        <v>1344</v>
      </c>
      <c r="B112" s="727" t="s">
        <v>2619</v>
      </c>
      <c r="C112" s="1276">
        <v>2.48</v>
      </c>
      <c r="D112" s="1276">
        <v>2.14</v>
      </c>
      <c r="E112" s="1276">
        <v>1.8</v>
      </c>
      <c r="F112" s="1276">
        <v>1.61</v>
      </c>
      <c r="G112" s="1276">
        <v>1.51</v>
      </c>
      <c r="H112" s="1276">
        <v>1.22</v>
      </c>
      <c r="I112" s="1276">
        <v>1.05</v>
      </c>
      <c r="J112" s="1276">
        <v>0.87</v>
      </c>
      <c r="K112" s="1276">
        <v>0.67</v>
      </c>
      <c r="L112" s="1276">
        <v>0.49</v>
      </c>
      <c r="M112" s="1276">
        <v>0.42</v>
      </c>
      <c r="N112" s="1277">
        <f>IF(P$68=O$68,O112,IF(O112="-",O112,ROUND(O112-((O112-P112)/(P$68-O$68))*(N$68-O$68),3)))</f>
        <v>2.48</v>
      </c>
      <c r="O112" s="1277">
        <f>IF(O$68=10,C112,HLOOKUP($O$68,$D$68:$M$133,45,TRUE))</f>
        <v>2.48</v>
      </c>
      <c r="P112" s="1277">
        <f>IF(P$68=10,C112,HLOOKUP($P$68,$D$68:$M$133,45,TRUE))</f>
        <v>2.48</v>
      </c>
    </row>
    <row r="113" spans="1:16" s="1265" customFormat="1" hidden="1">
      <c r="A113" s="1269" t="s">
        <v>1345</v>
      </c>
      <c r="B113" s="727" t="s">
        <v>2621</v>
      </c>
      <c r="C113" s="1276">
        <v>2.2000000000000002</v>
      </c>
      <c r="D113" s="1276">
        <v>1.9</v>
      </c>
      <c r="E113" s="1276">
        <v>1.6</v>
      </c>
      <c r="F113" s="1276">
        <v>1.43</v>
      </c>
      <c r="G113" s="1276">
        <v>1.24</v>
      </c>
      <c r="H113" s="1276">
        <v>1.06</v>
      </c>
      <c r="I113" s="1276">
        <v>0.9</v>
      </c>
      <c r="J113" s="1276">
        <v>0.77</v>
      </c>
      <c r="K113" s="1276">
        <v>0.59</v>
      </c>
      <c r="L113" s="1276">
        <v>0.43</v>
      </c>
      <c r="M113" s="1276">
        <v>0.37</v>
      </c>
      <c r="N113" s="1277">
        <f>IF(P$68=O$68,O113,IF(O113="-",O113,ROUND(O113-((O113-P113)/(P$68-O$68))*(N$68-O$68),3)))</f>
        <v>2.2000000000000002</v>
      </c>
      <c r="O113" s="1277">
        <f>IF(O$68=10,C113,HLOOKUP($O$68,$D$68:$M$133,46,TRUE))</f>
        <v>2.2000000000000002</v>
      </c>
      <c r="P113" s="1277">
        <f>IF(P$68=10,C113,HLOOKUP($P$68,$D$68:$M$133,46,TRUE))</f>
        <v>2.2000000000000002</v>
      </c>
    </row>
    <row r="114" spans="1:16" s="1265" customFormat="1" hidden="1">
      <c r="A114" s="1269" t="s">
        <v>1346</v>
      </c>
      <c r="B114" s="727" t="s">
        <v>2623</v>
      </c>
      <c r="C114" s="1276">
        <v>1.74</v>
      </c>
      <c r="D114" s="1276">
        <v>1.52</v>
      </c>
      <c r="E114" s="1276">
        <v>1.27</v>
      </c>
      <c r="F114" s="1276">
        <v>1.1200000000000001</v>
      </c>
      <c r="G114" s="1276">
        <v>1.01</v>
      </c>
      <c r="H114" s="1276">
        <v>0.8</v>
      </c>
      <c r="I114" s="1276">
        <v>0.64</v>
      </c>
      <c r="J114" s="1276" t="s">
        <v>6344</v>
      </c>
      <c r="K114" s="1276" t="s">
        <v>6344</v>
      </c>
      <c r="L114" s="1276" t="s">
        <v>6344</v>
      </c>
      <c r="M114" s="1276" t="s">
        <v>6344</v>
      </c>
      <c r="N114" s="1277">
        <f>IF(P$68=O$68,O114,IF(O114="-",O114,ROUND(O114-((O114-P114)/(P$68-O$68))*(N$68-O$68),3)))</f>
        <v>1.74</v>
      </c>
      <c r="O114" s="1277">
        <f>IF(O$68=10,C114,HLOOKUP($O$68,$D$68:$M$133,47,TRUE))</f>
        <v>1.74</v>
      </c>
      <c r="P114" s="1277">
        <f>IF(P$68=10,C114,HLOOKUP($P$68,$D$68:$M$133,47,TRUE))</f>
        <v>1.74</v>
      </c>
    </row>
    <row r="115" spans="1:16" s="1265" customFormat="1" hidden="1">
      <c r="A115" s="1269" t="s">
        <v>1347</v>
      </c>
      <c r="B115" s="1278" t="s">
        <v>2625</v>
      </c>
      <c r="C115" s="1281"/>
      <c r="D115" s="1281"/>
      <c r="E115" s="1281"/>
      <c r="F115" s="1281"/>
      <c r="G115" s="1281"/>
      <c r="H115" s="1281"/>
      <c r="I115" s="1281"/>
      <c r="J115" s="1281"/>
      <c r="K115" s="1281"/>
      <c r="L115" s="1281"/>
      <c r="M115" s="1282"/>
      <c r="N115" s="1276"/>
      <c r="O115" s="1276"/>
      <c r="P115" s="1276"/>
    </row>
    <row r="116" spans="1:16" s="1265" customFormat="1" hidden="1">
      <c r="A116" s="1269" t="s">
        <v>1348</v>
      </c>
      <c r="B116" s="727" t="s">
        <v>2615</v>
      </c>
      <c r="C116" s="1276">
        <v>4.29</v>
      </c>
      <c r="D116" s="1276">
        <v>3.75</v>
      </c>
      <c r="E116" s="1276">
        <v>3.17</v>
      </c>
      <c r="F116" s="1276">
        <v>2.85</v>
      </c>
      <c r="G116" s="1276">
        <v>2.6</v>
      </c>
      <c r="H116" s="1276">
        <v>2.21</v>
      </c>
      <c r="I116" s="1276">
        <v>1.87</v>
      </c>
      <c r="J116" s="1276">
        <v>1.58</v>
      </c>
      <c r="K116" s="1276">
        <v>1.22</v>
      </c>
      <c r="L116" s="1276">
        <v>0.95</v>
      </c>
      <c r="M116" s="1276">
        <v>0.83</v>
      </c>
      <c r="N116" s="1277">
        <f>IF(P$68=O$68,O116,IF(O116="-",O116,ROUND(O116-((O116-P116)/(P$68-O$68))*(N$68-O$68),3)))</f>
        <v>4.29</v>
      </c>
      <c r="O116" s="1277">
        <f>IF(O$68=10,C116,HLOOKUP($O$68,$D$68:$M$133,49,TRUE))</f>
        <v>4.29</v>
      </c>
      <c r="P116" s="1277">
        <f>IF(P$68=10,C116,HLOOKUP($P$68,$D$68:$M$133,49,TRUE))</f>
        <v>4.29</v>
      </c>
    </row>
    <row r="117" spans="1:16" s="1265" customFormat="1" hidden="1">
      <c r="A117" s="1269" t="s">
        <v>1349</v>
      </c>
      <c r="B117" s="727" t="s">
        <v>2617</v>
      </c>
      <c r="C117" s="1276">
        <v>3.89</v>
      </c>
      <c r="D117" s="1276">
        <v>3.4</v>
      </c>
      <c r="E117" s="1276">
        <v>2.87</v>
      </c>
      <c r="F117" s="1276">
        <v>2.57</v>
      </c>
      <c r="G117" s="1276">
        <v>2.36</v>
      </c>
      <c r="H117" s="1276">
        <v>2</v>
      </c>
      <c r="I117" s="1276">
        <v>1.69</v>
      </c>
      <c r="J117" s="1276">
        <v>1.43</v>
      </c>
      <c r="K117" s="1276">
        <v>1.1000000000000001</v>
      </c>
      <c r="L117" s="1276">
        <v>0.85</v>
      </c>
      <c r="M117" s="1276">
        <v>0.74</v>
      </c>
      <c r="N117" s="1277">
        <f>IF(P$68=O$68,O117,IF(O117="-",O117,ROUND(O117-((O117-P117)/(P$68-O$68))*(N$68-O$68),3)))</f>
        <v>3.89</v>
      </c>
      <c r="O117" s="1277">
        <f>IF(O$68=10,C117,HLOOKUP($O$68,$D$68:$M$133,50,TRUE))</f>
        <v>3.89</v>
      </c>
      <c r="P117" s="1277">
        <f>IF(P$68=10,C117,HLOOKUP($P$68,$D$68:$M$133,50,TRUE))</f>
        <v>3.89</v>
      </c>
    </row>
    <row r="118" spans="1:16" s="1265" customFormat="1" hidden="1">
      <c r="A118" s="1269" t="s">
        <v>1350</v>
      </c>
      <c r="B118" s="727" t="s">
        <v>2619</v>
      </c>
      <c r="C118" s="1276">
        <v>3.53</v>
      </c>
      <c r="D118" s="1276">
        <v>3.11</v>
      </c>
      <c r="E118" s="1276">
        <v>2.62</v>
      </c>
      <c r="F118" s="1276">
        <v>2.34</v>
      </c>
      <c r="G118" s="1276">
        <v>2.15</v>
      </c>
      <c r="H118" s="1276">
        <v>1.73</v>
      </c>
      <c r="I118" s="1276">
        <v>1.48</v>
      </c>
      <c r="J118" s="1276">
        <v>1.25</v>
      </c>
      <c r="K118" s="1276">
        <v>0.96</v>
      </c>
      <c r="L118" s="1276">
        <v>0.69</v>
      </c>
      <c r="M118" s="1276">
        <v>0.57999999999999996</v>
      </c>
      <c r="N118" s="1277">
        <f>IF(P$68=O$68,O118,IF(O118="-",O118,ROUND(O118-((O118-P118)/(P$68-O$68))*(N$68-O$68),3)))</f>
        <v>3.53</v>
      </c>
      <c r="O118" s="1277">
        <f>IF(O$68=10,C118,HLOOKUP($O$68,$D$68:$M$133,51,TRUE))</f>
        <v>3.53</v>
      </c>
      <c r="P118" s="1277">
        <f>IF(P$68=10,C118,HLOOKUP($P$68,$D$68:$M$133,51,TRUE))</f>
        <v>3.53</v>
      </c>
    </row>
    <row r="119" spans="1:16" s="1265" customFormat="1" hidden="1">
      <c r="A119" s="1269" t="s">
        <v>1351</v>
      </c>
      <c r="B119" s="727" t="s">
        <v>2621</v>
      </c>
      <c r="C119" s="1276">
        <v>3.13</v>
      </c>
      <c r="D119" s="1276">
        <v>2.76</v>
      </c>
      <c r="E119" s="1276">
        <v>2.31</v>
      </c>
      <c r="F119" s="1276">
        <v>2.0699999999999998</v>
      </c>
      <c r="G119" s="1276">
        <v>1.79</v>
      </c>
      <c r="H119" s="1276">
        <v>1.52</v>
      </c>
      <c r="I119" s="1276">
        <v>1.29</v>
      </c>
      <c r="J119" s="1276">
        <v>1.1000000000000001</v>
      </c>
      <c r="K119" s="1276">
        <v>0.83</v>
      </c>
      <c r="L119" s="1276">
        <v>0.6</v>
      </c>
      <c r="M119" s="1276">
        <v>0.51</v>
      </c>
      <c r="N119" s="1277">
        <f>IF(P$68=O$68,O119,IF(O119="-",O119,ROUND(O119-((O119-P119)/(P$68-O$68))*(N$68-O$68),3)))</f>
        <v>3.13</v>
      </c>
      <c r="O119" s="1277">
        <f>IF(O$68=10,C119,HLOOKUP($O$68,$D$68:$M$133,52,TRUE))</f>
        <v>3.13</v>
      </c>
      <c r="P119" s="1277">
        <f>IF(P$68=10,C119,HLOOKUP($P$68,$D$68:$M$133,52,TRUE))</f>
        <v>3.13</v>
      </c>
    </row>
    <row r="120" spans="1:16" s="1265" customFormat="1" hidden="1">
      <c r="A120" s="1269" t="s">
        <v>1352</v>
      </c>
      <c r="B120" s="727" t="s">
        <v>2623</v>
      </c>
      <c r="C120" s="1276">
        <v>2.48</v>
      </c>
      <c r="D120" s="1276">
        <v>2.19</v>
      </c>
      <c r="E120" s="1276">
        <v>1.82</v>
      </c>
      <c r="F120" s="1276">
        <v>1.61</v>
      </c>
      <c r="G120" s="1276">
        <v>1.41</v>
      </c>
      <c r="H120" s="1276">
        <v>1.1399999999999999</v>
      </c>
      <c r="I120" s="1276" t="s">
        <v>6344</v>
      </c>
      <c r="J120" s="1276" t="s">
        <v>6344</v>
      </c>
      <c r="K120" s="1276" t="s">
        <v>6344</v>
      </c>
      <c r="L120" s="1276" t="s">
        <v>6344</v>
      </c>
      <c r="M120" s="1276" t="s">
        <v>6344</v>
      </c>
      <c r="N120" s="1277">
        <f>IF(P$68=O$68,O120,IF(O120="-",O120,ROUND(O120-((O120-P120)/(P$68-O$68))*(N$68-O$68),3)))</f>
        <v>2.48</v>
      </c>
      <c r="O120" s="1277">
        <f>IF(O$68=10,C120,HLOOKUP($O$68,$D$68:$M$133,53,TRUE))</f>
        <v>2.48</v>
      </c>
      <c r="P120" s="1277">
        <f>IF(P$68=10,C120,HLOOKUP($P$68,$D$68:$M$133,53,TRUE))</f>
        <v>2.48</v>
      </c>
    </row>
    <row r="121" spans="1:16" s="1265" customFormat="1" hidden="1">
      <c r="A121" s="1269">
        <v>5</v>
      </c>
      <c r="B121" s="1278" t="s">
        <v>4205</v>
      </c>
      <c r="C121" s="1281"/>
      <c r="D121" s="1281"/>
      <c r="E121" s="1281"/>
      <c r="F121" s="1281"/>
      <c r="G121" s="1281"/>
      <c r="H121" s="1281"/>
      <c r="I121" s="1281"/>
      <c r="J121" s="1281"/>
      <c r="K121" s="1281"/>
      <c r="L121" s="1281"/>
      <c r="M121" s="1282"/>
      <c r="N121" s="1276"/>
      <c r="O121" s="1276"/>
      <c r="P121" s="1276"/>
    </row>
    <row r="122" spans="1:16" s="1265" customFormat="1" hidden="1">
      <c r="A122" s="1269" t="s">
        <v>1353</v>
      </c>
      <c r="B122" s="1278" t="s">
        <v>5504</v>
      </c>
      <c r="C122" s="1281"/>
      <c r="D122" s="1281"/>
      <c r="E122" s="1281"/>
      <c r="F122" s="1281"/>
      <c r="G122" s="1281"/>
      <c r="H122" s="1281"/>
      <c r="I122" s="1281"/>
      <c r="J122" s="1281"/>
      <c r="K122" s="1281"/>
      <c r="L122" s="1281"/>
      <c r="M122" s="1282"/>
      <c r="N122" s="1276"/>
      <c r="O122" s="1276"/>
      <c r="P122" s="1276"/>
    </row>
    <row r="123" spans="1:16" s="1265" customFormat="1" hidden="1">
      <c r="A123" s="1269" t="s">
        <v>1354</v>
      </c>
      <c r="B123" s="727" t="s">
        <v>2615</v>
      </c>
      <c r="C123" s="1276">
        <v>2.2200000000000002</v>
      </c>
      <c r="D123" s="1276">
        <v>1.94</v>
      </c>
      <c r="E123" s="1276">
        <v>1.63</v>
      </c>
      <c r="F123" s="1276">
        <v>1.48</v>
      </c>
      <c r="G123" s="1276">
        <v>1.36</v>
      </c>
      <c r="H123" s="1276">
        <v>1.1399999999999999</v>
      </c>
      <c r="I123" s="1276">
        <v>0.97</v>
      </c>
      <c r="J123" s="1276">
        <v>0.83</v>
      </c>
      <c r="K123" s="1276">
        <v>0.61</v>
      </c>
      <c r="L123" s="1276">
        <v>0.48</v>
      </c>
      <c r="M123" s="1276">
        <v>0.43</v>
      </c>
      <c r="N123" s="1277">
        <f>IF(P$68=O$68,O123,IF(O123="-",O123,ROUND(O123-((O123-P123)/(P$68-O$68))*(N$68-O$68),3)))</f>
        <v>2.2200000000000002</v>
      </c>
      <c r="O123" s="1277">
        <f>IF(O$68=10,C123,HLOOKUP($O$68,$D$68:$M$133,56,TRUE))</f>
        <v>2.2200000000000002</v>
      </c>
      <c r="P123" s="1277">
        <f>IF(P$68=10,C123,HLOOKUP($P$68,$D$68:$M$133,56,TRUE))</f>
        <v>2.2200000000000002</v>
      </c>
    </row>
    <row r="124" spans="1:16" s="1265" customFormat="1" hidden="1">
      <c r="A124" s="1269" t="s">
        <v>1355</v>
      </c>
      <c r="B124" s="727" t="s">
        <v>2617</v>
      </c>
      <c r="C124" s="1276">
        <v>2.09</v>
      </c>
      <c r="D124" s="1276">
        <v>1.83</v>
      </c>
      <c r="E124" s="1276">
        <v>1.53</v>
      </c>
      <c r="F124" s="1276">
        <v>1.38</v>
      </c>
      <c r="G124" s="1276">
        <v>1.28</v>
      </c>
      <c r="H124" s="1276">
        <v>1.04</v>
      </c>
      <c r="I124" s="1276">
        <v>0.9</v>
      </c>
      <c r="J124" s="1276">
        <v>0.75</v>
      </c>
      <c r="K124" s="1276">
        <v>0.53</v>
      </c>
      <c r="L124" s="1276">
        <v>0.39</v>
      </c>
      <c r="M124" s="1276">
        <v>0.33</v>
      </c>
      <c r="N124" s="1277">
        <f>IF(P$68=O$68,O124,IF(O124="-",O124,ROUND(O124-((O124-P124)/(P$68-O$68))*(N$68-O$68),3)))</f>
        <v>2.09</v>
      </c>
      <c r="O124" s="1277">
        <f>IF(O$68=10,C124,HLOOKUP($O$68,$D$68:$M$133,57,TRUE))</f>
        <v>2.09</v>
      </c>
      <c r="P124" s="1277">
        <f>IF(P$68=10,C124,HLOOKUP($P$68,$D$68:$M$133,57,TRUE))</f>
        <v>2.09</v>
      </c>
    </row>
    <row r="125" spans="1:16" s="1265" customFormat="1" hidden="1">
      <c r="A125" s="1269" t="s">
        <v>1356</v>
      </c>
      <c r="B125" s="727" t="s">
        <v>2619</v>
      </c>
      <c r="C125" s="1276">
        <v>1.86</v>
      </c>
      <c r="D125" s="1276">
        <v>1.62</v>
      </c>
      <c r="E125" s="1276">
        <v>1.36</v>
      </c>
      <c r="F125" s="1276">
        <v>1.22</v>
      </c>
      <c r="G125" s="1276">
        <v>1.1299999999999999</v>
      </c>
      <c r="H125" s="1276">
        <v>0.91</v>
      </c>
      <c r="I125" s="1276">
        <v>0.78</v>
      </c>
      <c r="J125" s="1276">
        <v>0.66</v>
      </c>
      <c r="K125" s="1276">
        <v>0.47</v>
      </c>
      <c r="L125" s="1276">
        <v>0.34</v>
      </c>
      <c r="M125" s="1276">
        <v>0.28999999999999998</v>
      </c>
      <c r="N125" s="1277">
        <f>IF(P$68=O$68,O125,IF(O125="-",O125,ROUND(O125-((O125-P125)/(P$68-O$68))*(N$68-O$68),3)))</f>
        <v>1.86</v>
      </c>
      <c r="O125" s="1277">
        <f>IF(O$68=10,C125,HLOOKUP($O$68,$D$68:$M$133,58,TRUE))</f>
        <v>1.86</v>
      </c>
      <c r="P125" s="1277">
        <f>IF(P$68=10,C125,HLOOKUP($P$68,$D$68:$M$133,58,TRUE))</f>
        <v>1.86</v>
      </c>
    </row>
    <row r="126" spans="1:16" s="1265" customFormat="1" hidden="1">
      <c r="A126" s="1269" t="s">
        <v>1357</v>
      </c>
      <c r="B126" s="727" t="s">
        <v>2621</v>
      </c>
      <c r="C126" s="1276">
        <v>1.62</v>
      </c>
      <c r="D126" s="1276">
        <v>1.39</v>
      </c>
      <c r="E126" s="1276">
        <v>1.19</v>
      </c>
      <c r="F126" s="1276">
        <v>1.07</v>
      </c>
      <c r="G126" s="1276">
        <v>0.97</v>
      </c>
      <c r="H126" s="1276">
        <v>0.8</v>
      </c>
      <c r="I126" s="1276">
        <v>0.7</v>
      </c>
      <c r="J126" s="1276">
        <v>0.56000000000000005</v>
      </c>
      <c r="K126" s="1276">
        <v>0.41</v>
      </c>
      <c r="L126" s="1276">
        <v>0.28999999999999998</v>
      </c>
      <c r="M126" s="1276">
        <v>0.25</v>
      </c>
      <c r="N126" s="1277">
        <f>IF(P$68=O$68,O126,IF(O126="-",O126,ROUND(O126-((O126-P126)/(P$68-O$68))*(N$68-O$68),3)))</f>
        <v>1.62</v>
      </c>
      <c r="O126" s="1277">
        <f>IF(O$68=10,C126,HLOOKUP($O$68,$D$68:$M$133,59,TRUE))</f>
        <v>1.62</v>
      </c>
      <c r="P126" s="1277">
        <f>IF(P$68=10,C126,HLOOKUP($P$68,$D$68:$M$133,59,TRUE))</f>
        <v>1.62</v>
      </c>
    </row>
    <row r="127" spans="1:16" s="1265" customFormat="1" hidden="1">
      <c r="A127" s="1269" t="s">
        <v>1358</v>
      </c>
      <c r="B127" s="727" t="s">
        <v>2623</v>
      </c>
      <c r="C127" s="1276">
        <v>1.45</v>
      </c>
      <c r="D127" s="1276">
        <v>1.23</v>
      </c>
      <c r="E127" s="1276">
        <v>1.01</v>
      </c>
      <c r="F127" s="1276">
        <v>0.92</v>
      </c>
      <c r="G127" s="1276">
        <v>0.8</v>
      </c>
      <c r="H127" s="1276">
        <v>0.7</v>
      </c>
      <c r="I127" s="1276">
        <v>0.57999999999999996</v>
      </c>
      <c r="J127" s="1276" t="s">
        <v>6344</v>
      </c>
      <c r="K127" s="1276" t="s">
        <v>6344</v>
      </c>
      <c r="L127" s="1276" t="s">
        <v>6344</v>
      </c>
      <c r="M127" s="1276" t="s">
        <v>6344</v>
      </c>
      <c r="N127" s="1277">
        <f>IF(P$68=O$68,O127,IF(O127="-",O127,ROUND(O127-((O127-P127)/(P$68-O$68))*(N$68-O$68),3)))</f>
        <v>1.45</v>
      </c>
      <c r="O127" s="1277">
        <f>IF(O$68=10,C127,HLOOKUP($O$68,$D$68:$M$133,60,TRUE))</f>
        <v>1.45</v>
      </c>
      <c r="P127" s="1277">
        <f>IF(P$68=10,C127,HLOOKUP($P$68,$D$68:$M$133,60,TRUE))</f>
        <v>1.45</v>
      </c>
    </row>
    <row r="128" spans="1:16" s="1265" customFormat="1" hidden="1">
      <c r="A128" s="1269" t="s">
        <v>1359</v>
      </c>
      <c r="B128" s="1278" t="s">
        <v>2625</v>
      </c>
      <c r="C128" s="1281"/>
      <c r="D128" s="1281"/>
      <c r="E128" s="1281"/>
      <c r="F128" s="1281"/>
      <c r="G128" s="1281"/>
      <c r="H128" s="1281"/>
      <c r="I128" s="1281"/>
      <c r="J128" s="1281"/>
      <c r="K128" s="1281"/>
      <c r="L128" s="1281"/>
      <c r="M128" s="1282"/>
      <c r="N128" s="1276"/>
      <c r="O128" s="1276"/>
      <c r="P128" s="1276"/>
    </row>
    <row r="129" spans="1:17" s="1265" customFormat="1" hidden="1">
      <c r="A129" s="1269" t="s">
        <v>1360</v>
      </c>
      <c r="B129" s="727" t="s">
        <v>2615</v>
      </c>
      <c r="C129" s="1276">
        <v>3.23</v>
      </c>
      <c r="D129" s="1276">
        <v>2.79</v>
      </c>
      <c r="E129" s="1276">
        <v>2.35</v>
      </c>
      <c r="F129" s="1276">
        <v>2.13</v>
      </c>
      <c r="G129" s="1276">
        <v>1.95</v>
      </c>
      <c r="H129" s="1276">
        <v>1.64</v>
      </c>
      <c r="I129" s="1276">
        <v>1.39</v>
      </c>
      <c r="J129" s="1276">
        <v>1.19</v>
      </c>
      <c r="K129" s="1276">
        <v>0.9</v>
      </c>
      <c r="L129" s="1276">
        <v>0.7</v>
      </c>
      <c r="M129" s="1276">
        <v>0.63</v>
      </c>
      <c r="N129" s="1277">
        <f>IF(P$68=O$68,O129,IF(O129="-",O129,ROUND(O129-((O129-P129)/(P$68-O$68))*(N$68-O$68),3)))</f>
        <v>3.23</v>
      </c>
      <c r="O129" s="1277">
        <f>IF(O$68=10,C129,HLOOKUP($O$68,$D$68:$M$133,62,TRUE))</f>
        <v>3.23</v>
      </c>
      <c r="P129" s="1277">
        <f>IF(P$68=10,C129,HLOOKUP($P$68,$D$68:$M$133,62,TRUE))</f>
        <v>3.23</v>
      </c>
    </row>
    <row r="130" spans="1:17" s="1265" customFormat="1" hidden="1">
      <c r="A130" s="1269" t="s">
        <v>1361</v>
      </c>
      <c r="B130" s="727" t="s">
        <v>2617</v>
      </c>
      <c r="C130" s="1276">
        <v>3.01</v>
      </c>
      <c r="D130" s="1276">
        <v>2.63</v>
      </c>
      <c r="E130" s="1276">
        <v>2.21</v>
      </c>
      <c r="F130" s="1276">
        <v>1.99</v>
      </c>
      <c r="G130" s="1276">
        <v>1.82</v>
      </c>
      <c r="H130" s="1276">
        <v>1.49</v>
      </c>
      <c r="I130" s="1276">
        <v>1.28</v>
      </c>
      <c r="J130" s="1276">
        <v>1.07</v>
      </c>
      <c r="K130" s="1276">
        <v>0.79</v>
      </c>
      <c r="L130" s="1276">
        <v>0.57999999999999996</v>
      </c>
      <c r="M130" s="1276">
        <v>0.49</v>
      </c>
      <c r="N130" s="1277">
        <f>IF(P$68=O$68,O130,IF(O130="-",O130,ROUND(O130-((O130-P130)/(P$68-O$68))*(N$68-O$68),3)))</f>
        <v>3.01</v>
      </c>
      <c r="O130" s="1277">
        <f>IF(O$68=10,C130,HLOOKUP($O$68,$D$68:$M$133,63,TRUE))</f>
        <v>3.01</v>
      </c>
      <c r="P130" s="1277">
        <f>IF(P$68=10,C130,HLOOKUP($P$68,$D$68:$M$133,63,TRUE))</f>
        <v>3.01</v>
      </c>
    </row>
    <row r="131" spans="1:17" s="1265" customFormat="1" hidden="1">
      <c r="A131" s="1269" t="s">
        <v>1362</v>
      </c>
      <c r="B131" s="727" t="s">
        <v>2619</v>
      </c>
      <c r="C131" s="1276">
        <v>2.68</v>
      </c>
      <c r="D131" s="1276">
        <v>2.33</v>
      </c>
      <c r="E131" s="1276">
        <v>1.97</v>
      </c>
      <c r="F131" s="1276">
        <v>1.77</v>
      </c>
      <c r="G131" s="1276">
        <v>1.58</v>
      </c>
      <c r="H131" s="1276">
        <v>1.32</v>
      </c>
      <c r="I131" s="1276">
        <v>1.1399999999999999</v>
      </c>
      <c r="J131" s="1276">
        <v>0.92</v>
      </c>
      <c r="K131" s="1276">
        <v>0.7</v>
      </c>
      <c r="L131" s="1276">
        <v>0.51</v>
      </c>
      <c r="M131" s="1276">
        <v>0.43</v>
      </c>
      <c r="N131" s="1277">
        <f>IF(P$68=O$68,O131,IF(O131="-",O131,ROUND(O131-((O131-P131)/(P$68-O$68))*(N$68-O$68),3)))</f>
        <v>2.68</v>
      </c>
      <c r="O131" s="1277">
        <f>IF(O$68=10,C131,HLOOKUP($O$68,$D$68:$M$133,64,TRUE))</f>
        <v>2.68</v>
      </c>
      <c r="P131" s="1277">
        <f>IF(P$68=10,C131,HLOOKUP($P$68,$D$68:$M$133,64,TRUE))</f>
        <v>2.68</v>
      </c>
    </row>
    <row r="132" spans="1:17" s="1265" customFormat="1" hidden="1">
      <c r="A132" s="1269" t="s">
        <v>1363</v>
      </c>
      <c r="B132" s="727" t="s">
        <v>2621</v>
      </c>
      <c r="C132" s="1276">
        <v>2.36</v>
      </c>
      <c r="D132" s="1276">
        <v>2.0099999999999998</v>
      </c>
      <c r="E132" s="1276">
        <v>1.72</v>
      </c>
      <c r="F132" s="1276">
        <v>1.55</v>
      </c>
      <c r="G132" s="1276">
        <v>1.39</v>
      </c>
      <c r="H132" s="1276">
        <v>1.1599999999999999</v>
      </c>
      <c r="I132" s="1276">
        <v>1.02</v>
      </c>
      <c r="J132" s="1276">
        <v>0.81</v>
      </c>
      <c r="K132" s="1276">
        <v>0.61</v>
      </c>
      <c r="L132" s="1276">
        <v>0.44</v>
      </c>
      <c r="M132" s="1276">
        <v>0.36</v>
      </c>
      <c r="N132" s="1277">
        <f>IF(P$68=O$68,O132,IF(O132="-",O132,ROUND(O132-((O132-P132)/(P$68-O$68))*(N$68-O$68),3)))</f>
        <v>2.36</v>
      </c>
      <c r="O132" s="1277">
        <f>IF(O$68=10,C132,HLOOKUP($O$68,$D$68:$M$133,65,TRUE))</f>
        <v>2.36</v>
      </c>
      <c r="P132" s="1277">
        <f>IF(P$68=10,C132,HLOOKUP($P$68,$D$68:$M$133,65,TRUE))</f>
        <v>2.36</v>
      </c>
    </row>
    <row r="133" spans="1:17" s="1265" customFormat="1" hidden="1">
      <c r="A133" s="1269" t="s">
        <v>1364</v>
      </c>
      <c r="B133" s="727" t="s">
        <v>2623</v>
      </c>
      <c r="C133" s="1276">
        <v>2.0699999999999998</v>
      </c>
      <c r="D133" s="1276">
        <v>1.76</v>
      </c>
      <c r="E133" s="1276">
        <v>1.49</v>
      </c>
      <c r="F133" s="1276">
        <v>1.35</v>
      </c>
      <c r="G133" s="1276">
        <v>1.1499999999999999</v>
      </c>
      <c r="H133" s="1276">
        <v>0.98</v>
      </c>
      <c r="I133" s="1276" t="s">
        <v>6344</v>
      </c>
      <c r="J133" s="1276" t="s">
        <v>6344</v>
      </c>
      <c r="K133" s="1276" t="s">
        <v>6344</v>
      </c>
      <c r="L133" s="1276" t="s">
        <v>6344</v>
      </c>
      <c r="M133" s="1276" t="s">
        <v>6344</v>
      </c>
      <c r="N133" s="1277">
        <f>IF(P$68=O$68,O133,IF(O133="-",O133,ROUND(O133-((O133-P133)/(P$68-O$68))*(N$68-O$68),3)))</f>
        <v>2.0699999999999998</v>
      </c>
      <c r="O133" s="1277">
        <f>IF(O$68=10,C133,HLOOKUP($O$68,$D$68:$M$133,66,TRUE))</f>
        <v>2.0699999999999998</v>
      </c>
      <c r="P133" s="1277">
        <f>IF(P$68=10,C133,HLOOKUP($P$68,$D$68:$M$133,66,TRUE))</f>
        <v>2.0699999999999998</v>
      </c>
    </row>
    <row r="134" spans="1:17" s="1265" customFormat="1" hidden="1">
      <c r="A134" s="1265" t="s">
        <v>1365</v>
      </c>
      <c r="N134" s="1271"/>
      <c r="O134" s="1271"/>
      <c r="P134" s="1271"/>
    </row>
    <row r="135" spans="1:17" s="1265" customFormat="1" hidden="1"/>
    <row r="136" spans="1:17" s="1265" customFormat="1" hidden="1">
      <c r="A136" s="1934" t="s">
        <v>1366</v>
      </c>
      <c r="B136" s="1934"/>
      <c r="C136" s="1934"/>
      <c r="D136" s="1934"/>
      <c r="E136" s="1934"/>
      <c r="F136" s="1934"/>
      <c r="G136" s="1934"/>
      <c r="H136" s="1934"/>
      <c r="I136" s="1934"/>
      <c r="J136" s="1934"/>
      <c r="K136" s="1934"/>
      <c r="L136" s="1934"/>
      <c r="M136" s="1934"/>
    </row>
    <row r="137" spans="1:17" s="1265" customFormat="1" hidden="1">
      <c r="K137" s="1934" t="s">
        <v>212</v>
      </c>
      <c r="L137" s="1934"/>
      <c r="M137" s="1934"/>
      <c r="N137" s="1934"/>
    </row>
    <row r="138" spans="1:17" s="1265" customFormat="1" hidden="1">
      <c r="A138" s="1265" t="s">
        <v>1367</v>
      </c>
      <c r="N138" s="1265" t="s">
        <v>214</v>
      </c>
    </row>
    <row r="139" spans="1:17" s="1265" customFormat="1" hidden="1">
      <c r="A139" s="1934" t="s">
        <v>5865</v>
      </c>
      <c r="B139" s="1934" t="s">
        <v>215</v>
      </c>
      <c r="C139" s="1934" t="s">
        <v>1368</v>
      </c>
      <c r="D139" s="1934"/>
      <c r="E139" s="1934"/>
      <c r="F139" s="1934"/>
      <c r="G139" s="1934"/>
      <c r="H139" s="1934"/>
      <c r="I139" s="1934"/>
      <c r="J139" s="1934"/>
      <c r="K139" s="1934"/>
      <c r="L139" s="1934"/>
      <c r="M139" s="1934"/>
      <c r="N139" s="1934"/>
      <c r="O139" s="1267" t="s">
        <v>4197</v>
      </c>
      <c r="P139" s="1267" t="s">
        <v>4198</v>
      </c>
      <c r="Q139" s="1267" t="s">
        <v>4199</v>
      </c>
    </row>
    <row r="140" spans="1:17" s="1265" customFormat="1" hidden="1">
      <c r="A140" s="1934"/>
      <c r="B140" s="1934"/>
      <c r="C140" s="1266" t="s">
        <v>1755</v>
      </c>
      <c r="D140" s="1266">
        <v>20</v>
      </c>
      <c r="E140" s="1266">
        <v>50</v>
      </c>
      <c r="F140" s="1266">
        <v>100</v>
      </c>
      <c r="G140" s="1266">
        <v>200</v>
      </c>
      <c r="H140" s="1266">
        <v>500</v>
      </c>
      <c r="I140" s="1268">
        <v>1000</v>
      </c>
      <c r="J140" s="1268">
        <v>2000</v>
      </c>
      <c r="K140" s="1268">
        <v>5000</v>
      </c>
      <c r="L140" s="1268">
        <v>10000</v>
      </c>
      <c r="M140" s="1268">
        <v>20000</v>
      </c>
      <c r="N140" s="1268">
        <v>30000</v>
      </c>
      <c r="O140" s="1267">
        <f>$C$4+$C$5</f>
        <v>5.5598256809999995</v>
      </c>
      <c r="P140" s="1267">
        <f>IF(O140&lt;D140,15,IF(O140&gt;N140,N140,HLOOKUP(O140,D140:N140,1)))</f>
        <v>15</v>
      </c>
      <c r="Q140" s="1267">
        <f>IF(O140&lt;15,15,IF(O140&lt;20,20,IF(O140&gt;N140,N140,INDEX(D140:N140,MATCH(O140,D140:N140,1)+1))))</f>
        <v>15</v>
      </c>
    </row>
    <row r="141" spans="1:17" s="1265" customFormat="1" hidden="1">
      <c r="A141" s="1269">
        <v>1</v>
      </c>
      <c r="B141" s="727" t="s">
        <v>4201</v>
      </c>
      <c r="C141" s="1270">
        <v>7.0999999999999994E-2</v>
      </c>
      <c r="D141" s="1270">
        <v>5.8999999999999997E-2</v>
      </c>
      <c r="E141" s="1270">
        <v>4.8000000000000001E-2</v>
      </c>
      <c r="F141" s="1270">
        <v>3.4000000000000002E-2</v>
      </c>
      <c r="G141" s="1270">
        <v>2.5000000000000001E-2</v>
      </c>
      <c r="H141" s="1270">
        <v>1.6E-2</v>
      </c>
      <c r="I141" s="1270">
        <v>1.4E-2</v>
      </c>
      <c r="J141" s="1270">
        <v>1.2E-2</v>
      </c>
      <c r="K141" s="1270">
        <v>8.9999999999999993E-3</v>
      </c>
      <c r="L141" s="1270">
        <v>7.0000000000000001E-3</v>
      </c>
      <c r="M141" s="1270">
        <v>5.0000000000000001E-3</v>
      </c>
      <c r="N141" s="1270">
        <v>4.0000000000000001E-3</v>
      </c>
      <c r="O141" s="1271">
        <f>IF(Q$140=P$140,P141,ROUND(P141-((P141-Q141)/(Q$140-P$140))*(O$140-P$140),3))</f>
        <v>7.0999999999999994E-2</v>
      </c>
      <c r="P141" s="1271">
        <f>IF(P$140=0,0,IF(P$140=15,C141,HLOOKUP($P$140,$D$140:$N$145,2,TRUE)))</f>
        <v>7.0999999999999994E-2</v>
      </c>
      <c r="Q141" s="1271">
        <f>IF(Q$140=0,0,IF(Q$140=15,C141,HLOOKUP($Q$140,$D$140:$N$145,2,TRUE)))</f>
        <v>7.0999999999999994E-2</v>
      </c>
    </row>
    <row r="142" spans="1:17" s="1265" customFormat="1" hidden="1">
      <c r="A142" s="1269">
        <v>2</v>
      </c>
      <c r="B142" s="727" t="s">
        <v>4202</v>
      </c>
      <c r="C142" s="1270">
        <v>9.8000000000000004E-2</v>
      </c>
      <c r="D142" s="1270">
        <v>8.3000000000000004E-2</v>
      </c>
      <c r="E142" s="1270">
        <v>6.7000000000000004E-2</v>
      </c>
      <c r="F142" s="1270">
        <v>4.9000000000000002E-2</v>
      </c>
      <c r="G142" s="1270">
        <v>3.6999999999999998E-2</v>
      </c>
      <c r="H142" s="1270">
        <v>2.8000000000000001E-2</v>
      </c>
      <c r="I142" s="1270">
        <v>2.5000000000000001E-2</v>
      </c>
      <c r="J142" s="1270">
        <v>0.02</v>
      </c>
      <c r="K142" s="1270">
        <v>1.4999999999999999E-2</v>
      </c>
      <c r="L142" s="1270">
        <v>0.01</v>
      </c>
      <c r="M142" s="1270">
        <v>7.0000000000000001E-3</v>
      </c>
      <c r="N142" s="1270">
        <v>5.0000000000000001E-3</v>
      </c>
      <c r="O142" s="1271">
        <f>IF(Q$140=P$140,P142,ROUND(P142-((P142-Q142)/(Q$140-P$140))*(O$140-P$140),3))</f>
        <v>9.8000000000000004E-2</v>
      </c>
      <c r="P142" s="1271">
        <f>IF(P$140=0,0,IF(P$140=15,C142,HLOOKUP($P$140,$D$140:$N$145,3,TRUE)))</f>
        <v>9.8000000000000004E-2</v>
      </c>
      <c r="Q142" s="1271">
        <f>IF(Q$140=0,0,IF(Q$140=15,C142,HLOOKUP($Q$140,$D$140:$N$145,3,TRUE)))</f>
        <v>9.8000000000000004E-2</v>
      </c>
    </row>
    <row r="143" spans="1:17" s="1265" customFormat="1" hidden="1">
      <c r="A143" s="1269">
        <v>3</v>
      </c>
      <c r="B143" s="727" t="s">
        <v>4203</v>
      </c>
      <c r="C143" s="1270">
        <v>5.3999999999999999E-2</v>
      </c>
      <c r="D143" s="1270">
        <v>4.9000000000000002E-2</v>
      </c>
      <c r="E143" s="1270">
        <v>3.9E-2</v>
      </c>
      <c r="F143" s="1270">
        <v>0.03</v>
      </c>
      <c r="G143" s="1270">
        <v>0.02</v>
      </c>
      <c r="H143" s="1270">
        <v>1.2999999999999999E-2</v>
      </c>
      <c r="I143" s="1270">
        <v>1.0999999999999999E-2</v>
      </c>
      <c r="J143" s="1270">
        <v>8.9999999999999993E-3</v>
      </c>
      <c r="K143" s="1270">
        <v>7.0000000000000001E-3</v>
      </c>
      <c r="L143" s="1270">
        <v>5.0000000000000001E-3</v>
      </c>
      <c r="M143" s="1270">
        <v>4.0000000000000001E-3</v>
      </c>
      <c r="N143" s="1270">
        <v>3.0000000000000001E-3</v>
      </c>
      <c r="O143" s="1271">
        <f>IF(Q$140=P$140,P143,ROUND(P143-((P143-Q143)/(Q$140-P$140))*(O$140-P$140),3))</f>
        <v>5.3999999999999999E-2</v>
      </c>
      <c r="P143" s="1271">
        <f>IF(P$140=0,0,IF(P$140=15,C143,HLOOKUP($P$140,$D$140:$N$145,4,TRUE)))</f>
        <v>5.3999999999999999E-2</v>
      </c>
      <c r="Q143" s="1271">
        <f>IF(Q$140=0,0,IF(Q$140=15,C143,HLOOKUP($Q$140,$D$140:$N$145,4,TRUE)))</f>
        <v>5.3999999999999999E-2</v>
      </c>
    </row>
    <row r="144" spans="1:17" s="1265" customFormat="1" hidden="1">
      <c r="A144" s="1269">
        <v>4</v>
      </c>
      <c r="B144" s="727" t="s">
        <v>4204</v>
      </c>
      <c r="C144" s="1270">
        <v>6.4000000000000001E-2</v>
      </c>
      <c r="D144" s="1270">
        <v>5.8000000000000003E-2</v>
      </c>
      <c r="E144" s="1270">
        <v>4.7E-2</v>
      </c>
      <c r="F144" s="1270">
        <v>3.3000000000000002E-2</v>
      </c>
      <c r="G144" s="1270">
        <v>2.4E-2</v>
      </c>
      <c r="H144" s="1270">
        <v>1.4999999999999999E-2</v>
      </c>
      <c r="I144" s="1270">
        <v>1.2999999999999999E-2</v>
      </c>
      <c r="J144" s="1270">
        <v>1.0999999999999999E-2</v>
      </c>
      <c r="K144" s="1270">
        <v>8.9999999999999993E-3</v>
      </c>
      <c r="L144" s="1270">
        <v>6.0000000000000001E-3</v>
      </c>
      <c r="M144" s="1270">
        <v>5.0000000000000001E-3</v>
      </c>
      <c r="N144" s="1270">
        <v>4.0000000000000001E-3</v>
      </c>
      <c r="O144" s="1271">
        <f>IF(Q$140=P$140,P144,ROUND(P144-((P144-Q144)/(Q$140-P$140))*(O$140-P$140),3))</f>
        <v>6.4000000000000001E-2</v>
      </c>
      <c r="P144" s="1271">
        <f>IF(P$140=0,0,IF(P$140=15,C144,HLOOKUP($P$140,$D$140:$N$145,5,TRUE)))</f>
        <v>6.4000000000000001E-2</v>
      </c>
      <c r="Q144" s="1271">
        <f>IF(Q$140=0,0,IF(Q$140=15,C144,HLOOKUP($Q$140,$D$140:$N$145,5,TRUE)))</f>
        <v>6.4000000000000001E-2</v>
      </c>
    </row>
    <row r="145" spans="1:17" s="1265" customFormat="1" hidden="1">
      <c r="A145" s="1269">
        <v>5</v>
      </c>
      <c r="B145" s="727" t="s">
        <v>4205</v>
      </c>
      <c r="C145" s="1270">
        <v>5.6000000000000001E-2</v>
      </c>
      <c r="D145" s="1270">
        <v>5.0999999999999997E-2</v>
      </c>
      <c r="E145" s="1270">
        <v>4.1000000000000002E-2</v>
      </c>
      <c r="F145" s="1270">
        <v>3.2000000000000001E-2</v>
      </c>
      <c r="G145" s="1270">
        <v>2.1000000000000001E-2</v>
      </c>
      <c r="H145" s="1270">
        <v>1.2999999999999999E-2</v>
      </c>
      <c r="I145" s="1270">
        <v>1.2E-2</v>
      </c>
      <c r="J145" s="1270">
        <v>0.01</v>
      </c>
      <c r="K145" s="1270">
        <v>8.0000000000000002E-3</v>
      </c>
      <c r="L145" s="1270">
        <v>5.0000000000000001E-3</v>
      </c>
      <c r="M145" s="1270">
        <v>4.0000000000000001E-3</v>
      </c>
      <c r="N145" s="1270">
        <v>3.0000000000000001E-3</v>
      </c>
      <c r="O145" s="1271">
        <f>IF(Q$140=P$140,P145,ROUND(P145-((P145-Q145)/(Q$140-P$140))*(O$140-P$140),3))</f>
        <v>5.6000000000000001E-2</v>
      </c>
      <c r="P145" s="1271">
        <f>IF(P$140=0,0,IF(P$140=15,C145,HLOOKUP($P$140,$D$140:$N$145,6,TRUE)))</f>
        <v>5.6000000000000001E-2</v>
      </c>
      <c r="Q145" s="1271">
        <f>IF(Q$140=0,0,IF(Q$140=15,C145,HLOOKUP($Q$140,$D$140:$N$145,6,TRUE)))</f>
        <v>5.6000000000000001E-2</v>
      </c>
    </row>
    <row r="146" spans="1:17" s="1265" customFormat="1" hidden="1">
      <c r="A146" s="1265" t="s">
        <v>1369</v>
      </c>
    </row>
    <row r="147" spans="1:17" s="1265" customFormat="1" hidden="1"/>
    <row r="148" spans="1:17" s="1265" customFormat="1" hidden="1">
      <c r="A148" s="1934" t="s">
        <v>1370</v>
      </c>
      <c r="B148" s="1934"/>
      <c r="C148" s="1934"/>
      <c r="D148" s="1934"/>
      <c r="E148" s="1934"/>
      <c r="F148" s="1934"/>
      <c r="G148" s="1934"/>
      <c r="H148" s="1934"/>
      <c r="I148" s="1934"/>
      <c r="J148" s="1934"/>
      <c r="K148" s="1934"/>
      <c r="L148" s="1934"/>
      <c r="M148" s="1934"/>
    </row>
    <row r="149" spans="1:17" s="1265" customFormat="1" hidden="1">
      <c r="K149" s="1934" t="s">
        <v>212</v>
      </c>
      <c r="L149" s="1934"/>
      <c r="M149" s="1934"/>
      <c r="N149" s="1934"/>
    </row>
    <row r="150" spans="1:17" s="1265" customFormat="1" hidden="1">
      <c r="A150" s="1265" t="s">
        <v>1371</v>
      </c>
      <c r="N150" s="1265" t="s">
        <v>214</v>
      </c>
    </row>
    <row r="151" spans="1:17" s="1265" customFormat="1" hidden="1">
      <c r="A151" s="1934" t="s">
        <v>5865</v>
      </c>
      <c r="B151" s="1934" t="s">
        <v>215</v>
      </c>
      <c r="C151" s="1934" t="s">
        <v>1368</v>
      </c>
      <c r="D151" s="1934"/>
      <c r="E151" s="1934"/>
      <c r="F151" s="1934"/>
      <c r="G151" s="1934"/>
      <c r="H151" s="1934"/>
      <c r="I151" s="1934"/>
      <c r="J151" s="1934"/>
      <c r="K151" s="1934"/>
      <c r="L151" s="1934"/>
      <c r="M151" s="1934"/>
      <c r="N151" s="1934"/>
      <c r="O151" s="1267" t="s">
        <v>4197</v>
      </c>
      <c r="P151" s="1267" t="s">
        <v>4198</v>
      </c>
      <c r="Q151" s="1267" t="s">
        <v>4199</v>
      </c>
    </row>
    <row r="152" spans="1:17" s="1265" customFormat="1" hidden="1">
      <c r="A152" s="1934"/>
      <c r="B152" s="1934"/>
      <c r="C152" s="1266" t="s">
        <v>1755</v>
      </c>
      <c r="D152" s="1266">
        <v>20</v>
      </c>
      <c r="E152" s="1266">
        <v>50</v>
      </c>
      <c r="F152" s="1266">
        <v>100</v>
      </c>
      <c r="G152" s="1266">
        <v>200</v>
      </c>
      <c r="H152" s="1266">
        <v>500</v>
      </c>
      <c r="I152" s="1268">
        <v>1000</v>
      </c>
      <c r="J152" s="1268">
        <v>2000</v>
      </c>
      <c r="K152" s="1268">
        <v>5000</v>
      </c>
      <c r="L152" s="1268">
        <v>10000</v>
      </c>
      <c r="M152" s="1268">
        <v>20000</v>
      </c>
      <c r="N152" s="1268">
        <v>30000</v>
      </c>
      <c r="O152" s="1267">
        <f>$C$4+$C$5</f>
        <v>5.5598256809999995</v>
      </c>
      <c r="P152" s="1267">
        <f>IF(O152&lt;D152,15,IF(O152&gt;N152,N152,HLOOKUP(O152,D152:N152,1)))</f>
        <v>15</v>
      </c>
      <c r="Q152" s="1267">
        <f>IF(O152&lt;15,15,IF(O152&lt;20,20,IF(O152&gt;N152,N152,INDEX(D152:N152,MATCH(O152,D152:N152,1)+1))))</f>
        <v>15</v>
      </c>
    </row>
    <row r="153" spans="1:17" s="1265" customFormat="1" hidden="1">
      <c r="A153" s="1269">
        <v>1</v>
      </c>
      <c r="B153" s="727" t="s">
        <v>4201</v>
      </c>
      <c r="C153" s="1270">
        <v>0.20399999999999999</v>
      </c>
      <c r="D153" s="1270">
        <v>0.16800000000000001</v>
      </c>
      <c r="E153" s="1270">
        <v>0.13800000000000001</v>
      </c>
      <c r="F153" s="1270">
        <v>9.7000000000000003E-2</v>
      </c>
      <c r="G153" s="1270">
        <v>7.0000000000000007E-2</v>
      </c>
      <c r="H153" s="1270">
        <v>4.5999999999999999E-2</v>
      </c>
      <c r="I153" s="1270">
        <v>4.1000000000000002E-2</v>
      </c>
      <c r="J153" s="1270">
        <v>3.4000000000000002E-2</v>
      </c>
      <c r="K153" s="1270">
        <v>2.5999999999999999E-2</v>
      </c>
      <c r="L153" s="1270">
        <v>1.9E-2</v>
      </c>
      <c r="M153" s="1270">
        <v>1.4999999999999999E-2</v>
      </c>
      <c r="N153" s="1270">
        <v>1.2E-2</v>
      </c>
      <c r="O153" s="1271">
        <f>IF(Q$152=P$152,P153,ROUND(P153-((P153-Q153)/(Q$152-P$152))*(O$152-P$152),3))</f>
        <v>0.20399999999999999</v>
      </c>
      <c r="P153" s="1271">
        <f>IF(P$152=0,0,IF(P$152=15,C153,HLOOKUP($P$152,$D$152:$N$157,2,TRUE)))</f>
        <v>0.20399999999999999</v>
      </c>
      <c r="Q153" s="1271">
        <f>IF(Q$152=0,0,IF(Q$152=15,C153,HLOOKUP($Q$152,$D$152:$N$157,2,TRUE)))</f>
        <v>0.20399999999999999</v>
      </c>
    </row>
    <row r="154" spans="1:17" s="1265" customFormat="1" hidden="1">
      <c r="A154" s="1269">
        <v>2</v>
      </c>
      <c r="B154" s="727" t="s">
        <v>4202</v>
      </c>
      <c r="C154" s="1270">
        <v>0.28100000000000003</v>
      </c>
      <c r="D154" s="1270">
        <v>0.23799999999999999</v>
      </c>
      <c r="E154" s="1270">
        <v>0.19</v>
      </c>
      <c r="F154" s="1270">
        <v>0.14099999999999999</v>
      </c>
      <c r="G154" s="1270">
        <v>0.107</v>
      </c>
      <c r="H154" s="1270">
        <v>0.08</v>
      </c>
      <c r="I154" s="1270">
        <v>7.0000000000000007E-2</v>
      </c>
      <c r="J154" s="1270">
        <v>5.6000000000000001E-2</v>
      </c>
      <c r="K154" s="1270">
        <v>4.3999999999999997E-2</v>
      </c>
      <c r="L154" s="1270">
        <v>2.9000000000000001E-2</v>
      </c>
      <c r="M154" s="1270">
        <v>0.02</v>
      </c>
      <c r="N154" s="1270">
        <v>1.4999999999999999E-2</v>
      </c>
      <c r="O154" s="1271">
        <f>IF(Q$152=P$152,P154,ROUND(P154-((P154-Q154)/(Q$152-P$152))*(O$152-P$152),3))</f>
        <v>0.28100000000000003</v>
      </c>
      <c r="P154" s="1271">
        <f>IF(P$152=0,0,IF(P$152=15,C154,HLOOKUP($P$152,$D$152:$N$157,3,TRUE)))</f>
        <v>0.28100000000000003</v>
      </c>
      <c r="Q154" s="1271">
        <f>IF(Q$152=0,0,IF(Q$152=15,C154,HLOOKUP($Q$152,$D$152:$N$157,3,TRUE)))</f>
        <v>0.28100000000000003</v>
      </c>
    </row>
    <row r="155" spans="1:17" s="1265" customFormat="1" hidden="1">
      <c r="A155" s="1269">
        <v>3</v>
      </c>
      <c r="B155" s="727" t="s">
        <v>4203</v>
      </c>
      <c r="C155" s="1270">
        <v>0.153</v>
      </c>
      <c r="D155" s="1270">
        <v>0.13900000000000001</v>
      </c>
      <c r="E155" s="1270">
        <v>0.112</v>
      </c>
      <c r="F155" s="1270">
        <v>8.6999999999999994E-2</v>
      </c>
      <c r="G155" s="1270">
        <v>5.8000000000000003E-2</v>
      </c>
      <c r="H155" s="1270">
        <v>3.5999999999999997E-2</v>
      </c>
      <c r="I155" s="1270">
        <v>3.2000000000000001E-2</v>
      </c>
      <c r="J155" s="1270">
        <v>2.5999999999999999E-2</v>
      </c>
      <c r="K155" s="1270">
        <v>0.02</v>
      </c>
      <c r="L155" s="1270">
        <v>1.4E-2</v>
      </c>
      <c r="M155" s="1270">
        <v>0.01</v>
      </c>
      <c r="N155" s="1270">
        <v>8.9999999999999993E-3</v>
      </c>
      <c r="O155" s="1271">
        <f>IF(Q$152=P$152,P155,ROUND(P155-((P155-Q155)/(Q$152-P$152))*(O$152-P$152),3))</f>
        <v>0.153</v>
      </c>
      <c r="P155" s="1271">
        <f>IF(P$152=0,0,IF(P$152=15,C155,HLOOKUP($P$152,$D$152:$N$157,4,TRUE)))</f>
        <v>0.153</v>
      </c>
      <c r="Q155" s="1271">
        <f>IF(Q$152=0,0,IF(Q$152=15,C155,HLOOKUP($Q$152,$D$152:$N$157,4,TRUE)))</f>
        <v>0.153</v>
      </c>
    </row>
    <row r="156" spans="1:17" s="1265" customFormat="1" hidden="1">
      <c r="A156" s="1269">
        <v>4</v>
      </c>
      <c r="B156" s="727" t="s">
        <v>4204</v>
      </c>
      <c r="C156" s="1270">
        <v>0.182</v>
      </c>
      <c r="D156" s="1270">
        <v>0.16700000000000001</v>
      </c>
      <c r="E156" s="1270">
        <v>0.13300000000000001</v>
      </c>
      <c r="F156" s="1270">
        <v>9.4E-2</v>
      </c>
      <c r="G156" s="1270">
        <v>6.8000000000000005E-2</v>
      </c>
      <c r="H156" s="1270">
        <v>4.3999999999999997E-2</v>
      </c>
      <c r="I156" s="1270">
        <v>3.6999999999999998E-2</v>
      </c>
      <c r="J156" s="1270">
        <v>3.2000000000000001E-2</v>
      </c>
      <c r="K156" s="1270">
        <v>2.5999999999999999E-2</v>
      </c>
      <c r="L156" s="1270">
        <v>1.7000000000000001E-2</v>
      </c>
      <c r="M156" s="1270">
        <v>1.4E-2</v>
      </c>
      <c r="N156" s="1270">
        <v>0.01</v>
      </c>
      <c r="O156" s="1271">
        <f>IF(Q$152=P$152,P156,ROUND(P156-((P156-Q156)/(Q$152-P$152))*(O$152-P$152),3))</f>
        <v>0.182</v>
      </c>
      <c r="P156" s="1271">
        <f>IF(P$152=0,0,IF(P$152=15,C156,HLOOKUP($P$152,$D$152:$N$157,5,TRUE)))</f>
        <v>0.182</v>
      </c>
      <c r="Q156" s="1271">
        <f>IF(Q$152=0,0,IF(Q$152=15,C156,HLOOKUP($Q$152,$D$152:$N$157,5,TRUE)))</f>
        <v>0.182</v>
      </c>
    </row>
    <row r="157" spans="1:17" s="1265" customFormat="1" hidden="1">
      <c r="A157" s="1269">
        <v>5</v>
      </c>
      <c r="B157" s="727" t="s">
        <v>4205</v>
      </c>
      <c r="C157" s="1270">
        <v>0.16</v>
      </c>
      <c r="D157" s="1270">
        <v>0.14499999999999999</v>
      </c>
      <c r="E157" s="1270">
        <v>0.11600000000000001</v>
      </c>
      <c r="F157" s="1270">
        <v>9.1999999999999998E-2</v>
      </c>
      <c r="G157" s="1270">
        <v>0.06</v>
      </c>
      <c r="H157" s="1270">
        <v>3.6999999999999998E-2</v>
      </c>
      <c r="I157" s="1270">
        <v>3.4000000000000002E-2</v>
      </c>
      <c r="J157" s="1270">
        <v>2.9000000000000001E-2</v>
      </c>
      <c r="K157" s="1270">
        <v>2.1999999999999999E-2</v>
      </c>
      <c r="L157" s="1270">
        <v>1.4999999999999999E-2</v>
      </c>
      <c r="M157" s="1270">
        <v>0.01</v>
      </c>
      <c r="N157" s="1270">
        <v>8.9999999999999993E-3</v>
      </c>
      <c r="O157" s="1271">
        <f>IF(Q$152=P$152,P157,ROUND(P157-((P157-Q157)/(Q$152-P$152))*(O$152-P$152),3))</f>
        <v>0.16</v>
      </c>
      <c r="P157" s="1271">
        <f>IF(P$152=0,0,IF(P$152=15,C157,HLOOKUP($P$152,$D$152:$N$157,6,TRUE)))</f>
        <v>0.16</v>
      </c>
      <c r="Q157" s="1271">
        <f>IF(Q$152=0,0,IF(Q$152=15,C157,HLOOKUP($Q$152,$D$152:$N$157,6,TRUE)))</f>
        <v>0.16</v>
      </c>
    </row>
    <row r="158" spans="1:17" s="1265" customFormat="1" hidden="1">
      <c r="A158" s="1265" t="s">
        <v>1372</v>
      </c>
    </row>
    <row r="159" spans="1:17" s="1265" customFormat="1"/>
    <row r="160" spans="1:17" s="1265" customFormat="1">
      <c r="A160" s="1934" t="s">
        <v>3894</v>
      </c>
      <c r="B160" s="1934"/>
      <c r="C160" s="1934"/>
      <c r="D160" s="1934"/>
      <c r="E160" s="1934"/>
      <c r="F160" s="1934"/>
      <c r="G160" s="1934"/>
      <c r="H160" s="1934"/>
      <c r="I160" s="1934"/>
      <c r="J160" s="1934"/>
      <c r="K160" s="1934"/>
      <c r="L160" s="1934"/>
      <c r="M160" s="1934"/>
      <c r="N160" s="1934"/>
    </row>
    <row r="161" spans="1:16" s="1265" customFormat="1">
      <c r="I161" s="1934" t="s">
        <v>212</v>
      </c>
      <c r="J161" s="1934"/>
      <c r="K161" s="1934"/>
      <c r="L161" s="1934"/>
      <c r="M161" s="1934"/>
      <c r="N161" s="719"/>
    </row>
    <row r="162" spans="1:16" s="1265" customFormat="1" hidden="1">
      <c r="A162" s="1265" t="s">
        <v>3895</v>
      </c>
      <c r="M162" s="1265" t="s">
        <v>214</v>
      </c>
    </row>
    <row r="163" spans="1:16" s="1265" customFormat="1">
      <c r="A163" s="1934" t="s">
        <v>5865</v>
      </c>
      <c r="B163" s="1934" t="s">
        <v>215</v>
      </c>
      <c r="C163" s="1934" t="s">
        <v>6371</v>
      </c>
      <c r="D163" s="1934"/>
      <c r="E163" s="1934"/>
      <c r="F163" s="1934"/>
      <c r="G163" s="1934"/>
      <c r="H163" s="1934"/>
      <c r="I163" s="1934"/>
      <c r="J163" s="1934"/>
      <c r="K163" s="1934"/>
      <c r="L163" s="1934"/>
      <c r="M163" s="1934"/>
      <c r="N163" s="1267" t="s">
        <v>4197</v>
      </c>
      <c r="O163" s="1267" t="s">
        <v>4198</v>
      </c>
      <c r="P163" s="1267" t="s">
        <v>4199</v>
      </c>
    </row>
    <row r="164" spans="1:16" s="1265" customFormat="1">
      <c r="A164" s="1934"/>
      <c r="B164" s="1934"/>
      <c r="C164" s="1266" t="s">
        <v>4200</v>
      </c>
      <c r="D164" s="1266">
        <v>20</v>
      </c>
      <c r="E164" s="1266">
        <v>50</v>
      </c>
      <c r="F164" s="1266">
        <v>100</v>
      </c>
      <c r="G164" s="1266">
        <v>200</v>
      </c>
      <c r="H164" s="1266">
        <v>500</v>
      </c>
      <c r="I164" s="1268">
        <v>1000</v>
      </c>
      <c r="J164" s="1268">
        <v>2000</v>
      </c>
      <c r="K164" s="1268">
        <v>5000</v>
      </c>
      <c r="L164" s="1268">
        <v>8000</v>
      </c>
      <c r="M164" s="1268">
        <v>10000</v>
      </c>
      <c r="N164" s="1519">
        <f>$C$4</f>
        <v>5.0097428219999998</v>
      </c>
      <c r="O164" s="1267">
        <f>IF(N164&lt;D164,10,IF(N164&gt;M164,M164,HLOOKUP(N164,D164:M164,1)))</f>
        <v>10</v>
      </c>
      <c r="P164" s="1267">
        <f>IF(N164&lt;10,10,IF(N164&lt;20,20,IF(N164&gt;M164,M164,INDEX(D164:M164,MATCH(N164,D164:M164,1)+1))))</f>
        <v>10</v>
      </c>
    </row>
    <row r="165" spans="1:16" s="1265" customFormat="1">
      <c r="A165" s="1269">
        <v>1</v>
      </c>
      <c r="B165" s="727" t="s">
        <v>4201</v>
      </c>
      <c r="C165" s="1270">
        <v>0.25800000000000001</v>
      </c>
      <c r="D165" s="1270">
        <v>0.223</v>
      </c>
      <c r="E165" s="1270">
        <v>0.17199999999999999</v>
      </c>
      <c r="F165" s="1270">
        <v>0.14299999999999999</v>
      </c>
      <c r="G165" s="1270">
        <v>0.108</v>
      </c>
      <c r="H165" s="1270">
        <v>8.3000000000000004E-2</v>
      </c>
      <c r="I165" s="1270">
        <v>6.8000000000000005E-2</v>
      </c>
      <c r="J165" s="1270">
        <v>4.3999999999999997E-2</v>
      </c>
      <c r="K165" s="1270">
        <v>3.3000000000000002E-2</v>
      </c>
      <c r="L165" s="1270">
        <v>2.8000000000000001E-2</v>
      </c>
      <c r="M165" s="1271">
        <v>2.5999999999999999E-2</v>
      </c>
      <c r="N165" s="1271">
        <f>IF(P$164=O$164,O165,ROUND(O165-((O165-P165)/(P$164-O$164))*(N$164-O$164),3))</f>
        <v>0.25800000000000001</v>
      </c>
      <c r="O165" s="1271">
        <f>IF(O$164=10,C165,HLOOKUP($O$164,$D$164:$M$169,2,TRUE))</f>
        <v>0.25800000000000001</v>
      </c>
      <c r="P165" s="1271">
        <f>IF(P$164=10,C165,HLOOKUP($P$164,$D$164:$M$169,2,TRUE))</f>
        <v>0.25800000000000001</v>
      </c>
    </row>
    <row r="166" spans="1:16" s="1265" customFormat="1">
      <c r="A166" s="1269">
        <v>2</v>
      </c>
      <c r="B166" s="727" t="s">
        <v>4202</v>
      </c>
      <c r="C166" s="1270">
        <v>0.28999999999999998</v>
      </c>
      <c r="D166" s="1270">
        <v>0.252</v>
      </c>
      <c r="E166" s="1270">
        <v>0.192</v>
      </c>
      <c r="F166" s="1270">
        <v>0.14599999999999999</v>
      </c>
      <c r="G166" s="1270">
        <v>0.113</v>
      </c>
      <c r="H166" s="1270">
        <v>8.6999999999999994E-2</v>
      </c>
      <c r="I166" s="1270">
        <v>6.6000000000000003E-2</v>
      </c>
      <c r="J166" s="1270">
        <v>5.2999999999999999E-2</v>
      </c>
      <c r="K166" s="1270">
        <v>3.7999999999999999E-2</v>
      </c>
      <c r="L166" s="1270">
        <v>3.1E-2</v>
      </c>
      <c r="M166" s="1271">
        <v>2.8000000000000001E-2</v>
      </c>
      <c r="N166" s="1297">
        <f>IF(P$164=O$164,O166,ROUND(O166-((O166-P166)/(P$164-O$164))*(N$164-O$164),3))</f>
        <v>0.28999999999999998</v>
      </c>
      <c r="O166" s="1271">
        <f>IF(O$164=10,C166,HLOOKUP($O$164,$D$164:$M$169,3,TRUE))</f>
        <v>0.28999999999999998</v>
      </c>
      <c r="P166" s="1271">
        <f>IF(P$164=10,C166,HLOOKUP($P$164,$D$164:$M$169,3,TRUE))</f>
        <v>0.28999999999999998</v>
      </c>
    </row>
    <row r="167" spans="1:16" s="1265" customFormat="1">
      <c r="A167" s="1269">
        <v>3</v>
      </c>
      <c r="B167" s="727" t="s">
        <v>4203</v>
      </c>
      <c r="C167" s="1270">
        <v>0.17</v>
      </c>
      <c r="D167" s="1270">
        <v>0.14699999999999999</v>
      </c>
      <c r="E167" s="1270">
        <v>0.113</v>
      </c>
      <c r="F167" s="1270">
        <v>8.4000000000000005E-2</v>
      </c>
      <c r="G167" s="1270">
        <v>7.2999999999999995E-2</v>
      </c>
      <c r="H167" s="1270">
        <v>5.5E-2</v>
      </c>
      <c r="I167" s="1270">
        <v>4.2000000000000003E-2</v>
      </c>
      <c r="J167" s="1270">
        <v>3.5000000000000003E-2</v>
      </c>
      <c r="K167" s="1270">
        <v>2.4E-2</v>
      </c>
      <c r="L167" s="1270">
        <v>0.02</v>
      </c>
      <c r="M167" s="1271">
        <v>1.7000000000000001E-2</v>
      </c>
      <c r="N167" s="1271">
        <f>IF(P$164=O$164,O167,ROUND(O167-((O167-P167)/(P$164-O$164))*(N$164-O$164),3))</f>
        <v>0.17</v>
      </c>
      <c r="O167" s="1271">
        <f>IF(O$164=10,C167,HLOOKUP($O$164,$D$164:$M$169,4,TRUE))</f>
        <v>0.17</v>
      </c>
      <c r="P167" s="1271">
        <f>IF(P$164=10,C167,HLOOKUP($P$164,$D$164:$M$169,4,TRUE))</f>
        <v>0.17</v>
      </c>
    </row>
    <row r="168" spans="1:16" s="1265" customFormat="1">
      <c r="A168" s="1269">
        <v>4</v>
      </c>
      <c r="B168" s="727" t="s">
        <v>4204</v>
      </c>
      <c r="C168" s="1270">
        <v>0.189</v>
      </c>
      <c r="D168" s="1270">
        <v>0.16300000000000001</v>
      </c>
      <c r="E168" s="1270">
        <v>0.125</v>
      </c>
      <c r="F168" s="1270">
        <v>9.2999999999999999E-2</v>
      </c>
      <c r="G168" s="1270">
        <v>7.2999999999999995E-2</v>
      </c>
      <c r="H168" s="1270">
        <v>5.6000000000000001E-2</v>
      </c>
      <c r="I168" s="1270">
        <v>4.2999999999999997E-2</v>
      </c>
      <c r="J168" s="1270">
        <v>3.5000000000000003E-2</v>
      </c>
      <c r="K168" s="1270">
        <v>2.5999999999999999E-2</v>
      </c>
      <c r="L168" s="1270">
        <v>2.1999999999999999E-2</v>
      </c>
      <c r="M168" s="1271">
        <v>1.9E-2</v>
      </c>
      <c r="N168" s="1271">
        <f>IF(P$164=O$164,O168,ROUND(O168-((O168-P168)/(P$164-O$164))*(N$164-O$164),3))</f>
        <v>0.189</v>
      </c>
      <c r="O168" s="1271">
        <f>IF(O$164=10,C168,HLOOKUP($O$164,$D$164:$M$169,5,TRUE))</f>
        <v>0.189</v>
      </c>
      <c r="P168" s="1271">
        <f>IF(P$164=10,C168,HLOOKUP($P$164,$D$164:$M$169,5,TRUE))</f>
        <v>0.189</v>
      </c>
    </row>
    <row r="169" spans="1:16" s="1265" customFormat="1">
      <c r="A169" s="1269">
        <v>5</v>
      </c>
      <c r="B169" s="727" t="s">
        <v>4205</v>
      </c>
      <c r="C169" s="1270">
        <v>0.19700000000000001</v>
      </c>
      <c r="D169" s="1270">
        <v>0.17199999999999999</v>
      </c>
      <c r="E169" s="1270">
        <v>0.13300000000000001</v>
      </c>
      <c r="F169" s="1270">
        <v>9.9000000000000005E-2</v>
      </c>
      <c r="G169" s="1270">
        <v>7.5999999999999998E-2</v>
      </c>
      <c r="H169" s="1270">
        <v>5.8999999999999997E-2</v>
      </c>
      <c r="I169" s="1270">
        <v>4.5999999999999999E-2</v>
      </c>
      <c r="J169" s="1270">
        <v>0.04</v>
      </c>
      <c r="K169" s="1270">
        <v>2.9000000000000001E-2</v>
      </c>
      <c r="L169" s="1270">
        <v>2.4E-2</v>
      </c>
      <c r="M169" s="1271">
        <v>2.1000000000000001E-2</v>
      </c>
      <c r="N169" s="1271">
        <f>IF(P$164=O$164,O169,ROUND(O169-((O169-P169)/(P$164-O$164))*(N$164-O$164),3))</f>
        <v>0.19700000000000001</v>
      </c>
      <c r="O169" s="1271">
        <f>IF(O$164=10,C169,HLOOKUP($O$164,$D$164:$M$169,6,TRUE))</f>
        <v>0.19700000000000001</v>
      </c>
      <c r="P169" s="1271">
        <f>IF(P$164=10,C169,HLOOKUP($P$164,$D$164:$M$169,6,TRUE))</f>
        <v>0.19700000000000001</v>
      </c>
    </row>
    <row r="170" spans="1:16" s="1265" customFormat="1" hidden="1">
      <c r="A170" s="1265" t="s">
        <v>6372</v>
      </c>
    </row>
    <row r="171" spans="1:16" s="1265" customFormat="1"/>
    <row r="172" spans="1:16" s="1265" customFormat="1">
      <c r="A172" s="1934" t="s">
        <v>6373</v>
      </c>
      <c r="B172" s="1934"/>
      <c r="C172" s="1934"/>
      <c r="D172" s="1934"/>
      <c r="E172" s="1934"/>
      <c r="F172" s="1934"/>
      <c r="G172" s="1934"/>
      <c r="H172" s="1934"/>
      <c r="I172" s="1934"/>
      <c r="J172" s="1934"/>
      <c r="K172" s="1934"/>
      <c r="L172" s="1934"/>
      <c r="M172" s="1934"/>
    </row>
    <row r="173" spans="1:16" s="1265" customFormat="1">
      <c r="I173" s="1934" t="s">
        <v>212</v>
      </c>
      <c r="J173" s="1934"/>
      <c r="K173" s="1934"/>
      <c r="L173" s="1934"/>
      <c r="M173" s="1934"/>
      <c r="N173" s="719"/>
    </row>
    <row r="174" spans="1:16" s="1265" customFormat="1" hidden="1">
      <c r="A174" s="1265" t="s">
        <v>6374</v>
      </c>
      <c r="M174" s="1265" t="s">
        <v>214</v>
      </c>
    </row>
    <row r="175" spans="1:16" s="1265" customFormat="1" ht="15" customHeight="1">
      <c r="A175" s="1934" t="s">
        <v>5865</v>
      </c>
      <c r="B175" s="1934" t="s">
        <v>215</v>
      </c>
      <c r="C175" s="1934" t="s">
        <v>6371</v>
      </c>
      <c r="D175" s="1934"/>
      <c r="E175" s="1934"/>
      <c r="F175" s="1934"/>
      <c r="G175" s="1934"/>
      <c r="H175" s="1934"/>
      <c r="I175" s="1934"/>
      <c r="J175" s="1934"/>
      <c r="K175" s="1934"/>
      <c r="L175" s="1934"/>
      <c r="M175" s="1934"/>
      <c r="N175" s="1267" t="s">
        <v>4197</v>
      </c>
      <c r="O175" s="1267" t="s">
        <v>4198</v>
      </c>
      <c r="P175" s="1267" t="s">
        <v>4199</v>
      </c>
    </row>
    <row r="176" spans="1:16" s="1265" customFormat="1">
      <c r="A176" s="1934"/>
      <c r="B176" s="1934"/>
      <c r="C176" s="1266" t="s">
        <v>4200</v>
      </c>
      <c r="D176" s="1266">
        <v>20</v>
      </c>
      <c r="E176" s="1266">
        <v>50</v>
      </c>
      <c r="F176" s="1266">
        <v>100</v>
      </c>
      <c r="G176" s="1266">
        <v>200</v>
      </c>
      <c r="H176" s="1266">
        <v>500</v>
      </c>
      <c r="I176" s="1268">
        <v>1000</v>
      </c>
      <c r="J176" s="1268">
        <v>2000</v>
      </c>
      <c r="K176" s="1268">
        <v>5000</v>
      </c>
      <c r="L176" s="1268">
        <v>8000</v>
      </c>
      <c r="M176" s="1268">
        <v>10000</v>
      </c>
      <c r="N176" s="1267">
        <f>$C$4</f>
        <v>5.0097428219999998</v>
      </c>
      <c r="O176" s="1267">
        <f>IF(N176&lt;D176,10,IF(N176&gt;M176,M176,HLOOKUP(N176,D176:M176,1)))</f>
        <v>10</v>
      </c>
      <c r="P176" s="1267">
        <f>IF(N176&lt;10,10,IF(N176&lt;20,20,IF(N176&gt;M176,M176,INDEX(D176:M176,MATCH(N176,D176:M176,1)+1))))</f>
        <v>10</v>
      </c>
    </row>
    <row r="177" spans="1:16" s="1265" customFormat="1">
      <c r="A177" s="1269">
        <v>1</v>
      </c>
      <c r="B177" s="727" t="s">
        <v>4201</v>
      </c>
      <c r="C177" s="1270">
        <v>0.25</v>
      </c>
      <c r="D177" s="1270">
        <v>0.219</v>
      </c>
      <c r="E177" s="1270">
        <v>0.16600000000000001</v>
      </c>
      <c r="F177" s="1270">
        <v>0.14000000000000001</v>
      </c>
      <c r="G177" s="1270">
        <v>0.105</v>
      </c>
      <c r="H177" s="1270">
        <v>7.6999999999999999E-2</v>
      </c>
      <c r="I177" s="1270">
        <v>6.4000000000000001E-2</v>
      </c>
      <c r="J177" s="1270">
        <v>4.2999999999999997E-2</v>
      </c>
      <c r="K177" s="1270">
        <v>3.2000000000000001E-2</v>
      </c>
      <c r="L177" s="1270">
        <v>2.7E-2</v>
      </c>
      <c r="M177" s="1271">
        <v>2.5000000000000001E-2</v>
      </c>
      <c r="N177" s="1271">
        <f>IF(P$176=O$176,O177,ROUND(O177-((O177-P177)/(P$176-O$176))*(N$176-O$176),3))</f>
        <v>0.25</v>
      </c>
      <c r="O177" s="1271">
        <f>IF(O$176=10,C177,HLOOKUP($O$176,$D$176:$M$181,2,TRUE))</f>
        <v>0.25</v>
      </c>
      <c r="P177" s="1271">
        <f>IF(P$176=10,C177,HLOOKUP($P$176,$D$176:$M$181,2,TRUE))</f>
        <v>0.25</v>
      </c>
    </row>
    <row r="178" spans="1:16" s="1265" customFormat="1">
      <c r="A178" s="1269">
        <v>2</v>
      </c>
      <c r="B178" s="727" t="s">
        <v>4202</v>
      </c>
      <c r="C178" s="1270">
        <v>0.28199999999999997</v>
      </c>
      <c r="D178" s="1270">
        <v>0.24399999999999999</v>
      </c>
      <c r="E178" s="1270">
        <v>0.185</v>
      </c>
      <c r="F178" s="1270">
        <v>0.14099999999999999</v>
      </c>
      <c r="G178" s="1270">
        <v>0.108</v>
      </c>
      <c r="H178" s="1270">
        <v>8.3000000000000004E-2</v>
      </c>
      <c r="I178" s="1270">
        <v>6.2E-2</v>
      </c>
      <c r="J178" s="1270">
        <v>0.05</v>
      </c>
      <c r="K178" s="1270">
        <v>3.4000000000000002E-2</v>
      </c>
      <c r="L178" s="1270">
        <v>0.03</v>
      </c>
      <c r="M178" s="1271">
        <v>2.7E-2</v>
      </c>
      <c r="N178" s="1297">
        <f>IF(P$176=O$176,O178,ROUND(O178-((O178-P178)/(P$176-O$176))*(N$176-O$176),3))</f>
        <v>0.28199999999999997</v>
      </c>
      <c r="O178" s="1271">
        <f>IF(O$176=10,C178,HLOOKUP($O$176,$D$176:$M$181,3,TRUE))</f>
        <v>0.28199999999999997</v>
      </c>
      <c r="P178" s="1271">
        <f>IF(P$176=10,C178,HLOOKUP($P$176,$D$176:$M$181,3,TRUE))</f>
        <v>0.28199999999999997</v>
      </c>
    </row>
    <row r="179" spans="1:16" s="1265" customFormat="1">
      <c r="A179" s="1269">
        <v>3</v>
      </c>
      <c r="B179" s="727" t="s">
        <v>4203</v>
      </c>
      <c r="C179" s="1270">
        <v>0.16600000000000001</v>
      </c>
      <c r="D179" s="1270">
        <v>0.14199999999999999</v>
      </c>
      <c r="E179" s="1270">
        <v>0.106</v>
      </c>
      <c r="F179" s="1270">
        <v>8.2000000000000003E-2</v>
      </c>
      <c r="G179" s="1270">
        <v>6.9000000000000006E-2</v>
      </c>
      <c r="H179" s="1270">
        <v>5.1999999999999998E-2</v>
      </c>
      <c r="I179" s="1270">
        <v>4.1000000000000002E-2</v>
      </c>
      <c r="J179" s="1270">
        <v>3.4000000000000002E-2</v>
      </c>
      <c r="K179" s="1270">
        <v>2.1000000000000001E-2</v>
      </c>
      <c r="L179" s="1270">
        <v>1.7999999999999999E-2</v>
      </c>
      <c r="M179" s="1271">
        <v>1.6E-2</v>
      </c>
      <c r="N179" s="1271">
        <f>IF(P$176=O$176,O179,ROUND(O179-((O179-P179)/(P$176-O$176))*(N$176-O$176),3))</f>
        <v>0.16600000000000001</v>
      </c>
      <c r="O179" s="1271">
        <f>IF(O$176=10,C179,HLOOKUP($O$176,$D$176:$M$181,4,TRUE))</f>
        <v>0.16600000000000001</v>
      </c>
      <c r="P179" s="1271">
        <f>IF(P$176=10,C179,HLOOKUP($P$176,$D$176:$M$181,4,TRUE))</f>
        <v>0.16600000000000001</v>
      </c>
    </row>
    <row r="180" spans="1:16" s="1265" customFormat="1">
      <c r="A180" s="1269">
        <v>4</v>
      </c>
      <c r="B180" s="727" t="s">
        <v>4204</v>
      </c>
      <c r="C180" s="1270">
        <v>0.183</v>
      </c>
      <c r="D180" s="1270">
        <v>0.158</v>
      </c>
      <c r="E180" s="1270">
        <v>0.11899999999999999</v>
      </c>
      <c r="F180" s="1270">
        <v>9.1999999999999998E-2</v>
      </c>
      <c r="G180" s="1270">
        <v>7.0000000000000007E-2</v>
      </c>
      <c r="H180" s="1270">
        <v>5.2999999999999999E-2</v>
      </c>
      <c r="I180" s="1270">
        <v>0.04</v>
      </c>
      <c r="J180" s="1270">
        <v>3.4000000000000002E-2</v>
      </c>
      <c r="K180" s="1270">
        <v>2.4E-2</v>
      </c>
      <c r="L180" s="1270">
        <v>2.1000000000000001E-2</v>
      </c>
      <c r="M180" s="1271">
        <v>1.7999999999999999E-2</v>
      </c>
      <c r="N180" s="1271">
        <f>IF(P$176=O$176,O180,ROUND(O180-((O180-P180)/(P$176-O$176))*(N$176-O$176),3))</f>
        <v>0.183</v>
      </c>
      <c r="O180" s="1271">
        <f>IF(O$176=10,C180,HLOOKUP($O$176,$D$176:$M$181,5,TRUE))</f>
        <v>0.183</v>
      </c>
      <c r="P180" s="1271">
        <f>IF(P$176=10,C180,HLOOKUP($P$176,$D$176:$M$181,5,TRUE))</f>
        <v>0.183</v>
      </c>
    </row>
    <row r="181" spans="1:16" s="1265" customFormat="1">
      <c r="A181" s="1269">
        <v>5</v>
      </c>
      <c r="B181" s="727" t="s">
        <v>4205</v>
      </c>
      <c r="C181" s="1270">
        <v>0.191</v>
      </c>
      <c r="D181" s="1270">
        <v>0.16600000000000001</v>
      </c>
      <c r="E181" s="1270">
        <v>0.128</v>
      </c>
      <c r="F181" s="1270">
        <v>9.5000000000000001E-2</v>
      </c>
      <c r="G181" s="1270">
        <v>7.1999999999999995E-2</v>
      </c>
      <c r="H181" s="1270">
        <v>5.6000000000000001E-2</v>
      </c>
      <c r="I181" s="1270">
        <v>4.3999999999999997E-2</v>
      </c>
      <c r="J181" s="1270">
        <v>3.6999999999999998E-2</v>
      </c>
      <c r="K181" s="1270">
        <v>2.5999999999999999E-2</v>
      </c>
      <c r="L181" s="1270">
        <v>2.1999999999999999E-2</v>
      </c>
      <c r="M181" s="1271">
        <v>0.02</v>
      </c>
      <c r="N181" s="1271">
        <f>IF(P$176=O$176,O181,ROUND(O181-((O181-P181)/(P$176-O$176))*(N$176-O$176),3))</f>
        <v>0.191</v>
      </c>
      <c r="O181" s="1271">
        <f>IF(O$176=10,C181,HLOOKUP($O$176,$D$176:$M$181,6,TRUE))</f>
        <v>0.191</v>
      </c>
      <c r="P181" s="1271">
        <f>IF(P$176=10,C181,HLOOKUP($P$176,$D$176:$M$181,6,TRUE))</f>
        <v>0.191</v>
      </c>
    </row>
    <row r="182" spans="1:16" s="1265" customFormat="1" hidden="1">
      <c r="A182" s="1265" t="s">
        <v>6375</v>
      </c>
    </row>
    <row r="183" spans="1:16" s="1265" customFormat="1"/>
    <row r="184" spans="1:16" s="1265" customFormat="1">
      <c r="A184" s="1934" t="s">
        <v>6376</v>
      </c>
      <c r="B184" s="1934"/>
      <c r="C184" s="1934"/>
      <c r="D184" s="1934"/>
      <c r="E184" s="1934"/>
      <c r="F184" s="1934"/>
      <c r="G184" s="1934"/>
      <c r="H184" s="1934"/>
      <c r="I184" s="1934"/>
      <c r="J184" s="1934"/>
      <c r="K184" s="1934"/>
      <c r="L184" s="1934"/>
      <c r="M184" s="1934"/>
    </row>
    <row r="185" spans="1:16" s="1265" customFormat="1">
      <c r="H185" s="1934" t="s">
        <v>212</v>
      </c>
      <c r="I185" s="1934"/>
      <c r="J185" s="719"/>
      <c r="K185" s="719"/>
      <c r="L185" s="719"/>
      <c r="M185" s="719"/>
      <c r="N185" s="719"/>
    </row>
    <row r="186" spans="1:16" s="1265" customFormat="1" hidden="1">
      <c r="A186" s="1265" t="s">
        <v>6377</v>
      </c>
      <c r="I186" s="1265" t="s">
        <v>214</v>
      </c>
    </row>
    <row r="187" spans="1:16" s="1265" customFormat="1" ht="15" customHeight="1">
      <c r="A187" s="1934" t="s">
        <v>5865</v>
      </c>
      <c r="B187" s="1934" t="s">
        <v>215</v>
      </c>
      <c r="C187" s="1934" t="s">
        <v>6378</v>
      </c>
      <c r="D187" s="1934"/>
      <c r="E187" s="1934"/>
      <c r="F187" s="1934"/>
      <c r="G187" s="1934"/>
      <c r="H187" s="1934"/>
      <c r="I187" s="1934"/>
      <c r="J187" s="1267" t="s">
        <v>4197</v>
      </c>
      <c r="K187" s="1267" t="s">
        <v>4198</v>
      </c>
      <c r="L187" s="1267" t="s">
        <v>4199</v>
      </c>
      <c r="M187" s="1283"/>
    </row>
    <row r="188" spans="1:16" s="1265" customFormat="1">
      <c r="A188" s="1934"/>
      <c r="B188" s="1934"/>
      <c r="C188" s="1266" t="s">
        <v>1762</v>
      </c>
      <c r="D188" s="1266">
        <v>3</v>
      </c>
      <c r="E188" s="1266">
        <v>5</v>
      </c>
      <c r="F188" s="1266">
        <v>10</v>
      </c>
      <c r="G188" s="1266">
        <v>20</v>
      </c>
      <c r="H188" s="1266">
        <v>50</v>
      </c>
      <c r="I188" s="1268">
        <v>100</v>
      </c>
      <c r="J188" s="1267">
        <f>$C$8</f>
        <v>0.57491399200000004</v>
      </c>
      <c r="K188" s="1267">
        <f>IF(J188&lt;D188,1,IF(J188&gt;I188,I188,HLOOKUP(J188,D188:I188,1)))</f>
        <v>1</v>
      </c>
      <c r="L188" s="1267">
        <f>IF(J188&lt;1,1,IF(J188&lt;3,3,IF(J188&gt;I188,I188,INDEX(D188:I188,MATCH(J188,D188:I188,1)+1))))</f>
        <v>1</v>
      </c>
      <c r="M188" s="1284"/>
    </row>
    <row r="189" spans="1:16" s="1265" customFormat="1">
      <c r="A189" s="1269">
        <v>1</v>
      </c>
      <c r="B189" s="727" t="s">
        <v>6379</v>
      </c>
      <c r="C189" s="1270">
        <v>0.81599999999999995</v>
      </c>
      <c r="D189" s="1270">
        <v>0.58299999999999996</v>
      </c>
      <c r="E189" s="1270">
        <v>0.505</v>
      </c>
      <c r="F189" s="1270">
        <v>0.38900000000000001</v>
      </c>
      <c r="G189" s="1270">
        <v>0.311</v>
      </c>
      <c r="H189" s="1270">
        <v>0.17599999999999999</v>
      </c>
      <c r="I189" s="1270">
        <v>0.114</v>
      </c>
      <c r="J189" s="1297">
        <f>IF(L$188=K$188,K189,ROUND(K189-((K189-L189)/(L$188-K$188))*(J$188-K$188),3))</f>
        <v>0.81599999999999995</v>
      </c>
      <c r="K189" s="1271">
        <f>IF(K$188=1,C189,HLOOKUP($K$188,$D$188:$I$189,2,TRUE))</f>
        <v>0.81599999999999995</v>
      </c>
      <c r="L189" s="1271">
        <f>IF(L$188=1,C189,HLOOKUP($L$188,$D$188:$I$189,2,TRUE))</f>
        <v>0.81599999999999995</v>
      </c>
      <c r="M189" s="1285"/>
    </row>
    <row r="190" spans="1:16" s="1265" customFormat="1" hidden="1">
      <c r="A190" s="1265" t="s">
        <v>6380</v>
      </c>
    </row>
    <row r="191" spans="1:16" s="1265" customFormat="1"/>
    <row r="192" spans="1:16" s="1265" customFormat="1">
      <c r="A192" s="1934" t="s">
        <v>6381</v>
      </c>
      <c r="B192" s="1934"/>
      <c r="C192" s="1934"/>
      <c r="D192" s="1934"/>
      <c r="E192" s="1934"/>
      <c r="F192" s="1934"/>
      <c r="G192" s="1934"/>
      <c r="H192" s="1934"/>
      <c r="I192" s="1934"/>
      <c r="J192" s="1934"/>
      <c r="K192" s="1934"/>
      <c r="L192" s="1934"/>
      <c r="M192" s="1934"/>
    </row>
    <row r="193" spans="1:14" s="1265" customFormat="1">
      <c r="I193" s="1934" t="s">
        <v>212</v>
      </c>
      <c r="J193" s="1934"/>
      <c r="K193" s="719"/>
      <c r="L193" s="719"/>
      <c r="M193" s="719"/>
      <c r="N193" s="719"/>
    </row>
    <row r="194" spans="1:14" s="1265" customFormat="1" hidden="1">
      <c r="A194" s="1265" t="s">
        <v>6382</v>
      </c>
      <c r="J194" s="1265" t="s">
        <v>214</v>
      </c>
    </row>
    <row r="195" spans="1:14" s="1265" customFormat="1" ht="16.5" customHeight="1">
      <c r="A195" s="1934" t="s">
        <v>5865</v>
      </c>
      <c r="B195" s="1934" t="s">
        <v>215</v>
      </c>
      <c r="C195" s="1934" t="s">
        <v>6383</v>
      </c>
      <c r="D195" s="1934"/>
      <c r="E195" s="1934"/>
      <c r="F195" s="1934"/>
      <c r="G195" s="1934"/>
      <c r="H195" s="1934"/>
      <c r="I195" s="1934"/>
      <c r="J195" s="1934"/>
      <c r="K195" s="1267" t="s">
        <v>4197</v>
      </c>
      <c r="L195" s="1267" t="s">
        <v>4198</v>
      </c>
      <c r="M195" s="1267" t="s">
        <v>4199</v>
      </c>
    </row>
    <row r="196" spans="1:14" s="1265" customFormat="1">
      <c r="A196" s="1934"/>
      <c r="B196" s="1934"/>
      <c r="C196" s="1266" t="s">
        <v>4200</v>
      </c>
      <c r="D196" s="1266">
        <v>20</v>
      </c>
      <c r="E196" s="1266">
        <v>50</v>
      </c>
      <c r="F196" s="1266">
        <v>100</v>
      </c>
      <c r="G196" s="1266">
        <v>200</v>
      </c>
      <c r="H196" s="1266">
        <v>500</v>
      </c>
      <c r="I196" s="1268">
        <v>1000</v>
      </c>
      <c r="J196" s="1268">
        <v>2000</v>
      </c>
      <c r="K196" s="1267">
        <f>$C$4</f>
        <v>5.0097428219999998</v>
      </c>
      <c r="L196" s="1267">
        <f>IF(K196&lt;D196,10,IF(K196&gt;J196,J196,HLOOKUP(K196,D196:J196,1)))</f>
        <v>10</v>
      </c>
      <c r="M196" s="1267">
        <f>IF(K196&lt;10,10,IF(K196&lt;20,20,IF(K196&gt;J196,J196,INDEX(D196:J196,MATCH(K196,D196:J196,1)+1))))</f>
        <v>10</v>
      </c>
    </row>
    <row r="197" spans="1:14" s="1265" customFormat="1">
      <c r="A197" s="1269">
        <v>1</v>
      </c>
      <c r="B197" s="727" t="s">
        <v>4201</v>
      </c>
      <c r="C197" s="1270">
        <v>0.432</v>
      </c>
      <c r="D197" s="1270">
        <v>0.34599999999999997</v>
      </c>
      <c r="E197" s="1270">
        <v>0.19500000000000001</v>
      </c>
      <c r="F197" s="1270">
        <v>0.127</v>
      </c>
      <c r="G197" s="1270">
        <v>7.8E-2</v>
      </c>
      <c r="H197" s="1270">
        <v>5.7000000000000002E-2</v>
      </c>
      <c r="I197" s="1270">
        <v>0.04</v>
      </c>
      <c r="J197" s="1270">
        <v>3.2000000000000001E-2</v>
      </c>
      <c r="K197" s="1271">
        <f>IF(M$196=L$196,L197,ROUND(L197-((L197-M197)/(M$196-L$196))*(K$196-L$196),3))</f>
        <v>0.432</v>
      </c>
      <c r="L197" s="1271">
        <f>IF(L$196=10,C197,HLOOKUP($L$196,$D$196:$J$201,2,TRUE))</f>
        <v>0.432</v>
      </c>
      <c r="M197" s="1271">
        <f>IF(M$196=10,C197,HLOOKUP($M$196,$D$196:$J$201,2,TRUE))</f>
        <v>0.432</v>
      </c>
    </row>
    <row r="198" spans="1:14" s="1265" customFormat="1">
      <c r="A198" s="1269">
        <v>2</v>
      </c>
      <c r="B198" s="727" t="s">
        <v>4202</v>
      </c>
      <c r="C198" s="1270">
        <v>0.54900000000000004</v>
      </c>
      <c r="D198" s="1270">
        <v>0.379</v>
      </c>
      <c r="E198" s="1270">
        <v>0.21099999999999999</v>
      </c>
      <c r="F198" s="1270">
        <v>0.14399999999999999</v>
      </c>
      <c r="G198" s="1270">
        <v>9.6000000000000002E-2</v>
      </c>
      <c r="H198" s="1270">
        <v>6.7000000000000004E-2</v>
      </c>
      <c r="I198" s="1270">
        <v>5.1999999999999998E-2</v>
      </c>
      <c r="J198" s="1270">
        <v>4.1000000000000002E-2</v>
      </c>
      <c r="K198" s="1297">
        <f>IF(M$196=L$196,L198,ROUND(L198-((L198-M198)/(M$196-L$196))*(K$196-L$196),3))</f>
        <v>0.54900000000000004</v>
      </c>
      <c r="L198" s="1271">
        <f>IF(L$196=10,C198,HLOOKUP($L$196,$D$196:$J$201,3,TRUE))</f>
        <v>0.54900000000000004</v>
      </c>
      <c r="M198" s="1271">
        <f>IF(M$196=10,C198,HLOOKUP($M$196,$D$196:$J$201,3,TRUE))</f>
        <v>0.54900000000000004</v>
      </c>
    </row>
    <row r="199" spans="1:14" s="1265" customFormat="1">
      <c r="A199" s="1269">
        <v>3</v>
      </c>
      <c r="B199" s="727" t="s">
        <v>4203</v>
      </c>
      <c r="C199" s="1270">
        <v>0.34599999999999997</v>
      </c>
      <c r="D199" s="1270">
        <v>0.23699999999999999</v>
      </c>
      <c r="E199" s="1270">
        <v>0.151</v>
      </c>
      <c r="F199" s="1270">
        <v>0.09</v>
      </c>
      <c r="G199" s="1270">
        <v>5.7000000000000002E-2</v>
      </c>
      <c r="H199" s="1270">
        <v>4.2999999999999997E-2</v>
      </c>
      <c r="I199" s="1270">
        <v>2.9000000000000001E-2</v>
      </c>
      <c r="J199" s="1270">
        <v>2.3E-2</v>
      </c>
      <c r="K199" s="1271">
        <f>IF(M$196=L$196,L199,ROUND(L199-((L199-M199)/(M$196-L$196))*(K$196-L$196),3))</f>
        <v>0.34599999999999997</v>
      </c>
      <c r="L199" s="1271">
        <f>IF(L$196=10,C199,HLOOKUP($L$196,$D$196:$J$201,4,TRUE))</f>
        <v>0.34599999999999997</v>
      </c>
      <c r="M199" s="1271">
        <f>IF(M$196=10,C199,HLOOKUP($M$196,$D$196:$J$201,4,TRUE))</f>
        <v>0.34599999999999997</v>
      </c>
    </row>
    <row r="200" spans="1:14" s="1265" customFormat="1">
      <c r="A200" s="1269">
        <v>4</v>
      </c>
      <c r="B200" s="727" t="s">
        <v>4204</v>
      </c>
      <c r="C200" s="1270">
        <v>0.36099999999999999</v>
      </c>
      <c r="D200" s="1270">
        <v>0.30199999999999999</v>
      </c>
      <c r="E200" s="1270">
        <v>0.16600000000000001</v>
      </c>
      <c r="F200" s="1270">
        <v>9.4E-2</v>
      </c>
      <c r="G200" s="1270">
        <v>6.6000000000000003E-2</v>
      </c>
      <c r="H200" s="1270">
        <v>4.5999999999999999E-2</v>
      </c>
      <c r="I200" s="1270">
        <v>3.1E-2</v>
      </c>
      <c r="J200" s="1270">
        <v>2.5999999999999999E-2</v>
      </c>
      <c r="K200" s="1271">
        <f>IF(M$196=L$196,L200,ROUND(L200-((L200-M200)/(M$196-L$196))*(K$196-L$196),3))</f>
        <v>0.36099999999999999</v>
      </c>
      <c r="L200" s="1271">
        <f>IF(L$196=10,C200,HLOOKUP($L$196,$D$196:$J$201,5,TRUE))</f>
        <v>0.36099999999999999</v>
      </c>
      <c r="M200" s="1271">
        <f>IF(M$196=10,C200,HLOOKUP($M$196,$D$196:$J$201,5,TRUE))</f>
        <v>0.36099999999999999</v>
      </c>
    </row>
    <row r="201" spans="1:14" s="1265" customFormat="1">
      <c r="A201" s="1269">
        <v>5</v>
      </c>
      <c r="B201" s="727" t="s">
        <v>4205</v>
      </c>
      <c r="C201" s="1270">
        <v>0.38800000000000001</v>
      </c>
      <c r="D201" s="1270">
        <v>0.32500000000000001</v>
      </c>
      <c r="E201" s="1270">
        <v>0.17199999999999999</v>
      </c>
      <c r="F201" s="1270">
        <v>0.106</v>
      </c>
      <c r="G201" s="1270">
        <v>6.9000000000000006E-2</v>
      </c>
      <c r="H201" s="1270">
        <v>5.1999999999999998E-2</v>
      </c>
      <c r="I201" s="1270">
        <v>3.7999999999999999E-2</v>
      </c>
      <c r="J201" s="1270">
        <v>2.8000000000000001E-2</v>
      </c>
      <c r="K201" s="1271">
        <f>IF(M$196=L$196,L201,ROUND(L201-((L201-M201)/(M$196-L$196))*(K$196-L$196),3))</f>
        <v>0.38800000000000001</v>
      </c>
      <c r="L201" s="1271">
        <f>IF(L$196=10,C201,HLOOKUP($L$196,$D$196:$J$201,6,TRUE))</f>
        <v>0.38800000000000001</v>
      </c>
      <c r="M201" s="1271">
        <f>IF(M$196=10,C201,HLOOKUP($M$196,$D$196:$J$201,6,TRUE))</f>
        <v>0.38800000000000001</v>
      </c>
    </row>
    <row r="202" spans="1:14" s="1265" customFormat="1" hidden="1">
      <c r="A202" s="1265" t="s">
        <v>6384</v>
      </c>
    </row>
    <row r="203" spans="1:14" s="1265" customFormat="1"/>
    <row r="204" spans="1:14" s="1265" customFormat="1">
      <c r="A204" s="1934" t="s">
        <v>6385</v>
      </c>
      <c r="B204" s="1934"/>
      <c r="C204" s="1934"/>
      <c r="D204" s="1934"/>
      <c r="E204" s="1934"/>
      <c r="F204" s="1934"/>
      <c r="G204" s="1934"/>
      <c r="H204" s="1934"/>
      <c r="I204" s="1934"/>
      <c r="J204" s="1934"/>
      <c r="K204" s="1934"/>
      <c r="L204" s="1934"/>
      <c r="M204" s="1934"/>
    </row>
    <row r="205" spans="1:14" s="1265" customFormat="1">
      <c r="I205" s="1934" t="s">
        <v>212</v>
      </c>
      <c r="J205" s="1934"/>
      <c r="K205" s="719"/>
      <c r="L205" s="719"/>
      <c r="M205" s="719"/>
      <c r="N205" s="719"/>
    </row>
    <row r="206" spans="1:14" s="1265" customFormat="1" hidden="1">
      <c r="A206" s="1265" t="s">
        <v>6386</v>
      </c>
      <c r="J206" s="1265" t="s">
        <v>214</v>
      </c>
    </row>
    <row r="207" spans="1:14" s="1265" customFormat="1" ht="16.5" customHeight="1">
      <c r="A207" s="1934" t="s">
        <v>5865</v>
      </c>
      <c r="B207" s="1934" t="s">
        <v>215</v>
      </c>
      <c r="C207" s="1934" t="s">
        <v>6387</v>
      </c>
      <c r="D207" s="1934"/>
      <c r="E207" s="1934"/>
      <c r="F207" s="1934"/>
      <c r="G207" s="1934"/>
      <c r="H207" s="1934"/>
      <c r="I207" s="1934"/>
      <c r="J207" s="1934"/>
      <c r="K207" s="1267" t="s">
        <v>4197</v>
      </c>
      <c r="L207" s="1267" t="s">
        <v>4198</v>
      </c>
      <c r="M207" s="1267" t="s">
        <v>4199</v>
      </c>
    </row>
    <row r="208" spans="1:14" s="1265" customFormat="1">
      <c r="A208" s="1934"/>
      <c r="B208" s="1934"/>
      <c r="C208" s="1266" t="s">
        <v>4200</v>
      </c>
      <c r="D208" s="1266">
        <v>20</v>
      </c>
      <c r="E208" s="1266">
        <v>50</v>
      </c>
      <c r="F208" s="1266">
        <v>100</v>
      </c>
      <c r="G208" s="1266">
        <v>200</v>
      </c>
      <c r="H208" s="1266">
        <v>500</v>
      </c>
      <c r="I208" s="1268">
        <v>1000</v>
      </c>
      <c r="J208" s="1268">
        <v>2000</v>
      </c>
      <c r="K208" s="1267">
        <f>$C$5</f>
        <v>0.55008285899999998</v>
      </c>
      <c r="L208" s="1267">
        <f>IF(K208&lt;D208,10,IF(K208&gt;J208,J208,HLOOKUP(K208,D208:J208,1)))</f>
        <v>10</v>
      </c>
      <c r="M208" s="1267">
        <f>IF(K208&lt;10,10,IF(K208&lt;20,20,IF(K208&gt;J208,J208,INDEX(D208:J208,MATCH(K208,D208:J208,1)+1))))</f>
        <v>10</v>
      </c>
    </row>
    <row r="209" spans="1:16" s="1265" customFormat="1">
      <c r="A209" s="1269">
        <v>1</v>
      </c>
      <c r="B209" s="727" t="s">
        <v>4201</v>
      </c>
      <c r="C209" s="1270">
        <v>0.36699999999999999</v>
      </c>
      <c r="D209" s="1270">
        <v>0.34599999999999997</v>
      </c>
      <c r="E209" s="1270">
        <v>0.18099999999999999</v>
      </c>
      <c r="F209" s="1270">
        <v>0.113</v>
      </c>
      <c r="G209" s="1270">
        <v>0.10199999999999999</v>
      </c>
      <c r="H209" s="1270">
        <v>8.1000000000000003E-2</v>
      </c>
      <c r="I209" s="1270">
        <v>5.5E-2</v>
      </c>
      <c r="J209" s="1270">
        <v>4.2999999999999997E-2</v>
      </c>
      <c r="K209" s="1271">
        <f>IF(M$208=L$208,L209,ROUND(L209-((L209-M209)/(M$208-L$208))*(K$208-L$208),3))</f>
        <v>0.36699999999999999</v>
      </c>
      <c r="L209" s="1271">
        <f>IF(L$208=10,C209,HLOOKUP($L$208,$D$208:$J$213,2,TRUE))</f>
        <v>0.36699999999999999</v>
      </c>
      <c r="M209" s="1271">
        <f>IF(M$208=10,C209,HLOOKUP($M$208,$D$208:$J$213,2,TRUE))</f>
        <v>0.36699999999999999</v>
      </c>
    </row>
    <row r="210" spans="1:16" s="1265" customFormat="1">
      <c r="A210" s="1269">
        <v>2</v>
      </c>
      <c r="B210" s="727" t="s">
        <v>4202</v>
      </c>
      <c r="C210" s="1270">
        <v>0.54900000000000004</v>
      </c>
      <c r="D210" s="1270">
        <v>0.49399999999999999</v>
      </c>
      <c r="E210" s="1270">
        <v>0.28000000000000003</v>
      </c>
      <c r="F210" s="1270">
        <v>0.17699999999999999</v>
      </c>
      <c r="G210" s="1270">
        <v>0.152</v>
      </c>
      <c r="H210" s="1270">
        <v>0.123</v>
      </c>
      <c r="I210" s="1270">
        <v>8.4000000000000005E-2</v>
      </c>
      <c r="J210" s="1270">
        <v>6.6000000000000003E-2</v>
      </c>
      <c r="K210" s="1297">
        <f>IF(M$208=L$208,L210,ROUND(L210-((L210-M210)/(M$208-L$208))*(K$208-L$208),3))</f>
        <v>0.54900000000000004</v>
      </c>
      <c r="L210" s="1271">
        <f>IF(L$208=10,C210,HLOOKUP($L$208,$D$208:$J$213,3,TRUE))</f>
        <v>0.54900000000000004</v>
      </c>
      <c r="M210" s="1271">
        <f>IF(M$208=10,C210,HLOOKUP($M$208,$D$208:$J$213,3,TRUE))</f>
        <v>0.54900000000000004</v>
      </c>
    </row>
    <row r="211" spans="1:16" s="1265" customFormat="1">
      <c r="A211" s="1269">
        <v>3</v>
      </c>
      <c r="B211" s="727" t="s">
        <v>4203</v>
      </c>
      <c r="C211" s="1270">
        <v>0.26100000000000001</v>
      </c>
      <c r="D211" s="1270">
        <v>0.23</v>
      </c>
      <c r="E211" s="1270">
        <v>0.13100000000000001</v>
      </c>
      <c r="F211" s="1270">
        <v>8.4000000000000005E-2</v>
      </c>
      <c r="G211" s="1270">
        <v>7.3999999999999996E-2</v>
      </c>
      <c r="H211" s="1270">
        <v>5.6000000000000001E-2</v>
      </c>
      <c r="I211" s="1270">
        <v>0.04</v>
      </c>
      <c r="J211" s="1270">
        <v>3.2000000000000001E-2</v>
      </c>
      <c r="K211" s="1271">
        <f>IF(M$208=L$208,L211,ROUND(L211-((L211-M211)/(M$208-L$208))*(K$208-L$208),3))</f>
        <v>0.26100000000000001</v>
      </c>
      <c r="L211" s="1271">
        <f>IF(L$208=10,C211,HLOOKUP($L$208,$D$208:$J$213,4,TRUE))</f>
        <v>0.26100000000000001</v>
      </c>
      <c r="M211" s="1271">
        <f>IF(M$208=10,C211,HLOOKUP($M$208,$D$208:$J$213,4,TRUE))</f>
        <v>0.26100000000000001</v>
      </c>
    </row>
    <row r="212" spans="1:16" s="1265" customFormat="1">
      <c r="A212" s="1269">
        <v>4</v>
      </c>
      <c r="B212" s="727" t="s">
        <v>4204</v>
      </c>
      <c r="C212" s="1270">
        <v>0.28100000000000003</v>
      </c>
      <c r="D212" s="1270">
        <v>0.245</v>
      </c>
      <c r="E212" s="1270">
        <v>0.14000000000000001</v>
      </c>
      <c r="F212" s="1270">
        <v>0.09</v>
      </c>
      <c r="G212" s="1270">
        <v>7.8E-2</v>
      </c>
      <c r="H212" s="1270">
        <v>6.0999999999999999E-2</v>
      </c>
      <c r="I212" s="1270">
        <v>0.05</v>
      </c>
      <c r="J212" s="1270">
        <v>3.6999999999999998E-2</v>
      </c>
      <c r="K212" s="1271">
        <f>IF(M$208=L$208,L212,ROUND(L212-((L212-M212)/(M$208-L$208))*(K$208-L$208),3))</f>
        <v>0.28100000000000003</v>
      </c>
      <c r="L212" s="1271">
        <f>IF(L$208=10,C212,HLOOKUP($L$208,$D$208:$J$213,5,TRUE))</f>
        <v>0.28100000000000003</v>
      </c>
      <c r="M212" s="1271">
        <f>IF(M$208=10,C212,HLOOKUP($M$208,$D$208:$J$213,5,TRUE))</f>
        <v>0.28100000000000003</v>
      </c>
    </row>
    <row r="213" spans="1:16" s="1265" customFormat="1">
      <c r="A213" s="1269">
        <v>5</v>
      </c>
      <c r="B213" s="727" t="s">
        <v>4205</v>
      </c>
      <c r="C213" s="1270">
        <v>0.30199999999999999</v>
      </c>
      <c r="D213" s="1270">
        <v>0.26</v>
      </c>
      <c r="E213" s="1270">
        <v>0.156</v>
      </c>
      <c r="F213" s="1270">
        <v>0.10199999999999999</v>
      </c>
      <c r="G213" s="1270">
        <v>8.6999999999999994E-2</v>
      </c>
      <c r="H213" s="1270">
        <v>6.9000000000000006E-2</v>
      </c>
      <c r="I213" s="1270">
        <v>5.3999999999999999E-2</v>
      </c>
      <c r="J213" s="1270">
        <v>4.1000000000000002E-2</v>
      </c>
      <c r="K213" s="1271">
        <f>IF(M$208=L$208,L213,ROUND(L213-((L213-M213)/(M$208-L$208))*(K$208-L$208),3))</f>
        <v>0.30199999999999999</v>
      </c>
      <c r="L213" s="1271">
        <f>IF(L$208=10,C213,HLOOKUP($L$208,$D$208:$J$213,6,TRUE))</f>
        <v>0.30199999999999999</v>
      </c>
      <c r="M213" s="1271">
        <f>IF(M$208=10,C213,HLOOKUP($M$208,$D$208:$J$213,6,TRUE))</f>
        <v>0.30199999999999999</v>
      </c>
    </row>
    <row r="214" spans="1:16" s="1265" customFormat="1" hidden="1">
      <c r="A214" s="1265" t="s">
        <v>6388</v>
      </c>
    </row>
    <row r="215" spans="1:16" s="1265" customFormat="1"/>
    <row r="216" spans="1:16" s="1265" customFormat="1">
      <c r="A216" s="1934" t="s">
        <v>4179</v>
      </c>
      <c r="B216" s="1934"/>
      <c r="C216" s="1934"/>
      <c r="D216" s="1934"/>
      <c r="E216" s="1934"/>
      <c r="F216" s="1934"/>
      <c r="G216" s="1934"/>
      <c r="H216" s="1934"/>
      <c r="I216" s="1934"/>
      <c r="J216" s="1934"/>
      <c r="K216" s="1934"/>
      <c r="L216" s="1934"/>
      <c r="M216" s="1934"/>
    </row>
    <row r="217" spans="1:16" s="1265" customFormat="1">
      <c r="I217" s="1934" t="s">
        <v>212</v>
      </c>
      <c r="J217" s="1934"/>
      <c r="K217" s="1934"/>
      <c r="L217" s="1934"/>
      <c r="M217" s="1934"/>
      <c r="N217" s="719"/>
    </row>
    <row r="218" spans="1:16" s="1265" customFormat="1" hidden="1">
      <c r="A218" s="1265" t="s">
        <v>4180</v>
      </c>
      <c r="M218" s="1265" t="s">
        <v>214</v>
      </c>
    </row>
    <row r="219" spans="1:16" s="1265" customFormat="1" ht="16.5" customHeight="1">
      <c r="A219" s="1934" t="s">
        <v>5865</v>
      </c>
      <c r="B219" s="1934" t="s">
        <v>215</v>
      </c>
      <c r="C219" s="1934" t="s">
        <v>4181</v>
      </c>
      <c r="D219" s="1934"/>
      <c r="E219" s="1934"/>
      <c r="F219" s="1934"/>
      <c r="G219" s="1934"/>
      <c r="H219" s="1934"/>
      <c r="I219" s="1934"/>
      <c r="J219" s="1934"/>
      <c r="K219" s="1934"/>
      <c r="L219" s="1934"/>
      <c r="M219" s="1934"/>
      <c r="N219" s="1267" t="s">
        <v>4197</v>
      </c>
      <c r="O219" s="1267" t="s">
        <v>4198</v>
      </c>
      <c r="P219" s="1267" t="s">
        <v>4199</v>
      </c>
    </row>
    <row r="220" spans="1:16" s="1265" customFormat="1">
      <c r="A220" s="1934"/>
      <c r="B220" s="1934"/>
      <c r="C220" s="1266" t="s">
        <v>4200</v>
      </c>
      <c r="D220" s="1266">
        <v>20</v>
      </c>
      <c r="E220" s="1266">
        <v>50</v>
      </c>
      <c r="F220" s="1266">
        <v>100</v>
      </c>
      <c r="G220" s="1266">
        <v>200</v>
      </c>
      <c r="H220" s="1266">
        <v>500</v>
      </c>
      <c r="I220" s="1268">
        <v>1000</v>
      </c>
      <c r="J220" s="1268">
        <v>2000</v>
      </c>
      <c r="K220" s="1268">
        <v>5000</v>
      </c>
      <c r="L220" s="1268">
        <v>8000</v>
      </c>
      <c r="M220" s="1268">
        <v>10000</v>
      </c>
      <c r="N220" s="1267">
        <f>$C$4</f>
        <v>5.0097428219999998</v>
      </c>
      <c r="O220" s="1267">
        <f>IF(N220&lt;D220,10,IF(N220&gt;M220,M220,HLOOKUP(N220,D220:M220,1)))</f>
        <v>10</v>
      </c>
      <c r="P220" s="1267">
        <f>IF(N220&lt;10,10,IF(N220&lt;20,20,IF(N220&gt;M220,M220,INDEX(D220:M220,MATCH(N220,D220:M220,1)+1))))</f>
        <v>10</v>
      </c>
    </row>
    <row r="221" spans="1:16" s="1265" customFormat="1">
      <c r="A221" s="1269">
        <v>1</v>
      </c>
      <c r="B221" s="727" t="s">
        <v>4201</v>
      </c>
      <c r="C221" s="1270">
        <v>3.2850000000000001</v>
      </c>
      <c r="D221" s="1270">
        <v>2.8530000000000002</v>
      </c>
      <c r="E221" s="1270">
        <v>2.4350000000000001</v>
      </c>
      <c r="F221" s="1270">
        <v>1.845</v>
      </c>
      <c r="G221" s="1270">
        <v>1.546</v>
      </c>
      <c r="H221" s="1270">
        <v>1.1879999999999999</v>
      </c>
      <c r="I221" s="1270">
        <v>0.79700000000000004</v>
      </c>
      <c r="J221" s="1270">
        <v>0.69399999999999995</v>
      </c>
      <c r="K221" s="1270">
        <v>0.62</v>
      </c>
      <c r="L221" s="1270">
        <v>0.53</v>
      </c>
      <c r="M221" s="1270">
        <v>0.47799999999999998</v>
      </c>
      <c r="N221" s="1271">
        <f>IF(P$220=O$220,O221,ROUND(O221-((O221-P221)/(P$220-O$220))*(N$220-O$220),3))</f>
        <v>3.2850000000000001</v>
      </c>
      <c r="O221" s="1271">
        <f>IF(O$220=10,C221,HLOOKUP($O$220,$D$220:$M$225,2,TRUE))</f>
        <v>3.2850000000000001</v>
      </c>
      <c r="P221" s="1271">
        <f>IF(P$220=10,C221,HLOOKUP($P$220,$D$220:$M$225,2,TRUE))</f>
        <v>3.2850000000000001</v>
      </c>
    </row>
    <row r="222" spans="1:16" s="1265" customFormat="1">
      <c r="A222" s="1269">
        <v>2</v>
      </c>
      <c r="B222" s="727" t="s">
        <v>4202</v>
      </c>
      <c r="C222" s="1270">
        <v>3.508</v>
      </c>
      <c r="D222" s="1270">
        <v>3.137</v>
      </c>
      <c r="E222" s="1270">
        <v>2.5590000000000002</v>
      </c>
      <c r="F222" s="1270">
        <v>2.0739999999999998</v>
      </c>
      <c r="G222" s="1270">
        <v>1.6040000000000001</v>
      </c>
      <c r="H222" s="1270">
        <v>1.3009999999999999</v>
      </c>
      <c r="I222" s="1270">
        <v>0.82299999999999995</v>
      </c>
      <c r="J222" s="1270">
        <v>0.71599999999999997</v>
      </c>
      <c r="K222" s="1270">
        <v>0.64</v>
      </c>
      <c r="L222" s="1270">
        <v>0.55000000000000004</v>
      </c>
      <c r="M222" s="1270">
        <v>0.49299999999999999</v>
      </c>
      <c r="N222" s="1297">
        <f>IF(P$220=O$220,O222,ROUND(O222-((O222-P222)/(P$220-O$220))*(N$220-O$220),3))</f>
        <v>3.508</v>
      </c>
      <c r="O222" s="1271">
        <f>IF(O$220=10,C222,HLOOKUP($O$220,$D$220:$M$225,3,TRUE))</f>
        <v>3.508</v>
      </c>
      <c r="P222" s="1271">
        <f>IF(P$220=10,C222,HLOOKUP($P$220,$D$220:$M$225,3,TRUE))</f>
        <v>3.508</v>
      </c>
    </row>
    <row r="223" spans="1:16" s="1265" customFormat="1">
      <c r="A223" s="1269">
        <v>3</v>
      </c>
      <c r="B223" s="727" t="s">
        <v>4203</v>
      </c>
      <c r="C223" s="1270">
        <v>3.2029999999999998</v>
      </c>
      <c r="D223" s="1270">
        <v>2.7</v>
      </c>
      <c r="E223" s="1270">
        <v>2.3559999999999999</v>
      </c>
      <c r="F223" s="1270">
        <v>1.714</v>
      </c>
      <c r="G223" s="1270">
        <v>1.272</v>
      </c>
      <c r="H223" s="1270">
        <v>1.0029999999999999</v>
      </c>
      <c r="I223" s="1270">
        <v>0.73099999999999998</v>
      </c>
      <c r="J223" s="1270">
        <v>0.63600000000000001</v>
      </c>
      <c r="K223" s="1270">
        <v>0.55000000000000004</v>
      </c>
      <c r="L223" s="1270">
        <v>0.48</v>
      </c>
      <c r="M223" s="1270">
        <v>0.438</v>
      </c>
      <c r="N223" s="1271">
        <f>IF(P$220=O$220,O223,ROUND(O223-((O223-P223)/(P$220-O$220))*(N$220-O$220),3))</f>
        <v>3.2029999999999998</v>
      </c>
      <c r="O223" s="1271">
        <f>IF(O$220=10,C223,HLOOKUP($O$220,$D$220:$M$225,4,TRUE))</f>
        <v>3.2029999999999998</v>
      </c>
      <c r="P223" s="1271">
        <f>IF(P$220=10,C223,HLOOKUP($P$220,$D$220:$M$225,4,TRUE))</f>
        <v>3.2029999999999998</v>
      </c>
    </row>
    <row r="224" spans="1:16" s="1265" customFormat="1">
      <c r="A224" s="1269">
        <v>4</v>
      </c>
      <c r="B224" s="727" t="s">
        <v>4204</v>
      </c>
      <c r="C224" s="1270">
        <v>2.5979999999999999</v>
      </c>
      <c r="D224" s="1270">
        <v>2.2919999999999998</v>
      </c>
      <c r="E224" s="1270">
        <v>2.0750000000000002</v>
      </c>
      <c r="F224" s="1270">
        <v>1.5449999999999999</v>
      </c>
      <c r="G224" s="1270">
        <v>1.1890000000000001</v>
      </c>
      <c r="H224" s="1270">
        <v>0.95</v>
      </c>
      <c r="I224" s="1270">
        <v>0.63100000000000001</v>
      </c>
      <c r="J224" s="1270">
        <v>0.55000000000000004</v>
      </c>
      <c r="K224" s="1270">
        <v>0.49</v>
      </c>
      <c r="L224" s="1270">
        <v>0.42</v>
      </c>
      <c r="M224" s="1270">
        <v>0.378</v>
      </c>
      <c r="N224" s="1271">
        <f>IF(P$220=O$220,O224,ROUND(O224-((O224-P224)/(P$220-O$220))*(N$220-O$220),3))</f>
        <v>2.5979999999999999</v>
      </c>
      <c r="O224" s="1271">
        <f>IF(O$220=10,C224,HLOOKUP($O$220,$D$220:$M$225,5,TRUE))</f>
        <v>2.5979999999999999</v>
      </c>
      <c r="P224" s="1271">
        <f>IF(P$220=10,C224,HLOOKUP($P$220,$D$220:$M$225,5,TRUE))</f>
        <v>2.5979999999999999</v>
      </c>
    </row>
    <row r="225" spans="1:16" s="1265" customFormat="1">
      <c r="A225" s="1269">
        <v>5</v>
      </c>
      <c r="B225" s="727" t="s">
        <v>4205</v>
      </c>
      <c r="C225" s="1270">
        <v>2.5659999999999998</v>
      </c>
      <c r="D225" s="1270">
        <v>2.2559999999999998</v>
      </c>
      <c r="E225" s="1270">
        <v>1.984</v>
      </c>
      <c r="F225" s="1270">
        <v>1.4610000000000001</v>
      </c>
      <c r="G225" s="1270">
        <v>1.1419999999999999</v>
      </c>
      <c r="H225" s="1270">
        <v>0.91200000000000003</v>
      </c>
      <c r="I225" s="1270">
        <v>0.58399999999999996</v>
      </c>
      <c r="J225" s="1270">
        <v>0.50900000000000001</v>
      </c>
      <c r="K225" s="1270">
        <v>0.45200000000000001</v>
      </c>
      <c r="L225" s="1270">
        <v>0.39</v>
      </c>
      <c r="M225" s="1270">
        <v>0.35</v>
      </c>
      <c r="N225" s="1271">
        <f>IF(P$220=O$220,O225,ROUND(O225-((O225-P225)/(P$220-O$220))*(N$220-O$220),3))</f>
        <v>2.5659999999999998</v>
      </c>
      <c r="O225" s="1271">
        <f>IF(O$220=10,C225,HLOOKUP($O$220,$D$220:$M$225,6,TRUE))</f>
        <v>2.5659999999999998</v>
      </c>
      <c r="P225" s="1271">
        <f>IF(P$220=10,C225,HLOOKUP($P$220,$D$220:$M$225,6,TRUE))</f>
        <v>2.5659999999999998</v>
      </c>
    </row>
    <row r="226" spans="1:16" s="1265" customFormat="1" hidden="1">
      <c r="A226" s="1265" t="s">
        <v>4182</v>
      </c>
    </row>
    <row r="227" spans="1:16" s="1265" customFormat="1"/>
    <row r="228" spans="1:16" s="1265" customFormat="1">
      <c r="A228" s="1934" t="s">
        <v>1539</v>
      </c>
      <c r="B228" s="1934"/>
      <c r="C228" s="1934"/>
      <c r="D228" s="1934"/>
      <c r="E228" s="1934"/>
      <c r="F228" s="1934"/>
      <c r="G228" s="1934"/>
      <c r="H228" s="1934"/>
      <c r="I228" s="1934"/>
      <c r="J228" s="1934"/>
      <c r="K228" s="1934"/>
      <c r="L228" s="1934"/>
      <c r="M228" s="1934"/>
    </row>
    <row r="229" spans="1:16" s="1265" customFormat="1">
      <c r="I229" s="1934" t="s">
        <v>212</v>
      </c>
      <c r="J229" s="1934"/>
      <c r="K229" s="1934"/>
      <c r="L229" s="1934"/>
      <c r="M229" s="1934"/>
      <c r="N229" s="719"/>
    </row>
    <row r="230" spans="1:16" s="1265" customFormat="1" hidden="1">
      <c r="A230" s="1265" t="s">
        <v>1540</v>
      </c>
      <c r="M230" s="1265" t="s">
        <v>214</v>
      </c>
    </row>
    <row r="231" spans="1:16" s="1265" customFormat="1" ht="16.5" customHeight="1">
      <c r="A231" s="1934" t="s">
        <v>5865</v>
      </c>
      <c r="B231" s="1934" t="s">
        <v>215</v>
      </c>
      <c r="C231" s="1934" t="s">
        <v>1541</v>
      </c>
      <c r="D231" s="1934"/>
      <c r="E231" s="1934"/>
      <c r="F231" s="1934"/>
      <c r="G231" s="1934"/>
      <c r="H231" s="1934"/>
      <c r="I231" s="1934"/>
      <c r="J231" s="1934"/>
      <c r="K231" s="1934"/>
      <c r="L231" s="1934"/>
      <c r="M231" s="1934"/>
      <c r="N231" s="1267" t="s">
        <v>4197</v>
      </c>
      <c r="O231" s="1267" t="s">
        <v>4198</v>
      </c>
      <c r="P231" s="1267" t="s">
        <v>4199</v>
      </c>
    </row>
    <row r="232" spans="1:16" s="1265" customFormat="1">
      <c r="A232" s="1934"/>
      <c r="B232" s="1934"/>
      <c r="C232" s="1266" t="s">
        <v>4200</v>
      </c>
      <c r="D232" s="1266">
        <v>20</v>
      </c>
      <c r="E232" s="1266">
        <v>50</v>
      </c>
      <c r="F232" s="1266">
        <v>100</v>
      </c>
      <c r="G232" s="1266">
        <v>200</v>
      </c>
      <c r="H232" s="1266">
        <v>500</v>
      </c>
      <c r="I232" s="1268">
        <v>1000</v>
      </c>
      <c r="J232" s="1268">
        <v>2000</v>
      </c>
      <c r="K232" s="1268">
        <v>5000</v>
      </c>
      <c r="L232" s="1268">
        <v>8000</v>
      </c>
      <c r="M232" s="1268">
        <v>10000</v>
      </c>
      <c r="N232" s="1267">
        <f>$C$5</f>
        <v>0.55008285899999998</v>
      </c>
      <c r="O232" s="1267">
        <f>IF(N232&lt;D232,10,IF(N232&gt;M232,M232,HLOOKUP(N232,D232:M232,1)))</f>
        <v>10</v>
      </c>
      <c r="P232" s="1267">
        <f>IF(N232&lt;10,10,IF(N232&lt;20,20,IF(N232&gt;M232,M232,INDEX(D232:M232,MATCH(N232,D232:M232,1)+1))))</f>
        <v>10</v>
      </c>
    </row>
    <row r="233" spans="1:16" s="1265" customFormat="1">
      <c r="A233" s="1269">
        <v>1</v>
      </c>
      <c r="B233" s="727" t="s">
        <v>4201</v>
      </c>
      <c r="C233" s="1270">
        <v>0.84399999999999997</v>
      </c>
      <c r="D233" s="1270">
        <v>0.71499999999999997</v>
      </c>
      <c r="E233" s="1270">
        <v>0.59599999999999997</v>
      </c>
      <c r="F233" s="1270">
        <v>0.39400000000000002</v>
      </c>
      <c r="G233" s="1270">
        <v>0.30499999999999999</v>
      </c>
      <c r="H233" s="1270">
        <v>0.26100000000000001</v>
      </c>
      <c r="I233" s="1270">
        <v>0.17599999999999999</v>
      </c>
      <c r="J233" s="1270">
        <v>0.153</v>
      </c>
      <c r="K233" s="1270">
        <v>0.13200000000000001</v>
      </c>
      <c r="L233" s="1270">
        <v>0.112</v>
      </c>
      <c r="M233" s="1270">
        <v>0.11</v>
      </c>
      <c r="N233" s="1271">
        <f>IF(P$232=O$232,O233,ROUND(O233-((O233-P233)/(P$232-O$232))*(N$232-O$232),3))</f>
        <v>0.84399999999999997</v>
      </c>
      <c r="O233" s="1271">
        <f>IF(O$232=10,C233,HLOOKUP($O$232,$D$232:$M$237,2,TRUE))</f>
        <v>0.84399999999999997</v>
      </c>
      <c r="P233" s="1271">
        <f>IF(P$232=10,C233,HLOOKUP($P$232,$D$232:$M$237,2,TRUE))</f>
        <v>0.84399999999999997</v>
      </c>
    </row>
    <row r="234" spans="1:16" s="1265" customFormat="1">
      <c r="A234" s="1269">
        <v>2</v>
      </c>
      <c r="B234" s="727" t="s">
        <v>4202</v>
      </c>
      <c r="C234" s="1270">
        <v>1.147</v>
      </c>
      <c r="D234" s="1270">
        <v>1.0049999999999999</v>
      </c>
      <c r="E234" s="1270">
        <v>0.95799999999999996</v>
      </c>
      <c r="F234" s="1270">
        <v>0.81100000000000005</v>
      </c>
      <c r="G234" s="1270">
        <v>0.49</v>
      </c>
      <c r="H234" s="1270">
        <v>0.42199999999999999</v>
      </c>
      <c r="I234" s="1270">
        <v>0.35599999999999998</v>
      </c>
      <c r="J234" s="1270">
        <v>0.309</v>
      </c>
      <c r="K234" s="1270">
        <v>0.27</v>
      </c>
      <c r="L234" s="1270">
        <v>0.23</v>
      </c>
      <c r="M234" s="1270">
        <v>0.21</v>
      </c>
      <c r="N234" s="1297">
        <f>IF(P$232=O$232,O234,ROUND(O234-((O234-P234)/(P$232-O$232))*(N$232-O$232),3))</f>
        <v>1.147</v>
      </c>
      <c r="O234" s="1271">
        <f>IF(O$232=10,C234,HLOOKUP($O$232,$D$232:$M$237,3,TRUE))</f>
        <v>1.147</v>
      </c>
      <c r="P234" s="1271">
        <f>IF(P$232=10,C234,HLOOKUP($P$232,$D$232:$M$237,3,TRUE))</f>
        <v>1.147</v>
      </c>
    </row>
    <row r="235" spans="1:16" s="1265" customFormat="1">
      <c r="A235" s="1269">
        <v>3</v>
      </c>
      <c r="B235" s="727" t="s">
        <v>4203</v>
      </c>
      <c r="C235" s="1270">
        <v>0.67700000000000005</v>
      </c>
      <c r="D235" s="1270">
        <v>0.57999999999999996</v>
      </c>
      <c r="E235" s="1270">
        <v>0.48599999999999999</v>
      </c>
      <c r="F235" s="1270">
        <v>0.32</v>
      </c>
      <c r="G235" s="1270">
        <v>0.26100000000000001</v>
      </c>
      <c r="H235" s="1270">
        <v>0.217</v>
      </c>
      <c r="I235" s="1270">
        <v>0.14599999999999999</v>
      </c>
      <c r="J235" s="1270">
        <v>0.127</v>
      </c>
      <c r="K235" s="1270">
        <v>0.11</v>
      </c>
      <c r="L235" s="1270">
        <v>9.1999999999999998E-2</v>
      </c>
      <c r="M235" s="1270">
        <v>8.5000000000000006E-2</v>
      </c>
      <c r="N235" s="1271">
        <f>IF(P$232=O$232,O235,ROUND(O235-((O235-P235)/(P$232-O$232))*(N$232-O$232),3))</f>
        <v>0.67700000000000005</v>
      </c>
      <c r="O235" s="1271">
        <f>IF(O$232=10,C235,HLOOKUP($O$232,$D$232:$M$237,4,TRUE))</f>
        <v>0.67700000000000005</v>
      </c>
      <c r="P235" s="1271">
        <f>IF(P$232=10,C235,HLOOKUP($P$232,$D$232:$M$237,4,TRUE))</f>
        <v>0.67700000000000005</v>
      </c>
    </row>
    <row r="236" spans="1:16" s="1265" customFormat="1">
      <c r="A236" s="1269">
        <v>4</v>
      </c>
      <c r="B236" s="727" t="s">
        <v>4204</v>
      </c>
      <c r="C236" s="1270">
        <v>0.71799999999999997</v>
      </c>
      <c r="D236" s="1270">
        <v>0.58499999999999996</v>
      </c>
      <c r="E236" s="1270">
        <v>0.52</v>
      </c>
      <c r="F236" s="1270">
        <v>0.34399999999999997</v>
      </c>
      <c r="G236" s="1270">
        <v>0.27600000000000002</v>
      </c>
      <c r="H236" s="1270">
        <v>0.23200000000000001</v>
      </c>
      <c r="I236" s="1270">
        <v>0.159</v>
      </c>
      <c r="J236" s="1270">
        <v>0.13800000000000001</v>
      </c>
      <c r="K236" s="1270">
        <v>0.12</v>
      </c>
      <c r="L236" s="1270">
        <v>9.8000000000000004E-2</v>
      </c>
      <c r="M236" s="1270">
        <v>9.0999999999999998E-2</v>
      </c>
      <c r="N236" s="1271">
        <f>IF(P$232=O$232,O236,ROUND(O236-((O236-P236)/(P$232-O$232))*(N$232-O$232),3))</f>
        <v>0.71799999999999997</v>
      </c>
      <c r="O236" s="1271">
        <f>IF(O$232=10,C236,HLOOKUP($O$232,$D$232:$M$237,5,TRUE))</f>
        <v>0.71799999999999997</v>
      </c>
      <c r="P236" s="1271">
        <f>IF(P$232=10,C236,HLOOKUP($P$232,$D$232:$M$237,5,TRUE))</f>
        <v>0.71799999999999997</v>
      </c>
    </row>
    <row r="237" spans="1:16" s="1265" customFormat="1">
      <c r="A237" s="1269">
        <v>5</v>
      </c>
      <c r="B237" s="727" t="s">
        <v>4205</v>
      </c>
      <c r="C237" s="1270">
        <v>0.80300000000000005</v>
      </c>
      <c r="D237" s="1270">
        <v>0.69</v>
      </c>
      <c r="E237" s="1270">
        <v>0.57499999999999996</v>
      </c>
      <c r="F237" s="1270">
        <v>0.38300000000000001</v>
      </c>
      <c r="G237" s="1270">
        <v>0.3</v>
      </c>
      <c r="H237" s="1270">
        <v>0.26100000000000001</v>
      </c>
      <c r="I237" s="1270">
        <v>0.17299999999999999</v>
      </c>
      <c r="J237" s="1270">
        <v>0.15</v>
      </c>
      <c r="K237" s="1270">
        <v>0.126</v>
      </c>
      <c r="L237" s="1270">
        <v>0.105</v>
      </c>
      <c r="M237" s="1270">
        <v>9.5000000000000001E-2</v>
      </c>
      <c r="N237" s="1271">
        <f>IF(P$232=O$232,O237,ROUND(O237-((O237-P237)/(P$232-O$232))*(N$232-O$232),3))</f>
        <v>0.80300000000000005</v>
      </c>
      <c r="O237" s="1271">
        <f>IF(O$232=10,C237,HLOOKUP($O$232,$D$232:$M$237,6,TRUE))</f>
        <v>0.80300000000000005</v>
      </c>
      <c r="P237" s="1271">
        <f>IF(P$232=10,C237,HLOOKUP($P$232,$D$232:$M$237,6,TRUE))</f>
        <v>0.80300000000000005</v>
      </c>
    </row>
    <row r="238" spans="1:16" s="1265" customFormat="1" hidden="1">
      <c r="A238" s="1265" t="s">
        <v>1542</v>
      </c>
    </row>
    <row r="239" spans="1:16" s="1265" customFormat="1"/>
    <row r="240" spans="1:16" s="1265" customFormat="1" hidden="1">
      <c r="A240" s="1934" t="s">
        <v>1543</v>
      </c>
      <c r="B240" s="1934"/>
      <c r="C240" s="1934"/>
      <c r="D240" s="1934"/>
      <c r="E240" s="1934"/>
      <c r="F240" s="1934"/>
      <c r="G240" s="1934"/>
      <c r="H240" s="1934"/>
      <c r="I240" s="1934"/>
      <c r="J240" s="1934"/>
      <c r="K240" s="1934"/>
      <c r="L240" s="1934"/>
      <c r="M240" s="1934"/>
    </row>
    <row r="241" spans="1:15" s="1265" customFormat="1" hidden="1">
      <c r="F241" s="1934" t="s">
        <v>212</v>
      </c>
      <c r="G241" s="1934"/>
      <c r="I241" s="719"/>
      <c r="J241" s="719"/>
      <c r="K241" s="719"/>
      <c r="L241" s="719"/>
      <c r="M241" s="719"/>
      <c r="N241" s="719"/>
    </row>
    <row r="242" spans="1:15" s="1265" customFormat="1" hidden="1">
      <c r="A242" s="1265" t="s">
        <v>1544</v>
      </c>
      <c r="G242" s="1265" t="s">
        <v>214</v>
      </c>
    </row>
    <row r="243" spans="1:15" s="1265" customFormat="1" ht="33" hidden="1" customHeight="1">
      <c r="A243" s="1934" t="s">
        <v>5865</v>
      </c>
      <c r="B243" s="1934" t="s">
        <v>215</v>
      </c>
      <c r="C243" s="1934" t="s">
        <v>1545</v>
      </c>
      <c r="D243" s="1934"/>
      <c r="E243" s="1934"/>
      <c r="F243" s="1934"/>
      <c r="G243" s="1934"/>
      <c r="H243" s="1267" t="s">
        <v>4197</v>
      </c>
      <c r="I243" s="1267" t="s">
        <v>4198</v>
      </c>
      <c r="J243" s="1267" t="s">
        <v>4199</v>
      </c>
      <c r="K243" s="1283"/>
      <c r="L243" s="1283"/>
      <c r="M243" s="1283"/>
    </row>
    <row r="244" spans="1:15" s="1265" customFormat="1" hidden="1">
      <c r="A244" s="1934"/>
      <c r="B244" s="1934"/>
      <c r="C244" s="1266" t="s">
        <v>1762</v>
      </c>
      <c r="D244" s="1266">
        <v>5</v>
      </c>
      <c r="E244" s="1266">
        <v>10</v>
      </c>
      <c r="F244" s="1266">
        <v>20</v>
      </c>
      <c r="G244" s="1266">
        <v>50</v>
      </c>
      <c r="H244" s="1267">
        <f>$C$11</f>
        <v>7.9912103999999998E-2</v>
      </c>
      <c r="I244" s="1267">
        <f>IF(H244&lt;D244,1,IF(H244&gt;G244,G244,HLOOKUP(H244,D244:G244,1)))</f>
        <v>1</v>
      </c>
      <c r="J244" s="1267">
        <f>IF(H244&lt;1,1,IF(H244&lt;5,5,IF(H244&gt;G244,G244,INDEX(D244:G244,MATCH(H244,D244:G244,1)+1))))</f>
        <v>1</v>
      </c>
      <c r="K244" s="1284"/>
      <c r="L244" s="1284"/>
      <c r="M244" s="1284"/>
    </row>
    <row r="245" spans="1:15" s="1265" customFormat="1" hidden="1">
      <c r="A245" s="1269">
        <v>1</v>
      </c>
      <c r="B245" s="727" t="s">
        <v>6379</v>
      </c>
      <c r="C245" s="1270">
        <v>4.0720000000000001</v>
      </c>
      <c r="D245" s="1270">
        <v>3.5409999999999999</v>
      </c>
      <c r="E245" s="1270">
        <v>3.0790000000000002</v>
      </c>
      <c r="F245" s="1270">
        <v>2.7069999999999999</v>
      </c>
      <c r="G245" s="1270">
        <v>2.3809999999999998</v>
      </c>
      <c r="H245" s="1271">
        <f>IF(J$244=I$244,I245,ROUND(I245-((I245-J245)/(J$244-I$244))*(H$244-I$244),3))</f>
        <v>4.0720000000000001</v>
      </c>
      <c r="I245" s="1271">
        <f>IF(I$244=1,C245,HLOOKUP($I$244,$D$244:$G$245,2,TRUE))</f>
        <v>4.0720000000000001</v>
      </c>
      <c r="J245" s="1271">
        <f>IF(J$244=1,C245,HLOOKUP($J$244,$D$244:$G$245,2,TRUE))</f>
        <v>4.0720000000000001</v>
      </c>
      <c r="K245" s="1286"/>
      <c r="L245" s="1286"/>
      <c r="M245" s="1286"/>
    </row>
    <row r="246" spans="1:15" s="1265" customFormat="1" hidden="1">
      <c r="A246" s="1934" t="s">
        <v>1546</v>
      </c>
      <c r="B246" s="1934"/>
      <c r="C246" s="1934"/>
      <c r="D246" s="1934"/>
      <c r="E246" s="1934"/>
      <c r="F246" s="1934"/>
      <c r="G246" s="1934"/>
      <c r="H246" s="1934"/>
      <c r="I246" s="1934"/>
      <c r="J246" s="1934"/>
      <c r="K246" s="1934"/>
      <c r="L246" s="1934"/>
      <c r="M246" s="1934"/>
      <c r="N246" s="1934"/>
    </row>
    <row r="247" spans="1:15" s="1265" customFormat="1" hidden="1">
      <c r="A247" s="1934" t="s">
        <v>1547</v>
      </c>
      <c r="B247" s="1934"/>
      <c r="C247" s="1934"/>
      <c r="D247" s="1934"/>
      <c r="E247" s="1934"/>
      <c r="F247" s="1934"/>
      <c r="G247" s="1934"/>
      <c r="H247" s="1934"/>
      <c r="I247" s="1934"/>
      <c r="J247" s="1934"/>
      <c r="K247" s="1934"/>
      <c r="L247" s="1934"/>
      <c r="M247" s="1934"/>
      <c r="N247" s="1934"/>
    </row>
    <row r="248" spans="1:15" s="1265" customFormat="1" ht="18.75" hidden="1">
      <c r="A248" s="1287"/>
      <c r="B248" s="1287"/>
      <c r="C248" s="1287"/>
      <c r="D248" s="1287"/>
      <c r="E248" s="1287"/>
      <c r="F248" s="1287"/>
      <c r="G248" s="1287"/>
      <c r="H248" s="1287"/>
      <c r="I248" s="1287"/>
      <c r="J248" s="1287"/>
      <c r="K248" s="1287"/>
      <c r="L248" s="1287"/>
      <c r="M248" s="1287"/>
      <c r="N248" s="1287"/>
    </row>
    <row r="249" spans="1:15" s="1265" customFormat="1" hidden="1">
      <c r="A249" s="1934" t="s">
        <v>1548</v>
      </c>
      <c r="B249" s="1934"/>
      <c r="C249" s="1934"/>
      <c r="D249" s="1934"/>
      <c r="E249" s="1934"/>
      <c r="F249" s="1934"/>
      <c r="G249" s="1934"/>
      <c r="H249" s="1934"/>
      <c r="I249" s="1934"/>
      <c r="J249" s="1934"/>
      <c r="K249" s="1934"/>
      <c r="L249" s="1934"/>
      <c r="M249" s="1934"/>
    </row>
    <row r="250" spans="1:15" s="1265" customFormat="1" hidden="1">
      <c r="A250" s="1265" t="s">
        <v>1549</v>
      </c>
      <c r="K250" s="719"/>
      <c r="L250" s="1265" t="s">
        <v>214</v>
      </c>
      <c r="M250" s="719"/>
    </row>
    <row r="251" spans="1:15" s="1265" customFormat="1" hidden="1">
      <c r="M251" s="1267" t="s">
        <v>4197</v>
      </c>
      <c r="N251" s="1267" t="s">
        <v>4198</v>
      </c>
      <c r="O251" s="1267" t="s">
        <v>4199</v>
      </c>
    </row>
    <row r="252" spans="1:15" s="1265" customFormat="1" ht="30.75" hidden="1" customHeight="1">
      <c r="A252" s="1266" t="s">
        <v>5865</v>
      </c>
      <c r="B252" s="1274" t="s">
        <v>1550</v>
      </c>
      <c r="C252" s="1266" t="s">
        <v>1551</v>
      </c>
      <c r="D252" s="1266">
        <v>25</v>
      </c>
      <c r="E252" s="1266">
        <v>50</v>
      </c>
      <c r="F252" s="1266">
        <v>100</v>
      </c>
      <c r="G252" s="1266">
        <v>200</v>
      </c>
      <c r="H252" s="1266">
        <v>500</v>
      </c>
      <c r="I252" s="1266">
        <v>1000</v>
      </c>
      <c r="J252" s="1266">
        <v>2000</v>
      </c>
      <c r="K252" s="1266">
        <v>5000</v>
      </c>
      <c r="L252" s="1266" t="s">
        <v>1552</v>
      </c>
      <c r="M252" s="1266">
        <f>$C$9</f>
        <v>7.1443528540000001</v>
      </c>
      <c r="N252" s="1266">
        <f>IF(M252&lt;D252,15,IF(M252&gt;L252,L252,HLOOKUP(M252,D252:L252,1)))</f>
        <v>15</v>
      </c>
      <c r="O252" s="1266">
        <f>IF(M252&lt;15,15,IF(M252&lt;25,25,IF(M252&gt;L252,L252,INDEX(D252:L252,MATCH(M252,D252:L252,1)+1))))</f>
        <v>15</v>
      </c>
    </row>
    <row r="253" spans="1:15" s="1265" customFormat="1" hidden="1">
      <c r="A253" s="1269">
        <v>1</v>
      </c>
      <c r="B253" s="727" t="s">
        <v>6379</v>
      </c>
      <c r="C253" s="1288">
        <v>1.9E-2</v>
      </c>
      <c r="D253" s="1288">
        <v>1.7000000000000001E-2</v>
      </c>
      <c r="E253" s="1288">
        <v>1.4999999999999999E-2</v>
      </c>
      <c r="F253" s="1288">
        <v>1.2500000000000001E-2</v>
      </c>
      <c r="G253" s="1288">
        <v>0.01</v>
      </c>
      <c r="H253" s="1288">
        <v>7.4999999999999997E-3</v>
      </c>
      <c r="I253" s="1288">
        <v>4.7000000000000002E-3</v>
      </c>
      <c r="J253" s="1288">
        <v>2.5000000000000001E-3</v>
      </c>
      <c r="K253" s="1288">
        <v>2E-3</v>
      </c>
      <c r="L253" s="1288">
        <v>1E-3</v>
      </c>
      <c r="M253" s="1271">
        <f>IF(O$252=N$252,N253,ROUND(N253-((N253-O253)/(O$252-N$252))*(M$252-N$252),3))</f>
        <v>1.9E-2</v>
      </c>
      <c r="N253" s="1271">
        <f>IF(N$252=15,C253,HLOOKUP($N$252,$D$252:$L$253,2,TRUE))</f>
        <v>1.9E-2</v>
      </c>
      <c r="O253" s="1271">
        <f>IF(O$252=15,C253,HLOOKUP($O$252,$D$252:$L$253,2,TRUE))</f>
        <v>1.9E-2</v>
      </c>
    </row>
    <row r="254" spans="1:15" s="1265" customFormat="1" hidden="1">
      <c r="A254" s="1265" t="s">
        <v>1553</v>
      </c>
    </row>
    <row r="255" spans="1:15" s="1265" customFormat="1" hidden="1"/>
    <row r="256" spans="1:15" s="1265" customFormat="1" hidden="1">
      <c r="A256" s="1934" t="s">
        <v>1554</v>
      </c>
      <c r="B256" s="1934"/>
      <c r="C256" s="1934"/>
      <c r="D256" s="1934"/>
      <c r="E256" s="1934"/>
      <c r="F256" s="1934"/>
      <c r="G256" s="1934"/>
      <c r="H256" s="1934"/>
      <c r="I256" s="1934"/>
      <c r="J256" s="1934"/>
      <c r="K256" s="1934"/>
      <c r="L256" s="1934"/>
      <c r="M256" s="1934"/>
      <c r="N256" s="1934"/>
    </row>
    <row r="257" spans="1:14" s="1265" customFormat="1" hidden="1">
      <c r="A257" s="1934" t="s">
        <v>1555</v>
      </c>
      <c r="B257" s="1934"/>
      <c r="C257" s="1934"/>
      <c r="D257" s="1934"/>
      <c r="E257" s="1934"/>
      <c r="F257" s="1934"/>
      <c r="G257" s="1934"/>
      <c r="H257" s="1934"/>
      <c r="I257" s="1934"/>
      <c r="J257" s="1934"/>
      <c r="K257" s="1934"/>
      <c r="L257" s="1934"/>
      <c r="M257" s="1934"/>
      <c r="N257" s="1934"/>
    </row>
    <row r="258" spans="1:14" s="1265" customFormat="1" hidden="1"/>
    <row r="259" spans="1:14" s="1265" customFormat="1" hidden="1">
      <c r="A259" s="1934" t="s">
        <v>1556</v>
      </c>
      <c r="B259" s="1934"/>
      <c r="C259" s="1934"/>
      <c r="D259" s="1934"/>
      <c r="E259" s="1934"/>
      <c r="F259" s="1934"/>
      <c r="G259" s="1934"/>
      <c r="H259" s="1934"/>
      <c r="I259" s="1934"/>
      <c r="J259" s="1934"/>
      <c r="K259" s="1934"/>
      <c r="L259" s="1934"/>
      <c r="M259" s="1934"/>
    </row>
    <row r="260" spans="1:14" s="1265" customFormat="1" hidden="1">
      <c r="A260" s="1265" t="s">
        <v>1557</v>
      </c>
      <c r="I260" s="1265" t="s">
        <v>214</v>
      </c>
      <c r="K260" s="719"/>
      <c r="M260" s="719"/>
    </row>
    <row r="261" spans="1:14" s="1265" customFormat="1" hidden="1">
      <c r="J261" s="1267" t="s">
        <v>4197</v>
      </c>
      <c r="K261" s="1267" t="s">
        <v>4198</v>
      </c>
      <c r="L261" s="1267" t="s">
        <v>4199</v>
      </c>
    </row>
    <row r="262" spans="1:14" s="1265" customFormat="1" ht="30.75" hidden="1" customHeight="1">
      <c r="A262" s="1266" t="s">
        <v>5865</v>
      </c>
      <c r="B262" s="1274" t="s">
        <v>1558</v>
      </c>
      <c r="C262" s="1266" t="s">
        <v>1559</v>
      </c>
      <c r="D262" s="1266">
        <v>10</v>
      </c>
      <c r="E262" s="1266">
        <v>50</v>
      </c>
      <c r="F262" s="1266">
        <v>100</v>
      </c>
      <c r="G262" s="1266">
        <v>500</v>
      </c>
      <c r="H262" s="1266">
        <v>1000</v>
      </c>
      <c r="I262" s="1266" t="s">
        <v>1560</v>
      </c>
      <c r="J262" s="1266">
        <f>$C$9</f>
        <v>7.1443528540000001</v>
      </c>
      <c r="K262" s="1266">
        <f>IF(J262&lt;D262,5,IF(J262&gt;I262,I262,HLOOKUP(J262,D262:I262,1)))</f>
        <v>5</v>
      </c>
      <c r="L262" s="1266">
        <f>IF(J262&lt;5,5,IF(J262&lt;10,10,IF(J262&gt;I262,I262,INDEX(D262:I262,MATCH(J262,D262:I262,1)+1))))</f>
        <v>10</v>
      </c>
      <c r="M262" s="1289"/>
      <c r="N262" s="1284"/>
    </row>
    <row r="263" spans="1:14" s="1265" customFormat="1" hidden="1">
      <c r="A263" s="1269">
        <v>1</v>
      </c>
      <c r="B263" s="727" t="s">
        <v>1561</v>
      </c>
      <c r="C263" s="1270">
        <v>0.38</v>
      </c>
      <c r="D263" s="1270">
        <v>0.26</v>
      </c>
      <c r="E263" s="1270">
        <v>0.19</v>
      </c>
      <c r="F263" s="1270">
        <v>0.15</v>
      </c>
      <c r="G263" s="1270">
        <v>0.09</v>
      </c>
      <c r="H263" s="1270">
        <v>0.06</v>
      </c>
      <c r="I263" s="1270">
        <v>3.2000000000000001E-2</v>
      </c>
      <c r="J263" s="1271">
        <f>IF(L$262=K$262,K263,ROUND(K263-((K263-L263)/(L$262-K$262))*(J$262-K$262),3))</f>
        <v>0.32900000000000001</v>
      </c>
      <c r="K263" s="1271">
        <f>IF(K$262=5,C263,HLOOKUP($K$262,$D$262:$I$263,2,TRUE))</f>
        <v>0.38</v>
      </c>
      <c r="L263" s="1271">
        <f>IF(L$262=5,C263,HLOOKUP($L$262,$D$262:$I$263,2,TRUE))</f>
        <v>0.26</v>
      </c>
      <c r="M263" s="1286"/>
      <c r="N263" s="1286"/>
    </row>
    <row r="264" spans="1:14" s="1265" customFormat="1" hidden="1">
      <c r="A264" s="1290" t="s">
        <v>4078</v>
      </c>
    </row>
    <row r="265" spans="1:14" s="1265" customFormat="1" hidden="1"/>
    <row r="266" spans="1:14" s="1265" customFormat="1" hidden="1">
      <c r="A266" s="1934" t="s">
        <v>4079</v>
      </c>
      <c r="B266" s="1934"/>
      <c r="C266" s="1934"/>
      <c r="D266" s="1934"/>
      <c r="E266" s="1934"/>
      <c r="F266" s="1934"/>
      <c r="G266" s="1934"/>
      <c r="H266" s="1934"/>
      <c r="I266" s="1934"/>
      <c r="J266" s="1934"/>
      <c r="K266" s="1934"/>
      <c r="L266" s="1934"/>
      <c r="M266" s="1934"/>
    </row>
    <row r="267" spans="1:14" s="1265" customFormat="1" hidden="1">
      <c r="A267" s="1265" t="s">
        <v>4080</v>
      </c>
      <c r="I267" s="1265" t="s">
        <v>214</v>
      </c>
      <c r="K267" s="719"/>
      <c r="M267" s="719"/>
    </row>
    <row r="268" spans="1:14" s="1265" customFormat="1" hidden="1">
      <c r="J268" s="1267" t="s">
        <v>4197</v>
      </c>
      <c r="K268" s="1267" t="s">
        <v>4198</v>
      </c>
      <c r="L268" s="1267" t="s">
        <v>4199</v>
      </c>
    </row>
    <row r="269" spans="1:14" s="1265" customFormat="1" ht="30.75" hidden="1" customHeight="1">
      <c r="A269" s="1266" t="s">
        <v>5865</v>
      </c>
      <c r="B269" s="1274" t="s">
        <v>1558</v>
      </c>
      <c r="C269" s="1266" t="s">
        <v>1559</v>
      </c>
      <c r="D269" s="1266">
        <v>10</v>
      </c>
      <c r="E269" s="1266">
        <v>50</v>
      </c>
      <c r="F269" s="1266">
        <v>100</v>
      </c>
      <c r="G269" s="1266">
        <v>500</v>
      </c>
      <c r="H269" s="1266">
        <v>1000</v>
      </c>
      <c r="I269" s="1266" t="s">
        <v>1560</v>
      </c>
      <c r="J269" s="1266">
        <f>$C$9</f>
        <v>7.1443528540000001</v>
      </c>
      <c r="K269" s="1266">
        <f>IF(J269&lt;D269,5,IF(J269&gt;I269,I269,HLOOKUP(J269,D269:I269,1)))</f>
        <v>5</v>
      </c>
      <c r="L269" s="1266">
        <f>IF(J269&lt;5,5,IF(J269&lt;10,10,IF(J269&gt;I269,I269,INDEX(D269:I269,MATCH(J269,D269:I269,1)+1))))</f>
        <v>10</v>
      </c>
      <c r="M269" s="1289"/>
      <c r="N269" s="1284"/>
    </row>
    <row r="270" spans="1:14" s="1265" customFormat="1" hidden="1">
      <c r="A270" s="1269">
        <v>1</v>
      </c>
      <c r="B270" s="727" t="s">
        <v>4081</v>
      </c>
      <c r="C270" s="1270">
        <v>0.64</v>
      </c>
      <c r="D270" s="1270">
        <v>0.43</v>
      </c>
      <c r="E270" s="1270">
        <v>0.3</v>
      </c>
      <c r="F270" s="1270">
        <v>0.23</v>
      </c>
      <c r="G270" s="1270">
        <v>0.13</v>
      </c>
      <c r="H270" s="1270">
        <v>8.5999999999999993E-2</v>
      </c>
      <c r="I270" s="1270">
        <v>4.5999999999999999E-2</v>
      </c>
      <c r="J270" s="1271">
        <f>IF(L$269=K$269,K270,ROUND(K270-((K270-L270)/(L$269-K$269))*(J$269-K$269),3))</f>
        <v>0.55000000000000004</v>
      </c>
      <c r="K270" s="1271">
        <f>IF(K$269=5,C270,HLOOKUP($K$269,$D$269:$I$270,2,TRUE))</f>
        <v>0.64</v>
      </c>
      <c r="L270" s="1271">
        <f>IF(L$269=5,C270,HLOOKUP($L$269,$D$269:$I$270,2,TRUE))</f>
        <v>0.43</v>
      </c>
    </row>
    <row r="271" spans="1:14" s="1265" customFormat="1" hidden="1">
      <c r="A271" s="1290" t="s">
        <v>4082</v>
      </c>
    </row>
    <row r="272" spans="1:14" s="1265" customFormat="1" hidden="1"/>
    <row r="273" spans="1:15" s="1265" customFormat="1" hidden="1">
      <c r="A273" s="1934" t="s">
        <v>4083</v>
      </c>
      <c r="B273" s="1934"/>
      <c r="C273" s="1934"/>
      <c r="D273" s="1934"/>
      <c r="E273" s="1934"/>
      <c r="F273" s="1934"/>
      <c r="G273" s="1934"/>
      <c r="H273" s="1934"/>
      <c r="I273" s="1934"/>
      <c r="J273" s="1934"/>
      <c r="K273" s="1934"/>
      <c r="L273" s="1934"/>
      <c r="M273" s="1934"/>
      <c r="N273" s="1934"/>
    </row>
    <row r="274" spans="1:15" s="1265" customFormat="1" hidden="1">
      <c r="A274" s="1934" t="s">
        <v>4084</v>
      </c>
      <c r="B274" s="1934"/>
      <c r="C274" s="1934"/>
      <c r="D274" s="1934"/>
      <c r="E274" s="1934"/>
      <c r="F274" s="1934"/>
      <c r="G274" s="1934"/>
      <c r="H274" s="1934"/>
      <c r="I274" s="1934"/>
      <c r="J274" s="1934"/>
      <c r="K274" s="1934"/>
      <c r="L274" s="1934"/>
      <c r="M274" s="1934"/>
      <c r="N274" s="1934"/>
    </row>
    <row r="275" spans="1:15" s="1265" customFormat="1" hidden="1"/>
    <row r="276" spans="1:15" s="1265" customFormat="1" hidden="1">
      <c r="A276" s="1934"/>
      <c r="B276" s="1934"/>
      <c r="C276" s="1934"/>
      <c r="D276" s="1934"/>
      <c r="E276" s="1934"/>
      <c r="F276" s="1934"/>
      <c r="G276" s="1934"/>
      <c r="H276" s="1934"/>
      <c r="I276" s="1934"/>
      <c r="J276" s="1934"/>
      <c r="K276" s="1934"/>
      <c r="L276" s="1934"/>
      <c r="M276" s="1934"/>
      <c r="N276" s="1934"/>
      <c r="O276" s="1934"/>
    </row>
    <row r="277" spans="1:15" s="1265" customFormat="1" hidden="1">
      <c r="A277" s="1934" t="s">
        <v>1577</v>
      </c>
      <c r="B277" s="1934"/>
      <c r="C277" s="1264"/>
      <c r="D277" s="1264"/>
      <c r="E277" s="1264"/>
      <c r="F277" s="1264"/>
      <c r="G277" s="1264"/>
      <c r="H277" s="1264"/>
      <c r="I277" s="1264"/>
      <c r="J277" s="1264"/>
      <c r="K277" s="1264"/>
      <c r="L277" s="1264"/>
      <c r="M277" s="1264"/>
      <c r="N277" s="1264"/>
      <c r="O277" s="1264"/>
    </row>
    <row r="278" spans="1:15" s="1265" customFormat="1" hidden="1">
      <c r="I278" s="1934" t="s">
        <v>212</v>
      </c>
      <c r="J278" s="1934"/>
      <c r="K278" s="1934"/>
      <c r="L278" s="1934"/>
      <c r="M278" s="719"/>
      <c r="N278" s="719"/>
    </row>
    <row r="279" spans="1:15" s="1265" customFormat="1" hidden="1">
      <c r="A279" s="1265" t="s">
        <v>1578</v>
      </c>
      <c r="K279" s="1265" t="s">
        <v>214</v>
      </c>
    </row>
    <row r="280" spans="1:15" s="1265" customFormat="1" ht="33" hidden="1" customHeight="1">
      <c r="A280" s="1934" t="s">
        <v>5865</v>
      </c>
      <c r="B280" s="1934" t="s">
        <v>215</v>
      </c>
      <c r="C280" s="1934" t="s">
        <v>1579</v>
      </c>
      <c r="D280" s="1934"/>
      <c r="E280" s="1934"/>
      <c r="F280" s="1934"/>
      <c r="G280" s="1934"/>
      <c r="H280" s="1934"/>
      <c r="I280" s="1934"/>
      <c r="J280" s="1934"/>
      <c r="K280" s="1934"/>
      <c r="L280" s="1267" t="s">
        <v>4197</v>
      </c>
      <c r="M280" s="1267" t="s">
        <v>4198</v>
      </c>
      <c r="N280" s="1267" t="s">
        <v>4199</v>
      </c>
    </row>
    <row r="281" spans="1:15" s="1265" customFormat="1" hidden="1">
      <c r="A281" s="1934"/>
      <c r="B281" s="1934"/>
      <c r="C281" s="1266" t="s">
        <v>1755</v>
      </c>
      <c r="D281" s="1266">
        <v>50</v>
      </c>
      <c r="E281" s="1266">
        <v>100</v>
      </c>
      <c r="F281" s="1266">
        <v>200</v>
      </c>
      <c r="G281" s="1266">
        <v>500</v>
      </c>
      <c r="H281" s="1268">
        <v>1000</v>
      </c>
      <c r="I281" s="1268">
        <v>2000</v>
      </c>
      <c r="J281" s="1268">
        <v>5000</v>
      </c>
      <c r="K281" s="1268">
        <v>8000</v>
      </c>
      <c r="L281" s="1267">
        <f>$C$4</f>
        <v>5.0097428219999998</v>
      </c>
      <c r="M281" s="1267">
        <f>IF(L281&lt;D281,15,IF(L281&gt;K281,K281,HLOOKUP(L281,D281:K281,1)))</f>
        <v>15</v>
      </c>
      <c r="N281" s="1267">
        <f>IF(L281&lt;15,15,IF(L281&lt;50,50,IF(L281&gt;K281,K281,INDEX(D281:K281,MATCH(L281,D281:K281,1)+1))))</f>
        <v>15</v>
      </c>
    </row>
    <row r="282" spans="1:15" s="1265" customFormat="1" ht="30.75" hidden="1" customHeight="1">
      <c r="A282" s="1934" t="s">
        <v>1580</v>
      </c>
      <c r="B282" s="1934"/>
      <c r="C282" s="1934"/>
      <c r="D282" s="1934"/>
      <c r="E282" s="1934"/>
      <c r="F282" s="1934"/>
      <c r="G282" s="1934"/>
      <c r="H282" s="1934"/>
      <c r="I282" s="1934"/>
      <c r="J282" s="1934"/>
      <c r="K282" s="1934"/>
      <c r="L282" s="727"/>
      <c r="M282" s="727"/>
      <c r="N282" s="727"/>
    </row>
    <row r="283" spans="1:15" s="1265" customFormat="1" hidden="1">
      <c r="A283" s="1269" t="s">
        <v>1581</v>
      </c>
      <c r="B283" s="727" t="s">
        <v>4201</v>
      </c>
      <c r="C283" s="1270">
        <v>0.16500000000000001</v>
      </c>
      <c r="D283" s="1270">
        <v>0.11</v>
      </c>
      <c r="E283" s="1270">
        <v>8.5000000000000006E-2</v>
      </c>
      <c r="F283" s="1270">
        <v>6.5000000000000002E-2</v>
      </c>
      <c r="G283" s="1270">
        <v>0.05</v>
      </c>
      <c r="H283" s="1270">
        <v>4.1000000000000002E-2</v>
      </c>
      <c r="I283" s="1270">
        <v>2.9000000000000001E-2</v>
      </c>
      <c r="J283" s="1270">
        <v>2.1999999999999999E-2</v>
      </c>
      <c r="K283" s="1270">
        <v>1.9E-2</v>
      </c>
      <c r="L283" s="1271">
        <f>IF(N$281=M$281,M283,ROUND(M283-((M283-N283)/(N$281-M$281))*(L$281-M$281),3))</f>
        <v>0.16500000000000001</v>
      </c>
      <c r="M283" s="1271">
        <f>IF(M$281=15,C283,HLOOKUP($M$281,$D$281:$K$299,3,TRUE))</f>
        <v>0.16500000000000001</v>
      </c>
      <c r="N283" s="1271">
        <f>IF(N$281=15,C283,HLOOKUP($N$281,$D$281:$K$299,3,TRUE))</f>
        <v>0.16500000000000001</v>
      </c>
    </row>
    <row r="284" spans="1:15" s="1265" customFormat="1" hidden="1">
      <c r="A284" s="1269" t="s">
        <v>2624</v>
      </c>
      <c r="B284" s="727" t="s">
        <v>4202</v>
      </c>
      <c r="C284" s="1270">
        <v>0.19</v>
      </c>
      <c r="D284" s="1270">
        <v>0.126</v>
      </c>
      <c r="E284" s="1270">
        <v>9.7000000000000003E-2</v>
      </c>
      <c r="F284" s="1270">
        <v>7.4999999999999997E-2</v>
      </c>
      <c r="G284" s="1270">
        <v>5.8000000000000003E-2</v>
      </c>
      <c r="H284" s="1270">
        <v>4.3999999999999997E-2</v>
      </c>
      <c r="I284" s="1270">
        <v>3.5000000000000003E-2</v>
      </c>
      <c r="J284" s="1270">
        <v>2.5999999999999999E-2</v>
      </c>
      <c r="K284" s="1270">
        <v>2.1999999999999999E-2</v>
      </c>
      <c r="L284" s="1271">
        <f>IF(N$281=M$281,M284,ROUND(M284-((M284-N284)/(N$281-M$281))*(L$281-M$281),3))</f>
        <v>0.19</v>
      </c>
      <c r="M284" s="1271">
        <f>IF(M$281=15,C284,HLOOKUP($M$281,$D$281:$K$299,4,TRUE))</f>
        <v>0.19</v>
      </c>
      <c r="N284" s="1271">
        <f>IF(N$281=15,C284,HLOOKUP($N$281,$D$281:$K$299,4,TRUE))</f>
        <v>0.19</v>
      </c>
    </row>
    <row r="285" spans="1:15" s="1265" customFormat="1" hidden="1">
      <c r="A285" s="1269" t="s">
        <v>5503</v>
      </c>
      <c r="B285" s="727" t="s">
        <v>4203</v>
      </c>
      <c r="C285" s="1270">
        <v>0.109</v>
      </c>
      <c r="D285" s="1270">
        <v>7.1999999999999995E-2</v>
      </c>
      <c r="E285" s="1270">
        <v>5.5E-2</v>
      </c>
      <c r="F285" s="1270">
        <v>4.2999999999999997E-2</v>
      </c>
      <c r="G285" s="1270">
        <v>3.3000000000000002E-2</v>
      </c>
      <c r="H285" s="1270">
        <v>2.5000000000000001E-2</v>
      </c>
      <c r="I285" s="1270">
        <v>2.1000000000000001E-2</v>
      </c>
      <c r="J285" s="1270">
        <v>1.6E-2</v>
      </c>
      <c r="K285" s="1270">
        <v>1.4E-2</v>
      </c>
      <c r="L285" s="1271">
        <f>IF(N$281=M$281,M285,ROUND(M285-((M285-N285)/(N$281-M$281))*(L$281-M$281),3))</f>
        <v>0.109</v>
      </c>
      <c r="M285" s="1271">
        <f>IF(M$281=15,C285,HLOOKUP($M$281,$D$281:$K$299,5,TRUE))</f>
        <v>0.109</v>
      </c>
      <c r="N285" s="1271">
        <f>IF(N$281=15,C285,HLOOKUP($N$281,$D$281:$K$299,5,TRUE))</f>
        <v>0.109</v>
      </c>
    </row>
    <row r="286" spans="1:15" s="1265" customFormat="1" ht="30" hidden="1">
      <c r="A286" s="1269" t="s">
        <v>1582</v>
      </c>
      <c r="B286" s="1291" t="s">
        <v>4204</v>
      </c>
      <c r="C286" s="1270">
        <v>0.121</v>
      </c>
      <c r="D286" s="1270">
        <v>0.08</v>
      </c>
      <c r="E286" s="1270">
        <v>6.0999999999999999E-2</v>
      </c>
      <c r="F286" s="1270">
        <v>4.8000000000000001E-2</v>
      </c>
      <c r="G286" s="1270">
        <v>3.6999999999999998E-2</v>
      </c>
      <c r="H286" s="1270">
        <v>2.8000000000000001E-2</v>
      </c>
      <c r="I286" s="1270">
        <v>2.3E-2</v>
      </c>
      <c r="J286" s="1270">
        <v>1.7000000000000001E-2</v>
      </c>
      <c r="K286" s="1270">
        <v>1.4999999999999999E-2</v>
      </c>
      <c r="L286" s="1271">
        <f>IF(N$281=M$281,M286,ROUND(M286-((M286-N286)/(N$281-M$281))*(L$281-M$281),3))</f>
        <v>0.121</v>
      </c>
      <c r="M286" s="1271">
        <f>IF(M$281=15,C286,HLOOKUP($M$281,$D$281:$K$299,6,TRUE))</f>
        <v>0.121</v>
      </c>
      <c r="N286" s="1271">
        <f>IF(N$281=15,C286,HLOOKUP($N$281,$D$281:$K$299,6,TRUE))</f>
        <v>0.121</v>
      </c>
    </row>
    <row r="287" spans="1:15" s="1265" customFormat="1" hidden="1">
      <c r="A287" s="1269" t="s">
        <v>1583</v>
      </c>
      <c r="B287" s="727" t="s">
        <v>4205</v>
      </c>
      <c r="C287" s="1270">
        <v>0.126</v>
      </c>
      <c r="D287" s="1270">
        <v>8.5000000000000006E-2</v>
      </c>
      <c r="E287" s="1270">
        <v>6.5000000000000002E-2</v>
      </c>
      <c r="F287" s="1270">
        <v>0.05</v>
      </c>
      <c r="G287" s="1270">
        <v>3.9E-2</v>
      </c>
      <c r="H287" s="1270">
        <v>0.03</v>
      </c>
      <c r="I287" s="1270">
        <v>2.5999999999999999E-2</v>
      </c>
      <c r="J287" s="1270">
        <v>1.9E-2</v>
      </c>
      <c r="K287" s="1270">
        <v>1.7000000000000001E-2</v>
      </c>
      <c r="L287" s="1271">
        <f>IF(N$281=M$281,M287,ROUND(M287-((M287-N287)/(N$281-M$281))*(L$281-M$281),3))</f>
        <v>0.126</v>
      </c>
      <c r="M287" s="1271">
        <f>IF(M$281=15,C287,HLOOKUP($M$281,$D$281:$K$299,7,TRUE))</f>
        <v>0.126</v>
      </c>
      <c r="N287" s="1271">
        <f>IF(N$281=15,C287,HLOOKUP($N$281,$D$281:$K$299,7,TRUE))</f>
        <v>0.126</v>
      </c>
    </row>
    <row r="288" spans="1:15" s="1265" customFormat="1" ht="31.5" hidden="1" customHeight="1">
      <c r="A288" s="1934" t="s">
        <v>326</v>
      </c>
      <c r="B288" s="1934"/>
      <c r="C288" s="1934"/>
      <c r="D288" s="1934"/>
      <c r="E288" s="1934"/>
      <c r="F288" s="1934"/>
      <c r="G288" s="1934"/>
      <c r="H288" s="1934"/>
      <c r="I288" s="1934"/>
      <c r="J288" s="1934"/>
      <c r="K288" s="1934"/>
      <c r="L288" s="727"/>
      <c r="M288" s="727"/>
      <c r="N288" s="727"/>
    </row>
    <row r="289" spans="1:15" s="1265" customFormat="1" hidden="1">
      <c r="A289" s="1269" t="s">
        <v>327</v>
      </c>
      <c r="B289" s="727" t="s">
        <v>4201</v>
      </c>
      <c r="C289" s="1288">
        <v>4.9500000000000002E-2</v>
      </c>
      <c r="D289" s="1288">
        <v>3.3000000000000002E-2</v>
      </c>
      <c r="E289" s="1288">
        <v>2.5499999999999998E-2</v>
      </c>
      <c r="F289" s="1288">
        <v>1.95E-2</v>
      </c>
      <c r="G289" s="1288">
        <v>1.4999999999999999E-2</v>
      </c>
      <c r="H289" s="1288">
        <v>1.23E-2</v>
      </c>
      <c r="I289" s="1288">
        <v>8.6999999999999994E-3</v>
      </c>
      <c r="J289" s="1288">
        <v>6.6E-3</v>
      </c>
      <c r="K289" s="1288">
        <v>5.7000000000000002E-3</v>
      </c>
      <c r="L289" s="1292">
        <f>IF(N$281=M$281,M289,ROUND(M289-((M289-N289)/(N$281-M$281))*(L$281-M$281),4))</f>
        <v>4.9500000000000002E-2</v>
      </c>
      <c r="M289" s="1292">
        <f>IF(M$281=15,C289,HLOOKUP($M$281,$D$281:$K$299,9,TRUE))</f>
        <v>4.9500000000000002E-2</v>
      </c>
      <c r="N289" s="1292">
        <f>IF(N$281=15,C289,HLOOKUP($N$281,$D$281:$K$299,9,TRUE))</f>
        <v>4.9500000000000002E-2</v>
      </c>
    </row>
    <row r="290" spans="1:15" s="1265" customFormat="1" hidden="1">
      <c r="A290" s="1269" t="s">
        <v>1323</v>
      </c>
      <c r="B290" s="727" t="s">
        <v>4202</v>
      </c>
      <c r="C290" s="1288">
        <v>5.7000000000000002E-2</v>
      </c>
      <c r="D290" s="1288">
        <v>3.78E-2</v>
      </c>
      <c r="E290" s="1288">
        <v>2.9100000000000001E-2</v>
      </c>
      <c r="F290" s="1288">
        <v>2.5499999999999998E-2</v>
      </c>
      <c r="G290" s="1288">
        <v>1.7399999999999999E-2</v>
      </c>
      <c r="H290" s="1288">
        <v>1.32E-2</v>
      </c>
      <c r="I290" s="1288">
        <v>1.0500000000000001E-2</v>
      </c>
      <c r="J290" s="1288">
        <v>7.7999999999999996E-3</v>
      </c>
      <c r="K290" s="1288">
        <v>6.6E-3</v>
      </c>
      <c r="L290" s="1292">
        <f>IF(N$281=M$281,M290,ROUND(M290-((M290-N290)/(N$281-M$281))*(L$281-M$281),4))</f>
        <v>5.7000000000000002E-2</v>
      </c>
      <c r="M290" s="1292">
        <f>IF(M$281=15,C290,HLOOKUP($M$281,$D$281:$K$299,10,TRUE))</f>
        <v>5.7000000000000002E-2</v>
      </c>
      <c r="N290" s="1292">
        <f>IF(N$281=15,C290,HLOOKUP($N$281,$D$281:$K$299,10,TRUE))</f>
        <v>5.7000000000000002E-2</v>
      </c>
    </row>
    <row r="291" spans="1:15" s="1265" customFormat="1" hidden="1">
      <c r="A291" s="1269" t="s">
        <v>1317</v>
      </c>
      <c r="B291" s="727" t="s">
        <v>4203</v>
      </c>
      <c r="C291" s="1288">
        <v>3.27E-2</v>
      </c>
      <c r="D291" s="1288">
        <v>2.1600000000000001E-2</v>
      </c>
      <c r="E291" s="1288">
        <v>1.6500000000000001E-2</v>
      </c>
      <c r="F291" s="1288">
        <v>1.29E-2</v>
      </c>
      <c r="G291" s="1288">
        <v>9.9000000000000008E-3</v>
      </c>
      <c r="H291" s="1288">
        <v>7.4999999999999997E-3</v>
      </c>
      <c r="I291" s="1288">
        <v>6.3E-3</v>
      </c>
      <c r="J291" s="1288">
        <v>4.7999999999999996E-3</v>
      </c>
      <c r="K291" s="1288">
        <v>4.1999999999999997E-3</v>
      </c>
      <c r="L291" s="1292">
        <f>IF(N$281=M$281,M291,ROUND(M291-((M291-N291)/(N$281-M$281))*(L$281-M$281),4))</f>
        <v>3.27E-2</v>
      </c>
      <c r="M291" s="1292">
        <f>IF(M$281=15,C291,HLOOKUP($M$281,$D$281:$K$299,11,TRUE))</f>
        <v>3.27E-2</v>
      </c>
      <c r="N291" s="1292">
        <f>IF(N$281=15,C291,HLOOKUP($N$281,$D$281:$K$299,11,TRUE))</f>
        <v>3.27E-2</v>
      </c>
    </row>
    <row r="292" spans="1:15" s="1265" customFormat="1" ht="30" hidden="1">
      <c r="A292" s="1269" t="s">
        <v>328</v>
      </c>
      <c r="B292" s="1291" t="s">
        <v>4204</v>
      </c>
      <c r="C292" s="1288">
        <v>3.6299999999999999E-2</v>
      </c>
      <c r="D292" s="1288">
        <v>2.4E-2</v>
      </c>
      <c r="E292" s="1288">
        <v>1.83E-2</v>
      </c>
      <c r="F292" s="1288">
        <v>1.44E-2</v>
      </c>
      <c r="G292" s="1288">
        <v>1.11E-2</v>
      </c>
      <c r="H292" s="1288">
        <v>8.3999999999999995E-3</v>
      </c>
      <c r="I292" s="1288">
        <v>6.8999999999999999E-3</v>
      </c>
      <c r="J292" s="1288">
        <v>5.1000000000000004E-3</v>
      </c>
      <c r="K292" s="1288">
        <v>4.3E-3</v>
      </c>
      <c r="L292" s="1292">
        <f>IF(N$281=M$281,M292,ROUND(M292-((M292-N292)/(N$281-M$281))*(L$281-M$281),4))</f>
        <v>3.6299999999999999E-2</v>
      </c>
      <c r="M292" s="1292">
        <f>IF(M$281=15,C292,HLOOKUP($M$281,$D$281:$K$299,12,TRUE))</f>
        <v>3.6299999999999999E-2</v>
      </c>
      <c r="N292" s="1292">
        <f>IF(N$281=15,C292,HLOOKUP($N$281,$D$281:$K$299,12,TRUE))</f>
        <v>3.6299999999999999E-2</v>
      </c>
    </row>
    <row r="293" spans="1:15" s="1265" customFormat="1" hidden="1">
      <c r="A293" s="1269" t="s">
        <v>329</v>
      </c>
      <c r="B293" s="727" t="s">
        <v>4205</v>
      </c>
      <c r="C293" s="1288">
        <v>3.78E-2</v>
      </c>
      <c r="D293" s="1288">
        <v>2.5499999999999998E-2</v>
      </c>
      <c r="E293" s="1288">
        <v>1.95E-2</v>
      </c>
      <c r="F293" s="1288">
        <v>1.4999999999999999E-2</v>
      </c>
      <c r="G293" s="1288">
        <v>1.17E-2</v>
      </c>
      <c r="H293" s="1288">
        <v>8.9999999999999993E-3</v>
      </c>
      <c r="I293" s="1288">
        <v>7.8E-2</v>
      </c>
      <c r="J293" s="1288">
        <v>5.7000000000000002E-3</v>
      </c>
      <c r="K293" s="1288">
        <v>5.1000000000000004E-3</v>
      </c>
      <c r="L293" s="1292">
        <f>IF(N$281=M$281,M293,ROUND(M293-((M293-N293)/(N$281-M$281))*(L$281-M$281),4))</f>
        <v>3.78E-2</v>
      </c>
      <c r="M293" s="1292">
        <f>IF(M$281=15,C293,HLOOKUP($M$281,$D$281:$K$299,13,TRUE))</f>
        <v>3.78E-2</v>
      </c>
      <c r="N293" s="1292">
        <f>IF(N$281=15,C293,HLOOKUP($N$281,$D$281:$K$299,13,TRUE))</f>
        <v>3.78E-2</v>
      </c>
    </row>
    <row r="294" spans="1:15" s="1265" customFormat="1" hidden="1">
      <c r="A294" s="1934" t="s">
        <v>330</v>
      </c>
      <c r="B294" s="1934"/>
      <c r="C294" s="1934"/>
      <c r="D294" s="1934"/>
      <c r="E294" s="1934"/>
      <c r="F294" s="1934"/>
      <c r="G294" s="1934"/>
      <c r="H294" s="1934"/>
      <c r="I294" s="1934"/>
      <c r="J294" s="1934"/>
      <c r="K294" s="1934"/>
      <c r="L294" s="727"/>
      <c r="M294" s="727"/>
      <c r="N294" s="727"/>
    </row>
    <row r="295" spans="1:15" s="1265" customFormat="1" hidden="1">
      <c r="A295" s="1269" t="s">
        <v>331</v>
      </c>
      <c r="B295" s="727" t="s">
        <v>4201</v>
      </c>
      <c r="C295" s="1270">
        <v>9.9000000000000005E-2</v>
      </c>
      <c r="D295" s="1270">
        <v>6.6000000000000003E-2</v>
      </c>
      <c r="E295" s="1270">
        <v>5.0999999999999997E-2</v>
      </c>
      <c r="F295" s="1270">
        <v>3.9E-2</v>
      </c>
      <c r="G295" s="1270">
        <v>0.03</v>
      </c>
      <c r="H295" s="1270">
        <v>2.4E-2</v>
      </c>
      <c r="I295" s="1270">
        <v>1.7000000000000001E-2</v>
      </c>
      <c r="J295" s="1270">
        <v>1.2999999999999999E-2</v>
      </c>
      <c r="K295" s="1270">
        <v>1.2E-2</v>
      </c>
      <c r="L295" s="1292">
        <f>IF(N$281=M$281,M295,ROUND(M295-((M295-N295)/(N$281-M$281))*(L$281-M$281),4))</f>
        <v>9.9000000000000005E-2</v>
      </c>
      <c r="M295" s="1292">
        <f>IF(M$281=15,C295,HLOOKUP($M$281,$D$281:$K$299,15,TRUE))</f>
        <v>9.9000000000000005E-2</v>
      </c>
      <c r="N295" s="1292">
        <f>IF(N$281=15,C295,HLOOKUP($N$281,$D$281:$K$299,15,TRUE))</f>
        <v>9.9000000000000005E-2</v>
      </c>
    </row>
    <row r="296" spans="1:15" s="1265" customFormat="1" hidden="1">
      <c r="A296" s="1269" t="s">
        <v>1335</v>
      </c>
      <c r="B296" s="727" t="s">
        <v>4202</v>
      </c>
      <c r="C296" s="1270">
        <v>0.114</v>
      </c>
      <c r="D296" s="1270">
        <v>7.5999999999999998E-2</v>
      </c>
      <c r="E296" s="1270">
        <v>5.8000000000000003E-2</v>
      </c>
      <c r="F296" s="1270">
        <v>4.4999999999999998E-2</v>
      </c>
      <c r="G296" s="1270">
        <v>3.5000000000000003E-2</v>
      </c>
      <c r="H296" s="1270">
        <v>2.5999999999999999E-2</v>
      </c>
      <c r="I296" s="1270">
        <v>2.1000000000000001E-2</v>
      </c>
      <c r="J296" s="1270">
        <v>1.6E-2</v>
      </c>
      <c r="K296" s="1270">
        <v>1.2999999999999999E-2</v>
      </c>
      <c r="L296" s="1292">
        <f>IF(N$281=M$281,M296,ROUND(M296-((M296-N296)/(N$281-M$281))*(L$281-M$281),4))</f>
        <v>0.114</v>
      </c>
      <c r="M296" s="1292">
        <f>IF(M$281=15,C296,HLOOKUP($M$281,$D$281:$K$299,16,TRUE))</f>
        <v>0.114</v>
      </c>
      <c r="N296" s="1292">
        <f>IF(N$281=15,C296,HLOOKUP($N$281,$D$281:$K$299,16,TRUE))</f>
        <v>0.114</v>
      </c>
    </row>
    <row r="297" spans="1:15" s="1265" customFormat="1" hidden="1">
      <c r="A297" s="1269" t="s">
        <v>1329</v>
      </c>
      <c r="B297" s="727" t="s">
        <v>4203</v>
      </c>
      <c r="C297" s="1270">
        <v>6.5000000000000002E-2</v>
      </c>
      <c r="D297" s="1270">
        <v>4.2999999999999997E-2</v>
      </c>
      <c r="E297" s="1270">
        <v>3.3000000000000002E-2</v>
      </c>
      <c r="F297" s="1270">
        <v>2.5999999999999999E-2</v>
      </c>
      <c r="G297" s="1270">
        <v>0.02</v>
      </c>
      <c r="H297" s="1270">
        <v>1.4999999999999999E-2</v>
      </c>
      <c r="I297" s="1270">
        <v>1.2E-2</v>
      </c>
      <c r="J297" s="1270">
        <v>0.01</v>
      </c>
      <c r="K297" s="1270">
        <v>8.0000000000000002E-3</v>
      </c>
      <c r="L297" s="1292">
        <f>IF(N$281=M$281,M297,ROUND(M297-((M297-N297)/(N$281-M$281))*(L$281-M$281),4))</f>
        <v>6.5000000000000002E-2</v>
      </c>
      <c r="M297" s="1292">
        <f>IF(M$281=15,C297,HLOOKUP($M$281,$D$281:$K$299,17,TRUE))</f>
        <v>6.5000000000000002E-2</v>
      </c>
      <c r="N297" s="1292">
        <f>IF(N$281=15,C297,HLOOKUP($N$281,$D$281:$K$299,17,TRUE))</f>
        <v>6.5000000000000002E-2</v>
      </c>
    </row>
    <row r="298" spans="1:15" s="1265" customFormat="1" ht="30" hidden="1">
      <c r="A298" s="1269" t="s">
        <v>332</v>
      </c>
      <c r="B298" s="1291" t="s">
        <v>4204</v>
      </c>
      <c r="C298" s="1270">
        <v>7.1999999999999995E-2</v>
      </c>
      <c r="D298" s="1270">
        <v>4.8000000000000001E-2</v>
      </c>
      <c r="E298" s="1270">
        <v>3.5999999999999997E-2</v>
      </c>
      <c r="F298" s="1270">
        <v>2.9000000000000001E-2</v>
      </c>
      <c r="G298" s="1270">
        <v>2.1999999999999999E-2</v>
      </c>
      <c r="H298" s="1270">
        <v>1.7000000000000001E-2</v>
      </c>
      <c r="I298" s="1270">
        <v>1.4E-2</v>
      </c>
      <c r="J298" s="1270">
        <v>0.01</v>
      </c>
      <c r="K298" s="1270">
        <v>8.9999999999999993E-3</v>
      </c>
      <c r="L298" s="1292">
        <f>IF(N$281=M$281,M298,ROUND(M298-((M298-N298)/(N$281-M$281))*(L$281-M$281),4))</f>
        <v>7.1999999999999995E-2</v>
      </c>
      <c r="M298" s="1292">
        <f>IF(M$281=15,C298,HLOOKUP($M$281,$D$281:$K$299,18,TRUE))</f>
        <v>7.1999999999999995E-2</v>
      </c>
      <c r="N298" s="1292">
        <f>IF(N$281=15,C298,HLOOKUP($N$281,$D$281:$K$299,18,TRUE))</f>
        <v>7.1999999999999995E-2</v>
      </c>
    </row>
    <row r="299" spans="1:15" s="1265" customFormat="1" hidden="1">
      <c r="A299" s="1269" t="s">
        <v>333</v>
      </c>
      <c r="B299" s="727" t="s">
        <v>4205</v>
      </c>
      <c r="C299" s="1270">
        <v>7.5999999999999998E-2</v>
      </c>
      <c r="D299" s="1270">
        <v>5.0999999999999997E-2</v>
      </c>
      <c r="E299" s="1270">
        <v>3.9E-2</v>
      </c>
      <c r="F299" s="1270">
        <v>0.03</v>
      </c>
      <c r="G299" s="1270">
        <v>2.4E-2</v>
      </c>
      <c r="H299" s="1270">
        <v>1.7999999999999999E-2</v>
      </c>
      <c r="I299" s="1270">
        <v>1.6E-2</v>
      </c>
      <c r="J299" s="1270">
        <v>1.2E-2</v>
      </c>
      <c r="K299" s="1270">
        <v>0.01</v>
      </c>
      <c r="L299" s="1292">
        <f>IF(N$281=M$281,M299,ROUND(M299-((M299-N299)/(N$281-M$281))*(L$281-M$281),4))</f>
        <v>7.5999999999999998E-2</v>
      </c>
      <c r="M299" s="1292">
        <f>IF(M$281=15,C299,HLOOKUP($M$281,$D$281:$K$299,19,TRUE))</f>
        <v>7.5999999999999998E-2</v>
      </c>
      <c r="N299" s="1292">
        <f>IF(N$281=15,C299,HLOOKUP($N$281,$D$281:$K$299,19,TRUE))</f>
        <v>7.5999999999999998E-2</v>
      </c>
    </row>
    <row r="300" spans="1:15" s="1265" customFormat="1" hidden="1">
      <c r="A300" s="1265" t="s">
        <v>334</v>
      </c>
      <c r="L300" s="1271">
        <f>IF(N$281=M$281,M300,ROUND(M300-((M300-N300)/(N$281-M$281))*(L$281-M$281),3))</f>
        <v>0</v>
      </c>
      <c r="M300" s="1271">
        <f>IF(M$281=15,C300,HLOOKUP($M$281,$D$281:$K$287,6,TRUE))</f>
        <v>0</v>
      </c>
    </row>
    <row r="301" spans="1:15" s="1265" customFormat="1" hidden="1"/>
    <row r="302" spans="1:15" s="1265" customFormat="1" hidden="1">
      <c r="A302" s="1934" t="s">
        <v>335</v>
      </c>
      <c r="B302" s="1934"/>
      <c r="C302" s="1264"/>
      <c r="D302" s="1264"/>
      <c r="E302" s="1264"/>
      <c r="F302" s="1264"/>
      <c r="G302" s="1264"/>
      <c r="H302" s="1264"/>
      <c r="I302" s="1264"/>
      <c r="J302" s="1264"/>
      <c r="K302" s="1264"/>
      <c r="L302" s="1264"/>
      <c r="M302" s="1264"/>
      <c r="N302" s="1264"/>
      <c r="O302" s="1264"/>
    </row>
    <row r="303" spans="1:15" s="1265" customFormat="1" hidden="1">
      <c r="I303" s="1934" t="s">
        <v>212</v>
      </c>
      <c r="J303" s="1934"/>
      <c r="K303" s="1934"/>
      <c r="L303" s="1934"/>
      <c r="M303" s="719"/>
      <c r="N303" s="719"/>
    </row>
    <row r="304" spans="1:15" s="1265" customFormat="1" hidden="1">
      <c r="A304" s="1265" t="s">
        <v>336</v>
      </c>
      <c r="K304" s="1265" t="s">
        <v>214</v>
      </c>
    </row>
    <row r="305" spans="1:14" s="1265" customFormat="1" ht="33" hidden="1" customHeight="1">
      <c r="A305" s="1934" t="s">
        <v>5865</v>
      </c>
      <c r="B305" s="1934" t="s">
        <v>215</v>
      </c>
      <c r="C305" s="1934" t="s">
        <v>1579</v>
      </c>
      <c r="D305" s="1934"/>
      <c r="E305" s="1934"/>
      <c r="F305" s="1934"/>
      <c r="G305" s="1934"/>
      <c r="H305" s="1934"/>
      <c r="I305" s="1934"/>
      <c r="J305" s="1934"/>
      <c r="K305" s="1934"/>
      <c r="L305" s="1267" t="s">
        <v>4197</v>
      </c>
      <c r="M305" s="1267" t="s">
        <v>4198</v>
      </c>
      <c r="N305" s="1267" t="s">
        <v>4199</v>
      </c>
    </row>
    <row r="306" spans="1:14" s="1265" customFormat="1" hidden="1">
      <c r="A306" s="1934"/>
      <c r="B306" s="1934"/>
      <c r="C306" s="1266" t="s">
        <v>1755</v>
      </c>
      <c r="D306" s="1266">
        <v>50</v>
      </c>
      <c r="E306" s="1266">
        <v>100</v>
      </c>
      <c r="F306" s="1266">
        <v>200</v>
      </c>
      <c r="G306" s="1266">
        <v>500</v>
      </c>
      <c r="H306" s="1268">
        <v>1000</v>
      </c>
      <c r="I306" s="1268">
        <v>2000</v>
      </c>
      <c r="J306" s="1268">
        <v>5000</v>
      </c>
      <c r="K306" s="1268">
        <v>8000</v>
      </c>
      <c r="L306" s="1267">
        <f>$C$4</f>
        <v>5.0097428219999998</v>
      </c>
      <c r="M306" s="1267">
        <f>IF(L306&lt;D306,15,IF(L306&gt;K306,K306,HLOOKUP(L306,D306:K306,1)))</f>
        <v>15</v>
      </c>
      <c r="N306" s="1267">
        <f>IF(L306&lt;15,15,IF(L306&lt;50,50,IF(L306&gt;K306,K306,INDEX(D306:K306,MATCH(L306,D306:K306,1)+1))))</f>
        <v>15</v>
      </c>
    </row>
    <row r="307" spans="1:14" s="1265" customFormat="1" ht="32.25" hidden="1" customHeight="1">
      <c r="A307" s="1934" t="s">
        <v>1580</v>
      </c>
      <c r="B307" s="1934"/>
      <c r="C307" s="1934"/>
      <c r="D307" s="1934"/>
      <c r="E307" s="1934"/>
      <c r="F307" s="1934"/>
      <c r="G307" s="1934"/>
      <c r="H307" s="1934"/>
      <c r="I307" s="1934"/>
      <c r="J307" s="1934"/>
      <c r="K307" s="1934"/>
      <c r="L307" s="727"/>
      <c r="M307" s="727"/>
      <c r="N307" s="727"/>
    </row>
    <row r="308" spans="1:14" s="1265" customFormat="1" hidden="1">
      <c r="A308" s="1269" t="s">
        <v>1581</v>
      </c>
      <c r="B308" s="727" t="s">
        <v>4201</v>
      </c>
      <c r="C308" s="1270">
        <v>0.16</v>
      </c>
      <c r="D308" s="1270">
        <v>0.106</v>
      </c>
      <c r="E308" s="1270">
        <v>8.3000000000000004E-2</v>
      </c>
      <c r="F308" s="1270">
        <v>6.2E-2</v>
      </c>
      <c r="G308" s="1270">
        <v>4.5999999999999999E-2</v>
      </c>
      <c r="H308" s="1270">
        <v>3.7999999999999999E-2</v>
      </c>
      <c r="I308" s="1270">
        <v>2.8000000000000001E-2</v>
      </c>
      <c r="J308" s="1270">
        <v>2.1000000000000001E-2</v>
      </c>
      <c r="K308" s="1270">
        <v>1.7999999999999999E-2</v>
      </c>
      <c r="L308" s="1271">
        <f>IF(N$306=M$306,M308,ROUND(M308-((M308-N308)/(N$306-M$306))*(L$306-M$306),3))</f>
        <v>0.16</v>
      </c>
      <c r="M308" s="1271">
        <f>IF(M$306=15,C308,HLOOKUP($M$306,$D$306:$K$318,3,TRUE))</f>
        <v>0.16</v>
      </c>
      <c r="N308" s="1271">
        <f>IF(N$306=15,C308,HLOOKUP($N$306,$D$306:$K$318,3,TRUE))</f>
        <v>0.16</v>
      </c>
    </row>
    <row r="309" spans="1:14" s="1265" customFormat="1" hidden="1">
      <c r="A309" s="1269" t="s">
        <v>2624</v>
      </c>
      <c r="B309" s="727" t="s">
        <v>4202</v>
      </c>
      <c r="C309" s="1270">
        <v>0.185</v>
      </c>
      <c r="D309" s="1270">
        <v>0.121</v>
      </c>
      <c r="E309" s="1270">
        <v>9.4E-2</v>
      </c>
      <c r="F309" s="1270">
        <v>7.1999999999999995E-2</v>
      </c>
      <c r="G309" s="1270">
        <v>5.5E-2</v>
      </c>
      <c r="H309" s="1270">
        <v>4.1000000000000002E-2</v>
      </c>
      <c r="I309" s="1270">
        <v>3.3000000000000002E-2</v>
      </c>
      <c r="J309" s="1270">
        <v>2.3E-2</v>
      </c>
      <c r="K309" s="1270">
        <v>0.02</v>
      </c>
      <c r="L309" s="1271">
        <f>IF(N$306=M$306,M309,ROUND(M309-((M309-N309)/(N$306-M$306))*(L$306-M$306),3))</f>
        <v>0.185</v>
      </c>
      <c r="M309" s="1271">
        <f>IF(M$306=15,C309,HLOOKUP($M$306,$D$306:$K$318,4,TRUE))</f>
        <v>0.185</v>
      </c>
      <c r="N309" s="1271">
        <f>IF(N$306=15,C309,HLOOKUP($N$306,$D$306:$K$318,4,TRUE))</f>
        <v>0.185</v>
      </c>
    </row>
    <row r="310" spans="1:14" s="1265" customFormat="1" hidden="1">
      <c r="A310" s="1269" t="s">
        <v>5503</v>
      </c>
      <c r="B310" s="727" t="s">
        <v>4203</v>
      </c>
      <c r="C310" s="1270">
        <v>0.106</v>
      </c>
      <c r="D310" s="1270">
        <v>6.8000000000000005E-2</v>
      </c>
      <c r="E310" s="1270">
        <v>5.3999999999999999E-2</v>
      </c>
      <c r="F310" s="1270">
        <v>4.1000000000000002E-2</v>
      </c>
      <c r="G310" s="1270">
        <v>3.1E-2</v>
      </c>
      <c r="H310" s="1270">
        <v>2.4E-2</v>
      </c>
      <c r="I310" s="1270">
        <v>0.02</v>
      </c>
      <c r="J310" s="1270">
        <v>1.4E-2</v>
      </c>
      <c r="K310" s="1270">
        <v>1.2E-2</v>
      </c>
      <c r="L310" s="1271">
        <f>IF(N$306=M$306,M310,ROUND(M310-((M310-N310)/(N$306-M$306))*(L$306-M$306),3))</f>
        <v>0.106</v>
      </c>
      <c r="M310" s="1271">
        <f>IF(M$306=15,C310,HLOOKUP($M$306,$D$306:$K$318,5,TRUE))</f>
        <v>0.106</v>
      </c>
      <c r="N310" s="1271">
        <f>IF(N$306=15,C310,HLOOKUP($N$306,$D$306:$K$318,5,TRUE))</f>
        <v>0.106</v>
      </c>
    </row>
    <row r="311" spans="1:14" s="1265" customFormat="1" ht="30" hidden="1">
      <c r="A311" s="1269" t="s">
        <v>1582</v>
      </c>
      <c r="B311" s="1291" t="s">
        <v>4204</v>
      </c>
      <c r="C311" s="1270">
        <v>0.11700000000000001</v>
      </c>
      <c r="D311" s="1270">
        <v>7.5999999999999998E-2</v>
      </c>
      <c r="E311" s="1270">
        <v>0.06</v>
      </c>
      <c r="F311" s="1270">
        <v>4.5999999999999999E-2</v>
      </c>
      <c r="G311" s="1270">
        <v>3.5000000000000003E-2</v>
      </c>
      <c r="H311" s="1270">
        <v>2.5999999999999999E-2</v>
      </c>
      <c r="I311" s="1270">
        <v>2.1999999999999999E-2</v>
      </c>
      <c r="J311" s="1270">
        <v>1.6E-2</v>
      </c>
      <c r="K311" s="1270">
        <v>1.4E-2</v>
      </c>
      <c r="L311" s="1270">
        <f>IF(N$306=M$306,M311,ROUND(M311-((M311-N311)/(N$306-M$306))*(L$306-M$306),3))</f>
        <v>0.11700000000000001</v>
      </c>
      <c r="M311" s="1271">
        <f>IF(M$306=15,C311,HLOOKUP($M$306,$D$306:$K$318,6,TRUE))</f>
        <v>0.11700000000000001</v>
      </c>
      <c r="N311" s="1271">
        <f>IF(N$306=15,C311,HLOOKUP($N$306,$D$306:$K$318,6,TRUE))</f>
        <v>0.11700000000000001</v>
      </c>
    </row>
    <row r="312" spans="1:14" s="1265" customFormat="1" hidden="1">
      <c r="A312" s="1269" t="s">
        <v>1583</v>
      </c>
      <c r="B312" s="727" t="s">
        <v>4205</v>
      </c>
      <c r="C312" s="1270">
        <v>0.122</v>
      </c>
      <c r="D312" s="1270">
        <v>8.2000000000000003E-2</v>
      </c>
      <c r="E312" s="1270">
        <v>6.2E-2</v>
      </c>
      <c r="F312" s="1270">
        <v>4.7E-2</v>
      </c>
      <c r="G312" s="1270">
        <v>3.6999999999999998E-2</v>
      </c>
      <c r="H312" s="1270">
        <v>2.9000000000000001E-2</v>
      </c>
      <c r="I312" s="1270">
        <v>2.4E-2</v>
      </c>
      <c r="J312" s="1270">
        <v>1.7000000000000001E-2</v>
      </c>
      <c r="K312" s="1270">
        <v>1.4999999999999999E-2</v>
      </c>
      <c r="L312" s="1271">
        <f>IF(N$306=M$306,M312,ROUND(M312-((M312-N312)/(N$306-M$306))*(L$306-M$306),3))</f>
        <v>0.122</v>
      </c>
      <c r="M312" s="1271">
        <f>IF(M$306=15,C312,HLOOKUP($M$306,$D$306:$K$318,7,TRUE))</f>
        <v>0.122</v>
      </c>
      <c r="N312" s="1271">
        <f>IF(N$306=15,C312,HLOOKUP($N$306,$D$306:$K$318,7,TRUE))</f>
        <v>0.122</v>
      </c>
    </row>
    <row r="313" spans="1:14" s="1265" customFormat="1" ht="33.75" hidden="1" customHeight="1">
      <c r="A313" s="1934" t="s">
        <v>326</v>
      </c>
      <c r="B313" s="1934"/>
      <c r="C313" s="1934"/>
      <c r="D313" s="1934"/>
      <c r="E313" s="1934"/>
      <c r="F313" s="1934"/>
      <c r="G313" s="1934"/>
      <c r="H313" s="1934"/>
      <c r="I313" s="1934"/>
      <c r="J313" s="1934"/>
      <c r="K313" s="1934"/>
      <c r="L313" s="727"/>
      <c r="M313" s="727"/>
      <c r="N313" s="727"/>
    </row>
    <row r="314" spans="1:14" s="1265" customFormat="1" hidden="1">
      <c r="A314" s="1269" t="s">
        <v>327</v>
      </c>
      <c r="B314" s="727" t="s">
        <v>4201</v>
      </c>
      <c r="C314" s="1288">
        <v>4.8000000000000001E-2</v>
      </c>
      <c r="D314" s="1288">
        <v>3.1800000000000002E-2</v>
      </c>
      <c r="E314" s="1288">
        <v>2.4899999999999999E-2</v>
      </c>
      <c r="F314" s="1288">
        <v>1.8599999999999998E-2</v>
      </c>
      <c r="G314" s="1288">
        <v>1.38E-2</v>
      </c>
      <c r="H314" s="1288">
        <v>1.14E-2</v>
      </c>
      <c r="I314" s="1288">
        <v>8.3999999999999995E-3</v>
      </c>
      <c r="J314" s="1288">
        <v>6.3E-3</v>
      </c>
      <c r="K314" s="1288">
        <v>5.4000000000000003E-3</v>
      </c>
      <c r="L314" s="1292">
        <f>IF(N$306=M$306,M314,ROUND(M314-((M314-N314)/(N$306-M$306))*(L$306-M$306),4))</f>
        <v>4.8000000000000001E-2</v>
      </c>
      <c r="M314" s="1292">
        <f>IF(M$306=15,C314,HLOOKUP($M$306,$D$306:$K$318,9,TRUE))</f>
        <v>4.8000000000000001E-2</v>
      </c>
      <c r="N314" s="1292">
        <f>IF(N$306=15,C314,HLOOKUP($N$306,$D$306:$K$318,9,TRUE))</f>
        <v>4.8000000000000001E-2</v>
      </c>
    </row>
    <row r="315" spans="1:14" s="1265" customFormat="1" hidden="1">
      <c r="A315" s="1269" t="s">
        <v>1323</v>
      </c>
      <c r="B315" s="727" t="s">
        <v>4202</v>
      </c>
      <c r="C315" s="1288">
        <v>5.5500000000000001E-2</v>
      </c>
      <c r="D315" s="1288">
        <v>3.6299999999999999E-2</v>
      </c>
      <c r="E315" s="1288">
        <v>2.8199999999999999E-2</v>
      </c>
      <c r="F315" s="1288">
        <v>2.1600000000000001E-2</v>
      </c>
      <c r="G315" s="1288">
        <v>1.6500000000000001E-2</v>
      </c>
      <c r="H315" s="1288">
        <v>1.23E-2</v>
      </c>
      <c r="I315" s="1288">
        <v>9.9000000000000008E-3</v>
      </c>
      <c r="J315" s="1288">
        <v>6.8999999999999999E-3</v>
      </c>
      <c r="K315" s="1288">
        <v>6.0000000000000001E-3</v>
      </c>
      <c r="L315" s="1292">
        <f>IF(N$306=M$306,M315,ROUND(M315-((M315-N315)/(N$306-M$306))*(L$306-M$306),4))</f>
        <v>5.5500000000000001E-2</v>
      </c>
      <c r="M315" s="1292">
        <f>IF(M$306=15,C315,HLOOKUP($M$306,$D$306:$K$318,10,TRUE))</f>
        <v>5.5500000000000001E-2</v>
      </c>
      <c r="N315" s="1292">
        <f>IF(N$306=15,C315,HLOOKUP($N$306,$D$306:$K$318,10,TRUE))</f>
        <v>5.5500000000000001E-2</v>
      </c>
    </row>
    <row r="316" spans="1:14" s="1265" customFormat="1" hidden="1">
      <c r="A316" s="1269" t="s">
        <v>1317</v>
      </c>
      <c r="B316" s="727" t="s">
        <v>4203</v>
      </c>
      <c r="C316" s="1288">
        <v>3.1800000000000002E-2</v>
      </c>
      <c r="D316" s="1288">
        <v>2.0400000000000001E-2</v>
      </c>
      <c r="E316" s="1288">
        <v>1.6199999999999999E-2</v>
      </c>
      <c r="F316" s="1288">
        <v>1.23E-2</v>
      </c>
      <c r="G316" s="1288">
        <v>9.2999999999999992E-3</v>
      </c>
      <c r="H316" s="1288">
        <v>7.1999999999999998E-3</v>
      </c>
      <c r="I316" s="1288">
        <v>6.0000000000000001E-3</v>
      </c>
      <c r="J316" s="1288">
        <v>4.1999999999999997E-3</v>
      </c>
      <c r="K316" s="1288">
        <v>3.5999999999999999E-3</v>
      </c>
      <c r="L316" s="1292">
        <f>IF(N$306=M$306,M316,ROUND(M316-((M316-N316)/(N$306-M$306))*(L$306-M$306),4))</f>
        <v>3.1800000000000002E-2</v>
      </c>
      <c r="M316" s="1292">
        <f>IF(M$306=15,C316,HLOOKUP($M$306,$D$306:$K$318,11,TRUE))</f>
        <v>3.1800000000000002E-2</v>
      </c>
      <c r="N316" s="1292">
        <f>IF(N$306=15,C316,HLOOKUP($N$306,$D$306:$K$318,11,TRUE))</f>
        <v>3.1800000000000002E-2</v>
      </c>
    </row>
    <row r="317" spans="1:14" s="1265" customFormat="1" ht="30" hidden="1">
      <c r="A317" s="1269" t="s">
        <v>328</v>
      </c>
      <c r="B317" s="1291" t="s">
        <v>4204</v>
      </c>
      <c r="C317" s="1288">
        <v>3.5099999999999999E-2</v>
      </c>
      <c r="D317" s="1288">
        <v>2.2800000000000001E-2</v>
      </c>
      <c r="E317" s="1288">
        <v>1.7999999999999999E-2</v>
      </c>
      <c r="F317" s="1288">
        <v>1.38E-2</v>
      </c>
      <c r="G317" s="1288">
        <v>1.0500000000000001E-2</v>
      </c>
      <c r="H317" s="1288">
        <v>7.7999999999999996E-3</v>
      </c>
      <c r="I317" s="1288">
        <v>6.6E-3</v>
      </c>
      <c r="J317" s="1288">
        <v>4.7999999999999996E-3</v>
      </c>
      <c r="K317" s="1288">
        <v>4.1999999999999997E-3</v>
      </c>
      <c r="L317" s="1292">
        <f>IF(N$306=M$306,M317,ROUND(M317-((M317-N317)/(N$306-M$306))*(L$306-M$306),4))</f>
        <v>3.5099999999999999E-2</v>
      </c>
      <c r="M317" s="1292">
        <f>IF(M$306=15,C317,HLOOKUP($M$306,$D$306:$K$318,12,TRUE))</f>
        <v>3.5099999999999999E-2</v>
      </c>
      <c r="N317" s="1292">
        <f>IF(N$306=15,C317,HLOOKUP($N$306,$D$306:$K$318,12,TRUE))</f>
        <v>3.5099999999999999E-2</v>
      </c>
    </row>
    <row r="318" spans="1:14" s="1265" customFormat="1" hidden="1">
      <c r="A318" s="1269" t="s">
        <v>329</v>
      </c>
      <c r="B318" s="727" t="s">
        <v>4205</v>
      </c>
      <c r="C318" s="1288">
        <v>3.6600000000000001E-2</v>
      </c>
      <c r="D318" s="1288">
        <v>2.46E-2</v>
      </c>
      <c r="E318" s="1288">
        <v>1.8599999999999998E-2</v>
      </c>
      <c r="F318" s="1288">
        <v>1.41E-2</v>
      </c>
      <c r="G318" s="1288">
        <v>1.11E-2</v>
      </c>
      <c r="H318" s="1288">
        <v>8.6999999999999994E-3</v>
      </c>
      <c r="I318" s="1288">
        <v>7.1999999999999998E-3</v>
      </c>
      <c r="J318" s="1288">
        <v>5.1000000000000004E-3</v>
      </c>
      <c r="K318" s="1288">
        <v>4.3E-3</v>
      </c>
      <c r="L318" s="1292">
        <f>IF(N$306=M$306,M318,ROUND(M318-((M318-N318)/(N$306-M$306))*(L$306-M$306),4))</f>
        <v>3.6600000000000001E-2</v>
      </c>
      <c r="M318" s="1292">
        <f>IF(M$306=15,C318,HLOOKUP($M$306,$D$306:$K$318,13,TRUE))</f>
        <v>3.6600000000000001E-2</v>
      </c>
      <c r="N318" s="1292">
        <f>IF(N$306=15,C318,HLOOKUP($N$306,$D$306:$K$318,13,TRUE))</f>
        <v>3.6600000000000001E-2</v>
      </c>
    </row>
    <row r="319" spans="1:14" s="1265" customFormat="1" hidden="1">
      <c r="A319" s="1265" t="s">
        <v>2953</v>
      </c>
      <c r="M319" s="1271">
        <f>IF(M$306=15,C319,HLOOKUP($M$306,$D$306:$K$318,2,TRUE))</f>
        <v>0</v>
      </c>
    </row>
    <row r="320" spans="1:14" s="1265" customFormat="1" hidden="1"/>
    <row r="321" spans="1:15" s="1265" customFormat="1" hidden="1">
      <c r="A321" s="1934" t="s">
        <v>2954</v>
      </c>
      <c r="B321" s="1934"/>
      <c r="C321" s="1934"/>
      <c r="D321" s="1934"/>
      <c r="E321" s="1934"/>
      <c r="F321" s="1934"/>
      <c r="G321" s="1934"/>
      <c r="H321" s="1934"/>
      <c r="I321" s="1934"/>
      <c r="J321" s="1934"/>
      <c r="K321" s="1934"/>
      <c r="L321" s="1934"/>
      <c r="M321" s="1934"/>
      <c r="N321" s="1934"/>
    </row>
    <row r="322" spans="1:15" s="1265" customFormat="1" hidden="1">
      <c r="A322" s="1934" t="s">
        <v>2955</v>
      </c>
      <c r="B322" s="1934"/>
      <c r="C322" s="1934"/>
      <c r="D322" s="1934"/>
      <c r="E322" s="1934"/>
      <c r="F322" s="1934"/>
      <c r="G322" s="1934"/>
      <c r="H322" s="1934"/>
      <c r="I322" s="1934"/>
      <c r="J322" s="1934"/>
      <c r="K322" s="1934"/>
      <c r="L322" s="1934"/>
      <c r="M322" s="1934"/>
      <c r="N322" s="1934"/>
    </row>
    <row r="323" spans="1:15" s="1265" customFormat="1" hidden="1"/>
    <row r="324" spans="1:15" s="1265" customFormat="1" hidden="1">
      <c r="A324" s="1934"/>
      <c r="B324" s="1934"/>
      <c r="C324" s="1934"/>
      <c r="D324" s="1934"/>
      <c r="E324" s="1934"/>
      <c r="F324" s="1934"/>
      <c r="G324" s="1934"/>
      <c r="H324" s="1934"/>
      <c r="I324" s="1934"/>
      <c r="J324" s="1934"/>
      <c r="K324" s="1934"/>
      <c r="L324" s="1934"/>
      <c r="M324" s="1934"/>
      <c r="N324" s="1934"/>
      <c r="O324" s="1934"/>
    </row>
    <row r="325" spans="1:15" s="1265" customFormat="1" hidden="1">
      <c r="A325" s="1934" t="s">
        <v>1635</v>
      </c>
      <c r="B325" s="1934"/>
      <c r="C325" s="1934"/>
      <c r="D325" s="1934"/>
      <c r="E325" s="1934"/>
      <c r="F325" s="1934"/>
      <c r="G325" s="1934"/>
      <c r="H325" s="1934"/>
      <c r="I325" s="1934"/>
      <c r="J325" s="1934"/>
      <c r="K325" s="1934"/>
      <c r="L325" s="1934"/>
      <c r="M325" s="1934"/>
      <c r="N325" s="1934"/>
      <c r="O325" s="1264"/>
    </row>
    <row r="326" spans="1:15" s="1265" customFormat="1" hidden="1">
      <c r="I326" s="1934" t="s">
        <v>212</v>
      </c>
      <c r="J326" s="1934"/>
      <c r="K326" s="1934"/>
      <c r="L326" s="1934"/>
      <c r="M326" s="719"/>
      <c r="N326" s="719"/>
    </row>
    <row r="327" spans="1:15" s="1265" customFormat="1" hidden="1">
      <c r="A327" s="1265" t="s">
        <v>1636</v>
      </c>
      <c r="I327" s="1265" t="s">
        <v>214</v>
      </c>
    </row>
    <row r="328" spans="1:15" s="1265" customFormat="1" ht="46.5" hidden="1" customHeight="1">
      <c r="A328" s="1934" t="s">
        <v>5865</v>
      </c>
      <c r="B328" s="1934" t="s">
        <v>215</v>
      </c>
      <c r="C328" s="1934" t="s">
        <v>1637</v>
      </c>
      <c r="D328" s="1934"/>
      <c r="E328" s="1934"/>
      <c r="F328" s="1934"/>
      <c r="G328" s="1934"/>
      <c r="H328" s="1934"/>
      <c r="I328" s="1934"/>
      <c r="J328" s="1267" t="s">
        <v>4197</v>
      </c>
      <c r="K328" s="1267" t="s">
        <v>4198</v>
      </c>
      <c r="L328" s="1267" t="s">
        <v>4199</v>
      </c>
    </row>
    <row r="329" spans="1:15" s="1265" customFormat="1" hidden="1">
      <c r="A329" s="1934"/>
      <c r="B329" s="1934"/>
      <c r="C329" s="1266" t="s">
        <v>1551</v>
      </c>
      <c r="D329" s="1266">
        <v>50</v>
      </c>
      <c r="E329" s="1266">
        <v>100</v>
      </c>
      <c r="F329" s="1266">
        <v>500</v>
      </c>
      <c r="G329" s="1268">
        <v>1000</v>
      </c>
      <c r="H329" s="1268">
        <v>5000</v>
      </c>
      <c r="I329" s="1268" t="s">
        <v>1552</v>
      </c>
      <c r="J329" s="1266">
        <f>$C$10</f>
        <v>7.1443528540000001</v>
      </c>
      <c r="K329" s="1266">
        <f>IF(J329&lt;D329,15,IF(J329&gt;I329,I329,HLOOKUP(J329,D329:I329,1)))</f>
        <v>15</v>
      </c>
      <c r="L329" s="1266">
        <f>IF(J329&lt;15,15,IF(J329&lt;50,50,IF(J329&gt;I329,I329,INDEX(D329:I329,MATCH(J329,D329:I329,1)+1))))</f>
        <v>15</v>
      </c>
    </row>
    <row r="330" spans="1:15" s="1265" customFormat="1" hidden="1">
      <c r="A330" s="1269">
        <v>1</v>
      </c>
      <c r="B330" s="727" t="s">
        <v>4201</v>
      </c>
      <c r="C330" s="1293">
        <v>0.12278</v>
      </c>
      <c r="D330" s="1293">
        <v>5.4239999999999997E-2</v>
      </c>
      <c r="E330" s="1293">
        <v>3.7569999999999999E-2</v>
      </c>
      <c r="F330" s="1293">
        <v>9.5999999999999992E-3</v>
      </c>
      <c r="G330" s="1293">
        <v>5.9800000000000001E-3</v>
      </c>
      <c r="H330" s="1293">
        <v>1.4400000000000001E-3</v>
      </c>
      <c r="I330" s="1293">
        <v>7.6999999999999996E-4</v>
      </c>
      <c r="J330" s="1294">
        <f>IF(L$329=K$329,K330,ROUND(K330-((K330-L330)/(L$329-K$329))*(J$329-K$329),5))</f>
        <v>0.12278</v>
      </c>
      <c r="K330" s="1294">
        <f>IF(K$329=15,C330,HLOOKUP($K$329,$D$329:$I$333,2,TRUE))</f>
        <v>0.12278</v>
      </c>
      <c r="L330" s="1294">
        <f>IF(L$329=15,C330,HLOOKUP($L$329,$D$329:$I$333,2,TRUE))</f>
        <v>0.12278</v>
      </c>
    </row>
    <row r="331" spans="1:15" s="1265" customFormat="1" hidden="1">
      <c r="A331" s="1269">
        <v>2</v>
      </c>
      <c r="B331" s="727" t="s">
        <v>4202</v>
      </c>
      <c r="C331" s="1293">
        <v>0.11401</v>
      </c>
      <c r="D331" s="1293">
        <v>5.0369999999999998E-2</v>
      </c>
      <c r="E331" s="1293">
        <v>3.4889999999999997E-2</v>
      </c>
      <c r="F331" s="1293">
        <v>8.9200000000000008E-3</v>
      </c>
      <c r="G331" s="1293">
        <v>5.5500000000000002E-3</v>
      </c>
      <c r="H331" s="1293">
        <v>1.34E-3</v>
      </c>
      <c r="I331" s="1293">
        <v>7.2000000000000005E-4</v>
      </c>
      <c r="J331" s="1294">
        <f>IF(L$329=K$329,K331,ROUND(K331-((K331-L331)/(L$329-K$329))*(J$329-K$329),5))</f>
        <v>0.11401</v>
      </c>
      <c r="K331" s="1294">
        <f>IF(K$329=15,C331,HLOOKUP($K$329,$D$329:$I$333,3,TRUE))</f>
        <v>0.11401</v>
      </c>
      <c r="L331" s="1294">
        <f>IF(L$329=15,C331,HLOOKUP($L$329,$D$329:$I$333,3,TRUE))</f>
        <v>0.11401</v>
      </c>
    </row>
    <row r="332" spans="1:15" s="1265" customFormat="1" hidden="1">
      <c r="A332" s="1269">
        <v>3</v>
      </c>
      <c r="B332" s="727" t="s">
        <v>4203</v>
      </c>
      <c r="C332" s="1293">
        <v>9.647E-2</v>
      </c>
      <c r="D332" s="1293">
        <v>4.2619999999999998E-2</v>
      </c>
      <c r="E332" s="1293">
        <v>2.9520000000000001E-2</v>
      </c>
      <c r="F332" s="1293">
        <v>7.5500000000000003E-3</v>
      </c>
      <c r="G332" s="1293">
        <v>4.7000000000000002E-3</v>
      </c>
      <c r="H332" s="1293">
        <v>1.1299999999999999E-3</v>
      </c>
      <c r="I332" s="1293">
        <v>6.0999999999999997E-4</v>
      </c>
      <c r="J332" s="1294">
        <f>IF(L$329=K$329,K332,ROUND(K332-((K332-L332)/(L$329-K$329))*(J$329-K$329),5))</f>
        <v>9.647E-2</v>
      </c>
      <c r="K332" s="1294">
        <f>IF(K$329=15,C332,HLOOKUP($K$329,$D$329:$I$333,4,TRUE))</f>
        <v>9.647E-2</v>
      </c>
      <c r="L332" s="1294">
        <f>IF(L$329=15,C332,HLOOKUP($L$329,$D$329:$I$333,4,TRUE))</f>
        <v>9.647E-2</v>
      </c>
    </row>
    <row r="333" spans="1:15" s="1265" customFormat="1" hidden="1">
      <c r="A333" s="1269">
        <v>5</v>
      </c>
      <c r="B333" s="727" t="s">
        <v>4205</v>
      </c>
      <c r="C333" s="1293">
        <v>8.77E-2</v>
      </c>
      <c r="D333" s="1293">
        <v>3.8739999999999997E-2</v>
      </c>
      <c r="E333" s="1293">
        <v>2.6839999999999999E-2</v>
      </c>
      <c r="F333" s="1293">
        <v>6.8599999999999998E-3</v>
      </c>
      <c r="G333" s="1293">
        <v>4.2700000000000004E-3</v>
      </c>
      <c r="H333" s="1293">
        <v>1.0300000000000001E-3</v>
      </c>
      <c r="I333" s="1293">
        <v>5.5000000000000003E-4</v>
      </c>
      <c r="J333" s="1294">
        <f>IF(L$329=K$329,K333,ROUND(K333-((K333-L333)/(L$329-K$329))*(J$329-K$329),5))</f>
        <v>8.77E-2</v>
      </c>
      <c r="K333" s="1294">
        <f>IF(K$329=15,C333,HLOOKUP($K$329,$D$329:$I$333,5,TRUE))</f>
        <v>8.77E-2</v>
      </c>
      <c r="L333" s="1294">
        <f>IF(L$329=15,C333,HLOOKUP($L$329,$D$329:$I$333,5,TRUE))</f>
        <v>8.77E-2</v>
      </c>
    </row>
    <row r="334" spans="1:15" s="1265" customFormat="1" hidden="1">
      <c r="A334" s="1265" t="s">
        <v>1638</v>
      </c>
    </row>
    <row r="335" spans="1:15" s="1265" customFormat="1" hidden="1"/>
    <row r="336" spans="1:15" s="1265" customFormat="1">
      <c r="A336" s="1934" t="s">
        <v>1639</v>
      </c>
      <c r="B336" s="1934"/>
      <c r="C336" s="1934"/>
      <c r="D336" s="1934"/>
      <c r="E336" s="1934"/>
      <c r="F336" s="1934"/>
      <c r="G336" s="1934"/>
      <c r="H336" s="1934"/>
      <c r="I336" s="1934"/>
      <c r="J336" s="1934"/>
      <c r="K336" s="1934"/>
      <c r="L336" s="1934"/>
      <c r="M336" s="1934"/>
      <c r="N336" s="1934"/>
    </row>
    <row r="337" spans="1:14" s="1265" customFormat="1">
      <c r="A337" s="1934" t="s">
        <v>1555</v>
      </c>
      <c r="B337" s="1934"/>
      <c r="C337" s="1934"/>
      <c r="D337" s="1934"/>
      <c r="E337" s="1934"/>
      <c r="F337" s="1934"/>
      <c r="G337" s="1934"/>
      <c r="H337" s="1934"/>
      <c r="I337" s="1934"/>
      <c r="J337" s="1934"/>
      <c r="K337" s="1934"/>
      <c r="L337" s="1934"/>
      <c r="M337" s="1934"/>
      <c r="N337" s="1934"/>
    </row>
    <row r="338" spans="1:14" s="1265" customFormat="1"/>
    <row r="339" spans="1:14" s="1265" customFormat="1">
      <c r="A339" s="1934" t="s">
        <v>1556</v>
      </c>
      <c r="B339" s="1934"/>
      <c r="C339" s="1934"/>
      <c r="D339" s="1934"/>
      <c r="E339" s="1934"/>
      <c r="F339" s="1934"/>
      <c r="G339" s="1934"/>
      <c r="H339" s="1934"/>
      <c r="I339" s="1934"/>
      <c r="J339" s="1934"/>
      <c r="K339" s="1934"/>
      <c r="L339" s="1934"/>
      <c r="M339" s="1934"/>
    </row>
    <row r="340" spans="1:14" s="1265" customFormat="1" hidden="1">
      <c r="A340" s="1265" t="s">
        <v>1640</v>
      </c>
      <c r="I340" s="1265" t="s">
        <v>214</v>
      </c>
      <c r="K340" s="719"/>
      <c r="M340" s="719"/>
    </row>
    <row r="341" spans="1:14" s="1265" customFormat="1">
      <c r="J341" s="1267" t="s">
        <v>4197</v>
      </c>
      <c r="K341" s="1267" t="s">
        <v>4198</v>
      </c>
      <c r="L341" s="1267" t="s">
        <v>4199</v>
      </c>
    </row>
    <row r="342" spans="1:14" s="1265" customFormat="1" ht="30.75" customHeight="1">
      <c r="A342" s="1266" t="s">
        <v>5865</v>
      </c>
      <c r="B342" s="1274" t="s">
        <v>1558</v>
      </c>
      <c r="C342" s="1266" t="s">
        <v>1559</v>
      </c>
      <c r="D342" s="1266">
        <v>10</v>
      </c>
      <c r="E342" s="1266">
        <v>50</v>
      </c>
      <c r="F342" s="1266">
        <v>100</v>
      </c>
      <c r="G342" s="1266">
        <v>500</v>
      </c>
      <c r="H342" s="1266">
        <v>1000</v>
      </c>
      <c r="I342" s="1266" t="s">
        <v>1560</v>
      </c>
      <c r="J342" s="1266">
        <f>$C$9</f>
        <v>7.1443528540000001</v>
      </c>
      <c r="K342" s="1266">
        <f>IF(J342&lt;D342,5,IF(J342&gt;I342,I342,HLOOKUP(J342,D342:I342,1)))</f>
        <v>5</v>
      </c>
      <c r="L342" s="1266">
        <f>IF(J342&lt;5,5,IF(J342&lt;10,10,IF(J342&gt;I342,I342,INDEX(D342:I342,MATCH(J342,D342:I342,1)+1))))</f>
        <v>10</v>
      </c>
      <c r="M342" s="1289"/>
      <c r="N342" s="1284"/>
    </row>
    <row r="343" spans="1:14" s="1265" customFormat="1">
      <c r="A343" s="1269">
        <v>1</v>
      </c>
      <c r="B343" s="727" t="s">
        <v>1561</v>
      </c>
      <c r="C343" s="1270">
        <v>0.95</v>
      </c>
      <c r="D343" s="1270">
        <v>0.65</v>
      </c>
      <c r="E343" s="1270">
        <v>0.47499999999999998</v>
      </c>
      <c r="F343" s="1270">
        <v>0.375</v>
      </c>
      <c r="G343" s="1270">
        <v>0.22500000000000001</v>
      </c>
      <c r="H343" s="1270">
        <v>0.15</v>
      </c>
      <c r="I343" s="1270">
        <v>0.08</v>
      </c>
      <c r="J343" s="1297">
        <f>IF(L$342=K$342,K343,ROUND(K343-((K343-L343)/(L$342-K$342))*(J$342-K$342),3))</f>
        <v>0.82099999999999995</v>
      </c>
      <c r="K343" s="1271">
        <f>IF(K$342=5,C343,HLOOKUP($K$342,$D$342:$I$343,2,TRUE))</f>
        <v>0.95</v>
      </c>
      <c r="L343" s="1271">
        <f>IF(L$342=5,C343,HLOOKUP($L$342,$D$342:$I$343,2,TRUE))</f>
        <v>0.65</v>
      </c>
      <c r="M343" s="1286"/>
      <c r="N343" s="1286"/>
    </row>
    <row r="344" spans="1:14" s="1265" customFormat="1" hidden="1">
      <c r="A344" s="1290" t="s">
        <v>1641</v>
      </c>
    </row>
    <row r="345" spans="1:14" s="1265" customFormat="1"/>
    <row r="346" spans="1:14" s="1265" customFormat="1">
      <c r="A346" s="1934" t="s">
        <v>4079</v>
      </c>
      <c r="B346" s="1934"/>
      <c r="C346" s="1934"/>
      <c r="D346" s="1934"/>
      <c r="E346" s="1934"/>
      <c r="F346" s="1934"/>
      <c r="G346" s="1934"/>
      <c r="H346" s="1934"/>
      <c r="I346" s="1934"/>
      <c r="J346" s="1934"/>
      <c r="K346" s="1934"/>
      <c r="L346" s="1934"/>
      <c r="M346" s="1934"/>
    </row>
    <row r="347" spans="1:14" s="1265" customFormat="1" hidden="1">
      <c r="A347" s="1265" t="s">
        <v>1642</v>
      </c>
      <c r="I347" s="1265" t="s">
        <v>214</v>
      </c>
      <c r="K347" s="719"/>
      <c r="M347" s="719"/>
    </row>
    <row r="348" spans="1:14" s="1265" customFormat="1">
      <c r="J348" s="1267" t="s">
        <v>4197</v>
      </c>
      <c r="K348" s="1267" t="s">
        <v>4198</v>
      </c>
      <c r="L348" s="1267" t="s">
        <v>4199</v>
      </c>
    </row>
    <row r="349" spans="1:14" s="1265" customFormat="1" ht="30.75" customHeight="1">
      <c r="A349" s="1266" t="s">
        <v>5865</v>
      </c>
      <c r="B349" s="1274" t="s">
        <v>1558</v>
      </c>
      <c r="C349" s="1266" t="s">
        <v>1559</v>
      </c>
      <c r="D349" s="1266">
        <v>10</v>
      </c>
      <c r="E349" s="1266">
        <v>50</v>
      </c>
      <c r="F349" s="1266">
        <v>100</v>
      </c>
      <c r="G349" s="1266">
        <v>500</v>
      </c>
      <c r="H349" s="1266">
        <v>1000</v>
      </c>
      <c r="I349" s="1266" t="s">
        <v>1560</v>
      </c>
      <c r="J349" s="1266">
        <f>$C$9</f>
        <v>7.1443528540000001</v>
      </c>
      <c r="K349" s="1266">
        <f>IF(J349&lt;D349,5,IF(J349&gt;I349,I349,HLOOKUP(J349,D349:I349,1)))</f>
        <v>5</v>
      </c>
      <c r="L349" s="1266">
        <f>IF(J349&lt;5,5,IF(J349&lt;10,10,IF(J349&gt;I349,I349,INDEX(D349:I349,MATCH(J349,D349:I349,1)+1))))</f>
        <v>10</v>
      </c>
      <c r="M349" s="1289"/>
      <c r="N349" s="1284"/>
    </row>
    <row r="350" spans="1:14" s="1265" customFormat="1">
      <c r="A350" s="1269">
        <v>1</v>
      </c>
      <c r="B350" s="727" t="s">
        <v>4081</v>
      </c>
      <c r="C350" s="1270">
        <v>1.6</v>
      </c>
      <c r="D350" s="1270">
        <v>1.075</v>
      </c>
      <c r="E350" s="1270">
        <v>0.75</v>
      </c>
      <c r="F350" s="1270">
        <v>0.57499999999999996</v>
      </c>
      <c r="G350" s="1270">
        <v>0.32500000000000001</v>
      </c>
      <c r="H350" s="1270">
        <v>0.215</v>
      </c>
      <c r="I350" s="1270">
        <v>0.115</v>
      </c>
      <c r="J350" s="1297">
        <f>IF(L$349=K$349,K350,ROUND(K350-((K350-L350)/(L$349-K$349))*(J$349-K$349),3))</f>
        <v>1.375</v>
      </c>
      <c r="K350" s="1271">
        <f>IF(K$349=5,C350,HLOOKUP($K$349,$D$349:$I$350,2,TRUE))</f>
        <v>1.6</v>
      </c>
      <c r="L350" s="1271">
        <f>IF(L$349=5,C350,HLOOKUP($L$349,$D$349:$I$350,2,TRUE))</f>
        <v>1.075</v>
      </c>
    </row>
    <row r="351" spans="1:14" s="1265" customFormat="1" hidden="1">
      <c r="A351" s="1290" t="s">
        <v>1643</v>
      </c>
    </row>
    <row r="352" spans="1:14" s="1265" customFormat="1"/>
    <row r="353" spans="1:15" s="1265" customFormat="1" hidden="1">
      <c r="A353" s="1934" t="s">
        <v>1644</v>
      </c>
      <c r="B353" s="1934"/>
      <c r="C353" s="1934"/>
      <c r="D353" s="1934"/>
      <c r="E353" s="1934"/>
      <c r="F353" s="1934"/>
      <c r="G353" s="1934"/>
      <c r="H353" s="1934"/>
      <c r="I353" s="1934"/>
      <c r="J353" s="1934"/>
      <c r="K353" s="1934"/>
      <c r="L353" s="1934"/>
      <c r="M353" s="1934"/>
      <c r="N353" s="1934"/>
    </row>
    <row r="354" spans="1:15" s="1265" customFormat="1" ht="44.25" hidden="1" customHeight="1">
      <c r="A354" s="1934" t="s">
        <v>1645</v>
      </c>
      <c r="B354" s="1934"/>
      <c r="C354" s="1934"/>
      <c r="D354" s="1934"/>
      <c r="E354" s="1934"/>
      <c r="F354" s="1934"/>
      <c r="G354" s="1934"/>
      <c r="H354" s="1934"/>
      <c r="I354" s="1934"/>
      <c r="J354" s="1934"/>
      <c r="K354" s="1934"/>
      <c r="L354" s="1934"/>
      <c r="M354" s="1934"/>
      <c r="N354" s="1934"/>
    </row>
    <row r="355" spans="1:15" s="1265" customFormat="1" ht="18.75" hidden="1">
      <c r="A355" s="1287"/>
      <c r="B355" s="1287"/>
      <c r="C355" s="1287"/>
      <c r="D355" s="1287"/>
      <c r="E355" s="1287"/>
      <c r="F355" s="1287"/>
      <c r="G355" s="1287"/>
      <c r="H355" s="1287"/>
      <c r="I355" s="1287"/>
      <c r="J355" s="1287"/>
      <c r="K355" s="1287"/>
      <c r="L355" s="1287"/>
      <c r="M355" s="1287"/>
      <c r="N355" s="1287"/>
    </row>
    <row r="356" spans="1:15" s="1265" customFormat="1" hidden="1">
      <c r="A356" s="1934" t="s">
        <v>1548</v>
      </c>
      <c r="B356" s="1934"/>
      <c r="C356" s="1934"/>
      <c r="D356" s="1934"/>
      <c r="E356" s="1934"/>
      <c r="F356" s="1934"/>
      <c r="G356" s="1934"/>
      <c r="H356" s="1934"/>
      <c r="I356" s="1934"/>
      <c r="J356" s="1934"/>
      <c r="K356" s="1934"/>
      <c r="L356" s="1934"/>
      <c r="M356" s="1934"/>
    </row>
    <row r="357" spans="1:15" s="1265" customFormat="1" hidden="1">
      <c r="A357" s="1265" t="s">
        <v>1646</v>
      </c>
      <c r="K357" s="719"/>
      <c r="L357" s="1265" t="s">
        <v>214</v>
      </c>
      <c r="M357" s="719"/>
    </row>
    <row r="358" spans="1:15" s="1265" customFormat="1" hidden="1">
      <c r="M358" s="1267" t="s">
        <v>4197</v>
      </c>
      <c r="N358" s="1267" t="s">
        <v>4198</v>
      </c>
      <c r="O358" s="1267" t="s">
        <v>4199</v>
      </c>
    </row>
    <row r="359" spans="1:15" s="1265" customFormat="1" hidden="1">
      <c r="A359" s="1266" t="s">
        <v>5865</v>
      </c>
      <c r="B359" s="1274" t="s">
        <v>1550</v>
      </c>
      <c r="C359" s="1266" t="s">
        <v>1551</v>
      </c>
      <c r="D359" s="1266">
        <v>25</v>
      </c>
      <c r="E359" s="1266">
        <v>50</v>
      </c>
      <c r="F359" s="1266">
        <v>100</v>
      </c>
      <c r="G359" s="1266">
        <v>200</v>
      </c>
      <c r="H359" s="1266">
        <v>500</v>
      </c>
      <c r="I359" s="1266">
        <v>1000</v>
      </c>
      <c r="J359" s="1266">
        <v>2000</v>
      </c>
      <c r="K359" s="1266">
        <v>5000</v>
      </c>
      <c r="L359" s="1266" t="s">
        <v>1552</v>
      </c>
      <c r="M359" s="1266">
        <f>$C$9</f>
        <v>7.1443528540000001</v>
      </c>
      <c r="N359" s="1266">
        <f>IF(M359&lt;D359,15,IF(M359&gt;L359,L359,HLOOKUP(M359,D359:L359,1)))</f>
        <v>15</v>
      </c>
      <c r="O359" s="1266">
        <f>IF(M359&lt;15,15,IF(M359&lt;25,25,IF(M359&gt;L359,L359,INDEX(D359:L359,MATCH(M359,D359:L359,1)+1))))</f>
        <v>15</v>
      </c>
    </row>
    <row r="360" spans="1:15" s="1265" customFormat="1" hidden="1">
      <c r="A360" s="1269">
        <v>1</v>
      </c>
      <c r="B360" s="727" t="s">
        <v>6379</v>
      </c>
      <c r="C360" s="1288">
        <v>1.9E-2</v>
      </c>
      <c r="D360" s="1288">
        <v>1.7000000000000001E-2</v>
      </c>
      <c r="E360" s="1288">
        <v>1.4999999999999999E-2</v>
      </c>
      <c r="F360" s="1288">
        <v>1.2500000000000001E-2</v>
      </c>
      <c r="G360" s="1288">
        <v>0.01</v>
      </c>
      <c r="H360" s="1288">
        <v>7.4999999999999997E-3</v>
      </c>
      <c r="I360" s="1288">
        <v>4.7000000000000002E-3</v>
      </c>
      <c r="J360" s="1288">
        <v>2.5000000000000001E-3</v>
      </c>
      <c r="K360" s="1288">
        <v>2E-3</v>
      </c>
      <c r="L360" s="1288">
        <v>1E-3</v>
      </c>
      <c r="M360" s="1271">
        <f>IF(O$252=N$252,N360,ROUND(N360-((N360-O360)/(O$252-N$252))*(M$252-N$252),3))</f>
        <v>1.9E-2</v>
      </c>
      <c r="N360" s="1271">
        <f>IF(N$252=15,C360,HLOOKUP($N$252,$D$252:$L$253,2,TRUE))</f>
        <v>1.9E-2</v>
      </c>
      <c r="O360" s="1271">
        <f>IF(O$252=15,C360,HLOOKUP($O$252,$D$252:$L$253,2,TRUE))</f>
        <v>1.9E-2</v>
      </c>
    </row>
    <row r="361" spans="1:15" s="1265" customFormat="1" hidden="1">
      <c r="A361" s="1265" t="s">
        <v>1647</v>
      </c>
    </row>
    <row r="362" spans="1:15" s="1265" customFormat="1"/>
    <row r="363" spans="1:15" s="1265" customFormat="1" hidden="1">
      <c r="A363" s="1934" t="s">
        <v>1648</v>
      </c>
      <c r="B363" s="1934"/>
      <c r="C363" s="1934"/>
      <c r="D363" s="1934"/>
      <c r="E363" s="1934"/>
      <c r="F363" s="1934"/>
      <c r="G363" s="1934"/>
      <c r="H363" s="1934"/>
      <c r="I363" s="1934"/>
      <c r="J363" s="1934"/>
      <c r="K363" s="1934"/>
      <c r="L363" s="1934"/>
      <c r="M363" s="1934"/>
      <c r="N363" s="1934"/>
    </row>
    <row r="364" spans="1:15" s="1265" customFormat="1" ht="43.5" hidden="1" customHeight="1">
      <c r="A364" s="1934" t="s">
        <v>1649</v>
      </c>
      <c r="B364" s="1934"/>
      <c r="C364" s="1934"/>
      <c r="D364" s="1934"/>
      <c r="E364" s="1934"/>
      <c r="F364" s="1934"/>
      <c r="G364" s="1934"/>
      <c r="H364" s="1934"/>
      <c r="I364" s="1934"/>
      <c r="J364" s="1934"/>
      <c r="K364" s="1934"/>
      <c r="L364" s="1934"/>
      <c r="M364" s="1934"/>
      <c r="N364" s="1934"/>
    </row>
    <row r="365" spans="1:15" s="1265" customFormat="1" hidden="1"/>
    <row r="366" spans="1:15" s="1265" customFormat="1" hidden="1">
      <c r="A366" s="1934"/>
      <c r="B366" s="1934"/>
      <c r="C366" s="1934"/>
      <c r="D366" s="1934"/>
      <c r="E366" s="1934"/>
      <c r="F366" s="1934"/>
      <c r="G366" s="1934"/>
      <c r="H366" s="1934"/>
      <c r="I366" s="1934"/>
      <c r="J366" s="1934"/>
      <c r="K366" s="1934"/>
      <c r="L366" s="1934"/>
      <c r="M366" s="1934"/>
      <c r="N366" s="1934"/>
      <c r="O366" s="1934"/>
    </row>
    <row r="367" spans="1:15" s="1265" customFormat="1" hidden="1">
      <c r="A367" s="1934" t="s">
        <v>4400</v>
      </c>
      <c r="B367" s="1934"/>
      <c r="C367" s="1264"/>
      <c r="D367" s="1264"/>
      <c r="E367" s="1264"/>
      <c r="F367" s="1264"/>
      <c r="G367" s="1264"/>
      <c r="H367" s="1264"/>
      <c r="I367" s="1264"/>
      <c r="J367" s="1264"/>
      <c r="K367" s="1264"/>
      <c r="L367" s="1264"/>
      <c r="M367" s="1264"/>
      <c r="N367" s="1264"/>
      <c r="O367" s="1264"/>
    </row>
    <row r="368" spans="1:15" s="1265" customFormat="1" hidden="1">
      <c r="I368" s="1934" t="s">
        <v>212</v>
      </c>
      <c r="J368" s="1934"/>
      <c r="K368" s="1934"/>
      <c r="L368" s="1934"/>
      <c r="M368" s="719"/>
      <c r="N368" s="719"/>
    </row>
    <row r="369" spans="1:14" s="1265" customFormat="1" hidden="1">
      <c r="A369" s="1265" t="s">
        <v>4401</v>
      </c>
      <c r="K369" s="1265" t="s">
        <v>214</v>
      </c>
    </row>
    <row r="370" spans="1:14" s="1265" customFormat="1" ht="33" hidden="1" customHeight="1">
      <c r="A370" s="1934" t="s">
        <v>5865</v>
      </c>
      <c r="B370" s="1934" t="s">
        <v>215</v>
      </c>
      <c r="C370" s="1934" t="s">
        <v>1579</v>
      </c>
      <c r="D370" s="1934"/>
      <c r="E370" s="1934"/>
      <c r="F370" s="1934"/>
      <c r="G370" s="1934"/>
      <c r="H370" s="1934"/>
      <c r="I370" s="1934"/>
      <c r="J370" s="1934"/>
      <c r="K370" s="1934"/>
      <c r="L370" s="1267" t="s">
        <v>4197</v>
      </c>
      <c r="M370" s="1267" t="s">
        <v>4198</v>
      </c>
      <c r="N370" s="1267" t="s">
        <v>4199</v>
      </c>
    </row>
    <row r="371" spans="1:14" s="1265" customFormat="1" hidden="1">
      <c r="A371" s="1934"/>
      <c r="B371" s="1934"/>
      <c r="C371" s="1266" t="s">
        <v>1755</v>
      </c>
      <c r="D371" s="1266">
        <v>50</v>
      </c>
      <c r="E371" s="1266">
        <v>100</v>
      </c>
      <c r="F371" s="1266">
        <v>200</v>
      </c>
      <c r="G371" s="1266">
        <v>500</v>
      </c>
      <c r="H371" s="1268">
        <v>1000</v>
      </c>
      <c r="I371" s="1268">
        <v>2000</v>
      </c>
      <c r="J371" s="1268">
        <v>5000</v>
      </c>
      <c r="K371" s="1268">
        <v>8000</v>
      </c>
      <c r="L371" s="1267">
        <f>$C$4</f>
        <v>5.0097428219999998</v>
      </c>
      <c r="M371" s="1267">
        <f>IF(L371&lt;D371,15,IF(L371&gt;K371,K371,HLOOKUP(L371,D371:K371,1)))</f>
        <v>15</v>
      </c>
      <c r="N371" s="1267">
        <f>IF(L371&lt;15,15,IF(L371&lt;50,50,IF(L371&gt;K371,K371,INDEX(D371:K371,MATCH(L371,D371:K371,1)+1))))</f>
        <v>15</v>
      </c>
    </row>
    <row r="372" spans="1:14" s="1265" customFormat="1" hidden="1">
      <c r="A372" s="1934" t="s">
        <v>4402</v>
      </c>
      <c r="B372" s="1934"/>
      <c r="C372" s="1934"/>
      <c r="D372" s="1934"/>
      <c r="E372" s="1934"/>
      <c r="F372" s="1934"/>
      <c r="G372" s="1934"/>
      <c r="H372" s="1934"/>
      <c r="I372" s="1934"/>
      <c r="J372" s="1934"/>
      <c r="K372" s="1934"/>
      <c r="L372" s="727"/>
      <c r="M372" s="727"/>
      <c r="N372" s="727"/>
    </row>
    <row r="373" spans="1:14" s="1265" customFormat="1" hidden="1">
      <c r="A373" s="1269" t="s">
        <v>1581</v>
      </c>
      <c r="B373" s="727" t="s">
        <v>4201</v>
      </c>
      <c r="C373" s="1270">
        <v>0.16500000000000001</v>
      </c>
      <c r="D373" s="1270">
        <v>0.11</v>
      </c>
      <c r="E373" s="1270">
        <v>8.5000000000000006E-2</v>
      </c>
      <c r="F373" s="1270">
        <v>6.5000000000000002E-2</v>
      </c>
      <c r="G373" s="1270">
        <v>0.05</v>
      </c>
      <c r="H373" s="1270">
        <v>4.1000000000000002E-2</v>
      </c>
      <c r="I373" s="1270">
        <v>2.9000000000000001E-2</v>
      </c>
      <c r="J373" s="1270">
        <v>2.1999999999999999E-2</v>
      </c>
      <c r="K373" s="1270">
        <v>1.9E-2</v>
      </c>
      <c r="L373" s="1271">
        <f>IF(N$281=M$281,M373,ROUND(M373-((M373-N373)/(N$281-M$281))*(L$281-M$281),3))</f>
        <v>0.16500000000000001</v>
      </c>
      <c r="M373" s="1271">
        <f>IF(M$281=15,C373,HLOOKUP($M$281,$D$281:$K$299,3,TRUE))</f>
        <v>0.16500000000000001</v>
      </c>
      <c r="N373" s="1271">
        <f>IF(N$281=15,C373,HLOOKUP($N$281,$D$281:$K$299,3,TRUE))</f>
        <v>0.16500000000000001</v>
      </c>
    </row>
    <row r="374" spans="1:14" s="1265" customFormat="1" hidden="1">
      <c r="A374" s="1269" t="s">
        <v>2624</v>
      </c>
      <c r="B374" s="727" t="s">
        <v>4202</v>
      </c>
      <c r="C374" s="1270">
        <v>0.19</v>
      </c>
      <c r="D374" s="1270">
        <v>0.126</v>
      </c>
      <c r="E374" s="1270">
        <v>9.7000000000000003E-2</v>
      </c>
      <c r="F374" s="1270">
        <v>7.4999999999999997E-2</v>
      </c>
      <c r="G374" s="1270">
        <v>5.8000000000000003E-2</v>
      </c>
      <c r="H374" s="1270">
        <v>4.3999999999999997E-2</v>
      </c>
      <c r="I374" s="1270">
        <v>3.5000000000000003E-2</v>
      </c>
      <c r="J374" s="1270">
        <v>2.5999999999999999E-2</v>
      </c>
      <c r="K374" s="1270">
        <v>2.1999999999999999E-2</v>
      </c>
      <c r="L374" s="1271">
        <f>IF(N$281=M$281,M374,ROUND(M374-((M374-N374)/(N$281-M$281))*(L$281-M$281),3))</f>
        <v>0.19</v>
      </c>
      <c r="M374" s="1271">
        <f>IF(M$281=15,C374,HLOOKUP($M$281,$D$281:$K$299,4,TRUE))</f>
        <v>0.19</v>
      </c>
      <c r="N374" s="1271">
        <f>IF(N$281=15,C374,HLOOKUP($N$281,$D$281:$K$299,4,TRUE))</f>
        <v>0.19</v>
      </c>
    </row>
    <row r="375" spans="1:14" s="1265" customFormat="1" hidden="1">
      <c r="A375" s="1269" t="s">
        <v>5503</v>
      </c>
      <c r="B375" s="727" t="s">
        <v>4203</v>
      </c>
      <c r="C375" s="1270">
        <v>0.109</v>
      </c>
      <c r="D375" s="1270">
        <v>7.1999999999999995E-2</v>
      </c>
      <c r="E375" s="1270">
        <v>5.5E-2</v>
      </c>
      <c r="F375" s="1270">
        <v>4.2999999999999997E-2</v>
      </c>
      <c r="G375" s="1270">
        <v>3.3000000000000002E-2</v>
      </c>
      <c r="H375" s="1270">
        <v>2.5000000000000001E-2</v>
      </c>
      <c r="I375" s="1270">
        <v>2.1000000000000001E-2</v>
      </c>
      <c r="J375" s="1270">
        <v>1.6E-2</v>
      </c>
      <c r="K375" s="1270">
        <v>1.4E-2</v>
      </c>
      <c r="L375" s="1271">
        <f>IF(N$281=M$281,M375,ROUND(M375-((M375-N375)/(N$281-M$281))*(L$281-M$281),3))</f>
        <v>0.109</v>
      </c>
      <c r="M375" s="1271">
        <f>IF(M$281=15,C375,HLOOKUP($M$281,$D$281:$K$299,5,TRUE))</f>
        <v>0.109</v>
      </c>
      <c r="N375" s="1271">
        <f>IF(N$281=15,C375,HLOOKUP($N$281,$D$281:$K$299,5,TRUE))</f>
        <v>0.109</v>
      </c>
    </row>
    <row r="376" spans="1:14" s="1265" customFormat="1" ht="30" hidden="1">
      <c r="A376" s="1269" t="s">
        <v>1582</v>
      </c>
      <c r="B376" s="1291" t="s">
        <v>4204</v>
      </c>
      <c r="C376" s="1270">
        <v>0.121</v>
      </c>
      <c r="D376" s="1270">
        <v>0.08</v>
      </c>
      <c r="E376" s="1270">
        <v>6.0999999999999999E-2</v>
      </c>
      <c r="F376" s="1270">
        <v>4.8000000000000001E-2</v>
      </c>
      <c r="G376" s="1270">
        <v>3.6999999999999998E-2</v>
      </c>
      <c r="H376" s="1270">
        <v>2.8000000000000001E-2</v>
      </c>
      <c r="I376" s="1270">
        <v>2.3E-2</v>
      </c>
      <c r="J376" s="1270">
        <v>1.7000000000000001E-2</v>
      </c>
      <c r="K376" s="1270">
        <v>1.4E-2</v>
      </c>
      <c r="L376" s="1271">
        <f>IF(N$281=M$281,M376,ROUND(M376-((M376-N376)/(N$281-M$281))*(L$281-M$281),3))</f>
        <v>0.121</v>
      </c>
      <c r="M376" s="1271">
        <f>IF(M$281=15,C376,HLOOKUP($M$281,$D$281:$K$299,6,TRUE))</f>
        <v>0.121</v>
      </c>
      <c r="N376" s="1271">
        <f>IF(N$281=15,C376,HLOOKUP($N$281,$D$281:$K$299,6,TRUE))</f>
        <v>0.121</v>
      </c>
    </row>
    <row r="377" spans="1:14" s="1265" customFormat="1" hidden="1">
      <c r="A377" s="1269" t="s">
        <v>1583</v>
      </c>
      <c r="B377" s="727" t="s">
        <v>4205</v>
      </c>
      <c r="C377" s="1270">
        <v>0.126</v>
      </c>
      <c r="D377" s="1270">
        <v>8.5000000000000006E-2</v>
      </c>
      <c r="E377" s="1270">
        <v>6.5000000000000002E-2</v>
      </c>
      <c r="F377" s="1270">
        <v>0.05</v>
      </c>
      <c r="G377" s="1270">
        <v>3.9E-2</v>
      </c>
      <c r="H377" s="1270">
        <v>0.03</v>
      </c>
      <c r="I377" s="1270">
        <v>2.5999999999999999E-2</v>
      </c>
      <c r="J377" s="1270">
        <v>1.9E-2</v>
      </c>
      <c r="K377" s="1270">
        <v>1.7000000000000001E-2</v>
      </c>
      <c r="L377" s="1271">
        <f>IF(N$281=M$281,M377,ROUND(M377-((M377-N377)/(N$281-M$281))*(L$281-M$281),3))</f>
        <v>0.126</v>
      </c>
      <c r="M377" s="1271">
        <f>IF(M$281=15,C377,HLOOKUP($M$281,$D$281:$K$299,7,TRUE))</f>
        <v>0.126</v>
      </c>
      <c r="N377" s="1271">
        <f>IF(N$281=15,C377,HLOOKUP($N$281,$D$281:$K$299,7,TRUE))</f>
        <v>0.126</v>
      </c>
    </row>
    <row r="378" spans="1:14" s="1265" customFormat="1" hidden="1">
      <c r="A378" s="1934" t="s">
        <v>4403</v>
      </c>
      <c r="B378" s="1934"/>
      <c r="C378" s="1934"/>
      <c r="D378" s="1934"/>
      <c r="E378" s="1934"/>
      <c r="F378" s="1934"/>
      <c r="G378" s="1934"/>
      <c r="H378" s="1934"/>
      <c r="I378" s="1934"/>
      <c r="J378" s="1934"/>
      <c r="K378" s="1934"/>
      <c r="L378" s="727"/>
      <c r="M378" s="727"/>
      <c r="N378" s="727"/>
    </row>
    <row r="379" spans="1:14" s="1265" customFormat="1" hidden="1">
      <c r="A379" s="1269" t="s">
        <v>327</v>
      </c>
      <c r="B379" s="727" t="s">
        <v>4201</v>
      </c>
      <c r="C379" s="1288">
        <v>4.9500000000000002E-2</v>
      </c>
      <c r="D379" s="1288">
        <v>3.3000000000000002E-2</v>
      </c>
      <c r="E379" s="1288">
        <v>2.5499999999999998E-2</v>
      </c>
      <c r="F379" s="1288">
        <v>1.95E-2</v>
      </c>
      <c r="G379" s="1288">
        <v>1.4999999999999999E-2</v>
      </c>
      <c r="H379" s="1288">
        <v>1.23E-2</v>
      </c>
      <c r="I379" s="1288">
        <v>8.6999999999999994E-3</v>
      </c>
      <c r="J379" s="1288">
        <v>6.6E-3</v>
      </c>
      <c r="K379" s="1288">
        <v>5.7000000000000002E-3</v>
      </c>
      <c r="L379" s="1292">
        <f>IF(N$281=M$281,M379,ROUND(M379-((M379-N379)/(N$281-M$281))*(L$281-M$281),4))</f>
        <v>4.9500000000000002E-2</v>
      </c>
      <c r="M379" s="1292">
        <f>IF(M$281=15,C379,HLOOKUP($M$281,$D$281:$K$299,9,TRUE))</f>
        <v>4.9500000000000002E-2</v>
      </c>
      <c r="N379" s="1292">
        <f>IF(N$281=15,C379,HLOOKUP($N$281,$D$281:$K$299,9,TRUE))</f>
        <v>4.9500000000000002E-2</v>
      </c>
    </row>
    <row r="380" spans="1:14" s="1265" customFormat="1" hidden="1">
      <c r="A380" s="1269" t="s">
        <v>1323</v>
      </c>
      <c r="B380" s="727" t="s">
        <v>4202</v>
      </c>
      <c r="C380" s="1288">
        <v>5.7000000000000002E-2</v>
      </c>
      <c r="D380" s="1288">
        <v>3.78E-2</v>
      </c>
      <c r="E380" s="1288">
        <v>2.9100000000000001E-2</v>
      </c>
      <c r="F380" s="1288">
        <v>2.5499999999999998E-2</v>
      </c>
      <c r="G380" s="1288">
        <v>1.7399999999999999E-2</v>
      </c>
      <c r="H380" s="1288">
        <v>1.32E-2</v>
      </c>
      <c r="I380" s="1288">
        <v>1.0500000000000001E-2</v>
      </c>
      <c r="J380" s="1288">
        <v>7.7999999999999996E-3</v>
      </c>
      <c r="K380" s="1288">
        <v>6.6E-3</v>
      </c>
      <c r="L380" s="1292">
        <f>IF(N$281=M$281,M380,ROUND(M380-((M380-N380)/(N$281-M$281))*(L$281-M$281),4))</f>
        <v>5.7000000000000002E-2</v>
      </c>
      <c r="M380" s="1292">
        <f>IF(M$281=15,C380,HLOOKUP($M$281,$D$281:$K$299,10,TRUE))</f>
        <v>5.7000000000000002E-2</v>
      </c>
      <c r="N380" s="1292">
        <f>IF(N$281=15,C380,HLOOKUP($N$281,$D$281:$K$299,10,TRUE))</f>
        <v>5.7000000000000002E-2</v>
      </c>
    </row>
    <row r="381" spans="1:14" s="1265" customFormat="1" hidden="1">
      <c r="A381" s="1269" t="s">
        <v>1317</v>
      </c>
      <c r="B381" s="727" t="s">
        <v>4203</v>
      </c>
      <c r="C381" s="1288">
        <v>3.27E-2</v>
      </c>
      <c r="D381" s="1288">
        <v>2.1600000000000001E-2</v>
      </c>
      <c r="E381" s="1288">
        <v>1.6500000000000001E-2</v>
      </c>
      <c r="F381" s="1288">
        <v>1.29E-2</v>
      </c>
      <c r="G381" s="1288">
        <v>9.9000000000000008E-3</v>
      </c>
      <c r="H381" s="1288">
        <v>7.4999999999999997E-3</v>
      </c>
      <c r="I381" s="1288">
        <v>6.3E-3</v>
      </c>
      <c r="J381" s="1288">
        <v>4.7999999999999996E-3</v>
      </c>
      <c r="K381" s="1288">
        <v>4.1999999999999997E-3</v>
      </c>
      <c r="L381" s="1292">
        <f>IF(N$281=M$281,M381,ROUND(M381-((M381-N381)/(N$281-M$281))*(L$281-M$281),4))</f>
        <v>3.27E-2</v>
      </c>
      <c r="M381" s="1292">
        <f>IF(M$281=15,C381,HLOOKUP($M$281,$D$281:$K$299,11,TRUE))</f>
        <v>3.27E-2</v>
      </c>
      <c r="N381" s="1292">
        <f>IF(N$281=15,C381,HLOOKUP($N$281,$D$281:$K$299,11,TRUE))</f>
        <v>3.27E-2</v>
      </c>
    </row>
    <row r="382" spans="1:14" s="1265" customFormat="1" ht="30" hidden="1">
      <c r="A382" s="1269" t="s">
        <v>328</v>
      </c>
      <c r="B382" s="1291" t="s">
        <v>4204</v>
      </c>
      <c r="C382" s="1288">
        <v>3.6299999999999999E-2</v>
      </c>
      <c r="D382" s="1288">
        <v>2.4E-2</v>
      </c>
      <c r="E382" s="1288">
        <v>1.83E-2</v>
      </c>
      <c r="F382" s="1288">
        <v>1.44E-2</v>
      </c>
      <c r="G382" s="1288">
        <v>1.11E-2</v>
      </c>
      <c r="H382" s="1288">
        <v>8.3999999999999995E-3</v>
      </c>
      <c r="I382" s="1288">
        <v>6.8999999999999999E-3</v>
      </c>
      <c r="J382" s="1288">
        <v>5.1000000000000004E-3</v>
      </c>
      <c r="K382" s="1288">
        <v>4.1999999999999997E-3</v>
      </c>
      <c r="L382" s="1292">
        <f>IF(N$281=M$281,M382,ROUND(M382-((M382-N382)/(N$281-M$281))*(L$281-M$281),4))</f>
        <v>3.6299999999999999E-2</v>
      </c>
      <c r="M382" s="1292">
        <f>IF(M$281=15,C382,HLOOKUP($M$281,$D$281:$K$299,12,TRUE))</f>
        <v>3.6299999999999999E-2</v>
      </c>
      <c r="N382" s="1292">
        <f>IF(N$281=15,C382,HLOOKUP($N$281,$D$281:$K$299,12,TRUE))</f>
        <v>3.6299999999999999E-2</v>
      </c>
    </row>
    <row r="383" spans="1:14" s="1265" customFormat="1" hidden="1">
      <c r="A383" s="1269" t="s">
        <v>329</v>
      </c>
      <c r="B383" s="727" t="s">
        <v>4205</v>
      </c>
      <c r="C383" s="1288">
        <v>3.78E-2</v>
      </c>
      <c r="D383" s="1288">
        <v>2.5499999999999998E-2</v>
      </c>
      <c r="E383" s="1288">
        <v>1.95E-2</v>
      </c>
      <c r="F383" s="1288">
        <v>1.4999999999999999E-2</v>
      </c>
      <c r="G383" s="1288">
        <v>1.17E-2</v>
      </c>
      <c r="H383" s="1288">
        <v>8.9999999999999993E-3</v>
      </c>
      <c r="I383" s="1288">
        <v>7.8E-2</v>
      </c>
      <c r="J383" s="1288">
        <v>5.7000000000000002E-3</v>
      </c>
      <c r="K383" s="1288">
        <v>5.1000000000000004E-3</v>
      </c>
      <c r="L383" s="1292">
        <f>IF(N$281=M$281,M383,ROUND(M383-((M383-N383)/(N$281-M$281))*(L$281-M$281),4))</f>
        <v>3.78E-2</v>
      </c>
      <c r="M383" s="1292">
        <f>IF(M$281=15,C383,HLOOKUP($M$281,$D$281:$K$299,13,TRUE))</f>
        <v>3.78E-2</v>
      </c>
      <c r="N383" s="1292">
        <f>IF(N$281=15,C383,HLOOKUP($N$281,$D$281:$K$299,13,TRUE))</f>
        <v>3.78E-2</v>
      </c>
    </row>
    <row r="384" spans="1:14" s="1265" customFormat="1" hidden="1">
      <c r="A384" s="1265" t="s">
        <v>4523</v>
      </c>
      <c r="L384" s="1271">
        <f>IF(N$281=M$281,M384,ROUND(M384-((M384-N384)/(N$281-M$281))*(L$281-M$281),3))</f>
        <v>0</v>
      </c>
      <c r="M384" s="1271">
        <f>IF(M$281=15,C384,HLOOKUP($M$281,$D$281:$K$287,6,TRUE))</f>
        <v>0</v>
      </c>
    </row>
    <row r="385" spans="1:15" s="1265" customFormat="1" hidden="1"/>
    <row r="386" spans="1:15" s="1265" customFormat="1" hidden="1">
      <c r="A386" s="1934" t="s">
        <v>4524</v>
      </c>
      <c r="B386" s="1934"/>
      <c r="C386" s="1264"/>
      <c r="D386" s="1264"/>
      <c r="E386" s="1264"/>
      <c r="F386" s="1264"/>
      <c r="G386" s="1264"/>
      <c r="H386" s="1264"/>
      <c r="I386" s="1264"/>
      <c r="J386" s="1264"/>
      <c r="K386" s="1264"/>
      <c r="L386" s="1264"/>
      <c r="M386" s="1264"/>
      <c r="N386" s="1264"/>
      <c r="O386" s="1264"/>
    </row>
    <row r="387" spans="1:15" s="1265" customFormat="1" hidden="1">
      <c r="I387" s="1934" t="s">
        <v>212</v>
      </c>
      <c r="J387" s="1934"/>
      <c r="K387" s="1934"/>
      <c r="L387" s="1934"/>
      <c r="M387" s="719"/>
      <c r="N387" s="719"/>
    </row>
    <row r="388" spans="1:15" s="1265" customFormat="1" hidden="1">
      <c r="A388" s="1265" t="s">
        <v>4525</v>
      </c>
      <c r="K388" s="1265" t="s">
        <v>214</v>
      </c>
    </row>
    <row r="389" spans="1:15" s="1265" customFormat="1" ht="33" hidden="1" customHeight="1">
      <c r="A389" s="1934" t="s">
        <v>5865</v>
      </c>
      <c r="B389" s="1934" t="s">
        <v>215</v>
      </c>
      <c r="C389" s="1934" t="s">
        <v>1579</v>
      </c>
      <c r="D389" s="1934"/>
      <c r="E389" s="1934"/>
      <c r="F389" s="1934"/>
      <c r="G389" s="1934"/>
      <c r="H389" s="1934"/>
      <c r="I389" s="1934"/>
      <c r="J389" s="1934"/>
      <c r="K389" s="1934"/>
      <c r="L389" s="1267" t="s">
        <v>4197</v>
      </c>
      <c r="M389" s="1267" t="s">
        <v>4198</v>
      </c>
      <c r="N389" s="1267" t="s">
        <v>4199</v>
      </c>
    </row>
    <row r="390" spans="1:15" s="1265" customFormat="1" hidden="1">
      <c r="A390" s="1934"/>
      <c r="B390" s="1934"/>
      <c r="C390" s="1266" t="s">
        <v>1755</v>
      </c>
      <c r="D390" s="1266">
        <v>50</v>
      </c>
      <c r="E390" s="1266">
        <v>100</v>
      </c>
      <c r="F390" s="1266">
        <v>200</v>
      </c>
      <c r="G390" s="1266">
        <v>500</v>
      </c>
      <c r="H390" s="1268">
        <v>1000</v>
      </c>
      <c r="I390" s="1268">
        <v>2000</v>
      </c>
      <c r="J390" s="1268">
        <v>5000</v>
      </c>
      <c r="K390" s="1268">
        <v>8000</v>
      </c>
      <c r="L390" s="1267">
        <f>$C$4</f>
        <v>5.0097428219999998</v>
      </c>
      <c r="M390" s="1267">
        <f>IF(L390&lt;D390,15,IF(L390&gt;K390,K390,HLOOKUP(L390,D390:K390,1)))</f>
        <v>15</v>
      </c>
      <c r="N390" s="1267">
        <f>IF(L390&lt;15,15,IF(L390&lt;50,50,IF(L390&gt;K390,K390,INDEX(D390:K390,MATCH(L390,D390:K390,1)+1))))</f>
        <v>15</v>
      </c>
    </row>
    <row r="391" spans="1:15" s="1265" customFormat="1" hidden="1">
      <c r="A391" s="1934" t="s">
        <v>4526</v>
      </c>
      <c r="B391" s="1934"/>
      <c r="C391" s="1934"/>
      <c r="D391" s="1934"/>
      <c r="E391" s="1934"/>
      <c r="F391" s="1934"/>
      <c r="G391" s="1934"/>
      <c r="H391" s="1934"/>
      <c r="I391" s="1934"/>
      <c r="J391" s="1934"/>
      <c r="K391" s="1934"/>
      <c r="L391" s="727"/>
      <c r="M391" s="727"/>
      <c r="N391" s="727"/>
    </row>
    <row r="392" spans="1:15" s="1265" customFormat="1" hidden="1">
      <c r="A392" s="1269" t="s">
        <v>1581</v>
      </c>
      <c r="B392" s="727" t="s">
        <v>4201</v>
      </c>
      <c r="C392" s="1270">
        <v>0.16</v>
      </c>
      <c r="D392" s="1270">
        <v>0.106</v>
      </c>
      <c r="E392" s="1270">
        <v>8.3000000000000004E-2</v>
      </c>
      <c r="F392" s="1270">
        <v>6.2E-2</v>
      </c>
      <c r="G392" s="1270">
        <v>4.5999999999999999E-2</v>
      </c>
      <c r="H392" s="1270">
        <v>3.7999999999999999E-2</v>
      </c>
      <c r="I392" s="1270">
        <v>2.8000000000000001E-2</v>
      </c>
      <c r="J392" s="1270">
        <v>2.1000000000000001E-2</v>
      </c>
      <c r="K392" s="1270">
        <v>1.7999999999999999E-2</v>
      </c>
      <c r="L392" s="1271">
        <f>IF(N$306=M$306,M392,ROUND(M392-((M392-N392)/(N$306-M$306))*(L$306-M$306),3))</f>
        <v>0.16</v>
      </c>
      <c r="M392" s="1271">
        <f>IF(M$306=15,C392,HLOOKUP($M$306,$D$306:$K$318,3,TRUE))</f>
        <v>0.16</v>
      </c>
      <c r="N392" s="1271">
        <f>IF(N$306=15,C392,HLOOKUP($N$306,$D$306:$K$318,3,TRUE))</f>
        <v>0.16</v>
      </c>
    </row>
    <row r="393" spans="1:15" s="1265" customFormat="1" hidden="1">
      <c r="A393" s="1269" t="s">
        <v>2624</v>
      </c>
      <c r="B393" s="727" t="s">
        <v>4202</v>
      </c>
      <c r="C393" s="1270">
        <v>0.185</v>
      </c>
      <c r="D393" s="1270">
        <v>0.121</v>
      </c>
      <c r="E393" s="1270">
        <v>9.4E-2</v>
      </c>
      <c r="F393" s="1270">
        <v>7.1999999999999995E-2</v>
      </c>
      <c r="G393" s="1270">
        <v>5.5E-2</v>
      </c>
      <c r="H393" s="1270">
        <v>4.1000000000000002E-2</v>
      </c>
      <c r="I393" s="1270">
        <v>3.3000000000000002E-2</v>
      </c>
      <c r="J393" s="1270">
        <v>2.3E-2</v>
      </c>
      <c r="K393" s="1270">
        <v>0.02</v>
      </c>
      <c r="L393" s="1271">
        <f>IF(N$306=M$306,M393,ROUND(M393-((M393-N393)/(N$306-M$306))*(L$306-M$306),3))</f>
        <v>0.185</v>
      </c>
      <c r="M393" s="1271">
        <f>IF(M$306=15,C393,HLOOKUP($M$306,$D$306:$K$318,4,TRUE))</f>
        <v>0.185</v>
      </c>
      <c r="N393" s="1271">
        <f>IF(N$306=15,C393,HLOOKUP($N$306,$D$306:$K$318,4,TRUE))</f>
        <v>0.185</v>
      </c>
    </row>
    <row r="394" spans="1:15" s="1265" customFormat="1" hidden="1">
      <c r="A394" s="1269" t="s">
        <v>5503</v>
      </c>
      <c r="B394" s="727" t="s">
        <v>4203</v>
      </c>
      <c r="C394" s="1270">
        <v>0.106</v>
      </c>
      <c r="D394" s="1270">
        <v>6.8000000000000005E-2</v>
      </c>
      <c r="E394" s="1270">
        <v>5.3999999999999999E-2</v>
      </c>
      <c r="F394" s="1270">
        <v>4.1000000000000002E-2</v>
      </c>
      <c r="G394" s="1270">
        <v>3.1E-2</v>
      </c>
      <c r="H394" s="1270">
        <v>2.4E-2</v>
      </c>
      <c r="I394" s="1270">
        <v>0.02</v>
      </c>
      <c r="J394" s="1270">
        <v>1.4E-2</v>
      </c>
      <c r="K394" s="1270">
        <v>1.2E-2</v>
      </c>
      <c r="L394" s="1271">
        <f>IF(N$306=M$306,M394,ROUND(M394-((M394-N394)/(N$306-M$306))*(L$306-M$306),3))</f>
        <v>0.106</v>
      </c>
      <c r="M394" s="1271">
        <f>IF(M$306=15,C394,HLOOKUP($M$306,$D$306:$K$318,5,TRUE))</f>
        <v>0.106</v>
      </c>
      <c r="N394" s="1271">
        <f>IF(N$306=15,C394,HLOOKUP($N$306,$D$306:$K$318,5,TRUE))</f>
        <v>0.106</v>
      </c>
    </row>
    <row r="395" spans="1:15" s="1265" customFormat="1" ht="30" hidden="1">
      <c r="A395" s="1269" t="s">
        <v>1582</v>
      </c>
      <c r="B395" s="1291" t="s">
        <v>4204</v>
      </c>
      <c r="C395" s="1270">
        <v>0.11700000000000001</v>
      </c>
      <c r="D395" s="1270">
        <v>7.5999999999999998E-2</v>
      </c>
      <c r="E395" s="1270">
        <v>0.06</v>
      </c>
      <c r="F395" s="1270">
        <v>4.5999999999999999E-2</v>
      </c>
      <c r="G395" s="1270">
        <v>3.5000000000000003E-2</v>
      </c>
      <c r="H395" s="1270">
        <v>2.5999999999999999E-2</v>
      </c>
      <c r="I395" s="1270">
        <v>2.1999999999999999E-2</v>
      </c>
      <c r="J395" s="1270">
        <v>1.6E-2</v>
      </c>
      <c r="K395" s="1270">
        <v>1.4E-2</v>
      </c>
      <c r="L395" s="1270">
        <f>IF(N$306=M$306,M395,ROUND(M395-((M395-N395)/(N$306-M$306))*(L$306-M$306),3))</f>
        <v>0.11700000000000001</v>
      </c>
      <c r="M395" s="1271">
        <f>IF(M$306=15,C395,HLOOKUP($M$306,$D$306:$K$318,6,TRUE))</f>
        <v>0.11700000000000001</v>
      </c>
      <c r="N395" s="1271">
        <f>IF(N$306=15,C395,HLOOKUP($N$306,$D$306:$K$318,6,TRUE))</f>
        <v>0.11700000000000001</v>
      </c>
    </row>
    <row r="396" spans="1:15" s="1265" customFormat="1" hidden="1">
      <c r="A396" s="1269" t="s">
        <v>1583</v>
      </c>
      <c r="B396" s="727" t="s">
        <v>4205</v>
      </c>
      <c r="C396" s="1270">
        <v>0.122</v>
      </c>
      <c r="D396" s="1270">
        <v>8.2000000000000003E-2</v>
      </c>
      <c r="E396" s="1270">
        <v>6.2E-2</v>
      </c>
      <c r="F396" s="1270">
        <v>4.7E-2</v>
      </c>
      <c r="G396" s="1270">
        <v>3.6999999999999998E-2</v>
      </c>
      <c r="H396" s="1270">
        <v>2.9000000000000001E-2</v>
      </c>
      <c r="I396" s="1270">
        <v>2.4E-2</v>
      </c>
      <c r="J396" s="1270">
        <v>1.7000000000000001E-2</v>
      </c>
      <c r="K396" s="1270">
        <v>1.4E-2</v>
      </c>
      <c r="L396" s="1271">
        <f>IF(N$306=M$306,M396,ROUND(M396-((M396-N396)/(N$306-M$306))*(L$306-M$306),3))</f>
        <v>0.122</v>
      </c>
      <c r="M396" s="1271">
        <f>IF(M$306=15,C396,HLOOKUP($M$306,$D$306:$K$318,7,TRUE))</f>
        <v>0.122</v>
      </c>
      <c r="N396" s="1271">
        <f>IF(N$306=15,C396,HLOOKUP($N$306,$D$306:$K$318,7,TRUE))</f>
        <v>0.122</v>
      </c>
    </row>
    <row r="397" spans="1:15" s="1265" customFormat="1" hidden="1">
      <c r="A397" s="1934" t="s">
        <v>4527</v>
      </c>
      <c r="B397" s="1934"/>
      <c r="C397" s="1934"/>
      <c r="D397" s="1934"/>
      <c r="E397" s="1934"/>
      <c r="F397" s="1934"/>
      <c r="G397" s="1934"/>
      <c r="H397" s="1934"/>
      <c r="I397" s="1934"/>
      <c r="J397" s="1934"/>
      <c r="K397" s="1934"/>
      <c r="L397" s="727"/>
      <c r="M397" s="727"/>
      <c r="N397" s="727"/>
    </row>
    <row r="398" spans="1:15" s="1265" customFormat="1" hidden="1">
      <c r="A398" s="1269" t="s">
        <v>327</v>
      </c>
      <c r="B398" s="727" t="s">
        <v>4201</v>
      </c>
      <c r="C398" s="1288">
        <v>4.8000000000000001E-2</v>
      </c>
      <c r="D398" s="1288">
        <v>3.1800000000000002E-2</v>
      </c>
      <c r="E398" s="1288">
        <v>2.4899999999999999E-2</v>
      </c>
      <c r="F398" s="1288">
        <v>1.8599999999999998E-2</v>
      </c>
      <c r="G398" s="1288">
        <v>1.38E-2</v>
      </c>
      <c r="H398" s="1288">
        <v>1.14E-2</v>
      </c>
      <c r="I398" s="1288">
        <v>8.3999999999999995E-3</v>
      </c>
      <c r="J398" s="1288">
        <v>6.3E-3</v>
      </c>
      <c r="K398" s="1288">
        <v>5.4000000000000003E-3</v>
      </c>
      <c r="L398" s="1292">
        <f>IF(N$306=M$306,M398,ROUND(M398-((M398-N398)/(N$306-M$306))*(L$306-M$306),4))</f>
        <v>4.8000000000000001E-2</v>
      </c>
      <c r="M398" s="1292">
        <f>IF(M$306=15,C398,HLOOKUP($M$306,$D$306:$K$318,9,TRUE))</f>
        <v>4.8000000000000001E-2</v>
      </c>
      <c r="N398" s="1292">
        <f>IF(N$306=15,C398,HLOOKUP($N$306,$D$306:$K$318,9,TRUE))</f>
        <v>4.8000000000000001E-2</v>
      </c>
    </row>
    <row r="399" spans="1:15" s="1265" customFormat="1" hidden="1">
      <c r="A399" s="1269" t="s">
        <v>1323</v>
      </c>
      <c r="B399" s="727" t="s">
        <v>4202</v>
      </c>
      <c r="C399" s="1288">
        <v>5.5500000000000001E-2</v>
      </c>
      <c r="D399" s="1288">
        <v>3.6299999999999999E-2</v>
      </c>
      <c r="E399" s="1288">
        <v>2.8199999999999999E-2</v>
      </c>
      <c r="F399" s="1288">
        <v>2.1600000000000001E-2</v>
      </c>
      <c r="G399" s="1288">
        <v>1.6500000000000001E-2</v>
      </c>
      <c r="H399" s="1288">
        <v>1.23E-2</v>
      </c>
      <c r="I399" s="1288">
        <v>9.9000000000000008E-3</v>
      </c>
      <c r="J399" s="1288">
        <v>6.8999999999999999E-3</v>
      </c>
      <c r="K399" s="1288">
        <v>6.0000000000000001E-3</v>
      </c>
      <c r="L399" s="1292">
        <f>IF(N$306=M$306,M399,ROUND(M399-((M399-N399)/(N$306-M$306))*(L$306-M$306),4))</f>
        <v>5.5500000000000001E-2</v>
      </c>
      <c r="M399" s="1292">
        <f>IF(M$306=15,C399,HLOOKUP($M$306,$D$306:$K$318,10,TRUE))</f>
        <v>5.5500000000000001E-2</v>
      </c>
      <c r="N399" s="1292">
        <f>IF(N$306=15,C399,HLOOKUP($N$306,$D$306:$K$318,10,TRUE))</f>
        <v>5.5500000000000001E-2</v>
      </c>
    </row>
    <row r="400" spans="1:15" s="1265" customFormat="1" hidden="1">
      <c r="A400" s="1269" t="s">
        <v>1317</v>
      </c>
      <c r="B400" s="727" t="s">
        <v>4203</v>
      </c>
      <c r="C400" s="1288">
        <v>3.1800000000000002E-2</v>
      </c>
      <c r="D400" s="1288">
        <v>2.0400000000000001E-2</v>
      </c>
      <c r="E400" s="1288">
        <v>1.6199999999999999E-2</v>
      </c>
      <c r="F400" s="1288">
        <v>1.23E-2</v>
      </c>
      <c r="G400" s="1288">
        <v>9.2999999999999992E-3</v>
      </c>
      <c r="H400" s="1288">
        <v>7.1999999999999998E-3</v>
      </c>
      <c r="I400" s="1288">
        <v>6.0000000000000001E-3</v>
      </c>
      <c r="J400" s="1288">
        <v>4.1999999999999997E-3</v>
      </c>
      <c r="K400" s="1288">
        <v>3.5999999999999999E-3</v>
      </c>
      <c r="L400" s="1292">
        <f>IF(N$306=M$306,M400,ROUND(M400-((M400-N400)/(N$306-M$306))*(L$306-M$306),4))</f>
        <v>3.1800000000000002E-2</v>
      </c>
      <c r="M400" s="1292">
        <f>IF(M$306=15,C400,HLOOKUP($M$306,$D$306:$K$318,11,TRUE))</f>
        <v>3.1800000000000002E-2</v>
      </c>
      <c r="N400" s="1292">
        <f>IF(N$306=15,C400,HLOOKUP($N$306,$D$306:$K$318,11,TRUE))</f>
        <v>3.1800000000000002E-2</v>
      </c>
    </row>
    <row r="401" spans="1:14" s="1265" customFormat="1" ht="30" hidden="1">
      <c r="A401" s="1269" t="s">
        <v>328</v>
      </c>
      <c r="B401" s="1291" t="s">
        <v>4204</v>
      </c>
      <c r="C401" s="1288">
        <v>3.5099999999999999E-2</v>
      </c>
      <c r="D401" s="1288">
        <v>2.2800000000000001E-2</v>
      </c>
      <c r="E401" s="1288">
        <v>1.7999999999999999E-2</v>
      </c>
      <c r="F401" s="1288">
        <v>1.38E-2</v>
      </c>
      <c r="G401" s="1288">
        <v>1.0500000000000001E-2</v>
      </c>
      <c r="H401" s="1288">
        <v>7.7999999999999996E-3</v>
      </c>
      <c r="I401" s="1288">
        <v>6.6E-3</v>
      </c>
      <c r="J401" s="1288">
        <v>4.7999999999999996E-3</v>
      </c>
      <c r="K401" s="1288">
        <v>4.1999999999999997E-3</v>
      </c>
      <c r="L401" s="1292">
        <f>IF(N$306=M$306,M401,ROUND(M401-((M401-N401)/(N$306-M$306))*(L$306-M$306),4))</f>
        <v>3.5099999999999999E-2</v>
      </c>
      <c r="M401" s="1292">
        <f>IF(M$306=15,C401,HLOOKUP($M$306,$D$306:$K$318,12,TRUE))</f>
        <v>3.5099999999999999E-2</v>
      </c>
      <c r="N401" s="1292">
        <f>IF(N$306=15,C401,HLOOKUP($N$306,$D$306:$K$318,12,TRUE))</f>
        <v>3.5099999999999999E-2</v>
      </c>
    </row>
    <row r="402" spans="1:14" s="1265" customFormat="1" hidden="1">
      <c r="A402" s="1269" t="s">
        <v>329</v>
      </c>
      <c r="B402" s="727" t="s">
        <v>4205</v>
      </c>
      <c r="C402" s="1288">
        <v>3.6600000000000001E-2</v>
      </c>
      <c r="D402" s="1288">
        <v>2.46E-2</v>
      </c>
      <c r="E402" s="1288">
        <v>1.8599999999999998E-2</v>
      </c>
      <c r="F402" s="1288">
        <v>1.41E-2</v>
      </c>
      <c r="G402" s="1288">
        <v>1.11E-2</v>
      </c>
      <c r="H402" s="1288">
        <v>8.6999999999999994E-3</v>
      </c>
      <c r="I402" s="1288">
        <v>7.1999999999999998E-3</v>
      </c>
      <c r="J402" s="1288">
        <v>5.1000000000000004E-3</v>
      </c>
      <c r="K402" s="1288">
        <v>4.1999999999999997E-3</v>
      </c>
      <c r="L402" s="1292">
        <f>IF(N$306=M$306,M402,ROUND(M402-((M402-N402)/(N$306-M$306))*(L$306-M$306),4))</f>
        <v>3.6600000000000001E-2</v>
      </c>
      <c r="M402" s="1292">
        <f>IF(M$306=15,C402,HLOOKUP($M$306,$D$306:$K$318,13,TRUE))</f>
        <v>3.6600000000000001E-2</v>
      </c>
      <c r="N402" s="1292">
        <f>IF(N$306=15,C402,HLOOKUP($N$306,$D$306:$K$318,13,TRUE))</f>
        <v>3.6600000000000001E-2</v>
      </c>
    </row>
    <row r="403" spans="1:14" hidden="1">
      <c r="A403" s="10" t="s">
        <v>4528</v>
      </c>
      <c r="M403" s="1295">
        <f>IF(M$306=15,C403,HLOOKUP($M$306,$D$306:$K$318,2,TRUE))</f>
        <v>0</v>
      </c>
    </row>
    <row r="405" spans="1:14" hidden="1">
      <c r="A405" s="10" t="s">
        <v>2027</v>
      </c>
    </row>
  </sheetData>
  <mergeCells count="150">
    <mergeCell ref="A7:B7"/>
    <mergeCell ref="C7:D7"/>
    <mergeCell ref="A8:B8"/>
    <mergeCell ref="C8:D8"/>
    <mergeCell ref="A5:B5"/>
    <mergeCell ref="C5:D5"/>
    <mergeCell ref="A6:B6"/>
    <mergeCell ref="C6:D6"/>
    <mergeCell ref="A1:N1"/>
    <mergeCell ref="A2:N2"/>
    <mergeCell ref="A4:B4"/>
    <mergeCell ref="C4:D4"/>
    <mergeCell ref="A19:A20"/>
    <mergeCell ref="B19:B20"/>
    <mergeCell ref="C19:N19"/>
    <mergeCell ref="A28:G28"/>
    <mergeCell ref="A11:B11"/>
    <mergeCell ref="C11:D11"/>
    <mergeCell ref="A16:G16"/>
    <mergeCell ref="K17:N17"/>
    <mergeCell ref="A9:B9"/>
    <mergeCell ref="C9:D9"/>
    <mergeCell ref="A10:B10"/>
    <mergeCell ref="C10:D10"/>
    <mergeCell ref="A40:G40"/>
    <mergeCell ref="K41:N41"/>
    <mergeCell ref="A43:A44"/>
    <mergeCell ref="B43:B44"/>
    <mergeCell ref="C43:N43"/>
    <mergeCell ref="K29:N29"/>
    <mergeCell ref="A31:A32"/>
    <mergeCell ref="B31:B32"/>
    <mergeCell ref="C31:N31"/>
    <mergeCell ref="A64:G64"/>
    <mergeCell ref="J65:M65"/>
    <mergeCell ref="A67:A68"/>
    <mergeCell ref="B67:B68"/>
    <mergeCell ref="C67:M67"/>
    <mergeCell ref="A52:G52"/>
    <mergeCell ref="C53:F53"/>
    <mergeCell ref="A55:A56"/>
    <mergeCell ref="B55:B56"/>
    <mergeCell ref="C55:F55"/>
    <mergeCell ref="A148:M148"/>
    <mergeCell ref="K149:N149"/>
    <mergeCell ref="A151:A152"/>
    <mergeCell ref="B151:B152"/>
    <mergeCell ref="C151:N151"/>
    <mergeCell ref="A136:M136"/>
    <mergeCell ref="K137:N137"/>
    <mergeCell ref="A139:A140"/>
    <mergeCell ref="B139:B140"/>
    <mergeCell ref="C139:N139"/>
    <mergeCell ref="A172:M172"/>
    <mergeCell ref="I173:M173"/>
    <mergeCell ref="A175:A176"/>
    <mergeCell ref="B175:B176"/>
    <mergeCell ref="C175:M175"/>
    <mergeCell ref="A160:N160"/>
    <mergeCell ref="I161:M161"/>
    <mergeCell ref="A163:A164"/>
    <mergeCell ref="B163:B164"/>
    <mergeCell ref="C163:M163"/>
    <mergeCell ref="A192:M192"/>
    <mergeCell ref="I193:J193"/>
    <mergeCell ref="A195:A196"/>
    <mergeCell ref="B195:B196"/>
    <mergeCell ref="C195:J195"/>
    <mergeCell ref="A184:M184"/>
    <mergeCell ref="H185:I185"/>
    <mergeCell ref="A187:A188"/>
    <mergeCell ref="B187:B188"/>
    <mergeCell ref="C187:I187"/>
    <mergeCell ref="A216:M216"/>
    <mergeCell ref="I217:M217"/>
    <mergeCell ref="A219:A220"/>
    <mergeCell ref="B219:B220"/>
    <mergeCell ref="C219:M219"/>
    <mergeCell ref="A204:M204"/>
    <mergeCell ref="I205:J205"/>
    <mergeCell ref="A207:A208"/>
    <mergeCell ref="B207:B208"/>
    <mergeCell ref="C207:J207"/>
    <mergeCell ref="A240:M240"/>
    <mergeCell ref="F241:G241"/>
    <mergeCell ref="A243:A244"/>
    <mergeCell ref="B243:B244"/>
    <mergeCell ref="C243:G243"/>
    <mergeCell ref="A228:M228"/>
    <mergeCell ref="I229:M229"/>
    <mergeCell ref="A231:A232"/>
    <mergeCell ref="B231:B232"/>
    <mergeCell ref="C231:M231"/>
    <mergeCell ref="A274:N274"/>
    <mergeCell ref="A276:O276"/>
    <mergeCell ref="A277:B277"/>
    <mergeCell ref="I278:L278"/>
    <mergeCell ref="A257:N257"/>
    <mergeCell ref="A259:M259"/>
    <mergeCell ref="A266:M266"/>
    <mergeCell ref="A273:N273"/>
    <mergeCell ref="A246:N246"/>
    <mergeCell ref="A247:N247"/>
    <mergeCell ref="A249:M249"/>
    <mergeCell ref="A256:N256"/>
    <mergeCell ref="A305:A306"/>
    <mergeCell ref="B305:B306"/>
    <mergeCell ref="C305:K305"/>
    <mergeCell ref="A307:K307"/>
    <mergeCell ref="A288:K288"/>
    <mergeCell ref="A294:K294"/>
    <mergeCell ref="A302:B302"/>
    <mergeCell ref="I303:L303"/>
    <mergeCell ref="A280:A281"/>
    <mergeCell ref="B280:B281"/>
    <mergeCell ref="C280:K280"/>
    <mergeCell ref="A282:K282"/>
    <mergeCell ref="A325:N325"/>
    <mergeCell ref="I326:L326"/>
    <mergeCell ref="A328:A329"/>
    <mergeCell ref="B328:B329"/>
    <mergeCell ref="C328:I328"/>
    <mergeCell ref="A313:K313"/>
    <mergeCell ref="A321:N321"/>
    <mergeCell ref="A322:N322"/>
    <mergeCell ref="A324:O324"/>
    <mergeCell ref="A364:N364"/>
    <mergeCell ref="A366:O366"/>
    <mergeCell ref="A367:B367"/>
    <mergeCell ref="I368:L368"/>
    <mergeCell ref="A353:N353"/>
    <mergeCell ref="A354:N354"/>
    <mergeCell ref="A356:M356"/>
    <mergeCell ref="A363:N363"/>
    <mergeCell ref="A336:N336"/>
    <mergeCell ref="A337:N337"/>
    <mergeCell ref="A339:M339"/>
    <mergeCell ref="A346:M346"/>
    <mergeCell ref="A391:K391"/>
    <mergeCell ref="A397:K397"/>
    <mergeCell ref="A378:K378"/>
    <mergeCell ref="A386:B386"/>
    <mergeCell ref="I387:L387"/>
    <mergeCell ref="A389:A390"/>
    <mergeCell ref="B389:B390"/>
    <mergeCell ref="C389:K389"/>
    <mergeCell ref="A370:A371"/>
    <mergeCell ref="B370:B371"/>
    <mergeCell ref="C370:K370"/>
    <mergeCell ref="A372:K372"/>
  </mergeCells>
  <phoneticPr fontId="152" type="noConversion"/>
  <pageMargins left="0.75" right="0.75" top="1" bottom="1" header="0.5" footer="0.5"/>
  <pageSetup orientation="portrait"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tabColor indexed="32"/>
  </sheetPr>
  <dimension ref="A3:H67"/>
  <sheetViews>
    <sheetView topLeftCell="A19" workbookViewId="0">
      <selection activeCell="O57" sqref="O57"/>
    </sheetView>
  </sheetViews>
  <sheetFormatPr defaultRowHeight="12.75"/>
  <cols>
    <col min="2" max="2" width="18.6640625" customWidth="1"/>
  </cols>
  <sheetData>
    <row r="3" spans="1:8">
      <c r="A3" s="805"/>
      <c r="B3" s="805" t="s">
        <v>3340</v>
      </c>
      <c r="C3" s="805"/>
      <c r="D3" s="805"/>
      <c r="E3" s="805"/>
      <c r="F3" s="805"/>
      <c r="G3" s="805"/>
      <c r="H3" s="805"/>
    </row>
    <row r="4" spans="1:8">
      <c r="A4" s="804"/>
      <c r="B4" s="804" t="s">
        <v>3341</v>
      </c>
      <c r="C4" s="804"/>
      <c r="D4" s="804"/>
      <c r="E4" s="804"/>
      <c r="F4" s="804"/>
      <c r="G4" s="804"/>
      <c r="H4" s="804"/>
    </row>
    <row r="6" spans="1:8" ht="20.100000000000001" customHeight="1">
      <c r="B6" s="806" t="s">
        <v>2775</v>
      </c>
    </row>
    <row r="7" spans="1:8" ht="15.95" customHeight="1">
      <c r="B7" s="690" t="s">
        <v>3342</v>
      </c>
      <c r="C7" s="1934" t="s">
        <v>3345</v>
      </c>
      <c r="D7" s="1934" t="s">
        <v>3349</v>
      </c>
      <c r="E7" s="1934" t="s">
        <v>3348</v>
      </c>
      <c r="F7" s="1934" t="s">
        <v>3347</v>
      </c>
      <c r="G7" s="1934" t="s">
        <v>3346</v>
      </c>
    </row>
    <row r="8" spans="1:8" ht="15.95" customHeight="1">
      <c r="B8" s="690" t="s">
        <v>1862</v>
      </c>
      <c r="C8" s="1934"/>
      <c r="D8" s="1934"/>
      <c r="E8" s="1934"/>
      <c r="F8" s="1934"/>
      <c r="G8" s="1934"/>
    </row>
    <row r="9" spans="1:8" ht="15" customHeight="1">
      <c r="B9" s="803" t="s">
        <v>5018</v>
      </c>
      <c r="C9" s="803">
        <v>1</v>
      </c>
      <c r="D9" s="803">
        <v>2</v>
      </c>
      <c r="E9" s="803">
        <v>3</v>
      </c>
      <c r="F9" s="803">
        <v>4</v>
      </c>
      <c r="G9" s="803">
        <v>5</v>
      </c>
    </row>
    <row r="10" spans="1:8" ht="15" customHeight="1">
      <c r="B10" s="811">
        <v>1</v>
      </c>
      <c r="C10" s="808">
        <v>4760</v>
      </c>
      <c r="D10" s="808">
        <v>5664</v>
      </c>
      <c r="E10" s="807">
        <v>8327</v>
      </c>
      <c r="F10" s="808">
        <v>12073</v>
      </c>
      <c r="G10" s="808">
        <v>17507</v>
      </c>
    </row>
    <row r="11" spans="1:8" ht="15" customHeight="1">
      <c r="B11" s="811">
        <v>2</v>
      </c>
      <c r="C11" s="808">
        <v>2635</v>
      </c>
      <c r="D11" s="808">
        <v>3136</v>
      </c>
      <c r="E11" s="807">
        <v>4610</v>
      </c>
      <c r="F11" s="808">
        <v>6684</v>
      </c>
      <c r="G11" s="808">
        <v>9692</v>
      </c>
    </row>
    <row r="12" spans="1:8" ht="15" customHeight="1">
      <c r="B12" s="811">
        <v>3</v>
      </c>
      <c r="C12" s="808">
        <v>1896</v>
      </c>
      <c r="D12" s="808">
        <v>2256</v>
      </c>
      <c r="E12" s="807">
        <v>3316</v>
      </c>
      <c r="F12" s="808">
        <v>4808</v>
      </c>
      <c r="G12" s="808">
        <v>6972</v>
      </c>
    </row>
    <row r="13" spans="1:8" ht="15" customHeight="1">
      <c r="B13" s="811">
        <v>4</v>
      </c>
      <c r="C13" s="808">
        <v>1551</v>
      </c>
      <c r="D13" s="808">
        <v>1846</v>
      </c>
      <c r="E13" s="807">
        <v>2713</v>
      </c>
      <c r="F13" s="808">
        <v>3935</v>
      </c>
      <c r="G13" s="808">
        <v>5705</v>
      </c>
    </row>
    <row r="14" spans="1:8" ht="15" customHeight="1">
      <c r="B14" s="811">
        <v>5</v>
      </c>
      <c r="C14" s="808">
        <v>1360</v>
      </c>
      <c r="D14" s="808">
        <v>1618</v>
      </c>
      <c r="E14" s="807">
        <v>2379</v>
      </c>
      <c r="F14" s="808">
        <v>3449</v>
      </c>
      <c r="G14" s="808">
        <v>5002</v>
      </c>
    </row>
    <row r="15" spans="1:8" ht="15" customHeight="1">
      <c r="B15" s="811">
        <v>6</v>
      </c>
      <c r="C15" s="808">
        <v>1229</v>
      </c>
      <c r="D15" s="808">
        <v>1463</v>
      </c>
      <c r="E15" s="807">
        <v>2150</v>
      </c>
      <c r="F15" s="808">
        <v>3118</v>
      </c>
      <c r="G15" s="808">
        <v>4520</v>
      </c>
    </row>
    <row r="16" spans="1:8" ht="15" customHeight="1">
      <c r="B16" s="811">
        <v>7</v>
      </c>
      <c r="C16" s="808">
        <v>1133</v>
      </c>
      <c r="D16" s="808">
        <v>1348</v>
      </c>
      <c r="E16" s="807">
        <v>1982</v>
      </c>
      <c r="F16" s="808">
        <v>2874</v>
      </c>
      <c r="G16" s="808">
        <v>4168</v>
      </c>
    </row>
    <row r="17" spans="2:7" ht="15" customHeight="1">
      <c r="B17" s="811">
        <v>8</v>
      </c>
      <c r="C17" s="808">
        <v>1058</v>
      </c>
      <c r="D17" s="808">
        <v>1260</v>
      </c>
      <c r="E17" s="807">
        <v>1851</v>
      </c>
      <c r="F17" s="808">
        <v>2684</v>
      </c>
      <c r="G17" s="808">
        <v>3892</v>
      </c>
    </row>
    <row r="18" spans="2:7" ht="15" customHeight="1">
      <c r="B18" s="811">
        <v>9</v>
      </c>
      <c r="C18" s="808">
        <v>997</v>
      </c>
      <c r="D18" s="808">
        <v>1187</v>
      </c>
      <c r="E18" s="807">
        <v>1744</v>
      </c>
      <c r="F18" s="808">
        <v>2529</v>
      </c>
      <c r="G18" s="808">
        <v>3667</v>
      </c>
    </row>
    <row r="19" spans="2:7" ht="15" customHeight="1">
      <c r="B19" s="811">
        <v>10</v>
      </c>
      <c r="C19" s="808">
        <v>947</v>
      </c>
      <c r="D19" s="808">
        <v>1127</v>
      </c>
      <c r="E19" s="807">
        <v>1657</v>
      </c>
      <c r="F19" s="808">
        <v>2402</v>
      </c>
      <c r="G19" s="808">
        <v>3482</v>
      </c>
    </row>
    <row r="20" spans="2:7" ht="15" customHeight="1">
      <c r="B20" s="811">
        <v>11</v>
      </c>
      <c r="C20" s="808">
        <v>904</v>
      </c>
      <c r="D20" s="808">
        <v>1075</v>
      </c>
      <c r="E20" s="807">
        <v>1581</v>
      </c>
      <c r="F20" s="808">
        <v>2292</v>
      </c>
      <c r="G20" s="808">
        <v>3324</v>
      </c>
    </row>
    <row r="21" spans="2:7" ht="15" customHeight="1">
      <c r="B21" s="811">
        <v>12</v>
      </c>
      <c r="C21" s="808">
        <v>864</v>
      </c>
      <c r="D21" s="808">
        <v>1028</v>
      </c>
      <c r="E21" s="807">
        <v>1510</v>
      </c>
      <c r="F21" s="808">
        <v>2190</v>
      </c>
      <c r="G21" s="808">
        <v>3176</v>
      </c>
    </row>
    <row r="22" spans="2:7" ht="15" customHeight="1">
      <c r="B22" s="811">
        <v>13</v>
      </c>
      <c r="C22" s="808">
        <v>823</v>
      </c>
      <c r="D22" s="808">
        <v>979</v>
      </c>
      <c r="E22" s="807">
        <v>1439</v>
      </c>
      <c r="F22" s="808">
        <v>2087</v>
      </c>
      <c r="G22" s="808">
        <v>3026</v>
      </c>
    </row>
    <row r="23" spans="2:7" ht="15" customHeight="1">
      <c r="B23" s="811">
        <v>14</v>
      </c>
      <c r="C23" s="808">
        <v>785</v>
      </c>
      <c r="D23" s="808">
        <v>935</v>
      </c>
      <c r="E23" s="807">
        <v>1374</v>
      </c>
      <c r="F23" s="808">
        <v>1992</v>
      </c>
      <c r="G23" s="808">
        <v>2888</v>
      </c>
    </row>
    <row r="24" spans="2:7" ht="15" customHeight="1">
      <c r="B24" s="811">
        <v>15</v>
      </c>
      <c r="C24" s="808">
        <v>751</v>
      </c>
      <c r="D24" s="808">
        <v>893</v>
      </c>
      <c r="E24" s="807">
        <v>1313</v>
      </c>
      <c r="F24" s="808">
        <v>1904</v>
      </c>
      <c r="G24" s="808">
        <v>2761</v>
      </c>
    </row>
    <row r="25" spans="2:7" ht="15" customHeight="1">
      <c r="B25" s="811">
        <v>16</v>
      </c>
      <c r="C25" s="808">
        <v>719</v>
      </c>
      <c r="D25" s="808">
        <v>856</v>
      </c>
      <c r="E25" s="807">
        <v>1258</v>
      </c>
      <c r="F25" s="808">
        <v>1824</v>
      </c>
      <c r="G25" s="808">
        <v>2645</v>
      </c>
    </row>
    <row r="26" spans="2:7" ht="15" customHeight="1">
      <c r="B26" s="811">
        <v>17</v>
      </c>
      <c r="C26" s="808">
        <v>697</v>
      </c>
      <c r="D26" s="808">
        <v>830</v>
      </c>
      <c r="E26" s="807">
        <v>1219</v>
      </c>
      <c r="F26" s="808">
        <v>1768</v>
      </c>
      <c r="G26" s="808">
        <v>2564</v>
      </c>
    </row>
    <row r="27" spans="2:7" ht="15" customHeight="1">
      <c r="B27" s="811">
        <v>18</v>
      </c>
      <c r="C27" s="808">
        <v>979</v>
      </c>
      <c r="D27" s="808">
        <v>808</v>
      </c>
      <c r="E27" s="807">
        <v>1188</v>
      </c>
      <c r="F27" s="808">
        <v>1723</v>
      </c>
      <c r="G27" s="808">
        <v>2498</v>
      </c>
    </row>
    <row r="28" spans="2:7" ht="15" customHeight="1">
      <c r="B28" s="811">
        <v>19</v>
      </c>
      <c r="C28" s="808">
        <v>660</v>
      </c>
      <c r="D28" s="808">
        <v>785</v>
      </c>
      <c r="E28" s="807">
        <v>1153</v>
      </c>
      <c r="F28" s="808">
        <v>1673</v>
      </c>
      <c r="G28" s="808">
        <v>2426</v>
      </c>
    </row>
    <row r="29" spans="2:7" ht="15" customHeight="1">
      <c r="B29" s="811">
        <v>20</v>
      </c>
      <c r="C29" s="808">
        <v>638</v>
      </c>
      <c r="D29" s="808">
        <v>759</v>
      </c>
      <c r="E29" s="807">
        <v>1115</v>
      </c>
      <c r="F29" s="808">
        <v>1617</v>
      </c>
      <c r="G29" s="808">
        <v>2344</v>
      </c>
    </row>
    <row r="30" spans="2:7" ht="15" customHeight="1">
      <c r="B30" s="811">
        <v>21</v>
      </c>
      <c r="C30" s="808">
        <v>612</v>
      </c>
      <c r="D30" s="808">
        <v>728</v>
      </c>
      <c r="E30" s="807">
        <v>1070</v>
      </c>
      <c r="F30" s="808">
        <v>1552</v>
      </c>
      <c r="G30" s="808">
        <v>2251</v>
      </c>
    </row>
    <row r="31" spans="2:7" ht="15" customHeight="1">
      <c r="B31" s="811">
        <v>22</v>
      </c>
      <c r="C31" s="808">
        <v>588</v>
      </c>
      <c r="D31" s="808">
        <v>700</v>
      </c>
      <c r="E31" s="807">
        <v>1029</v>
      </c>
      <c r="F31" s="808">
        <v>1492</v>
      </c>
      <c r="G31" s="808">
        <v>2163</v>
      </c>
    </row>
    <row r="32" spans="2:7" ht="15" customHeight="1">
      <c r="B32" s="811">
        <v>23</v>
      </c>
      <c r="C32" s="808">
        <v>567</v>
      </c>
      <c r="D32" s="808">
        <v>675</v>
      </c>
      <c r="E32" s="807">
        <v>992</v>
      </c>
      <c r="F32" s="808">
        <v>1438</v>
      </c>
      <c r="G32" s="808">
        <v>2085</v>
      </c>
    </row>
    <row r="33" spans="2:7" ht="15" customHeight="1">
      <c r="B33" s="811">
        <v>24</v>
      </c>
      <c r="C33" s="808">
        <v>548</v>
      </c>
      <c r="D33" s="808">
        <v>653</v>
      </c>
      <c r="E33" s="807">
        <v>959</v>
      </c>
      <c r="F33" s="808">
        <v>1391</v>
      </c>
      <c r="G33" s="808">
        <v>2016</v>
      </c>
    </row>
    <row r="34" spans="2:7" ht="15" customHeight="1">
      <c r="B34" s="811">
        <v>25</v>
      </c>
      <c r="C34" s="808">
        <v>530</v>
      </c>
      <c r="D34" s="808">
        <v>632</v>
      </c>
      <c r="E34" s="807">
        <v>928</v>
      </c>
      <c r="F34" s="808">
        <v>1346</v>
      </c>
      <c r="G34" s="808">
        <v>1951</v>
      </c>
    </row>
    <row r="35" spans="2:7" ht="15" customHeight="1">
      <c r="B35" s="811">
        <v>26</v>
      </c>
      <c r="C35" s="808">
        <v>513</v>
      </c>
      <c r="D35" s="808">
        <v>611</v>
      </c>
      <c r="E35" s="807">
        <v>898</v>
      </c>
      <c r="F35" s="808">
        <v>1302</v>
      </c>
      <c r="G35" s="808">
        <v>1888</v>
      </c>
    </row>
    <row r="36" spans="2:7" ht="15" customHeight="1">
      <c r="B36" s="811">
        <v>27</v>
      </c>
      <c r="C36" s="808">
        <v>496</v>
      </c>
      <c r="D36" s="808">
        <v>591</v>
      </c>
      <c r="E36" s="807">
        <v>869</v>
      </c>
      <c r="F36" s="808">
        <v>1259</v>
      </c>
      <c r="G36" s="808">
        <v>1826</v>
      </c>
    </row>
    <row r="37" spans="2:7" ht="15" customHeight="1">
      <c r="B37" s="811">
        <v>28</v>
      </c>
      <c r="C37" s="808">
        <v>479</v>
      </c>
      <c r="D37" s="808">
        <v>570</v>
      </c>
      <c r="E37" s="807">
        <v>839</v>
      </c>
      <c r="F37" s="808">
        <v>1216</v>
      </c>
      <c r="G37" s="808">
        <v>1763</v>
      </c>
    </row>
    <row r="38" spans="2:7" ht="15" customHeight="1">
      <c r="B38" s="811">
        <v>29</v>
      </c>
      <c r="C38" s="808">
        <v>463</v>
      </c>
      <c r="D38" s="808">
        <v>552</v>
      </c>
      <c r="E38" s="807">
        <v>810</v>
      </c>
      <c r="F38" s="808">
        <v>1175</v>
      </c>
      <c r="G38" s="808">
        <v>1703</v>
      </c>
    </row>
    <row r="39" spans="2:7" ht="15" customHeight="1">
      <c r="B39" s="811">
        <v>30</v>
      </c>
      <c r="C39" s="808">
        <v>449</v>
      </c>
      <c r="D39" s="808">
        <v>534</v>
      </c>
      <c r="E39" s="807">
        <v>785</v>
      </c>
      <c r="F39" s="808">
        <v>1138</v>
      </c>
      <c r="G39" s="808">
        <v>1651</v>
      </c>
    </row>
    <row r="40" spans="2:7" ht="15" customHeight="1">
      <c r="B40" s="811" t="s">
        <v>5191</v>
      </c>
      <c r="C40" s="808">
        <v>435</v>
      </c>
      <c r="D40" s="808">
        <v>518</v>
      </c>
      <c r="E40" s="807">
        <v>762</v>
      </c>
      <c r="F40" s="808">
        <v>1104</v>
      </c>
      <c r="G40" s="808">
        <v>1601</v>
      </c>
    </row>
    <row r="41" spans="2:7" ht="15" customHeight="1">
      <c r="B41" s="811" t="s">
        <v>5192</v>
      </c>
      <c r="C41" s="808">
        <v>423</v>
      </c>
      <c r="D41" s="808">
        <v>504</v>
      </c>
      <c r="E41" s="807">
        <v>740</v>
      </c>
      <c r="F41" s="808">
        <v>1074</v>
      </c>
      <c r="G41" s="808">
        <v>1557</v>
      </c>
    </row>
    <row r="42" spans="2:7" ht="15" customHeight="1">
      <c r="B42" s="811" t="s">
        <v>5193</v>
      </c>
      <c r="C42" s="808">
        <v>414</v>
      </c>
      <c r="D42" s="808">
        <v>493</v>
      </c>
      <c r="E42" s="807">
        <v>724</v>
      </c>
      <c r="F42" s="808">
        <v>1050</v>
      </c>
      <c r="G42" s="808">
        <v>1522</v>
      </c>
    </row>
    <row r="43" spans="2:7" ht="15" customHeight="1">
      <c r="B43" s="811" t="s">
        <v>5194</v>
      </c>
      <c r="C43" s="808">
        <v>405</v>
      </c>
      <c r="D43" s="808">
        <v>483</v>
      </c>
      <c r="E43" s="807">
        <v>709</v>
      </c>
      <c r="F43" s="808">
        <v>1029</v>
      </c>
      <c r="G43" s="808">
        <v>1491</v>
      </c>
    </row>
    <row r="44" spans="2:7" ht="15" customHeight="1">
      <c r="B44" s="811" t="s">
        <v>5195</v>
      </c>
      <c r="C44" s="808">
        <v>398</v>
      </c>
      <c r="D44" s="808">
        <v>473</v>
      </c>
      <c r="E44" s="807">
        <v>696</v>
      </c>
      <c r="F44" s="808">
        <v>1009</v>
      </c>
      <c r="G44" s="808">
        <v>1463</v>
      </c>
    </row>
    <row r="45" spans="2:7" ht="15" customHeight="1">
      <c r="B45" s="811" t="s">
        <v>5196</v>
      </c>
      <c r="C45" s="808">
        <v>391</v>
      </c>
      <c r="D45" s="808">
        <v>465</v>
      </c>
      <c r="E45" s="807">
        <v>684</v>
      </c>
      <c r="F45" s="808">
        <v>992</v>
      </c>
      <c r="G45" s="808">
        <v>1438</v>
      </c>
    </row>
    <row r="46" spans="2:7" ht="15" customHeight="1">
      <c r="B46" s="811" t="s">
        <v>5197</v>
      </c>
      <c r="C46" s="808">
        <v>385</v>
      </c>
      <c r="D46" s="808">
        <v>458</v>
      </c>
      <c r="E46" s="807">
        <v>673</v>
      </c>
      <c r="F46" s="808">
        <v>977</v>
      </c>
      <c r="G46" s="808">
        <v>1416</v>
      </c>
    </row>
    <row r="47" spans="2:7" ht="15" customHeight="1">
      <c r="B47" s="811" t="s">
        <v>2770</v>
      </c>
      <c r="C47" s="808">
        <v>380</v>
      </c>
      <c r="D47" s="808">
        <v>452</v>
      </c>
      <c r="E47" s="807">
        <v>665</v>
      </c>
      <c r="F47" s="808">
        <v>964</v>
      </c>
      <c r="G47" s="808">
        <v>1397</v>
      </c>
    </row>
    <row r="48" spans="2:7" ht="15" customHeight="1">
      <c r="B48" s="811" t="s">
        <v>2771</v>
      </c>
      <c r="C48" s="808">
        <v>376</v>
      </c>
      <c r="D48" s="808">
        <v>447</v>
      </c>
      <c r="E48" s="807">
        <v>657</v>
      </c>
      <c r="F48" s="808">
        <v>953</v>
      </c>
      <c r="G48" s="808">
        <v>1382</v>
      </c>
    </row>
    <row r="49" spans="1:7" ht="15" customHeight="1">
      <c r="B49" s="811" t="s">
        <v>2772</v>
      </c>
      <c r="C49" s="808">
        <v>372</v>
      </c>
      <c r="D49" s="808">
        <v>443</v>
      </c>
      <c r="E49" s="807">
        <v>651</v>
      </c>
      <c r="F49" s="808">
        <v>944</v>
      </c>
      <c r="G49" s="808">
        <v>1369</v>
      </c>
    </row>
    <row r="50" spans="1:7" ht="15" customHeight="1">
      <c r="B50" s="812" t="s">
        <v>2773</v>
      </c>
      <c r="C50" s="809">
        <v>370</v>
      </c>
      <c r="D50" s="809">
        <v>440</v>
      </c>
      <c r="E50" s="810">
        <v>647</v>
      </c>
      <c r="F50" s="809">
        <v>938</v>
      </c>
      <c r="G50" s="809">
        <v>1360</v>
      </c>
    </row>
    <row r="53" spans="1:7" ht="20.100000000000001" customHeight="1">
      <c r="B53" s="806" t="s">
        <v>2774</v>
      </c>
    </row>
    <row r="54" spans="1:7" ht="15.95" customHeight="1">
      <c r="B54" s="1934" t="s">
        <v>2776</v>
      </c>
      <c r="C54" s="1934"/>
      <c r="D54" s="1934" t="s">
        <v>2777</v>
      </c>
      <c r="E54" s="1934"/>
      <c r="F54" s="1934"/>
      <c r="G54" s="1934"/>
    </row>
    <row r="55" spans="1:7" ht="15.95" customHeight="1">
      <c r="B55" s="1934"/>
      <c r="C55" s="1934"/>
      <c r="D55" s="1934" t="s">
        <v>2779</v>
      </c>
      <c r="E55" s="1934"/>
      <c r="F55" s="1934" t="s">
        <v>2411</v>
      </c>
      <c r="G55" s="1934"/>
    </row>
    <row r="56" spans="1:7">
      <c r="B56" s="1934" t="s">
        <v>5021</v>
      </c>
      <c r="C56" s="1934"/>
      <c r="D56" s="1934">
        <v>1</v>
      </c>
      <c r="E56" s="1934"/>
      <c r="F56" s="1934">
        <v>2</v>
      </c>
      <c r="G56" s="1934"/>
    </row>
    <row r="57" spans="1:7" ht="45" customHeight="1">
      <c r="B57" s="1934" t="s">
        <v>2778</v>
      </c>
      <c r="C57" s="1934"/>
      <c r="D57" s="1934">
        <v>19700</v>
      </c>
      <c r="E57" s="1934"/>
      <c r="F57" s="1934">
        <v>135</v>
      </c>
      <c r="G57" s="1934"/>
    </row>
    <row r="58" spans="1:7" ht="45" customHeight="1">
      <c r="B58" s="1934" t="s">
        <v>2412</v>
      </c>
      <c r="C58" s="1934"/>
      <c r="D58" s="1934">
        <v>21600</v>
      </c>
      <c r="E58" s="1934"/>
      <c r="F58" s="1934">
        <v>148</v>
      </c>
      <c r="G58" s="1934"/>
    </row>
    <row r="59" spans="1:7" ht="45" customHeight="1">
      <c r="B59" s="1934" t="s">
        <v>6003</v>
      </c>
      <c r="C59" s="1934"/>
      <c r="D59" s="1934">
        <v>23900</v>
      </c>
      <c r="E59" s="1934"/>
      <c r="F59" s="1934">
        <v>162</v>
      </c>
      <c r="G59" s="1934"/>
    </row>
    <row r="61" spans="1:7" ht="20.100000000000001" customHeight="1">
      <c r="B61" s="806" t="s">
        <v>1064</v>
      </c>
    </row>
    <row r="63" spans="1:7">
      <c r="A63">
        <v>1</v>
      </c>
      <c r="B63" t="s">
        <v>1065</v>
      </c>
      <c r="G63" t="s">
        <v>1068</v>
      </c>
    </row>
    <row r="64" spans="1:7">
      <c r="A64">
        <v>2</v>
      </c>
      <c r="B64" t="s">
        <v>1066</v>
      </c>
      <c r="G64" t="s">
        <v>1074</v>
      </c>
    </row>
    <row r="65" spans="1:7">
      <c r="A65">
        <v>3</v>
      </c>
      <c r="B65" t="s">
        <v>1067</v>
      </c>
      <c r="G65" t="s">
        <v>1069</v>
      </c>
    </row>
    <row r="66" spans="1:7">
      <c r="A66">
        <v>4</v>
      </c>
      <c r="B66" t="s">
        <v>1070</v>
      </c>
      <c r="G66" t="s">
        <v>1071</v>
      </c>
    </row>
    <row r="67" spans="1:7">
      <c r="A67">
        <v>5</v>
      </c>
      <c r="B67" t="s">
        <v>1072</v>
      </c>
      <c r="G67" t="s">
        <v>1073</v>
      </c>
    </row>
  </sheetData>
  <mergeCells count="21">
    <mergeCell ref="D56:E56"/>
    <mergeCell ref="G7:G8"/>
    <mergeCell ref="C7:C8"/>
    <mergeCell ref="D7:D8"/>
    <mergeCell ref="E7:E8"/>
    <mergeCell ref="F7:F8"/>
    <mergeCell ref="D55:E55"/>
    <mergeCell ref="F55:G55"/>
    <mergeCell ref="F56:G56"/>
    <mergeCell ref="B56:C56"/>
    <mergeCell ref="D54:G54"/>
    <mergeCell ref="B54:C55"/>
    <mergeCell ref="B59:C59"/>
    <mergeCell ref="D59:E59"/>
    <mergeCell ref="F59:G59"/>
    <mergeCell ref="B57:C57"/>
    <mergeCell ref="D57:E57"/>
    <mergeCell ref="D58:E58"/>
    <mergeCell ref="F58:G58"/>
    <mergeCell ref="F57:G57"/>
    <mergeCell ref="B58:C58"/>
  </mergeCells>
  <phoneticPr fontId="152" type="noConversion"/>
  <pageMargins left="0.75" right="0.75" top="1" bottom="1" header="0.5" footer="0.5"/>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2"/>
  <dimension ref="A1:C35"/>
  <sheetViews>
    <sheetView workbookViewId="0"/>
  </sheetViews>
  <sheetFormatPr defaultColWidth="10.6640625" defaultRowHeight="12.75"/>
  <cols>
    <col min="1" max="1" width="34.83203125" style="283" customWidth="1"/>
    <col min="2" max="2" width="1.5" style="283" customWidth="1"/>
    <col min="3" max="3" width="37.5" style="283" customWidth="1"/>
    <col min="4" max="16384" width="10.6640625" style="283"/>
  </cols>
  <sheetData>
    <row r="1" spans="1:3" ht="13.5" thickBot="1"/>
    <row r="2" spans="1:3" ht="13.5" thickBot="1">
      <c r="A2" s="284" t="s">
        <v>2331</v>
      </c>
      <c r="C2" s="284" t="s">
        <v>2332</v>
      </c>
    </row>
    <row r="3" spans="1:3">
      <c r="A3" s="285" t="s">
        <v>3804</v>
      </c>
      <c r="C3" s="289"/>
    </row>
    <row r="4" spans="1:3">
      <c r="A4" s="286" t="s">
        <v>2487</v>
      </c>
      <c r="C4" s="289"/>
    </row>
    <row r="5" spans="1:3">
      <c r="A5" s="287" t="s">
        <v>1620</v>
      </c>
      <c r="C5" s="289"/>
    </row>
    <row r="6" spans="1:3" ht="13.5" thickBot="1">
      <c r="A6" s="288">
        <v>3</v>
      </c>
      <c r="C6" s="289"/>
    </row>
    <row r="7" spans="1:3">
      <c r="C7" s="289"/>
    </row>
    <row r="8" spans="1:3" ht="13.5" thickBot="1">
      <c r="C8" s="289"/>
    </row>
    <row r="9" spans="1:3" ht="13.5" thickBot="1">
      <c r="A9" s="284" t="s">
        <v>4388</v>
      </c>
    </row>
    <row r="10" spans="1:3" ht="13.5" thickBot="1">
      <c r="A10" s="289"/>
      <c r="C10" s="284" t="s">
        <v>4389</v>
      </c>
    </row>
    <row r="11" spans="1:3">
      <c r="A11" s="289"/>
      <c r="C11" s="289"/>
    </row>
    <row r="12" spans="1:3">
      <c r="A12" s="289"/>
      <c r="C12" s="289"/>
    </row>
    <row r="13" spans="1:3">
      <c r="A13" s="289"/>
      <c r="C13" s="289"/>
    </row>
    <row r="14" spans="1:3">
      <c r="A14" s="289"/>
      <c r="C14" s="289"/>
    </row>
    <row r="15" spans="1:3">
      <c r="A15" s="289"/>
      <c r="C15" s="289"/>
    </row>
    <row r="16" spans="1:3">
      <c r="A16" s="289"/>
      <c r="C16" s="289"/>
    </row>
    <row r="17" spans="1:3">
      <c r="A17" s="289"/>
      <c r="C17" s="289"/>
    </row>
    <row r="18" spans="1:3">
      <c r="A18" s="289"/>
      <c r="C18" s="289"/>
    </row>
    <row r="19" spans="1:3">
      <c r="A19" s="289"/>
      <c r="C19" s="289"/>
    </row>
    <row r="20" spans="1:3" ht="13.5" thickBot="1">
      <c r="A20" s="289"/>
      <c r="C20" s="289"/>
    </row>
    <row r="21" spans="1:3" ht="13.5" thickBot="1">
      <c r="A21" s="289"/>
    </row>
    <row r="22" spans="1:3" ht="13.5" thickBot="1">
      <c r="A22" s="289"/>
      <c r="C22" s="284" t="s">
        <v>6320</v>
      </c>
    </row>
    <row r="23" spans="1:3">
      <c r="A23" s="289"/>
      <c r="C23" s="289"/>
    </row>
    <row r="24" spans="1:3">
      <c r="A24" s="289"/>
      <c r="C24" s="289"/>
    </row>
    <row r="25" spans="1:3">
      <c r="A25" s="289"/>
      <c r="C25" s="289"/>
    </row>
    <row r="26" spans="1:3">
      <c r="A26" s="289"/>
      <c r="C26" s="289"/>
    </row>
    <row r="27" spans="1:3">
      <c r="A27" s="289"/>
      <c r="C27" s="289"/>
    </row>
    <row r="28" spans="1:3">
      <c r="A28" s="289"/>
      <c r="C28" s="289"/>
    </row>
    <row r="29" spans="1:3">
      <c r="A29" s="289"/>
      <c r="C29" s="289"/>
    </row>
    <row r="30" spans="1:3" ht="13.5" thickBot="1">
      <c r="A30" s="289"/>
      <c r="C30" s="289"/>
    </row>
    <row r="31" spans="1:3">
      <c r="C31" s="289"/>
    </row>
    <row r="32" spans="1:3" ht="13.5" thickBot="1">
      <c r="C32" s="289"/>
    </row>
    <row r="33" spans="1:3">
      <c r="A33" s="289"/>
      <c r="C33" s="289"/>
    </row>
    <row r="34" spans="1:3">
      <c r="A34" s="289"/>
      <c r="C34" s="289"/>
    </row>
    <row r="35" spans="1:3" ht="13.5" thickBot="1">
      <c r="A35" s="289"/>
      <c r="C35" s="289"/>
    </row>
  </sheetData>
  <sheetProtection password="CFB0" sheet="1" objects="1"/>
  <phoneticPr fontId="28" type="noConversion"/>
  <pageMargins left="0.75" right="0.75" top="0.41" bottom="0.5" header="0.22" footer="0.27"/>
  <pageSetup paperSize="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I71"/>
  <sheetViews>
    <sheetView workbookViewId="0">
      <selection activeCell="C7" sqref="C7"/>
    </sheetView>
  </sheetViews>
  <sheetFormatPr defaultColWidth="10.1640625" defaultRowHeight="15.75"/>
  <cols>
    <col min="1" max="1" width="5.6640625" style="1532" bestFit="1" customWidth="1"/>
    <col min="2" max="2" width="38" style="1534" customWidth="1"/>
    <col min="3" max="3" width="11" style="1534" customWidth="1"/>
    <col min="4" max="4" width="22.83203125" style="1534" customWidth="1"/>
    <col min="5" max="5" width="21.83203125" style="1534" customWidth="1"/>
    <col min="6" max="6" width="11.6640625" style="1534" customWidth="1"/>
    <col min="7" max="7" width="17.83203125" style="1534" customWidth="1"/>
    <col min="8" max="8" width="22.5" style="1534" customWidth="1"/>
    <col min="9" max="9" width="21.83203125" style="1534" bestFit="1" customWidth="1"/>
    <col min="10" max="10" width="13.5" style="1534" customWidth="1"/>
    <col min="11" max="16384" width="10.1640625" style="1534"/>
  </cols>
  <sheetData>
    <row r="1" spans="1:9" s="1529" customFormat="1" ht="16.5">
      <c r="A1" s="1934" t="s">
        <v>6425</v>
      </c>
      <c r="B1" s="1934"/>
      <c r="C1" s="1934"/>
      <c r="D1" s="1934"/>
      <c r="E1" s="1934"/>
      <c r="F1" s="1934"/>
      <c r="G1" s="1934"/>
      <c r="H1" s="1934"/>
    </row>
    <row r="2" spans="1:9" s="1529" customFormat="1" ht="16.5">
      <c r="A2" s="1934" t="s">
        <v>6499</v>
      </c>
      <c r="B2" s="1934"/>
      <c r="C2" s="1934"/>
      <c r="D2" s="1934"/>
      <c r="E2" s="1934"/>
      <c r="F2" s="1934"/>
      <c r="G2" s="1934"/>
      <c r="H2" s="1934"/>
    </row>
    <row r="3" spans="1:9" s="1529" customFormat="1" ht="12.75" customHeight="1">
      <c r="A3" s="1530"/>
      <c r="B3" s="1934"/>
      <c r="C3" s="1934"/>
      <c r="D3" s="1934"/>
      <c r="E3" s="1934"/>
      <c r="F3" s="1934"/>
      <c r="G3" s="1934"/>
    </row>
    <row r="4" spans="1:9" s="1529" customFormat="1" ht="34.5" customHeight="1">
      <c r="A4" s="1934" t="s">
        <v>6498</v>
      </c>
      <c r="B4" s="1934"/>
      <c r="C4" s="1934"/>
      <c r="D4" s="1934"/>
      <c r="E4" s="1934"/>
      <c r="F4" s="1934"/>
      <c r="G4" s="1934"/>
      <c r="H4" s="1934"/>
    </row>
    <row r="5" spans="1:9">
      <c r="B5" s="1533"/>
    </row>
    <row r="6" spans="1:9" ht="31.5">
      <c r="A6" s="1535" t="s">
        <v>6342</v>
      </c>
      <c r="B6" s="1536" t="s">
        <v>6426</v>
      </c>
      <c r="C6" s="1536" t="s">
        <v>6427</v>
      </c>
      <c r="D6" s="1537" t="s">
        <v>6428</v>
      </c>
      <c r="E6" s="1537" t="s">
        <v>6429</v>
      </c>
      <c r="F6" s="1537" t="s">
        <v>133</v>
      </c>
      <c r="G6" s="1537" t="s">
        <v>6430</v>
      </c>
      <c r="H6" s="1536" t="s">
        <v>5870</v>
      </c>
    </row>
    <row r="7" spans="1:9" s="1529" customFormat="1" ht="16.5">
      <c r="A7" s="1538" t="s">
        <v>5284</v>
      </c>
      <c r="B7" s="1539" t="s">
        <v>6441</v>
      </c>
      <c r="C7" s="1539" t="s">
        <v>6431</v>
      </c>
      <c r="D7" s="1540" t="s">
        <v>6432</v>
      </c>
      <c r="E7" s="1541">
        <f>ROUNDUP(SUM(E8:E8),0)</f>
        <v>208340333</v>
      </c>
      <c r="F7" s="1542">
        <v>0.1</v>
      </c>
      <c r="G7" s="1543">
        <f>ROUNDUP(E7*1.1,0)</f>
        <v>229174367</v>
      </c>
      <c r="H7" s="1544"/>
    </row>
    <row r="8" spans="1:9" ht="16.5">
      <c r="A8" s="1545">
        <v>1</v>
      </c>
      <c r="B8" s="1546" t="e">
        <f>VTTB!#REF!</f>
        <v>#REF!</v>
      </c>
      <c r="C8" s="1540" t="s">
        <v>6433</v>
      </c>
      <c r="D8" s="1547" t="s">
        <v>6434</v>
      </c>
      <c r="E8" s="1548">
        <v>208340333</v>
      </c>
      <c r="F8" s="1549"/>
      <c r="G8" s="1550"/>
      <c r="H8" s="1545"/>
    </row>
    <row r="9" spans="1:9" s="1555" customFormat="1" ht="16.5">
      <c r="A9" s="1551" t="s">
        <v>1233</v>
      </c>
      <c r="B9" s="1552" t="s">
        <v>3305</v>
      </c>
      <c r="C9" s="1552" t="s">
        <v>6435</v>
      </c>
      <c r="D9" s="1553" t="s">
        <v>6436</v>
      </c>
      <c r="E9" s="1541">
        <f>ROUND(5%*E7,0)</f>
        <v>10417017</v>
      </c>
      <c r="F9" s="1542">
        <v>0.1</v>
      </c>
      <c r="G9" s="1543">
        <f>ROUND(E9*1.1,0)</f>
        <v>11458719</v>
      </c>
      <c r="H9" s="1554"/>
    </row>
    <row r="10" spans="1:9" s="1555" customFormat="1" ht="16.5">
      <c r="A10" s="1551" t="s">
        <v>4085</v>
      </c>
      <c r="B10" s="1552" t="s">
        <v>6437</v>
      </c>
      <c r="C10" s="1552"/>
      <c r="D10" s="1553"/>
      <c r="E10" s="1556">
        <f>SUM(E7,E9)</f>
        <v>218757350</v>
      </c>
      <c r="F10" s="1542"/>
      <c r="G10" s="1543">
        <f>SUM(G7,G9)</f>
        <v>240633086</v>
      </c>
      <c r="H10" s="1554"/>
      <c r="I10" s="1631">
        <f>Sheet7!Y27+Sheet7!Y28</f>
        <v>200256351</v>
      </c>
    </row>
    <row r="11" spans="1:9" s="1555" customFormat="1" ht="16.5">
      <c r="A11" s="1934" t="e">
        <v>#NAME?</v>
      </c>
      <c r="B11" s="1934"/>
      <c r="C11" s="1934"/>
      <c r="D11" s="1934"/>
      <c r="E11" s="1934"/>
      <c r="F11" s="1934"/>
      <c r="G11" s="1934"/>
      <c r="H11" s="1934"/>
    </row>
    <row r="12" spans="1:9" s="1529" customFormat="1" ht="16.5">
      <c r="A12" s="1530"/>
      <c r="B12" s="1557"/>
    </row>
    <row r="13" spans="1:9" s="1529" customFormat="1" ht="16.5">
      <c r="A13" s="1530"/>
      <c r="D13" s="1934" t="s">
        <v>6486</v>
      </c>
      <c r="E13" s="1934"/>
      <c r="F13" s="1934"/>
      <c r="G13" s="1934"/>
      <c r="H13" s="1934"/>
    </row>
    <row r="14" spans="1:9" s="1555" customFormat="1" ht="16.5">
      <c r="A14" s="1530"/>
      <c r="B14" s="1528" t="s">
        <v>318</v>
      </c>
      <c r="C14" s="1529"/>
      <c r="D14" s="1934" t="s">
        <v>422</v>
      </c>
      <c r="E14" s="1934"/>
      <c r="F14" s="1934"/>
      <c r="G14" s="1934"/>
      <c r="H14" s="1934"/>
    </row>
    <row r="15" spans="1:9" s="1555" customFormat="1" ht="16.5">
      <c r="A15" s="1528"/>
      <c r="D15" s="1934" t="s">
        <v>5941</v>
      </c>
      <c r="E15" s="1934"/>
      <c r="F15" s="1934"/>
      <c r="G15" s="1934"/>
      <c r="H15" s="1934"/>
    </row>
    <row r="16" spans="1:9" s="1555" customFormat="1" ht="16.5">
      <c r="A16" s="1528"/>
      <c r="D16" s="1528"/>
    </row>
    <row r="17" spans="1:8" s="1555" customFormat="1" ht="16.5">
      <c r="A17" s="1528"/>
      <c r="D17" s="1528"/>
    </row>
    <row r="18" spans="1:8" s="1555" customFormat="1" ht="16.5">
      <c r="A18" s="1528"/>
      <c r="D18" s="1528"/>
    </row>
    <row r="19" spans="1:8" s="1555" customFormat="1" ht="16.5">
      <c r="A19" s="1528"/>
      <c r="D19" s="1528"/>
    </row>
    <row r="20" spans="1:8" s="1555" customFormat="1" ht="16.5">
      <c r="A20" s="1528"/>
      <c r="D20" s="1528"/>
    </row>
    <row r="21" spans="1:8" s="1529" customFormat="1" ht="16.5">
      <c r="A21" s="1528"/>
      <c r="B21" s="1528" t="s">
        <v>5442</v>
      </c>
      <c r="C21" s="1555"/>
      <c r="D21" s="1934" t="s">
        <v>502</v>
      </c>
      <c r="E21" s="1934"/>
      <c r="F21" s="1934"/>
      <c r="G21" s="1934"/>
      <c r="H21" s="1934"/>
    </row>
    <row r="22" spans="1:8" s="1558" customFormat="1">
      <c r="A22" s="1531"/>
      <c r="B22" s="1531"/>
      <c r="D22" s="1531"/>
      <c r="F22" s="1531"/>
    </row>
    <row r="26" spans="1:8">
      <c r="D26" s="1559"/>
    </row>
    <row r="27" spans="1:8">
      <c r="D27" s="1559"/>
      <c r="H27" s="1559">
        <v>6905345686</v>
      </c>
    </row>
    <row r="28" spans="1:8">
      <c r="D28" s="1559"/>
    </row>
    <row r="29" spans="1:8">
      <c r="D29" s="1559"/>
    </row>
    <row r="30" spans="1:8">
      <c r="D30" s="1559"/>
    </row>
    <row r="31" spans="1:8">
      <c r="A31" s="1534"/>
      <c r="B31" s="1559"/>
      <c r="D31" s="1559"/>
      <c r="E31" s="1559"/>
      <c r="F31" s="1559"/>
    </row>
    <row r="32" spans="1:8">
      <c r="A32" s="1534"/>
      <c r="B32" s="1559"/>
    </row>
    <row r="33" spans="1:2">
      <c r="A33" s="1534"/>
      <c r="B33" s="1559"/>
    </row>
    <row r="54" spans="4:4">
      <c r="D54">
        <v>2879544938</v>
      </c>
    </row>
    <row r="55" spans="4:4">
      <c r="D55">
        <v>58564275</v>
      </c>
    </row>
    <row r="56" spans="4:4">
      <c r="D56" s="1934">
        <v>5667988000</v>
      </c>
    </row>
    <row r="57" spans="4:4" ht="15.75" customHeight="1">
      <c r="D57" s="1934"/>
    </row>
    <row r="58" spans="4:4" ht="16.5" customHeight="1">
      <c r="D58">
        <v>284705852</v>
      </c>
    </row>
    <row r="59" spans="4:4">
      <c r="D59">
        <v>74473912</v>
      </c>
    </row>
    <row r="60" spans="4:4">
      <c r="D60"/>
    </row>
    <row r="61" spans="4:4">
      <c r="D61" s="1559"/>
    </row>
    <row r="62" spans="4:4">
      <c r="D62" s="1559">
        <f>SUM(D54:D61)</f>
        <v>8965276977</v>
      </c>
    </row>
    <row r="65" spans="5:5" ht="17.25" thickBot="1">
      <c r="E65" s="1637">
        <v>3021558309</v>
      </c>
    </row>
    <row r="66" spans="5:5" ht="17.25" thickBot="1">
      <c r="E66" s="1637">
        <v>61965750</v>
      </c>
    </row>
    <row r="67" spans="5:5">
      <c r="E67" t="s">
        <v>6497</v>
      </c>
    </row>
    <row r="68" spans="5:5" ht="17.25" thickBot="1">
      <c r="E68" s="1637">
        <v>7155141000</v>
      </c>
    </row>
    <row r="69" spans="5:5" ht="17.25" thickBot="1">
      <c r="E69" s="1637">
        <v>340951864</v>
      </c>
    </row>
    <row r="70" spans="5:5" ht="17.25" thickBot="1">
      <c r="E70" s="1637">
        <v>86081017</v>
      </c>
    </row>
    <row r="71" spans="5:5">
      <c r="E71" s="1559">
        <f>SUM(E65:E70)</f>
        <v>10665697940</v>
      </c>
    </row>
  </sheetData>
  <mergeCells count="10">
    <mergeCell ref="D14:H14"/>
    <mergeCell ref="D15:H15"/>
    <mergeCell ref="D21:H21"/>
    <mergeCell ref="D56:D57"/>
    <mergeCell ref="A1:H1"/>
    <mergeCell ref="A2:H2"/>
    <mergeCell ref="B3:G3"/>
    <mergeCell ref="A4:H4"/>
    <mergeCell ref="A11:H11"/>
    <mergeCell ref="D13:H13"/>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00B050"/>
  </sheetPr>
  <dimension ref="A4:O48"/>
  <sheetViews>
    <sheetView topLeftCell="A13" workbookViewId="0">
      <selection activeCell="A26" sqref="A26:L26"/>
    </sheetView>
  </sheetViews>
  <sheetFormatPr defaultColWidth="9.33203125" defaultRowHeight="12.75"/>
  <cols>
    <col min="6" max="6" width="9.33203125" customWidth="1"/>
    <col min="11" max="11" width="4.5" customWidth="1"/>
    <col min="12" max="12" width="15.1640625" customWidth="1"/>
    <col min="14" max="14" width="16.6640625" bestFit="1" customWidth="1"/>
  </cols>
  <sheetData>
    <row r="4" spans="1:12">
      <c r="A4" s="1934" t="s">
        <v>6458</v>
      </c>
      <c r="B4" s="1934"/>
      <c r="C4" s="1934"/>
      <c r="D4" s="1934"/>
      <c r="E4" s="1934"/>
      <c r="F4" s="1934"/>
      <c r="G4" s="1934" t="s">
        <v>205</v>
      </c>
      <c r="H4" s="1934"/>
      <c r="I4" s="1934"/>
      <c r="J4" s="1934"/>
      <c r="K4" s="1934"/>
      <c r="L4" s="1934"/>
    </row>
    <row r="5" spans="1:12">
      <c r="A5" s="1934"/>
      <c r="B5" s="1934"/>
      <c r="C5" s="1934"/>
      <c r="D5" s="1934"/>
      <c r="E5" s="1934"/>
      <c r="F5" s="1934"/>
      <c r="G5" s="1934" t="s">
        <v>206</v>
      </c>
      <c r="H5" s="1934"/>
      <c r="I5" s="1934"/>
      <c r="J5" s="1934"/>
      <c r="K5" s="1934"/>
      <c r="L5" s="1934"/>
    </row>
    <row r="6" spans="1:12">
      <c r="A6" s="1934" t="s">
        <v>318</v>
      </c>
      <c r="B6" s="1934"/>
      <c r="C6" s="1934"/>
      <c r="D6" s="1934"/>
      <c r="E6" s="1934"/>
      <c r="F6" s="1934"/>
    </row>
    <row r="7" spans="1:12">
      <c r="G7" s="1934" t="s">
        <v>6500</v>
      </c>
      <c r="H7" s="1934"/>
      <c r="I7" s="1934"/>
      <c r="J7" s="1934"/>
      <c r="K7" s="1934"/>
      <c r="L7" s="1934"/>
    </row>
    <row r="17" spans="1:14">
      <c r="A17" s="1934"/>
      <c r="B17" s="1934"/>
      <c r="C17" s="1934"/>
      <c r="D17" s="1934"/>
      <c r="E17" s="1934"/>
      <c r="F17" s="1934"/>
      <c r="G17" s="1934"/>
      <c r="H17" s="1934"/>
      <c r="I17" s="1934"/>
      <c r="J17" s="1934"/>
      <c r="K17" s="1934"/>
      <c r="L17" s="1934"/>
    </row>
    <row r="22" spans="1:14" ht="41.25" customHeight="1">
      <c r="A22" s="1934" t="s">
        <v>6459</v>
      </c>
      <c r="B22" s="1934"/>
      <c r="C22" s="1934"/>
      <c r="D22" s="1934"/>
      <c r="E22" s="1934"/>
      <c r="F22" s="1934"/>
      <c r="G22" s="1934"/>
      <c r="H22" s="1934"/>
      <c r="I22" s="1934"/>
      <c r="J22" s="1934"/>
      <c r="K22" s="1934"/>
      <c r="L22" s="1934"/>
    </row>
    <row r="24" spans="1:14">
      <c r="A24" s="1934" t="s">
        <v>6501</v>
      </c>
      <c r="B24" s="1934"/>
      <c r="C24" s="1934"/>
      <c r="D24" s="1934"/>
      <c r="E24" s="1934"/>
      <c r="F24" s="1934"/>
      <c r="G24" s="1934"/>
      <c r="H24" s="1934"/>
      <c r="I24" s="1934"/>
      <c r="J24" s="1934"/>
      <c r="K24" s="1934"/>
      <c r="L24" s="1934"/>
    </row>
    <row r="25" spans="1:14" ht="42.75" customHeight="1">
      <c r="A25" s="1934"/>
      <c r="B25" s="1934"/>
      <c r="C25" s="1934"/>
      <c r="D25" s="1934"/>
      <c r="E25" s="1934"/>
      <c r="F25" s="1934"/>
      <c r="G25" s="1934"/>
      <c r="H25" s="1934"/>
      <c r="I25" s="1934"/>
      <c r="J25" s="1934"/>
      <c r="K25" s="1934"/>
      <c r="L25" s="1934"/>
    </row>
    <row r="26" spans="1:14">
      <c r="A26" s="1934" t="s">
        <v>6502</v>
      </c>
      <c r="B26" s="1934"/>
      <c r="C26" s="1934"/>
      <c r="D26" s="1934"/>
      <c r="E26" s="1934"/>
      <c r="F26" s="1934"/>
      <c r="G26" s="1934"/>
      <c r="H26" s="1934"/>
      <c r="I26" s="1934"/>
      <c r="J26" s="1934"/>
      <c r="K26" s="1934"/>
      <c r="L26" s="1934"/>
    </row>
    <row r="27" spans="1:14">
      <c r="A27" s="1934"/>
      <c r="B27" s="1934"/>
      <c r="C27" s="1934"/>
      <c r="D27" s="1934"/>
      <c r="E27" s="1934"/>
      <c r="F27" s="1934"/>
      <c r="G27" s="1934"/>
      <c r="H27" s="1934"/>
      <c r="I27" s="1934"/>
      <c r="J27" s="1934"/>
      <c r="K27" s="1934"/>
      <c r="L27" s="1934"/>
    </row>
    <row r="28" spans="1:14">
      <c r="A28" s="1934"/>
      <c r="B28" s="1934"/>
      <c r="C28" s="1934"/>
      <c r="D28" s="1934"/>
      <c r="E28" s="1934"/>
      <c r="F28" s="1934"/>
      <c r="G28" s="1934"/>
      <c r="H28" s="1934"/>
      <c r="I28" s="1934"/>
      <c r="J28" s="1934"/>
      <c r="K28" s="1934"/>
      <c r="L28" s="1934"/>
    </row>
    <row r="29" spans="1:14">
      <c r="A29" s="1934" t="s">
        <v>6503</v>
      </c>
      <c r="B29" s="1934"/>
      <c r="C29" s="1934"/>
      <c r="D29" s="1934"/>
      <c r="E29" s="1934"/>
      <c r="F29" s="1934"/>
      <c r="G29" s="1934"/>
      <c r="H29" s="1934"/>
      <c r="I29" s="1934"/>
      <c r="J29" s="1934"/>
      <c r="K29" s="1934"/>
      <c r="L29" s="1934"/>
    </row>
    <row r="31" spans="1:14" ht="42" customHeight="1">
      <c r="N31">
        <f>XL!$M$27</f>
        <v>3362359528</v>
      </c>
    </row>
    <row r="34" spans="1:15">
      <c r="A34" s="1934" t="s">
        <v>6504</v>
      </c>
      <c r="B34" s="1934"/>
      <c r="C34" s="1934"/>
      <c r="D34" s="1934"/>
      <c r="E34" s="1934"/>
      <c r="F34" s="1934"/>
      <c r="G34" s="1934">
        <f>N31</f>
        <v>3362359528</v>
      </c>
      <c r="H34" s="1934"/>
      <c r="I34" t="s">
        <v>3300</v>
      </c>
      <c r="M34">
        <v>1735432314</v>
      </c>
    </row>
    <row r="35" spans="1:15">
      <c r="A35" s="1934" t="e">
        <v>#NAME?</v>
      </c>
      <c r="B35" s="1934"/>
      <c r="C35" s="1934"/>
      <c r="D35" s="1934"/>
      <c r="E35" s="1934"/>
      <c r="F35" s="1934"/>
      <c r="G35" s="1934"/>
      <c r="H35" s="1934"/>
      <c r="I35" s="1934"/>
      <c r="J35" s="1934"/>
      <c r="K35" s="1934"/>
      <c r="L35" s="1934"/>
      <c r="O35">
        <v>3900424438</v>
      </c>
    </row>
    <row r="36" spans="1:15">
      <c r="O36">
        <v>3714689940.9523807</v>
      </c>
    </row>
    <row r="40" spans="1:15">
      <c r="A40" s="1934" t="s">
        <v>318</v>
      </c>
      <c r="B40" s="1934"/>
      <c r="C40" s="1934"/>
      <c r="D40" s="1934"/>
      <c r="E40" s="1934"/>
      <c r="F40" s="1934"/>
      <c r="G40" s="1934" t="s">
        <v>422</v>
      </c>
      <c r="H40" s="1934"/>
      <c r="I40" s="1934"/>
      <c r="J40" s="1934"/>
      <c r="K40" s="1934"/>
      <c r="L40" s="1934"/>
      <c r="O40">
        <v>2100825851</v>
      </c>
    </row>
    <row r="41" spans="1:15">
      <c r="A41" s="1934"/>
      <c r="B41" s="1934"/>
      <c r="C41" s="1934"/>
      <c r="D41" s="1934"/>
      <c r="E41" s="1934"/>
      <c r="F41" s="1934"/>
      <c r="G41" s="1934" t="s">
        <v>5941</v>
      </c>
      <c r="H41" s="1934"/>
      <c r="I41" s="1934"/>
      <c r="J41" s="1934"/>
      <c r="K41" s="1934"/>
      <c r="L41" s="1934"/>
    </row>
    <row r="42" spans="1:15">
      <c r="A42" s="1934"/>
      <c r="B42" s="1934"/>
      <c r="C42" s="1934"/>
      <c r="D42" s="1934"/>
      <c r="E42" s="1934"/>
      <c r="F42" s="1934"/>
    </row>
    <row r="48" spans="1:15">
      <c r="A48" s="1934" t="s">
        <v>5442</v>
      </c>
      <c r="B48" s="1934"/>
      <c r="C48" s="1934"/>
      <c r="D48" s="1934"/>
      <c r="E48" s="1934"/>
      <c r="F48" s="1934"/>
      <c r="G48" s="1934" t="s">
        <v>502</v>
      </c>
      <c r="H48" s="1934"/>
      <c r="I48" s="1934"/>
      <c r="J48" s="1934"/>
      <c r="K48" s="1934"/>
      <c r="L48" s="1934"/>
    </row>
  </sheetData>
  <mergeCells count="23">
    <mergeCell ref="A25:L25"/>
    <mergeCell ref="A26:L26"/>
    <mergeCell ref="A35:L35"/>
    <mergeCell ref="A42:F42"/>
    <mergeCell ref="G41:L41"/>
    <mergeCell ref="A34:F34"/>
    <mergeCell ref="G48:L48"/>
    <mergeCell ref="A41:F41"/>
    <mergeCell ref="A48:F48"/>
    <mergeCell ref="A27:L27"/>
    <mergeCell ref="A28:L28"/>
    <mergeCell ref="A29:L29"/>
    <mergeCell ref="G40:L40"/>
    <mergeCell ref="G34:H34"/>
    <mergeCell ref="A40:F40"/>
    <mergeCell ref="A22:L22"/>
    <mergeCell ref="A24:L24"/>
    <mergeCell ref="A4:F5"/>
    <mergeCell ref="G4:L4"/>
    <mergeCell ref="G5:L5"/>
    <mergeCell ref="A6:F6"/>
    <mergeCell ref="A17:L17"/>
    <mergeCell ref="G7:L7"/>
  </mergeCells>
  <pageMargins left="0.51181102362204722" right="0.27559055118110237" top="0.43307086614173229" bottom="0.43307086614173229" header="0.31496062992125984" footer="0.31496062992125984"/>
  <pageSetup paperSize="9" scale="9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33"/>
  </sheetPr>
  <dimension ref="A1:G24"/>
  <sheetViews>
    <sheetView showGridLines="0" showZeros="0" showRuler="0" showWhiteSpace="0" view="pageLayout" topLeftCell="C1" zoomScaleNormal="85" workbookViewId="0">
      <selection activeCell="D8" sqref="D8:E8"/>
    </sheetView>
  </sheetViews>
  <sheetFormatPr defaultColWidth="0" defaultRowHeight="15.75" zeroHeight="1"/>
  <cols>
    <col min="1" max="1" width="8.1640625" style="102" customWidth="1"/>
    <col min="2" max="2" width="32.83203125" style="102" customWidth="1"/>
    <col min="3" max="3" width="11.33203125" style="102" customWidth="1"/>
    <col min="4" max="5" width="30.83203125" style="102" customWidth="1"/>
    <col min="6" max="6" width="25.83203125" style="102" hidden="1" customWidth="1"/>
    <col min="7" max="7" width="40.83203125" style="102" customWidth="1"/>
    <col min="8" max="8" width="2.6640625" style="102" customWidth="1"/>
    <col min="9" max="16384" width="0" style="102" hidden="1"/>
  </cols>
  <sheetData>
    <row r="1" spans="1:7"/>
    <row r="2" spans="1:7"/>
    <row r="3" spans="1:7" ht="21.75" customHeight="1">
      <c r="A3" s="269" t="s">
        <v>3310</v>
      </c>
      <c r="B3" s="269"/>
      <c r="C3" s="269"/>
      <c r="D3" s="269"/>
      <c r="E3" s="269"/>
      <c r="F3" s="269"/>
      <c r="G3" s="270"/>
    </row>
    <row r="4" spans="1:7"/>
    <row r="5" spans="1:7" s="91" customFormat="1" ht="20.100000000000001" customHeight="1">
      <c r="A5" s="271" t="s">
        <v>6345</v>
      </c>
      <c r="B5" s="271" t="s">
        <v>3307</v>
      </c>
      <c r="C5" s="271" t="s">
        <v>6248</v>
      </c>
      <c r="D5" s="271" t="s">
        <v>895</v>
      </c>
      <c r="E5" s="271" t="s">
        <v>896</v>
      </c>
      <c r="F5" s="271" t="s">
        <v>6247</v>
      </c>
      <c r="G5" s="271" t="s">
        <v>354</v>
      </c>
    </row>
    <row r="6" spans="1:7" ht="20.100000000000001" customHeight="1">
      <c r="A6" s="272" t="s">
        <v>5284</v>
      </c>
      <c r="B6" s="273" t="s">
        <v>3316</v>
      </c>
      <c r="C6" s="274" t="s">
        <v>1878</v>
      </c>
      <c r="D6" s="266">
        <v>5165097827</v>
      </c>
      <c r="E6" s="266">
        <v>345619278</v>
      </c>
      <c r="F6" s="266"/>
      <c r="G6" s="1302">
        <f>'II.ThopXD,TB,A,DP'!H5</f>
        <v>5510717105</v>
      </c>
    </row>
    <row r="7" spans="1:7" ht="20.100000000000001" customHeight="1">
      <c r="A7" s="275" t="s">
        <v>1233</v>
      </c>
      <c r="B7" s="276" t="s">
        <v>5280</v>
      </c>
      <c r="C7" s="277" t="s">
        <v>1879</v>
      </c>
      <c r="D7" s="267">
        <v>419098924</v>
      </c>
      <c r="E7" s="267">
        <v>185992221</v>
      </c>
      <c r="F7" s="267"/>
      <c r="G7" s="1303">
        <f>'II.ThopXD,TB,A,DP'!H8</f>
        <v>605091145</v>
      </c>
    </row>
    <row r="8" spans="1:7" ht="20.100000000000001" customHeight="1">
      <c r="A8" s="275" t="s">
        <v>4085</v>
      </c>
      <c r="B8" s="276" t="s">
        <v>1784</v>
      </c>
      <c r="C8" s="277" t="s">
        <v>1880</v>
      </c>
      <c r="D8" s="2017">
        <f>'II.ThopXD,TB,A,DP'!H11</f>
        <v>211178859</v>
      </c>
      <c r="E8" s="2018"/>
      <c r="F8" s="267"/>
      <c r="G8" s="1303">
        <f>'II.ThopXD,TB,A,DP'!H11</f>
        <v>211178859</v>
      </c>
    </row>
    <row r="9" spans="1:7" ht="20.100000000000001" customHeight="1">
      <c r="A9" s="275" t="s">
        <v>4065</v>
      </c>
      <c r="B9" s="276" t="s">
        <v>512</v>
      </c>
      <c r="C9" s="277" t="s">
        <v>1881</v>
      </c>
      <c r="D9" s="2017">
        <f>'II.ThopXD,TB,A,DP'!H12</f>
        <v>632405392</v>
      </c>
      <c r="E9" s="2018"/>
      <c r="F9" s="267"/>
      <c r="G9" s="1303">
        <f>'II.ThopXD,TB,A,DP'!H12</f>
        <v>632405392</v>
      </c>
    </row>
    <row r="10" spans="1:7" ht="20.100000000000001" customHeight="1">
      <c r="A10" s="275" t="s">
        <v>173</v>
      </c>
      <c r="B10" s="276" t="s">
        <v>3304</v>
      </c>
      <c r="C10" s="277" t="s">
        <v>3674</v>
      </c>
      <c r="D10" s="2017">
        <f>'II.ThopXD,TB,A,DP'!H26</f>
        <v>519302118</v>
      </c>
      <c r="E10" s="2018"/>
      <c r="F10" s="267"/>
      <c r="G10" s="1303">
        <f>'II.ThopXD,TB,A,DP'!H26</f>
        <v>519302118</v>
      </c>
    </row>
    <row r="11" spans="1:7" ht="20.100000000000001" customHeight="1">
      <c r="A11" s="278" t="s">
        <v>3344</v>
      </c>
      <c r="B11" s="279" t="s">
        <v>3305</v>
      </c>
      <c r="C11" s="280" t="s">
        <v>3675</v>
      </c>
      <c r="D11" s="2019">
        <f>'II.ThopXD,TB,A,DP'!H33</f>
        <v>373934731</v>
      </c>
      <c r="E11" s="2020"/>
      <c r="F11" s="268"/>
      <c r="G11" s="1304">
        <f>'II.ThopXD,TB,A,DP'!H33</f>
        <v>373934731</v>
      </c>
    </row>
    <row r="12" spans="1:7" ht="20.100000000000001" customHeight="1">
      <c r="A12" s="2014" t="s">
        <v>6346</v>
      </c>
      <c r="B12" s="2015"/>
      <c r="C12" s="2015"/>
      <c r="D12" s="2015"/>
      <c r="E12" s="2016"/>
      <c r="F12" s="281">
        <f>SUM(F6:F11)</f>
        <v>0</v>
      </c>
      <c r="G12" s="1305">
        <f>SUM(G6:G11)</f>
        <v>7852629350</v>
      </c>
    </row>
    <row r="13" spans="1:7">
      <c r="B13" s="2021" t="s">
        <v>389</v>
      </c>
      <c r="C13" s="2021"/>
      <c r="D13" s="2023" t="e">
        <v>#NAME?</v>
      </c>
      <c r="E13" s="2023"/>
      <c r="F13" s="2023"/>
      <c r="G13" s="2023"/>
    </row>
    <row r="14" spans="1:7" ht="16.5">
      <c r="F14" s="2022" t="s">
        <v>6252</v>
      </c>
      <c r="G14" s="2022"/>
    </row>
    <row r="15" spans="1:7" ht="16.5">
      <c r="F15" s="2022" t="s">
        <v>318</v>
      </c>
      <c r="G15" s="2022"/>
    </row>
    <row r="16" spans="1:7" ht="16.5">
      <c r="B16" s="310" t="s">
        <v>3108</v>
      </c>
      <c r="C16" s="2022" t="s">
        <v>3001</v>
      </c>
      <c r="D16" s="2022"/>
      <c r="E16" s="310" t="s">
        <v>4870</v>
      </c>
      <c r="F16" s="2022" t="s">
        <v>3046</v>
      </c>
      <c r="G16" s="2022"/>
    </row>
    <row r="17" spans="2:7" ht="16.5">
      <c r="B17" s="119"/>
      <c r="D17" s="119"/>
      <c r="E17" s="119"/>
      <c r="F17" s="2022" t="s">
        <v>5441</v>
      </c>
      <c r="G17" s="2022"/>
    </row>
    <row r="18" spans="2:7">
      <c r="B18" s="119"/>
      <c r="D18" s="119"/>
      <c r="E18" s="119"/>
      <c r="F18" s="119"/>
      <c r="G18" s="119"/>
    </row>
    <row r="19" spans="2:7">
      <c r="B19" s="119"/>
      <c r="D19" s="119"/>
      <c r="E19" s="119"/>
      <c r="F19" s="119"/>
      <c r="G19" s="1520" t="s">
        <v>363</v>
      </c>
    </row>
    <row r="20" spans="2:7">
      <c r="B20" s="119"/>
      <c r="D20" s="119"/>
      <c r="E20" s="119"/>
      <c r="F20" s="119"/>
      <c r="G20" s="1521" t="s">
        <v>68</v>
      </c>
    </row>
    <row r="21" spans="2:7">
      <c r="B21" s="119"/>
      <c r="D21" s="119"/>
      <c r="E21" s="119"/>
      <c r="F21" s="119"/>
      <c r="G21" s="119"/>
    </row>
    <row r="22" spans="2:7">
      <c r="B22" s="119"/>
      <c r="D22" s="119"/>
      <c r="E22" s="119"/>
      <c r="F22" s="119"/>
      <c r="G22" s="119"/>
    </row>
    <row r="23" spans="2:7" ht="16.5">
      <c r="B23" s="310" t="str">
        <f>NL!U24</f>
        <v>Huỳnh Trúc Linh</v>
      </c>
      <c r="C23" s="2022" t="str">
        <f>NL!U23</f>
        <v>Lê Nhựt Trường</v>
      </c>
      <c r="D23" s="2022"/>
      <c r="E23" s="310" t="str">
        <f>NL!U22</f>
        <v>Nguyễn Bảo Khanh</v>
      </c>
      <c r="F23" s="2022" t="s">
        <v>5442</v>
      </c>
      <c r="G23" s="2022"/>
    </row>
    <row r="24" spans="2:7"/>
  </sheetData>
  <mergeCells count="14">
    <mergeCell ref="B13:C13"/>
    <mergeCell ref="F16:G16"/>
    <mergeCell ref="F23:G23"/>
    <mergeCell ref="D13:G13"/>
    <mergeCell ref="F15:G15"/>
    <mergeCell ref="F14:G14"/>
    <mergeCell ref="C16:D16"/>
    <mergeCell ref="C23:D23"/>
    <mergeCell ref="F17:G17"/>
    <mergeCell ref="A12:E12"/>
    <mergeCell ref="D8:E8"/>
    <mergeCell ref="D9:E9"/>
    <mergeCell ref="D10:E10"/>
    <mergeCell ref="D11:E11"/>
  </mergeCells>
  <phoneticPr fontId="0" type="noConversion"/>
  <printOptions horizontalCentered="1"/>
  <pageMargins left="0.19685039370078741" right="0.19685039370078741" top="0.59055118110236227" bottom="0.39370078740157483" header="0.19685039370078741" footer="0.19685039370078741"/>
  <pageSetup paperSize="9" firstPageNumber="32" orientation="landscape" blackAndWhite="1" useFirstPageNumber="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33"/>
  </sheetPr>
  <dimension ref="A1:W44"/>
  <sheetViews>
    <sheetView showGridLines="0" showRuler="0" showWhiteSpace="0" view="pageLayout" zoomScaleNormal="100" workbookViewId="0">
      <selection activeCell="E10" sqref="E10"/>
    </sheetView>
  </sheetViews>
  <sheetFormatPr defaultColWidth="8.83203125" defaultRowHeight="15" zeroHeight="1"/>
  <cols>
    <col min="1" max="1" width="4.83203125" style="85" customWidth="1"/>
    <col min="2" max="2" width="60.83203125" style="85" customWidth="1"/>
    <col min="3" max="3" width="8.33203125" style="85" customWidth="1"/>
    <col min="4" max="4" width="32.83203125" style="85" customWidth="1"/>
    <col min="5" max="5" width="18.83203125" style="85" bestFit="1" customWidth="1"/>
    <col min="6" max="6" width="7.33203125" style="85" bestFit="1" customWidth="1"/>
    <col min="7" max="7" width="12.6640625" style="85" bestFit="1" customWidth="1"/>
    <col min="8" max="8" width="18.83203125" style="85" customWidth="1"/>
    <col min="9" max="9" width="7.6640625" style="85" hidden="1" customWidth="1"/>
    <col min="10" max="10" width="7.6640625" style="85" customWidth="1"/>
    <col min="11" max="11" width="10.83203125" style="85" customWidth="1"/>
    <col min="12" max="12" width="93.33203125" style="85" bestFit="1" customWidth="1"/>
    <col min="13" max="16" width="7.6640625" style="85" hidden="1" customWidth="1"/>
    <col min="17" max="23" width="8.83203125" style="85" hidden="1" customWidth="1"/>
    <col min="24" max="16384" width="8.83203125" style="85"/>
  </cols>
  <sheetData>
    <row r="1" spans="1:13" ht="18.75">
      <c r="A1" s="2009"/>
      <c r="B1" s="2009"/>
      <c r="C1" s="2009"/>
      <c r="D1" s="2009"/>
      <c r="E1" s="2009"/>
      <c r="F1" s="2009"/>
      <c r="G1" s="2009"/>
      <c r="H1" s="2009"/>
    </row>
    <row r="2" spans="1:13" ht="18.75">
      <c r="A2" s="2009" t="s">
        <v>3555</v>
      </c>
      <c r="B2" s="2009"/>
      <c r="C2" s="2009"/>
      <c r="D2" s="2009"/>
      <c r="E2" s="2009"/>
      <c r="F2" s="2009"/>
      <c r="G2" s="2009"/>
      <c r="H2" s="2009"/>
    </row>
    <row r="3" spans="1:13" ht="18.75">
      <c r="A3" s="94"/>
      <c r="B3" s="94"/>
      <c r="C3" s="94"/>
      <c r="D3" s="94"/>
      <c r="E3" s="94"/>
      <c r="F3" s="94"/>
      <c r="G3" s="94"/>
      <c r="H3" s="1182"/>
    </row>
    <row r="4" spans="1:13" ht="38.25" customHeight="1">
      <c r="A4" s="518" t="s">
        <v>6345</v>
      </c>
      <c r="B4" s="518" t="s">
        <v>3311</v>
      </c>
      <c r="C4" s="519" t="s">
        <v>3312</v>
      </c>
      <c r="D4" s="520" t="s">
        <v>3313</v>
      </c>
      <c r="E4" s="158" t="s">
        <v>3314</v>
      </c>
      <c r="F4" s="158" t="s">
        <v>807</v>
      </c>
      <c r="G4" s="158" t="s">
        <v>808</v>
      </c>
      <c r="H4" s="158" t="s">
        <v>3315</v>
      </c>
    </row>
    <row r="5" spans="1:13" s="260" customFormat="1" ht="20.100000000000001" customHeight="1">
      <c r="A5" s="862" t="s">
        <v>5284</v>
      </c>
      <c r="B5" s="863" t="s">
        <v>3316</v>
      </c>
      <c r="C5" s="1510" t="s">
        <v>3317</v>
      </c>
      <c r="D5" s="1117"/>
      <c r="E5" s="1126">
        <f>SUM(E6:E7)</f>
        <v>5009742822</v>
      </c>
      <c r="F5" s="1127"/>
      <c r="G5" s="1126">
        <f>SUM(G6:G7)</f>
        <v>500974283</v>
      </c>
      <c r="H5" s="1126">
        <f>SUM(H6:H7)</f>
        <v>5510717105</v>
      </c>
      <c r="K5" s="85"/>
      <c r="L5" s="85"/>
      <c r="M5" s="85"/>
    </row>
    <row r="6" spans="1:13">
      <c r="A6" s="1501">
        <v>1</v>
      </c>
      <c r="B6" s="1502" t="s">
        <v>1220</v>
      </c>
      <c r="C6" s="1497"/>
      <c r="D6" s="1498" t="s">
        <v>6070</v>
      </c>
      <c r="E6" s="1499">
        <v>4695543479</v>
      </c>
      <c r="F6" s="1500" t="s">
        <v>5279</v>
      </c>
      <c r="G6" s="1499">
        <v>469554348</v>
      </c>
      <c r="H6" s="1499">
        <f>E6+G6</f>
        <v>5165097827</v>
      </c>
    </row>
    <row r="7" spans="1:13">
      <c r="A7" s="1501">
        <v>2</v>
      </c>
      <c r="B7" s="1502" t="s">
        <v>1221</v>
      </c>
      <c r="C7" s="1497"/>
      <c r="D7" s="1498" t="s">
        <v>6071</v>
      </c>
      <c r="E7" s="1499">
        <v>314199343</v>
      </c>
      <c r="F7" s="1500" t="s">
        <v>5279</v>
      </c>
      <c r="G7" s="1499">
        <v>31419935</v>
      </c>
      <c r="H7" s="1499">
        <f>E7+G7</f>
        <v>345619278</v>
      </c>
    </row>
    <row r="8" spans="1:13" s="260" customFormat="1" ht="20.100000000000001" customHeight="1">
      <c r="A8" s="862" t="s">
        <v>1233</v>
      </c>
      <c r="B8" s="863" t="s">
        <v>5280</v>
      </c>
      <c r="C8" s="1510" t="s">
        <v>5281</v>
      </c>
      <c r="D8" s="1117"/>
      <c r="E8" s="1126">
        <f>SUM(E9:E10)</f>
        <v>550082859</v>
      </c>
      <c r="F8" s="1127"/>
      <c r="G8" s="1126">
        <f>SUM(G9:G10)</f>
        <v>55008286</v>
      </c>
      <c r="H8" s="1126">
        <f>SUM(H9:H10)</f>
        <v>605091145</v>
      </c>
      <c r="K8" s="821" t="s">
        <v>1223</v>
      </c>
      <c r="L8" s="1509">
        <v>137522859</v>
      </c>
      <c r="M8" s="85"/>
    </row>
    <row r="9" spans="1:13">
      <c r="A9" s="1501">
        <v>1</v>
      </c>
      <c r="B9" s="1502" t="s">
        <v>1220</v>
      </c>
      <c r="C9" s="1497"/>
      <c r="D9" s="1498" t="s">
        <v>6070</v>
      </c>
      <c r="E9" s="1499">
        <v>380999022</v>
      </c>
      <c r="F9" s="1500" t="s">
        <v>5279</v>
      </c>
      <c r="G9" s="1499">
        <v>38099902</v>
      </c>
      <c r="H9" s="1499">
        <f>E9+G9</f>
        <v>419098924</v>
      </c>
      <c r="K9" s="85" t="s">
        <v>5324</v>
      </c>
    </row>
    <row r="10" spans="1:13">
      <c r="A10" s="1501">
        <v>2</v>
      </c>
      <c r="B10" s="1502" t="s">
        <v>1221</v>
      </c>
      <c r="C10" s="1497"/>
      <c r="D10" s="1498" t="s">
        <v>6071</v>
      </c>
      <c r="E10" s="1499">
        <v>169083837</v>
      </c>
      <c r="F10" s="1500" t="s">
        <v>5279</v>
      </c>
      <c r="G10" s="1499">
        <v>16908384</v>
      </c>
      <c r="H10" s="1499">
        <f>E10+G10</f>
        <v>185992221</v>
      </c>
      <c r="K10" s="85" t="s">
        <v>324</v>
      </c>
    </row>
    <row r="11" spans="1:13" s="260" customFormat="1" ht="20.100000000000001" customHeight="1">
      <c r="A11" s="862" t="s">
        <v>4085</v>
      </c>
      <c r="B11" s="863" t="s">
        <v>1784</v>
      </c>
      <c r="C11" s="1510" t="s">
        <v>513</v>
      </c>
      <c r="D11" s="1117" t="str">
        <f>K11&amp;"% x (GXD+ GTB)"</f>
        <v>3,453% x (GXD+ GTB)</v>
      </c>
      <c r="E11" s="1126">
        <f>ROUND(K11%*($E$5+$E$8),0)</f>
        <v>191980781</v>
      </c>
      <c r="F11" s="1518" t="s">
        <v>5279</v>
      </c>
      <c r="G11" s="1126">
        <f>ROUND(E11*10%,0)</f>
        <v>19198078</v>
      </c>
      <c r="H11" s="1126">
        <f>E11+G11</f>
        <v>211178859</v>
      </c>
      <c r="K11" s="821">
        <f>'Noi suy'!O22</f>
        <v>3.4529999999999998</v>
      </c>
      <c r="L11" s="1509" t="s">
        <v>325</v>
      </c>
      <c r="M11" s="85"/>
    </row>
    <row r="12" spans="1:13" ht="20.100000000000001" customHeight="1">
      <c r="A12" s="521" t="s">
        <v>4065</v>
      </c>
      <c r="B12" s="522" t="s">
        <v>512</v>
      </c>
      <c r="C12" s="523" t="s">
        <v>514</v>
      </c>
      <c r="D12" s="1112" t="s">
        <v>3309</v>
      </c>
      <c r="E12" s="1126">
        <f>SUM(E13,E16,E19:E25)</f>
        <v>574913992</v>
      </c>
      <c r="F12" s="1128"/>
      <c r="G12" s="1126">
        <f>SUM(G13,G16,G19:G25)</f>
        <v>57491400</v>
      </c>
      <c r="H12" s="1126">
        <f>SUM(H13,H16,H19:H25)</f>
        <v>632405392</v>
      </c>
      <c r="K12" s="260"/>
      <c r="L12" s="260"/>
    </row>
    <row r="13" spans="1:13" s="260" customFormat="1" ht="15" customHeight="1">
      <c r="A13" s="1247">
        <v>1</v>
      </c>
      <c r="B13" s="1504" t="s">
        <v>4341</v>
      </c>
      <c r="C13" s="1505" t="s">
        <v>763</v>
      </c>
      <c r="D13" s="1508"/>
      <c r="E13" s="1306">
        <f>SUM(E14:E15)</f>
        <v>79912104</v>
      </c>
      <c r="F13" s="1307"/>
      <c r="G13" s="1306">
        <f>SUM(G14:G15)</f>
        <v>7991210</v>
      </c>
      <c r="H13" s="1306">
        <f>SUM(H14:H15)</f>
        <v>87903314</v>
      </c>
      <c r="L13" s="264"/>
    </row>
    <row r="14" spans="1:13" ht="12.95" customHeight="1">
      <c r="A14" s="1512" t="s">
        <v>6370</v>
      </c>
      <c r="B14" s="1513" t="s">
        <v>1220</v>
      </c>
      <c r="C14" s="1514"/>
      <c r="D14" s="1515" t="s">
        <v>1062</v>
      </c>
      <c r="E14" s="1516">
        <v>77303104</v>
      </c>
      <c r="F14" s="1517" t="s">
        <v>5279</v>
      </c>
      <c r="G14" s="1516">
        <f>ROUND(E14*10%,0)</f>
        <v>7730310</v>
      </c>
      <c r="H14" s="1516">
        <f>E14+G14</f>
        <v>85033414</v>
      </c>
    </row>
    <row r="15" spans="1:13" ht="12.95" customHeight="1">
      <c r="A15" s="1512" t="s">
        <v>6370</v>
      </c>
      <c r="B15" s="1513" t="s">
        <v>1221</v>
      </c>
      <c r="C15" s="1514"/>
      <c r="D15" s="1515" t="s">
        <v>1061</v>
      </c>
      <c r="E15" s="1516">
        <v>2609000</v>
      </c>
      <c r="F15" s="1517" t="s">
        <v>5279</v>
      </c>
      <c r="G15" s="1516">
        <f>ROUND(E15*10%,0)</f>
        <v>260900</v>
      </c>
      <c r="H15" s="1516">
        <f>E15+G15</f>
        <v>2869900</v>
      </c>
    </row>
    <row r="16" spans="1:13" s="260" customFormat="1" ht="15" customHeight="1">
      <c r="A16" s="1247">
        <v>2</v>
      </c>
      <c r="B16" s="1504" t="s">
        <v>1222</v>
      </c>
      <c r="C16" s="1505" t="s">
        <v>629</v>
      </c>
      <c r="D16" s="1508"/>
      <c r="E16" s="1306">
        <f>SUM(E17:E18)</f>
        <v>249080190</v>
      </c>
      <c r="F16" s="1307"/>
      <c r="G16" s="1306">
        <f>SUM(G17:G18)</f>
        <v>24908019</v>
      </c>
      <c r="H16" s="1306">
        <f>SUM(H17:H18)</f>
        <v>273988209</v>
      </c>
      <c r="K16" s="1301">
        <f>'Noi suy'!G58</f>
        <v>4.4800000000000004</v>
      </c>
      <c r="L16" s="260" t="s">
        <v>1516</v>
      </c>
    </row>
    <row r="17" spans="1:12" s="1511" customFormat="1" ht="12" customHeight="1">
      <c r="A17" s="1512" t="s">
        <v>6370</v>
      </c>
      <c r="B17" s="1513" t="s">
        <v>1220</v>
      </c>
      <c r="C17" s="1514"/>
      <c r="D17" s="1515" t="s">
        <v>1062</v>
      </c>
      <c r="E17" s="1516">
        <v>227429104</v>
      </c>
      <c r="F17" s="1517" t="s">
        <v>5279</v>
      </c>
      <c r="G17" s="1516">
        <f t="shared" ref="G17:G29" si="0">ROUND(E17*10%,0)</f>
        <v>22742910</v>
      </c>
      <c r="H17" s="1516">
        <f>E17+G17</f>
        <v>250172014</v>
      </c>
    </row>
    <row r="18" spans="1:12" s="1511" customFormat="1" ht="12" customHeight="1">
      <c r="A18" s="1512" t="s">
        <v>6370</v>
      </c>
      <c r="B18" s="1513" t="s">
        <v>1221</v>
      </c>
      <c r="C18" s="1514"/>
      <c r="D18" s="1515" t="s">
        <v>1061</v>
      </c>
      <c r="E18" s="1516">
        <v>21651086</v>
      </c>
      <c r="F18" s="1517" t="s">
        <v>5279</v>
      </c>
      <c r="G18" s="1516">
        <f t="shared" si="0"/>
        <v>2165109</v>
      </c>
      <c r="H18" s="1516">
        <f>E18+G18</f>
        <v>23816195</v>
      </c>
    </row>
    <row r="19" spans="1:12" ht="15" customHeight="1">
      <c r="A19" s="524">
        <v>3</v>
      </c>
      <c r="B19" s="529" t="s">
        <v>1517</v>
      </c>
      <c r="C19" s="1506" t="s">
        <v>764</v>
      </c>
      <c r="D19" s="1111" t="str">
        <f>K19&amp;"% x GXD"</f>
        <v>0,29% x GXD</v>
      </c>
      <c r="E19" s="865">
        <f>ROUND(K19%*($E$5),0)</f>
        <v>14528254</v>
      </c>
      <c r="F19" s="1307" t="s">
        <v>5279</v>
      </c>
      <c r="G19" s="1499">
        <f t="shared" si="0"/>
        <v>1452825</v>
      </c>
      <c r="H19" s="1306">
        <f>IF((E19+G19)&gt;=2000000,E19+G19,2000000)</f>
        <v>15981079</v>
      </c>
      <c r="K19" s="821">
        <f>'Noi suy'!N166</f>
        <v>0.28999999999999998</v>
      </c>
      <c r="L19" s="85" t="s">
        <v>1518</v>
      </c>
    </row>
    <row r="20" spans="1:12" ht="15" customHeight="1">
      <c r="A20" s="524">
        <v>4</v>
      </c>
      <c r="B20" s="529" t="s">
        <v>1519</v>
      </c>
      <c r="C20" s="1506" t="s">
        <v>765</v>
      </c>
      <c r="D20" s="1111" t="str">
        <f>K20&amp;"% x GXD"</f>
        <v>0,282% x GXD</v>
      </c>
      <c r="E20" s="865">
        <f>ROUND(K20%*($E$5),0)</f>
        <v>14127475</v>
      </c>
      <c r="F20" s="1307" t="s">
        <v>5279</v>
      </c>
      <c r="G20" s="1499">
        <f>ROUND(E20*10%,0)</f>
        <v>1412748</v>
      </c>
      <c r="H20" s="1306">
        <f>IF((E20+G20)&gt;=2000000,E20+G20,2000000)</f>
        <v>15540223</v>
      </c>
      <c r="K20" s="821">
        <f>'Noi suy'!N178</f>
        <v>0.28199999999999997</v>
      </c>
      <c r="L20" s="85" t="s">
        <v>4025</v>
      </c>
    </row>
    <row r="21" spans="1:12" ht="15" customHeight="1">
      <c r="A21" s="524">
        <v>5</v>
      </c>
      <c r="B21" s="529" t="s">
        <v>5224</v>
      </c>
      <c r="C21" s="1506" t="s">
        <v>5226</v>
      </c>
      <c r="D21" s="1190" t="str">
        <f>K21&amp;"% x GTV"</f>
        <v>0,816% x GTV</v>
      </c>
      <c r="E21" s="865">
        <f>ROUND(K21%*E35,0)</f>
        <v>4691298</v>
      </c>
      <c r="F21" s="1307" t="s">
        <v>5279</v>
      </c>
      <c r="G21" s="1499">
        <f t="shared" si="0"/>
        <v>469130</v>
      </c>
      <c r="H21" s="1499">
        <f>E21+G21</f>
        <v>5160428</v>
      </c>
      <c r="K21" s="1188">
        <f>'Noi suy'!J189</f>
        <v>0.81599999999999995</v>
      </c>
      <c r="L21" s="85" t="s">
        <v>5227</v>
      </c>
    </row>
    <row r="22" spans="1:12" ht="15" customHeight="1">
      <c r="A22" s="524">
        <v>6</v>
      </c>
      <c r="B22" s="529" t="s">
        <v>5225</v>
      </c>
      <c r="C22" s="1506" t="s">
        <v>766</v>
      </c>
      <c r="D22" s="1111" t="str">
        <f>K22&amp;"% x GXD"</f>
        <v>0,549% x GXD</v>
      </c>
      <c r="E22" s="865">
        <f>ROUND(K22%*($E$5),0)</f>
        <v>27503488</v>
      </c>
      <c r="F22" s="1307" t="s">
        <v>5279</v>
      </c>
      <c r="G22" s="1499">
        <f t="shared" si="0"/>
        <v>2750349</v>
      </c>
      <c r="H22" s="1499">
        <f>E22+G22</f>
        <v>30253837</v>
      </c>
      <c r="K22" s="89">
        <f>'Noi suy'!K198</f>
        <v>0.54900000000000004</v>
      </c>
      <c r="L22" s="85" t="s">
        <v>4026</v>
      </c>
    </row>
    <row r="23" spans="1:12" ht="15" customHeight="1">
      <c r="A23" s="524">
        <v>7</v>
      </c>
      <c r="B23" s="529" t="s">
        <v>4027</v>
      </c>
      <c r="C23" s="1506" t="s">
        <v>626</v>
      </c>
      <c r="D23" s="1111" t="str">
        <f>K23&amp;"% x GTB"</f>
        <v>0,549% x GTB</v>
      </c>
      <c r="E23" s="865">
        <f>ROUND(K23%*($E$8),0)</f>
        <v>3019955</v>
      </c>
      <c r="F23" s="1124" t="s">
        <v>5279</v>
      </c>
      <c r="G23" s="1499">
        <f t="shared" si="0"/>
        <v>301996</v>
      </c>
      <c r="H23" s="1499">
        <f>E23+G23</f>
        <v>3321951</v>
      </c>
      <c r="K23" s="89">
        <f>'Noi suy'!K210</f>
        <v>0.54900000000000004</v>
      </c>
      <c r="L23" s="85" t="s">
        <v>4028</v>
      </c>
    </row>
    <row r="24" spans="1:12" ht="15" customHeight="1">
      <c r="A24" s="524">
        <v>8</v>
      </c>
      <c r="B24" s="529" t="s">
        <v>5771</v>
      </c>
      <c r="C24" s="1506" t="s">
        <v>627</v>
      </c>
      <c r="D24" s="1111" t="str">
        <f>K24&amp;"% x GXD"</f>
        <v>3,508% x GXD</v>
      </c>
      <c r="E24" s="865">
        <f>ROUND(K24%*($E$5),0)</f>
        <v>175741778</v>
      </c>
      <c r="F24" s="1124" t="s">
        <v>5279</v>
      </c>
      <c r="G24" s="1499">
        <f>ROUND(E24*10%,0)</f>
        <v>17574178</v>
      </c>
      <c r="H24" s="1499">
        <f>E24+G24</f>
        <v>193315956</v>
      </c>
      <c r="K24" s="89">
        <f>'Noi suy'!N222</f>
        <v>3.508</v>
      </c>
      <c r="L24" s="85" t="s">
        <v>4029</v>
      </c>
    </row>
    <row r="25" spans="1:12" ht="15" customHeight="1">
      <c r="A25" s="524">
        <v>9</v>
      </c>
      <c r="B25" s="529" t="s">
        <v>5772</v>
      </c>
      <c r="C25" s="1506" t="s">
        <v>628</v>
      </c>
      <c r="D25" s="1111" t="str">
        <f>K25&amp;"% x GTB"</f>
        <v>1,147% x GTB</v>
      </c>
      <c r="E25" s="865">
        <f>ROUND(K25%*($E$8),0)</f>
        <v>6309450</v>
      </c>
      <c r="F25" s="1124" t="s">
        <v>5279</v>
      </c>
      <c r="G25" s="1499">
        <f>ROUND(E25*10%,0)</f>
        <v>630945</v>
      </c>
      <c r="H25" s="1499">
        <f>E25+G25</f>
        <v>6940395</v>
      </c>
      <c r="K25" s="89">
        <f>'Noi suy'!N234</f>
        <v>1.147</v>
      </c>
      <c r="L25" s="85" t="s">
        <v>4030</v>
      </c>
    </row>
    <row r="26" spans="1:12" ht="20.100000000000001" customHeight="1">
      <c r="A26" s="521" t="s">
        <v>173</v>
      </c>
      <c r="B26" s="522" t="s">
        <v>3304</v>
      </c>
      <c r="C26" s="523" t="s">
        <v>5282</v>
      </c>
      <c r="D26" s="1112" t="s">
        <v>3309</v>
      </c>
      <c r="E26" s="1132">
        <f>SUM(E27:E32)</f>
        <v>477425121</v>
      </c>
      <c r="F26" s="1127"/>
      <c r="G26" s="1132">
        <f>SUM(G27:G32)</f>
        <v>41876997</v>
      </c>
      <c r="H26" s="1132">
        <f>SUM(H27:H32)</f>
        <v>519302118</v>
      </c>
      <c r="K26" s="264"/>
      <c r="L26" s="717" t="s">
        <v>6288</v>
      </c>
    </row>
    <row r="27" spans="1:12">
      <c r="A27" s="524">
        <v>1</v>
      </c>
      <c r="B27" s="1503" t="s">
        <v>5773</v>
      </c>
      <c r="C27" s="1506" t="s">
        <v>630</v>
      </c>
      <c r="D27" s="1109" t="str">
        <f>K27&amp;"% x (GXD+ GTB)"</f>
        <v>0,35% x (GXD+ GTB)</v>
      </c>
      <c r="E27" s="865">
        <f>ROUND(K27%*($E$5+$E$8),0)</f>
        <v>19459390</v>
      </c>
      <c r="F27" s="1124" t="s">
        <v>5279</v>
      </c>
      <c r="G27" s="1499">
        <f t="shared" si="0"/>
        <v>1945939</v>
      </c>
      <c r="H27" s="1499">
        <f t="shared" ref="H27:H32" si="1">E27+G27</f>
        <v>21405329</v>
      </c>
      <c r="K27" s="89">
        <v>0.35</v>
      </c>
      <c r="L27" s="85" t="s">
        <v>3240</v>
      </c>
    </row>
    <row r="28" spans="1:12">
      <c r="A28" s="524">
        <v>2</v>
      </c>
      <c r="B28" s="1503" t="s">
        <v>469</v>
      </c>
      <c r="C28" s="1506" t="s">
        <v>631</v>
      </c>
      <c r="D28" s="1109" t="str">
        <f>K28&amp;"% x TMĐT"</f>
        <v>0,821% x TMĐT</v>
      </c>
      <c r="E28" s="865">
        <f>ROUND(K28%*E38,0)</f>
        <v>58655137</v>
      </c>
      <c r="F28" s="1124"/>
      <c r="G28" s="865">
        <f>'II.1.ThopTA'!G30+'II.2.ThopHA'!G30+'II.3.ThopTRAM'!G29</f>
        <v>0</v>
      </c>
      <c r="H28" s="1499">
        <f t="shared" si="1"/>
        <v>58655137</v>
      </c>
      <c r="K28" s="922">
        <f>'Noi suy'!J343</f>
        <v>0.82099999999999995</v>
      </c>
      <c r="L28" s="85" t="s">
        <v>3241</v>
      </c>
    </row>
    <row r="29" spans="1:12">
      <c r="A29" s="524">
        <v>3</v>
      </c>
      <c r="B29" s="1507" t="s">
        <v>470</v>
      </c>
      <c r="C29" s="1506" t="s">
        <v>632</v>
      </c>
      <c r="D29" s="1109" t="str">
        <f>K29&amp;"% x TMĐT"</f>
        <v>1,375% x TMĐT</v>
      </c>
      <c r="E29" s="865">
        <f>ROUND(K29%*E38,0)</f>
        <v>98234852</v>
      </c>
      <c r="F29" s="1125" t="s">
        <v>5279</v>
      </c>
      <c r="G29" s="1499">
        <f t="shared" si="0"/>
        <v>9823485</v>
      </c>
      <c r="H29" s="1499">
        <f t="shared" si="1"/>
        <v>108058337</v>
      </c>
      <c r="K29" s="922">
        <f>'Noi suy'!J350</f>
        <v>1.375</v>
      </c>
      <c r="L29" s="85" t="s">
        <v>3241</v>
      </c>
    </row>
    <row r="30" spans="1:12" s="264" customFormat="1" ht="15" customHeight="1">
      <c r="A30" s="524">
        <v>4</v>
      </c>
      <c r="B30" s="1507" t="s">
        <v>5525</v>
      </c>
      <c r="C30" s="538" t="s">
        <v>5528</v>
      </c>
      <c r="D30" s="1109" t="str">
        <f>K30&amp;"% x (GXD+GLTTB)"</f>
        <v>2% x (GXD+GLTTB)</v>
      </c>
      <c r="E30" s="865">
        <f>ROUND(K30%*($E$5+$L$8),0)</f>
        <v>102945314</v>
      </c>
      <c r="F30" s="1124" t="s">
        <v>5279</v>
      </c>
      <c r="G30" s="865">
        <f>ROUND(E30*10%,0)</f>
        <v>10294531</v>
      </c>
      <c r="H30" s="865">
        <f t="shared" si="1"/>
        <v>113239845</v>
      </c>
      <c r="K30" s="922">
        <v>2</v>
      </c>
      <c r="L30" s="85" t="s">
        <v>3242</v>
      </c>
    </row>
    <row r="31" spans="1:12" s="264" customFormat="1" ht="15" customHeight="1">
      <c r="A31" s="524">
        <v>5</v>
      </c>
      <c r="B31" s="1507" t="s">
        <v>4869</v>
      </c>
      <c r="C31" s="538" t="s">
        <v>5529</v>
      </c>
      <c r="D31" s="1109" t="str">
        <f>K31&amp;"% x (GXD+GLTTB)"</f>
        <v>2% x (GXD+GLTTB)</v>
      </c>
      <c r="E31" s="865">
        <f>ROUND(K31%*($E$5+$L$8),0)</f>
        <v>102945314</v>
      </c>
      <c r="F31" s="1124" t="s">
        <v>5279</v>
      </c>
      <c r="G31" s="865">
        <f>ROUND(E31*10%,0)</f>
        <v>10294531</v>
      </c>
      <c r="H31" s="865">
        <f t="shared" si="1"/>
        <v>113239845</v>
      </c>
      <c r="K31" s="922">
        <v>2</v>
      </c>
      <c r="L31" s="85" t="s">
        <v>3243</v>
      </c>
    </row>
    <row r="32" spans="1:12" ht="15.95" customHeight="1">
      <c r="A32" s="524">
        <v>6</v>
      </c>
      <c r="B32" s="1503" t="s">
        <v>1622</v>
      </c>
      <c r="C32" s="1506" t="s">
        <v>1623</v>
      </c>
      <c r="D32" s="1109" t="str">
        <f>IF(NL!C39="ĐDTA trên không XDM",K32&amp;"% x GXD",IF(NL!C39="ĐDTA trên không NC, CT",K32&amp;"% x 1.5 x GXD",IF(NL!C39="ĐDTA ngầm",J32&amp;"% x GXD","Nhập lại")))</f>
        <v>1,9% x GXD</v>
      </c>
      <c r="E32" s="865">
        <f>ROUND(IF(NL!C39="ĐDTA trên không XDM",K32%*$E$5,IF(NL!C39="ĐDTA trên không NC, CT",K32%*1.5*$E$5,IF(NL!C39="ĐDTA ngầm",J32%*$E$5,"Nhập lại"))),0)</f>
        <v>95185114</v>
      </c>
      <c r="F32" s="1124" t="s">
        <v>5279</v>
      </c>
      <c r="G32" s="865">
        <f>ROUND(E32*10%,0)</f>
        <v>9518511</v>
      </c>
      <c r="H32" s="865">
        <f t="shared" si="1"/>
        <v>104703625</v>
      </c>
      <c r="J32" s="821" t="str">
        <f>IF(NL!U44/1000&lt;=5,"0.54",IF(NL!U44/1000&gt;5,"0.50","Nhập lại"))</f>
        <v>0.54</v>
      </c>
      <c r="K32" s="821">
        <v>1.9</v>
      </c>
      <c r="L32" s="85" t="s">
        <v>1624</v>
      </c>
    </row>
    <row r="33" spans="1:12" ht="20.100000000000001" customHeight="1">
      <c r="A33" s="531" t="s">
        <v>3344</v>
      </c>
      <c r="B33" s="532" t="s">
        <v>3305</v>
      </c>
      <c r="C33" s="533" t="s">
        <v>1236</v>
      </c>
      <c r="D33" s="534" t="s">
        <v>1808</v>
      </c>
      <c r="E33" s="1129">
        <f>ROUND(5%*($E$5+$E$8+$E$11+$E$12+$E$26),0)</f>
        <v>340207279</v>
      </c>
      <c r="F33" s="1181"/>
      <c r="G33" s="1129">
        <f>ROUND(5%*($G$5+$G$8+$G$11+$G$12+$G$26),0)</f>
        <v>33727452</v>
      </c>
      <c r="H33" s="1129">
        <f>E33+G33</f>
        <v>373934731</v>
      </c>
      <c r="L33" s="85" t="s">
        <v>4522</v>
      </c>
    </row>
    <row r="34" spans="1:12">
      <c r="D34" s="1196" t="s">
        <v>6330</v>
      </c>
      <c r="E34" s="1197">
        <f>E12</f>
        <v>574913992</v>
      </c>
      <c r="F34" s="2026" t="s">
        <v>6329</v>
      </c>
      <c r="G34" s="2026"/>
    </row>
    <row r="35" spans="1:12">
      <c r="D35" s="1193" t="s">
        <v>4859</v>
      </c>
      <c r="E35" s="1197">
        <v>574913992</v>
      </c>
      <c r="F35" s="2027">
        <f>E34-E35</f>
        <v>0</v>
      </c>
      <c r="G35" s="2027"/>
    </row>
    <row r="36" spans="1:12">
      <c r="D36" s="1193"/>
      <c r="E36" s="1199"/>
      <c r="F36" s="1200"/>
      <c r="G36" s="1200"/>
    </row>
    <row r="37" spans="1:12">
      <c r="D37" s="1192" t="s">
        <v>6328</v>
      </c>
      <c r="E37" s="1201">
        <f>E5+E8+E11+E12+E26+E33</f>
        <v>7144352854</v>
      </c>
      <c r="F37" s="2024" t="s">
        <v>6329</v>
      </c>
      <c r="G37" s="2024"/>
    </row>
    <row r="38" spans="1:12">
      <c r="D38" s="1193" t="s">
        <v>6331</v>
      </c>
      <c r="E38" s="1201">
        <v>7144352854</v>
      </c>
      <c r="F38" s="2025">
        <f>E37-E38</f>
        <v>0</v>
      </c>
      <c r="G38" s="2025"/>
    </row>
    <row r="39" spans="1:12"/>
    <row r="40" spans="1:12"/>
    <row r="41" spans="1:12"/>
    <row r="42" spans="1:12"/>
    <row r="43" spans="1:12"/>
    <row r="44" spans="1:12"/>
  </sheetData>
  <mergeCells count="6">
    <mergeCell ref="F37:G37"/>
    <mergeCell ref="F38:G38"/>
    <mergeCell ref="A2:H2"/>
    <mergeCell ref="A1:H1"/>
    <mergeCell ref="F34:G34"/>
    <mergeCell ref="F35:G35"/>
  </mergeCells>
  <phoneticPr fontId="0" type="noConversion"/>
  <printOptions horizontalCentered="1"/>
  <pageMargins left="0.19685039370078741" right="0.19685039370078741" top="0.39370078740157483" bottom="0.11811023622047245" header="0.19685039370078741" footer="0.19685039370078741"/>
  <pageSetup paperSize="9" scale="95" firstPageNumber="32" orientation="landscape" blackAndWhite="1" useFirstPageNumber="1" r:id="rId1"/>
  <headerFooter alignWithMargins="0"/>
  <ignoredErrors>
    <ignoredError sqref="F19:F20 F22:F25 F11" numberStoredAsText="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2"/>
  </sheetPr>
  <dimension ref="A1:P43"/>
  <sheetViews>
    <sheetView showGridLines="0" showRuler="0" view="pageLayout" topLeftCell="A7" zoomScaleNormal="100" workbookViewId="0">
      <selection activeCell="C10" sqref="C10:D10"/>
    </sheetView>
  </sheetViews>
  <sheetFormatPr defaultColWidth="8.83203125" defaultRowHeight="15" zeroHeight="1"/>
  <cols>
    <col min="1" max="1" width="4.5" style="265" customWidth="1"/>
    <col min="2" max="2" width="60.83203125" style="260" customWidth="1"/>
    <col min="3" max="3" width="8" style="265" customWidth="1"/>
    <col min="4" max="4" width="29.83203125" style="260" customWidth="1"/>
    <col min="5" max="5" width="17.83203125" style="260" customWidth="1"/>
    <col min="6" max="6" width="7.83203125" style="260" customWidth="1"/>
    <col min="7" max="7" width="11.5" style="260" customWidth="1"/>
    <col min="8" max="8" width="18.83203125" style="260" customWidth="1"/>
    <col min="9" max="9" width="0.83203125" style="260" customWidth="1"/>
    <col min="10" max="16384" width="8.83203125" style="260"/>
  </cols>
  <sheetData>
    <row r="1" spans="1:11" ht="18.75">
      <c r="A1" s="2028" t="s">
        <v>3556</v>
      </c>
      <c r="B1" s="2028"/>
      <c r="C1" s="2028"/>
      <c r="D1" s="2028"/>
      <c r="E1" s="2028"/>
      <c r="F1" s="2028"/>
      <c r="G1" s="2028"/>
      <c r="H1" s="2028"/>
    </row>
    <row r="2" spans="1:11" ht="15.75">
      <c r="A2" s="2029" t="s">
        <v>488</v>
      </c>
      <c r="B2" s="2029"/>
      <c r="C2" s="2029"/>
      <c r="D2" s="2029"/>
      <c r="E2" s="2029"/>
      <c r="F2" s="2029"/>
      <c r="G2" s="2029"/>
      <c r="H2" s="2029"/>
    </row>
    <row r="3" spans="1:11" ht="5.0999999999999996" customHeight="1">
      <c r="A3" s="1248"/>
      <c r="B3" s="261"/>
      <c r="C3" s="262"/>
      <c r="D3" s="261"/>
      <c r="E3" s="261"/>
      <c r="F3" s="263"/>
    </row>
    <row r="4" spans="1:11" ht="38.25" customHeight="1">
      <c r="A4" s="518" t="s">
        <v>6345</v>
      </c>
      <c r="B4" s="518" t="s">
        <v>3311</v>
      </c>
      <c r="C4" s="520" t="s">
        <v>3312</v>
      </c>
      <c r="D4" s="520" t="s">
        <v>3313</v>
      </c>
      <c r="E4" s="520" t="s">
        <v>4391</v>
      </c>
      <c r="F4" s="158" t="s">
        <v>807</v>
      </c>
      <c r="G4" s="158" t="s">
        <v>808</v>
      </c>
      <c r="H4" s="158" t="s">
        <v>3315</v>
      </c>
    </row>
    <row r="5" spans="1:11" ht="18" customHeight="1">
      <c r="A5" s="521" t="s">
        <v>5284</v>
      </c>
      <c r="B5" s="522" t="s">
        <v>3316</v>
      </c>
      <c r="C5" s="535" t="s">
        <v>3317</v>
      </c>
      <c r="D5" s="1117" t="s">
        <v>841</v>
      </c>
      <c r="E5" s="1126">
        <f>SUM(E6:E7)</f>
        <v>3381334818</v>
      </c>
      <c r="F5" s="1126"/>
      <c r="G5" s="1126">
        <f>SUM(G6:G7)</f>
        <v>338133482</v>
      </c>
      <c r="H5" s="1126">
        <f>E5+G5</f>
        <v>3719468300</v>
      </c>
    </row>
    <row r="6" spans="1:11" s="85" customFormat="1" ht="18" customHeight="1">
      <c r="A6" s="1103" t="s">
        <v>1237</v>
      </c>
      <c r="B6" s="536" t="s">
        <v>2571</v>
      </c>
      <c r="C6" s="537" t="s">
        <v>3481</v>
      </c>
      <c r="D6" s="525" t="s">
        <v>3985</v>
      </c>
      <c r="E6" s="1132">
        <f>ROUND('II.1.1.vlTA'!J12,0)</f>
        <v>2510507559</v>
      </c>
      <c r="F6" s="1124" t="s">
        <v>5279</v>
      </c>
      <c r="G6" s="1132">
        <f>ROUND(E6*10%,0)</f>
        <v>251050756</v>
      </c>
      <c r="H6" s="1132">
        <f>E6+G6</f>
        <v>2761558315</v>
      </c>
    </row>
    <row r="7" spans="1:11" s="135" customFormat="1" ht="15.95" customHeight="1">
      <c r="A7" s="1103" t="s">
        <v>154</v>
      </c>
      <c r="B7" s="536" t="s">
        <v>5168</v>
      </c>
      <c r="C7" s="537" t="s">
        <v>3482</v>
      </c>
      <c r="D7" s="525"/>
      <c r="E7" s="1132">
        <f>SUM(E8:E9)</f>
        <v>870827259</v>
      </c>
      <c r="F7" s="1124" t="s">
        <v>5279</v>
      </c>
      <c r="G7" s="1132">
        <f>ROUND(E7*10%,0)</f>
        <v>87082726</v>
      </c>
      <c r="H7" s="1132">
        <f>E7+G7</f>
        <v>957909985</v>
      </c>
      <c r="I7" s="85"/>
      <c r="J7" s="85"/>
      <c r="K7" s="85"/>
    </row>
    <row r="8" spans="1:11" s="264" customFormat="1">
      <c r="A8" s="524">
        <v>1</v>
      </c>
      <c r="B8" s="527" t="s">
        <v>5169</v>
      </c>
      <c r="C8" s="528"/>
      <c r="D8" s="525" t="s">
        <v>5283</v>
      </c>
      <c r="E8" s="865">
        <f>ROUND('II.1.2.xdTA'!J16,0)</f>
        <v>277950626</v>
      </c>
      <c r="F8" s="1124" t="s">
        <v>5279</v>
      </c>
      <c r="G8" s="865">
        <f>ROUND(E8*10%,0)</f>
        <v>27795063</v>
      </c>
      <c r="H8" s="865">
        <f>E8+G8</f>
        <v>305745689</v>
      </c>
      <c r="I8" s="260"/>
      <c r="J8" s="260"/>
      <c r="K8" s="260"/>
    </row>
    <row r="9" spans="1:11" s="264" customFormat="1">
      <c r="A9" s="524">
        <v>2</v>
      </c>
      <c r="B9" s="527" t="s">
        <v>3479</v>
      </c>
      <c r="C9" s="528"/>
      <c r="D9" s="525" t="s">
        <v>1235</v>
      </c>
      <c r="E9" s="865">
        <f>ROUND('II.1.3.ldvlTA'!J17,0)</f>
        <v>592876633</v>
      </c>
      <c r="F9" s="1124" t="s">
        <v>5279</v>
      </c>
      <c r="G9" s="865">
        <f>ROUND(E9*10%,0)</f>
        <v>59287663</v>
      </c>
      <c r="H9" s="865">
        <f>E9+G9</f>
        <v>652164296</v>
      </c>
      <c r="I9" s="260"/>
      <c r="J9" s="260"/>
      <c r="K9" s="260"/>
    </row>
    <row r="10" spans="1:11" ht="18" customHeight="1">
      <c r="A10" s="521" t="s">
        <v>1233</v>
      </c>
      <c r="B10" s="522" t="s">
        <v>5280</v>
      </c>
      <c r="C10" s="535" t="s">
        <v>5281</v>
      </c>
      <c r="D10" s="1117" t="s">
        <v>842</v>
      </c>
      <c r="E10" s="1126">
        <f>SUM(E11,E14)</f>
        <v>200205172</v>
      </c>
      <c r="F10" s="1126"/>
      <c r="G10" s="1126">
        <f>G11+G14</f>
        <v>20020517</v>
      </c>
      <c r="H10" s="1126">
        <f t="shared" ref="H10:H34" si="0">E10+G10</f>
        <v>220225689</v>
      </c>
    </row>
    <row r="11" spans="1:11" s="264" customFormat="1">
      <c r="A11" s="539" t="s">
        <v>1238</v>
      </c>
      <c r="B11" s="536" t="s">
        <v>1234</v>
      </c>
      <c r="C11" s="535" t="s">
        <v>5526</v>
      </c>
      <c r="D11" s="525"/>
      <c r="E11" s="1132">
        <f>SUM(E12:E13)</f>
        <v>70040000</v>
      </c>
      <c r="F11" s="1133"/>
      <c r="G11" s="1132">
        <f>SUM(G12:G13)</f>
        <v>7004000</v>
      </c>
      <c r="H11" s="1132">
        <f t="shared" si="0"/>
        <v>77044000</v>
      </c>
      <c r="I11" s="260"/>
      <c r="J11" s="260"/>
      <c r="K11" s="260"/>
    </row>
    <row r="12" spans="1:11" s="264" customFormat="1">
      <c r="A12" s="524">
        <v>1</v>
      </c>
      <c r="B12" s="527" t="s">
        <v>4480</v>
      </c>
      <c r="C12" s="540"/>
      <c r="D12" s="525" t="s">
        <v>272</v>
      </c>
      <c r="E12" s="865">
        <f>ROUND('II.1.5.nc+mtcTA'!J52,0)</f>
        <v>70040000</v>
      </c>
      <c r="F12" s="1124" t="s">
        <v>5279</v>
      </c>
      <c r="G12" s="865">
        <f>ROUND(E12*10%,0)</f>
        <v>7004000</v>
      </c>
      <c r="H12" s="865">
        <f t="shared" si="0"/>
        <v>77044000</v>
      </c>
      <c r="I12" s="260"/>
      <c r="J12" s="260"/>
      <c r="K12" s="260"/>
    </row>
    <row r="13" spans="1:11" s="264" customFormat="1">
      <c r="A13" s="524">
        <v>2</v>
      </c>
      <c r="B13" s="527" t="s">
        <v>806</v>
      </c>
      <c r="C13" s="540"/>
      <c r="D13" s="525"/>
      <c r="E13" s="865"/>
      <c r="F13" s="1124" t="s">
        <v>5279</v>
      </c>
      <c r="G13" s="865"/>
      <c r="H13" s="865">
        <f t="shared" si="0"/>
        <v>0</v>
      </c>
      <c r="I13" s="260"/>
      <c r="J13" s="260"/>
      <c r="K13" s="260"/>
    </row>
    <row r="14" spans="1:11" s="264" customFormat="1">
      <c r="A14" s="539" t="s">
        <v>1239</v>
      </c>
      <c r="B14" s="536" t="s">
        <v>994</v>
      </c>
      <c r="C14" s="535" t="s">
        <v>5527</v>
      </c>
      <c r="D14" s="525"/>
      <c r="E14" s="1132">
        <f>SUM(E15:E16)</f>
        <v>130165172</v>
      </c>
      <c r="F14" s="1134"/>
      <c r="G14" s="1132">
        <f>SUM(G15:G16)</f>
        <v>13016517</v>
      </c>
      <c r="H14" s="1132">
        <f t="shared" si="0"/>
        <v>143181689</v>
      </c>
      <c r="I14" s="260"/>
      <c r="J14" s="260"/>
      <c r="K14" s="260"/>
    </row>
    <row r="15" spans="1:11" s="264" customFormat="1">
      <c r="A15" s="524">
        <v>1</v>
      </c>
      <c r="B15" s="527" t="s">
        <v>3796</v>
      </c>
      <c r="C15" s="540"/>
      <c r="D15" s="525" t="s">
        <v>5664</v>
      </c>
      <c r="E15" s="865">
        <f>ROUND('II.1.4.ldtbTA'!J17,0)</f>
        <v>130165172</v>
      </c>
      <c r="F15" s="1124" t="s">
        <v>5279</v>
      </c>
      <c r="G15" s="865">
        <f>ROUND(E15*10%,0)</f>
        <v>13016517</v>
      </c>
      <c r="H15" s="865">
        <f t="shared" si="0"/>
        <v>143181689</v>
      </c>
      <c r="I15" s="260"/>
      <c r="J15" s="260"/>
      <c r="K15" s="260"/>
    </row>
    <row r="16" spans="1:11" s="264" customFormat="1">
      <c r="A16" s="524">
        <v>2</v>
      </c>
      <c r="B16" s="527" t="s">
        <v>1524</v>
      </c>
      <c r="C16" s="540"/>
      <c r="D16" s="525"/>
      <c r="E16" s="865"/>
      <c r="F16" s="1124"/>
      <c r="G16" s="865"/>
      <c r="H16" s="865">
        <f t="shared" si="0"/>
        <v>0</v>
      </c>
      <c r="I16" s="260"/>
      <c r="J16" s="260"/>
      <c r="K16" s="260"/>
    </row>
    <row r="17" spans="1:16" ht="18" customHeight="1">
      <c r="A17" s="521" t="s">
        <v>4085</v>
      </c>
      <c r="B17" s="522" t="s">
        <v>1784</v>
      </c>
      <c r="C17" s="535" t="s">
        <v>513</v>
      </c>
      <c r="D17" s="1117" t="str">
        <f>K17&amp;"% x (GXD+ GTB)"</f>
        <v>3,453% x (GXD+ GTB)</v>
      </c>
      <c r="E17" s="1126">
        <f>ROUND(K17%*(E5+E10),0)</f>
        <v>123670576</v>
      </c>
      <c r="F17" s="1135" t="s">
        <v>5279</v>
      </c>
      <c r="G17" s="1136">
        <f>ROUND(E17*10%,0)</f>
        <v>12367058</v>
      </c>
      <c r="H17" s="1132">
        <f t="shared" si="0"/>
        <v>136037634</v>
      </c>
      <c r="K17" s="89">
        <f>'Noi suy'!O22</f>
        <v>3.4529999999999998</v>
      </c>
      <c r="L17" s="85" t="s">
        <v>325</v>
      </c>
    </row>
    <row r="18" spans="1:16" ht="18" customHeight="1">
      <c r="A18" s="521" t="s">
        <v>4065</v>
      </c>
      <c r="B18" s="522" t="s">
        <v>512</v>
      </c>
      <c r="C18" s="535" t="s">
        <v>514</v>
      </c>
      <c r="D18" s="1109"/>
      <c r="E18" s="1126">
        <f>SUM(E19:E27)</f>
        <v>363291373</v>
      </c>
      <c r="F18" s="1124"/>
      <c r="G18" s="1126">
        <f>SUM(G19:G27)</f>
        <v>36329137</v>
      </c>
      <c r="H18" s="1126">
        <f>SUM(H19:H27)</f>
        <v>399620510</v>
      </c>
    </row>
    <row r="19" spans="1:16" s="264" customFormat="1" ht="15.95" customHeight="1">
      <c r="A19" s="1247">
        <v>1</v>
      </c>
      <c r="B19" s="864" t="s">
        <v>4341</v>
      </c>
      <c r="C19" s="528" t="s">
        <v>763</v>
      </c>
      <c r="D19" s="1110" t="s">
        <v>3647</v>
      </c>
      <c r="E19" s="865">
        <f>ROUND('II.9.tuvan'!M6/1.1,0)</f>
        <v>40062250</v>
      </c>
      <c r="F19" s="1124" t="s">
        <v>5279</v>
      </c>
      <c r="G19" s="865">
        <f t="shared" ref="G19:G27" si="1">ROUND(E19*10%,0)</f>
        <v>4006225</v>
      </c>
      <c r="H19" s="865">
        <f t="shared" si="0"/>
        <v>44068475</v>
      </c>
      <c r="I19" s="260"/>
      <c r="J19" s="260"/>
      <c r="K19" s="260"/>
    </row>
    <row r="20" spans="1:16" s="264" customFormat="1" ht="15.95" customHeight="1">
      <c r="A20" s="1247">
        <v>2</v>
      </c>
      <c r="B20" s="864" t="s">
        <v>13</v>
      </c>
      <c r="C20" s="528" t="s">
        <v>629</v>
      </c>
      <c r="D20" s="1110" t="s">
        <v>3647</v>
      </c>
      <c r="E20" s="865">
        <f>ROUND('II.9.tuvan'!M47/1.1,0)</f>
        <v>160452992</v>
      </c>
      <c r="F20" s="1124" t="s">
        <v>5279</v>
      </c>
      <c r="G20" s="865">
        <f t="shared" si="1"/>
        <v>16045299</v>
      </c>
      <c r="H20" s="865">
        <f t="shared" si="0"/>
        <v>176498291</v>
      </c>
      <c r="I20" s="260"/>
      <c r="J20" s="260"/>
      <c r="K20" s="1241">
        <f>'Noi suy'!H58</f>
        <v>4.8</v>
      </c>
      <c r="L20" s="260" t="s">
        <v>1516</v>
      </c>
    </row>
    <row r="21" spans="1:16" s="264" customFormat="1" ht="15.95" customHeight="1">
      <c r="A21" s="524">
        <v>3</v>
      </c>
      <c r="B21" s="529" t="s">
        <v>1517</v>
      </c>
      <c r="C21" s="528" t="s">
        <v>764</v>
      </c>
      <c r="D21" s="1111" t="str">
        <f>K21&amp;"% x GXD"</f>
        <v>0,29% x GXD</v>
      </c>
      <c r="E21" s="865">
        <f>ROUND(K21%*($E$5),0)</f>
        <v>9805871</v>
      </c>
      <c r="F21" s="1124" t="s">
        <v>5279</v>
      </c>
      <c r="G21" s="865">
        <f t="shared" si="1"/>
        <v>980587</v>
      </c>
      <c r="H21" s="865">
        <f t="shared" si="0"/>
        <v>10786458</v>
      </c>
      <c r="J21" s="260"/>
      <c r="K21" s="1189">
        <f>'Noi suy'!N166</f>
        <v>0.28999999999999998</v>
      </c>
      <c r="L21" s="85" t="s">
        <v>1518</v>
      </c>
    </row>
    <row r="22" spans="1:16" s="264" customFormat="1" ht="15.95" customHeight="1">
      <c r="A22" s="524">
        <v>4</v>
      </c>
      <c r="B22" s="529" t="s">
        <v>1519</v>
      </c>
      <c r="C22" s="528" t="s">
        <v>765</v>
      </c>
      <c r="D22" s="1111" t="str">
        <f>K22&amp;"% x GXD"</f>
        <v>0,282% x GXD</v>
      </c>
      <c r="E22" s="865">
        <f>ROUND(K22%*($E$5),0)</f>
        <v>9535364</v>
      </c>
      <c r="F22" s="1124" t="s">
        <v>5279</v>
      </c>
      <c r="G22" s="865">
        <f t="shared" si="1"/>
        <v>953536</v>
      </c>
      <c r="H22" s="865">
        <f t="shared" si="0"/>
        <v>10488900</v>
      </c>
      <c r="J22" s="260"/>
      <c r="K22" s="89">
        <f>'Noi suy'!N178</f>
        <v>0.28199999999999997</v>
      </c>
      <c r="L22" s="85" t="s">
        <v>4025</v>
      </c>
    </row>
    <row r="23" spans="1:16" s="264" customFormat="1" ht="15.95" customHeight="1">
      <c r="A23" s="524">
        <v>5</v>
      </c>
      <c r="B23" s="529" t="s">
        <v>5224</v>
      </c>
      <c r="C23" s="528" t="s">
        <v>1438</v>
      </c>
      <c r="D23" s="1190" t="str">
        <f>K23&amp;"% x GTV"</f>
        <v>0,816% x GTV</v>
      </c>
      <c r="E23" s="865">
        <f>ROUND(K23%*E37,0)</f>
        <v>2858664</v>
      </c>
      <c r="F23" s="1124" t="s">
        <v>5279</v>
      </c>
      <c r="G23" s="865">
        <f>ROUND(E23*10%,0)</f>
        <v>285866</v>
      </c>
      <c r="H23" s="865">
        <f>E23+G23</f>
        <v>3144530</v>
      </c>
      <c r="J23" s="260"/>
      <c r="K23" s="1189">
        <f>'Noi suy'!J189</f>
        <v>0.81599999999999995</v>
      </c>
      <c r="L23" s="85" t="s">
        <v>5227</v>
      </c>
    </row>
    <row r="24" spans="1:16" s="264" customFormat="1" ht="15.95" customHeight="1">
      <c r="A24" s="524">
        <v>6</v>
      </c>
      <c r="B24" s="529" t="s">
        <v>5225</v>
      </c>
      <c r="C24" s="528" t="s">
        <v>766</v>
      </c>
      <c r="D24" s="1111" t="str">
        <f>K24&amp;"% x GXD"</f>
        <v>0,549% x GXD</v>
      </c>
      <c r="E24" s="865">
        <f>ROUND(K24%*($E$5),0)</f>
        <v>18563528</v>
      </c>
      <c r="F24" s="1124" t="s">
        <v>5279</v>
      </c>
      <c r="G24" s="865">
        <f t="shared" si="1"/>
        <v>1856353</v>
      </c>
      <c r="H24" s="865">
        <f t="shared" si="0"/>
        <v>20419881</v>
      </c>
      <c r="J24" s="260"/>
      <c r="K24" s="89">
        <f>'Noi suy'!K198</f>
        <v>0.54900000000000004</v>
      </c>
      <c r="L24" s="85" t="s">
        <v>4026</v>
      </c>
    </row>
    <row r="25" spans="1:16" s="264" customFormat="1" ht="15.95" customHeight="1">
      <c r="A25" s="524">
        <v>7</v>
      </c>
      <c r="B25" s="529" t="s">
        <v>4027</v>
      </c>
      <c r="C25" s="528" t="s">
        <v>626</v>
      </c>
      <c r="D25" s="1111" t="str">
        <f>K25&amp;"% x GTB"</f>
        <v>0,549% x GTB</v>
      </c>
      <c r="E25" s="865">
        <f>ROUND(K25%*($E$10),0)</f>
        <v>1099126</v>
      </c>
      <c r="F25" s="1124" t="s">
        <v>5279</v>
      </c>
      <c r="G25" s="865">
        <f t="shared" si="1"/>
        <v>109913</v>
      </c>
      <c r="H25" s="865">
        <f t="shared" si="0"/>
        <v>1209039</v>
      </c>
      <c r="J25" s="260"/>
      <c r="K25" s="89">
        <f>'Noi suy'!K210</f>
        <v>0.54900000000000004</v>
      </c>
      <c r="L25" s="85" t="s">
        <v>4028</v>
      </c>
    </row>
    <row r="26" spans="1:16" s="264" customFormat="1" ht="15.95" customHeight="1">
      <c r="A26" s="524">
        <v>8</v>
      </c>
      <c r="B26" s="529" t="s">
        <v>5771</v>
      </c>
      <c r="C26" s="528" t="s">
        <v>627</v>
      </c>
      <c r="D26" s="1111" t="str">
        <f>K26&amp;"% x GXD"</f>
        <v>3,508% x GXD</v>
      </c>
      <c r="E26" s="865">
        <f>ROUND(K26%*($E$5),0)</f>
        <v>118617225</v>
      </c>
      <c r="F26" s="1124" t="s">
        <v>5279</v>
      </c>
      <c r="G26" s="865">
        <f t="shared" si="1"/>
        <v>11861723</v>
      </c>
      <c r="H26" s="865">
        <f t="shared" si="0"/>
        <v>130478948</v>
      </c>
      <c r="J26" s="260"/>
      <c r="K26" s="89">
        <f>'Noi suy'!N222</f>
        <v>3.508</v>
      </c>
      <c r="L26" s="85" t="s">
        <v>4029</v>
      </c>
    </row>
    <row r="27" spans="1:16" s="264" customFormat="1" ht="15.95" customHeight="1">
      <c r="A27" s="524">
        <v>9</v>
      </c>
      <c r="B27" s="529" t="s">
        <v>5772</v>
      </c>
      <c r="C27" s="528" t="s">
        <v>628</v>
      </c>
      <c r="D27" s="1111" t="str">
        <f>K27&amp;"% x GTB"</f>
        <v>1,147% x GTB</v>
      </c>
      <c r="E27" s="865">
        <f>ROUND(K27%*($E$10),0)</f>
        <v>2296353</v>
      </c>
      <c r="F27" s="1124" t="s">
        <v>5279</v>
      </c>
      <c r="G27" s="865">
        <f t="shared" si="1"/>
        <v>229635</v>
      </c>
      <c r="H27" s="865">
        <f t="shared" si="0"/>
        <v>2525988</v>
      </c>
      <c r="J27" s="260"/>
      <c r="K27" s="89">
        <f>'Noi suy'!N234</f>
        <v>1.147</v>
      </c>
      <c r="L27" s="85" t="s">
        <v>4030</v>
      </c>
    </row>
    <row r="28" spans="1:16" s="264" customFormat="1" ht="18" customHeight="1">
      <c r="A28" s="521" t="s">
        <v>173</v>
      </c>
      <c r="B28" s="541" t="s">
        <v>3304</v>
      </c>
      <c r="C28" s="535" t="s">
        <v>5282</v>
      </c>
      <c r="D28" s="542"/>
      <c r="E28" s="1126">
        <f>SUM(E29:E34)</f>
        <v>318214665</v>
      </c>
      <c r="F28" s="1137"/>
      <c r="G28" s="1138">
        <f>SUM(G29:G34)</f>
        <v>28046440</v>
      </c>
      <c r="H28" s="1138">
        <f>SUM(H29:H34)</f>
        <v>346261105</v>
      </c>
      <c r="J28" s="260"/>
      <c r="K28" s="260"/>
      <c r="L28" s="1242"/>
    </row>
    <row r="29" spans="1:16" s="264" customFormat="1">
      <c r="A29" s="524">
        <v>1</v>
      </c>
      <c r="B29" s="527" t="s">
        <v>5773</v>
      </c>
      <c r="C29" s="528" t="s">
        <v>630</v>
      </c>
      <c r="D29" s="1109" t="str">
        <f>K29&amp;"% x (GXD+ GTB)"</f>
        <v>0,35% x (GXD+ GTB)</v>
      </c>
      <c r="E29" s="865">
        <f>ROUND(K29%*(E5+E10),0)</f>
        <v>12535390</v>
      </c>
      <c r="F29" s="1124" t="s">
        <v>5279</v>
      </c>
      <c r="G29" s="865">
        <f>ROUND(E29*10%,0)</f>
        <v>1253539</v>
      </c>
      <c r="H29" s="865">
        <f t="shared" si="0"/>
        <v>13788929</v>
      </c>
      <c r="J29" s="260"/>
      <c r="K29" s="89">
        <v>0.35</v>
      </c>
      <c r="L29" s="85" t="s">
        <v>3240</v>
      </c>
      <c r="M29" s="85"/>
      <c r="N29" s="135"/>
      <c r="O29" s="135"/>
      <c r="P29" s="135"/>
    </row>
    <row r="30" spans="1:16" s="264" customFormat="1">
      <c r="A30" s="524">
        <v>2</v>
      </c>
      <c r="B30" s="527" t="s">
        <v>469</v>
      </c>
      <c r="C30" s="528" t="s">
        <v>631</v>
      </c>
      <c r="D30" s="1109" t="str">
        <f>K30&amp;"% x TMĐT"</f>
        <v>0,821% x TMĐT</v>
      </c>
      <c r="E30" s="865">
        <f>ROUND(K30%*E40,0)</f>
        <v>37750265</v>
      </c>
      <c r="F30" s="1124"/>
      <c r="G30" s="865"/>
      <c r="H30" s="865">
        <f>E30</f>
        <v>37750265</v>
      </c>
      <c r="J30" s="260"/>
      <c r="K30" s="922">
        <f>'Noi suy'!J343</f>
        <v>0.82099999999999995</v>
      </c>
      <c r="L30" s="85" t="s">
        <v>3241</v>
      </c>
    </row>
    <row r="31" spans="1:16" s="264" customFormat="1">
      <c r="A31" s="524">
        <v>3</v>
      </c>
      <c r="B31" s="530" t="s">
        <v>470</v>
      </c>
      <c r="C31" s="528" t="s">
        <v>632</v>
      </c>
      <c r="D31" s="1109" t="str">
        <f>K31&amp;"% x TMĐT"</f>
        <v>1,375% x TMĐT</v>
      </c>
      <c r="E31" s="865">
        <f>ROUND(K31%*E40,0)</f>
        <v>63223648</v>
      </c>
      <c r="F31" s="1124" t="s">
        <v>5279</v>
      </c>
      <c r="G31" s="865">
        <f>ROUND(E31*10%,0)</f>
        <v>6322365</v>
      </c>
      <c r="H31" s="865">
        <f>E31+G31</f>
        <v>69546013</v>
      </c>
      <c r="J31" s="260"/>
      <c r="K31" s="922">
        <f>'Noi suy'!J350</f>
        <v>1.375</v>
      </c>
      <c r="L31" s="85" t="s">
        <v>3241</v>
      </c>
    </row>
    <row r="32" spans="1:16" s="264" customFormat="1" ht="15" customHeight="1">
      <c r="A32" s="524">
        <v>4</v>
      </c>
      <c r="B32" s="530" t="s">
        <v>5525</v>
      </c>
      <c r="C32" s="538" t="s">
        <v>5528</v>
      </c>
      <c r="D32" s="1109" t="str">
        <f>K32&amp;"% x (GXD+GLTTB)"</f>
        <v>2% x (GXD+GLTTB)</v>
      </c>
      <c r="E32" s="865">
        <f>ROUND(K32%*(E5+E14),0)</f>
        <v>70230000</v>
      </c>
      <c r="F32" s="1124" t="s">
        <v>5279</v>
      </c>
      <c r="G32" s="865">
        <f>ROUND(E32*10%,0)</f>
        <v>7023000</v>
      </c>
      <c r="H32" s="865">
        <f>E32+G32</f>
        <v>77253000</v>
      </c>
      <c r="J32" s="260"/>
      <c r="K32" s="1241">
        <v>2</v>
      </c>
      <c r="L32" s="85" t="s">
        <v>3242</v>
      </c>
    </row>
    <row r="33" spans="1:12" s="264" customFormat="1" ht="15" customHeight="1">
      <c r="A33" s="524">
        <v>5</v>
      </c>
      <c r="B33" s="530" t="s">
        <v>4869</v>
      </c>
      <c r="C33" s="538" t="s">
        <v>5529</v>
      </c>
      <c r="D33" s="1109" t="str">
        <f>K33&amp;"% x (GXD+GLTTB)"</f>
        <v>2% x (GXD+GLTTB)</v>
      </c>
      <c r="E33" s="865">
        <f>ROUND(K33%*(E5+E14),0)</f>
        <v>70230000</v>
      </c>
      <c r="F33" s="1124" t="s">
        <v>5279</v>
      </c>
      <c r="G33" s="865">
        <f>ROUND(E33*10%,0)</f>
        <v>7023000</v>
      </c>
      <c r="H33" s="865">
        <f>E33+G33</f>
        <v>77253000</v>
      </c>
      <c r="J33" s="260"/>
      <c r="K33" s="1241">
        <v>2</v>
      </c>
      <c r="L33" s="85" t="s">
        <v>3243</v>
      </c>
    </row>
    <row r="34" spans="1:12" s="264" customFormat="1" ht="15" customHeight="1">
      <c r="A34" s="524">
        <v>6</v>
      </c>
      <c r="B34" s="527" t="s">
        <v>1622</v>
      </c>
      <c r="C34" s="528" t="s">
        <v>1623</v>
      </c>
      <c r="D34" s="1109" t="str">
        <f>IF(NL!C39="ĐDTA trên không XDM",K34&amp;"% x GXD",IF(NL!C39="ĐDTA trên không NC, CT",K34&amp;"% x 1.5 x GXD",IF(NL!C39="ĐDTA ngầm",J34&amp;"% x GXD","Nhập lại")))</f>
        <v>1,9% x GXD</v>
      </c>
      <c r="E34" s="865">
        <f>ROUND(IF(NL!C39="ĐDTA trên không XDM",K34%*E5,IF(NL!C39="ĐDTA trên không NC, CT",K34%*1.5*E5,IF(NL!C39="ĐDTA ngầm",J34%*E5,"Nhập lại"))),0)</f>
        <v>64245362</v>
      </c>
      <c r="F34" s="1124" t="s">
        <v>5279</v>
      </c>
      <c r="G34" s="865">
        <f>ROUND(E34*10%,0)</f>
        <v>6424536</v>
      </c>
      <c r="H34" s="865">
        <f t="shared" si="0"/>
        <v>70669898</v>
      </c>
      <c r="J34" s="821" t="str">
        <f>IF(NL!U40/1000&lt;=5,"0.54",IF(NL!U40/1000&gt;5,"0.50","Nhập lại"))</f>
        <v>0.54</v>
      </c>
      <c r="K34" s="821">
        <v>1.9</v>
      </c>
      <c r="L34" s="85" t="s">
        <v>1624</v>
      </c>
    </row>
    <row r="35" spans="1:12" s="264" customFormat="1" ht="18" customHeight="1">
      <c r="A35" s="531" t="s">
        <v>3344</v>
      </c>
      <c r="B35" s="543" t="s">
        <v>3305</v>
      </c>
      <c r="C35" s="544" t="s">
        <v>1236</v>
      </c>
      <c r="D35" s="534" t="s">
        <v>1808</v>
      </c>
      <c r="E35" s="1129">
        <f>ROUND(5%*(E5+E10+E17+E18+E28),0)</f>
        <v>219335830</v>
      </c>
      <c r="F35" s="1181"/>
      <c r="G35" s="1129">
        <f>ROUND(5%*(G5+G10+G17+G18+G28),0)</f>
        <v>21744832</v>
      </c>
      <c r="H35" s="1129">
        <f>E35+G35</f>
        <v>241080662</v>
      </c>
      <c r="J35" s="260"/>
      <c r="K35" s="260"/>
      <c r="L35" s="85" t="s">
        <v>4522</v>
      </c>
    </row>
    <row r="36" spans="1:12" s="264" customFormat="1" ht="15" customHeight="1">
      <c r="A36" s="923"/>
      <c r="B36" s="924"/>
      <c r="C36" s="260"/>
      <c r="D36" s="1196" t="s">
        <v>6330</v>
      </c>
      <c r="E36" s="1197">
        <f>E18</f>
        <v>363291373</v>
      </c>
      <c r="F36" s="2026" t="s">
        <v>6329</v>
      </c>
      <c r="G36" s="2026"/>
      <c r="H36" s="926"/>
      <c r="J36" s="260"/>
      <c r="K36" s="260"/>
      <c r="L36" s="85"/>
    </row>
    <row r="37" spans="1:12" s="264" customFormat="1" ht="15" customHeight="1">
      <c r="A37" s="923"/>
      <c r="B37" s="924"/>
      <c r="C37" s="260"/>
      <c r="D37" s="1193" t="s">
        <v>4859</v>
      </c>
      <c r="E37" s="1197">
        <v>350326423</v>
      </c>
      <c r="F37" s="2027">
        <f>E36-E37</f>
        <v>12964950</v>
      </c>
      <c r="G37" s="2027"/>
      <c r="H37" s="1194"/>
      <c r="J37" s="260"/>
      <c r="K37" s="260"/>
      <c r="L37" s="85"/>
    </row>
    <row r="38" spans="1:12" s="264" customFormat="1" ht="15" customHeight="1">
      <c r="A38" s="923"/>
      <c r="B38" s="924"/>
      <c r="C38" s="260"/>
      <c r="D38" s="1193"/>
      <c r="E38" s="1199"/>
      <c r="F38" s="1200"/>
      <c r="G38" s="1200"/>
      <c r="H38" s="1195"/>
      <c r="J38" s="260"/>
      <c r="K38" s="260"/>
      <c r="L38" s="85"/>
    </row>
    <row r="39" spans="1:12" ht="15" customHeight="1">
      <c r="C39" s="260"/>
      <c r="D39" s="1192" t="s">
        <v>6328</v>
      </c>
      <c r="E39" s="1201">
        <f>E5+E10+E17+E18+E28+E35</f>
        <v>4606052434</v>
      </c>
      <c r="F39" s="2024" t="s">
        <v>6329</v>
      </c>
      <c r="G39" s="2024"/>
    </row>
    <row r="40" spans="1:12" ht="15" customHeight="1">
      <c r="D40" s="1193" t="s">
        <v>6331</v>
      </c>
      <c r="E40" s="1201">
        <v>4598083490</v>
      </c>
      <c r="F40" s="2025">
        <f>E39-E40</f>
        <v>7968944</v>
      </c>
      <c r="G40" s="2025"/>
      <c r="H40" s="1194"/>
    </row>
    <row r="41" spans="1:12"/>
    <row r="42" spans="1:12"/>
    <row r="43" spans="1:12"/>
  </sheetData>
  <mergeCells count="6">
    <mergeCell ref="F40:G40"/>
    <mergeCell ref="A1:H1"/>
    <mergeCell ref="A2:H2"/>
    <mergeCell ref="F37:G37"/>
    <mergeCell ref="F36:G36"/>
    <mergeCell ref="F39:G39"/>
  </mergeCells>
  <phoneticPr fontId="0" type="noConversion"/>
  <printOptions horizontalCentered="1"/>
  <pageMargins left="0.11811023622047245" right="0.11811023622047245" top="0.39370078740157483" bottom="0.19685039370078741" header="0.35433070866141736" footer="0.15748031496062992"/>
  <pageSetup paperSize="9" scale="95" firstPageNumber="32" orientation="landscape" blackAndWhite="1" useFirstPageNumber="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2"/>
  </sheetPr>
  <dimension ref="B1:M43"/>
  <sheetViews>
    <sheetView showGridLines="0" showZeros="0" showRuler="0" view="pageLayout" topLeftCell="B1" zoomScaleNormal="100" workbookViewId="0">
      <selection activeCell="C10" sqref="C10:D10"/>
    </sheetView>
  </sheetViews>
  <sheetFormatPr defaultColWidth="0" defaultRowHeight="15" customHeight="1" zeroHeight="1"/>
  <cols>
    <col min="1" max="1" width="3.5" style="85" customWidth="1"/>
    <col min="2" max="2" width="4.83203125" style="87" customWidth="1"/>
    <col min="3" max="3" width="36.83203125" style="85" customWidth="1"/>
    <col min="4" max="4" width="9" style="85" customWidth="1"/>
    <col min="5" max="5" width="29.33203125" style="85" customWidth="1"/>
    <col min="6" max="8" width="12.83203125" style="85" customWidth="1"/>
    <col min="9" max="10" width="14.83203125" style="85" customWidth="1"/>
    <col min="11" max="11" width="9.33203125" style="85" customWidth="1"/>
    <col min="12" max="16384" width="0" style="85" hidden="1"/>
  </cols>
  <sheetData>
    <row r="1" spans="2:13"/>
    <row r="2" spans="2:13" ht="18.75">
      <c r="B2" s="2009" t="s">
        <v>5663</v>
      </c>
      <c r="C2" s="2009"/>
      <c r="D2" s="2009"/>
      <c r="E2" s="2009"/>
      <c r="F2" s="2009"/>
      <c r="G2" s="2009"/>
      <c r="H2" s="2009"/>
      <c r="I2" s="2009"/>
      <c r="J2" s="2009"/>
    </row>
    <row r="3" spans="2:13" ht="15.75">
      <c r="B3" s="2030" t="s">
        <v>488</v>
      </c>
      <c r="C3" s="2030"/>
      <c r="D3" s="2030"/>
      <c r="E3" s="2030"/>
      <c r="F3" s="2030"/>
      <c r="G3" s="2030"/>
      <c r="H3" s="2030"/>
      <c r="I3" s="2030"/>
      <c r="J3" s="2030"/>
      <c r="K3" s="106"/>
      <c r="L3" s="106"/>
      <c r="M3" s="106"/>
    </row>
    <row r="4" spans="2:13" ht="15.75">
      <c r="B4" s="1249"/>
      <c r="C4" s="160"/>
      <c r="D4" s="160"/>
      <c r="E4" s="161"/>
      <c r="F4" s="161"/>
      <c r="G4" s="161"/>
      <c r="H4" s="161"/>
      <c r="I4" s="161"/>
      <c r="J4" s="545"/>
    </row>
    <row r="5" spans="2:13">
      <c r="B5" s="2034" t="s">
        <v>6345</v>
      </c>
      <c r="C5" s="2034" t="s">
        <v>1097</v>
      </c>
      <c r="D5" s="2034" t="s">
        <v>1098</v>
      </c>
      <c r="E5" s="2034" t="s">
        <v>5017</v>
      </c>
      <c r="F5" s="2031" t="s">
        <v>268</v>
      </c>
      <c r="G5" s="2032"/>
      <c r="H5" s="2033"/>
      <c r="I5" s="2034" t="s">
        <v>270</v>
      </c>
      <c r="J5" s="2034" t="s">
        <v>6346</v>
      </c>
    </row>
    <row r="6" spans="2:13" ht="24">
      <c r="B6" s="2035"/>
      <c r="C6" s="2035"/>
      <c r="D6" s="2035"/>
      <c r="E6" s="2035"/>
      <c r="F6" s="551" t="s">
        <v>2565</v>
      </c>
      <c r="G6" s="551" t="s">
        <v>2566</v>
      </c>
      <c r="H6" s="551" t="s">
        <v>6346</v>
      </c>
      <c r="I6" s="2035"/>
      <c r="J6" s="2035"/>
    </row>
    <row r="7" spans="2:13">
      <c r="B7" s="165" t="s">
        <v>5284</v>
      </c>
      <c r="C7" s="166" t="s">
        <v>428</v>
      </c>
      <c r="D7" s="546" t="s">
        <v>5023</v>
      </c>
      <c r="E7" s="170" t="s">
        <v>843</v>
      </c>
      <c r="F7" s="1140">
        <f>SUM(F8:F11)</f>
        <v>2510507559</v>
      </c>
      <c r="G7" s="1140">
        <f>SUM(G8:G11)</f>
        <v>0</v>
      </c>
      <c r="H7" s="1140">
        <f>SUM(H8:H11)</f>
        <v>2510507559</v>
      </c>
      <c r="I7" s="1140">
        <f>SUM(I8:I11)</f>
        <v>0</v>
      </c>
      <c r="J7" s="1140">
        <f>SUM(J8:J11)</f>
        <v>2510507559</v>
      </c>
    </row>
    <row r="8" spans="2:13">
      <c r="B8" s="168">
        <v>1</v>
      </c>
      <c r="C8" s="1062" t="s">
        <v>2563</v>
      </c>
      <c r="D8" s="169" t="s">
        <v>5165</v>
      </c>
      <c r="E8" s="169" t="s">
        <v>272</v>
      </c>
      <c r="F8" s="1141">
        <f>ROUND('II.1.5.nc+mtcTA'!J51,0)</f>
        <v>2485473383</v>
      </c>
      <c r="G8" s="1141">
        <v>0</v>
      </c>
      <c r="H8" s="1152">
        <f t="shared" ref="H8:H14" si="0">SUM(F8:G8)</f>
        <v>2485473383</v>
      </c>
      <c r="I8" s="1142"/>
      <c r="J8" s="1152">
        <f t="shared" ref="J8:J14" si="1">SUM(H8:I8)</f>
        <v>2485473383</v>
      </c>
    </row>
    <row r="9" spans="2:13">
      <c r="B9" s="168">
        <v>2</v>
      </c>
      <c r="C9" s="1062" t="s">
        <v>2994</v>
      </c>
      <c r="D9" s="169" t="s">
        <v>5164</v>
      </c>
      <c r="E9" s="169" t="s">
        <v>272</v>
      </c>
      <c r="F9" s="1141">
        <f>ROUND('II.1.5.nc+mtcTA'!K51,0)</f>
        <v>0</v>
      </c>
      <c r="G9" s="1142"/>
      <c r="H9" s="1179">
        <f t="shared" si="0"/>
        <v>0</v>
      </c>
      <c r="I9" s="1142"/>
      <c r="J9" s="1169">
        <f t="shared" si="1"/>
        <v>0</v>
      </c>
    </row>
    <row r="10" spans="2:13">
      <c r="B10" s="168">
        <v>3</v>
      </c>
      <c r="C10" s="1062" t="s">
        <v>2995</v>
      </c>
      <c r="D10" s="169" t="s">
        <v>5167</v>
      </c>
      <c r="E10" s="169" t="s">
        <v>272</v>
      </c>
      <c r="F10" s="1142"/>
      <c r="G10" s="1151"/>
      <c r="H10" s="1179">
        <f t="shared" si="0"/>
        <v>0</v>
      </c>
      <c r="I10" s="1151"/>
      <c r="J10" s="1169">
        <f t="shared" si="1"/>
        <v>0</v>
      </c>
    </row>
    <row r="11" spans="2:13">
      <c r="B11" s="168">
        <v>4</v>
      </c>
      <c r="C11" s="1062" t="s">
        <v>3478</v>
      </c>
      <c r="D11" s="169" t="s">
        <v>269</v>
      </c>
      <c r="E11" s="169" t="s">
        <v>1908</v>
      </c>
      <c r="F11" s="1142">
        <f>ROUND(vcTA!H11/1.05,0)</f>
        <v>25034176</v>
      </c>
      <c r="G11" s="1151"/>
      <c r="H11" s="1180">
        <f t="shared" si="0"/>
        <v>25034176</v>
      </c>
      <c r="I11" s="1151"/>
      <c r="J11" s="1152">
        <f t="shared" si="1"/>
        <v>25034176</v>
      </c>
    </row>
    <row r="12" spans="2:13">
      <c r="B12" s="173"/>
      <c r="C12" s="174" t="s">
        <v>4063</v>
      </c>
      <c r="D12" s="175" t="s">
        <v>5866</v>
      </c>
      <c r="E12" s="170" t="s">
        <v>5023</v>
      </c>
      <c r="F12" s="1153">
        <f>F7</f>
        <v>2510507559</v>
      </c>
      <c r="G12" s="1153">
        <f>G7</f>
        <v>0</v>
      </c>
      <c r="H12" s="1179">
        <f t="shared" si="0"/>
        <v>2510507559</v>
      </c>
      <c r="I12" s="1153"/>
      <c r="J12" s="1169">
        <f t="shared" si="1"/>
        <v>2510507559</v>
      </c>
    </row>
    <row r="13" spans="2:13">
      <c r="B13" s="170" t="s">
        <v>1233</v>
      </c>
      <c r="C13" s="171" t="s">
        <v>4066</v>
      </c>
      <c r="D13" s="176" t="s">
        <v>4098</v>
      </c>
      <c r="E13" s="170" t="s">
        <v>5867</v>
      </c>
      <c r="F13" s="1144">
        <f>ROUND(F12*10%,0)</f>
        <v>251050756</v>
      </c>
      <c r="G13" s="1144">
        <f>ROUND(G12*10%,0)</f>
        <v>0</v>
      </c>
      <c r="H13" s="1179">
        <f t="shared" si="0"/>
        <v>251050756</v>
      </c>
      <c r="I13" s="1144"/>
      <c r="J13" s="1169">
        <f t="shared" si="1"/>
        <v>251050756</v>
      </c>
    </row>
    <row r="14" spans="2:13">
      <c r="B14" s="167"/>
      <c r="C14" s="171" t="s">
        <v>5163</v>
      </c>
      <c r="D14" s="175" t="s">
        <v>4099</v>
      </c>
      <c r="E14" s="553" t="s">
        <v>5868</v>
      </c>
      <c r="F14" s="1146">
        <f>ROUND(F12+F13,0)</f>
        <v>2761558315</v>
      </c>
      <c r="G14" s="1144">
        <f>ROUND(G12+G13,0)</f>
        <v>0</v>
      </c>
      <c r="H14" s="1179">
        <f t="shared" si="0"/>
        <v>2761558315</v>
      </c>
      <c r="I14" s="1146"/>
      <c r="J14" s="1178">
        <f t="shared" si="1"/>
        <v>2761558315</v>
      </c>
    </row>
    <row r="15" spans="2:13">
      <c r="B15" s="178"/>
      <c r="C15" s="179"/>
      <c r="D15" s="180"/>
      <c r="E15" s="181"/>
      <c r="F15" s="181"/>
      <c r="G15" s="181"/>
      <c r="H15" s="181"/>
      <c r="I15" s="181"/>
      <c r="J15" s="548"/>
    </row>
    <row r="16" spans="2:13">
      <c r="B16" s="1250"/>
      <c r="C16" s="183"/>
      <c r="D16" s="183"/>
      <c r="E16" s="183"/>
      <c r="F16" s="183"/>
      <c r="G16" s="183"/>
      <c r="H16" s="183"/>
      <c r="I16" s="183"/>
      <c r="J16" s="183"/>
    </row>
    <row r="17" spans="2:3" hidden="1">
      <c r="B17" s="87" t="s">
        <v>993</v>
      </c>
    </row>
    <row r="18" spans="2:3" hidden="1">
      <c r="B18" s="87" t="s">
        <v>3797</v>
      </c>
    </row>
    <row r="19" spans="2:3" hidden="1">
      <c r="B19" s="87" t="s">
        <v>1251</v>
      </c>
      <c r="C19" s="772">
        <f>'II.1.1.vlTA'!C28</f>
        <v>0</v>
      </c>
    </row>
    <row r="20" spans="2:3" hidden="1">
      <c r="B20" s="87" t="s">
        <v>1251</v>
      </c>
      <c r="C20" s="773">
        <f>'II.3.2.xdtram'!C24</f>
        <v>1</v>
      </c>
    </row>
    <row r="22" spans="2:3"/>
    <row r="23" spans="2:3"/>
    <row r="24" spans="2:3"/>
    <row r="25" spans="2:3"/>
    <row r="26" spans="2:3"/>
    <row r="27" spans="2:3"/>
    <row r="28" spans="2:3"/>
    <row r="29" spans="2:3"/>
    <row r="30" spans="2:3"/>
    <row r="31" spans="2:3" ht="15" customHeight="1"/>
    <row r="32" spans="2: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sheetData>
  <sheetProtection password="E3F0" sheet="1"/>
  <mergeCells count="9">
    <mergeCell ref="B2:J2"/>
    <mergeCell ref="B3:J3"/>
    <mergeCell ref="F5:H5"/>
    <mergeCell ref="I5:I6"/>
    <mergeCell ref="J5:J6"/>
    <mergeCell ref="B5:B6"/>
    <mergeCell ref="C5:C6"/>
    <mergeCell ref="D5:D6"/>
    <mergeCell ref="E5:E6"/>
  </mergeCells>
  <phoneticPr fontId="0" type="noConversion"/>
  <printOptions horizontalCentered="1"/>
  <pageMargins left="0.19685039370078741" right="0.19685039370078741" top="0.39370078740157483" bottom="0.39370078740157483" header="0.19685039370078741" footer="0.19685039370078741"/>
  <pageSetup paperSize="9" firstPageNumber="32" orientation="landscape" blackAndWhite="1"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41</vt:i4>
      </vt:variant>
    </vt:vector>
  </HeadingPairs>
  <TitlesOfParts>
    <vt:vector size="96" baseType="lpstr">
      <vt:lpstr>NL</vt:lpstr>
      <vt:lpstr>dongia</vt:lpstr>
      <vt:lpstr>co khi</vt:lpstr>
      <vt:lpstr>Tinh toan</vt:lpstr>
      <vt:lpstr>Bia</vt:lpstr>
      <vt:lpstr>I.TDT</vt:lpstr>
      <vt:lpstr>II.ThopXD,TB,A,DP</vt:lpstr>
      <vt:lpstr>II.1.ThopTA</vt:lpstr>
      <vt:lpstr>II.1.1.vlTA</vt:lpstr>
      <vt:lpstr>II.1.2.xdTA</vt:lpstr>
      <vt:lpstr>II.1.3.ldvlTA</vt:lpstr>
      <vt:lpstr>II.1.4.ldtbTA</vt:lpstr>
      <vt:lpstr>II.1.5.nc+mtcTA</vt:lpstr>
      <vt:lpstr>II.1.6.chitietDDTT</vt:lpstr>
      <vt:lpstr>tkeTA HH</vt:lpstr>
      <vt:lpstr>tkeTA_hh</vt:lpstr>
      <vt:lpstr>tkeTA</vt:lpstr>
      <vt:lpstr>tkeTA2</vt:lpstr>
      <vt:lpstr>vcTA</vt:lpstr>
      <vt:lpstr>II.2.ThopHA</vt:lpstr>
      <vt:lpstr>II.2.1.vtHA</vt:lpstr>
      <vt:lpstr>II.2.2.xdHA</vt:lpstr>
      <vt:lpstr>II.2.3.ldvlHA</vt:lpstr>
      <vt:lpstr>II.2.4.ldtbHA</vt:lpstr>
      <vt:lpstr>II.2.5.nc+mtcHA</vt:lpstr>
      <vt:lpstr>II.2.6.chitietHA</vt:lpstr>
      <vt:lpstr>tkeHA HH</vt:lpstr>
      <vt:lpstr>tkeHA</vt:lpstr>
      <vt:lpstr>vcHA</vt:lpstr>
      <vt:lpstr>II.3.ThopTRAM</vt:lpstr>
      <vt:lpstr>II.3.1.vltram</vt:lpstr>
      <vt:lpstr>II.3.2.xdtram</vt:lpstr>
      <vt:lpstr>II.3.3.ldtbtram</vt:lpstr>
      <vt:lpstr>II.3.4.ldvltram</vt:lpstr>
      <vt:lpstr>II.3.5.nc+mtcTRAM</vt:lpstr>
      <vt:lpstr>II.3.6.chitiettram</vt:lpstr>
      <vt:lpstr>TkeTR_hh</vt:lpstr>
      <vt:lpstr>TkeTR</vt:lpstr>
      <vt:lpstr>vcTR</vt:lpstr>
      <vt:lpstr>II.9.tuvan</vt:lpstr>
      <vt:lpstr>HĐ</vt:lpstr>
      <vt:lpstr>Ch.Cong</vt:lpstr>
      <vt:lpstr>DPT</vt:lpstr>
      <vt:lpstr>Khao sat</vt:lpstr>
      <vt:lpstr>II.10.Chuyengia</vt:lpstr>
      <vt:lpstr>Sheet7</vt:lpstr>
      <vt:lpstr>MBA</vt:lpstr>
      <vt:lpstr>XL</vt:lpstr>
      <vt:lpstr>VTTB</vt:lpstr>
      <vt:lpstr>KT</vt:lpstr>
      <vt:lpstr>CAP</vt:lpstr>
      <vt:lpstr>Noi suy</vt:lpstr>
      <vt:lpstr>Cuoc VC</vt:lpstr>
      <vt:lpstr>Sheet2</vt:lpstr>
      <vt:lpstr>XAYLAP</vt:lpstr>
      <vt:lpstr>Bia!Print_Area</vt:lpstr>
      <vt:lpstr>CAP!Print_Area</vt:lpstr>
      <vt:lpstr>Ch.Cong!Print_Area</vt:lpstr>
      <vt:lpstr>DPT!Print_Area</vt:lpstr>
      <vt:lpstr>HĐ!Print_Area</vt:lpstr>
      <vt:lpstr>II.1.3.ldvlTA!Print_Area</vt:lpstr>
      <vt:lpstr>II.1.4.ldtbTA!Print_Area</vt:lpstr>
      <vt:lpstr>II.1.6.chitietDDTT!Print_Area</vt:lpstr>
      <vt:lpstr>II.1.ThopTA!Print_Area</vt:lpstr>
      <vt:lpstr>II.10.Chuyengia!Print_Area</vt:lpstr>
      <vt:lpstr>II.2.1.vtHA!Print_Area</vt:lpstr>
      <vt:lpstr>II.2.2.xdHA!Print_Area</vt:lpstr>
      <vt:lpstr>II.2.3.ldvlHA!Print_Area</vt:lpstr>
      <vt:lpstr>II.2.6.chitietHA!Print_Area</vt:lpstr>
      <vt:lpstr>II.2.ThopHA!Print_Area</vt:lpstr>
      <vt:lpstr>II.3.3.ldtbtram!Print_Area</vt:lpstr>
      <vt:lpstr>II.3.6.chitiettram!Print_Area</vt:lpstr>
      <vt:lpstr>II.3.ThopTRAM!Print_Area</vt:lpstr>
      <vt:lpstr>II.9.tuvan!Print_Area</vt:lpstr>
      <vt:lpstr>'II.ThopXD,TB,A,DP'!Print_Area</vt:lpstr>
      <vt:lpstr>KT!Print_Area</vt:lpstr>
      <vt:lpstr>'Tinh toan'!Print_Area</vt:lpstr>
      <vt:lpstr>tkeHA!Print_Area</vt:lpstr>
      <vt:lpstr>'tkeHA HH'!Print_Area</vt:lpstr>
      <vt:lpstr>tkeTA!Print_Area</vt:lpstr>
      <vt:lpstr>TkeTR!Print_Area</vt:lpstr>
      <vt:lpstr>TkeTR_hh!Print_Area</vt:lpstr>
      <vt:lpstr>vcHA!Print_Area</vt:lpstr>
      <vt:lpstr>vcTA!Print_Area</vt:lpstr>
      <vt:lpstr>vcTR!Print_Area</vt:lpstr>
      <vt:lpstr>VTTB!Print_Area</vt:lpstr>
      <vt:lpstr>XAYLAP!Print_Area</vt:lpstr>
      <vt:lpstr>XL!Print_Area</vt:lpstr>
      <vt:lpstr>'II.1.5.nc+mtcTA'!Print_Titles</vt:lpstr>
      <vt:lpstr>II.1.6.chitietDDTT!Print_Titles</vt:lpstr>
      <vt:lpstr>II.10.Chuyengia!Print_Titles</vt:lpstr>
      <vt:lpstr>II.2.6.chitietHA!Print_Titles</vt:lpstr>
      <vt:lpstr>II.3.6.chitiettram!Print_Titles</vt:lpstr>
      <vt:lpstr>tkeHA!Print_Titles</vt:lpstr>
      <vt:lpstr>'tkeHA HH'!Print_Titles</vt:lpstr>
      <vt:lpstr>tkeTA!Print_Titles</vt:lpstr>
    </vt:vector>
  </TitlesOfParts>
  <Company>DLTG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PQLDT</dc:creator>
  <cp:lastModifiedBy>Nguyễn Quang Thịnh</cp:lastModifiedBy>
  <cp:lastPrinted>2024-11-27T09:50:10Z</cp:lastPrinted>
  <dcterms:created xsi:type="dcterms:W3CDTF">2005-05-18T09:10:54Z</dcterms:created>
  <dcterms:modified xsi:type="dcterms:W3CDTF">2025-07-28T01:02:23Z</dcterms:modified>
</cp:coreProperties>
</file>